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D47E2933-A901-4A67-AB88-99EF437BB838}" xr6:coauthVersionLast="47" xr6:coauthVersionMax="47" xr10:uidLastSave="{00000000-0000-0000-0000-000000000000}"/>
  <bookViews>
    <workbookView xWindow="-108" yWindow="-108" windowWidth="23256" windowHeight="13896" tabRatio="791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B40" i="8"/>
  <c r="B39" i="8"/>
  <c r="B38" i="8"/>
  <c r="B37" i="8"/>
  <c r="C37" i="4" l="1"/>
  <c r="D37" i="4"/>
  <c r="D39" i="4" s="1"/>
  <c r="E37" i="4"/>
  <c r="F37" i="4"/>
  <c r="C38" i="4"/>
  <c r="C40" i="4" s="1"/>
  <c r="D38" i="4"/>
  <c r="E38" i="4"/>
  <c r="F38" i="4"/>
  <c r="C39" i="4"/>
  <c r="E39" i="4"/>
  <c r="F39" i="4"/>
  <c r="D40" i="4"/>
  <c r="E40" i="4"/>
  <c r="F40" i="4"/>
  <c r="C23" i="8" l="1"/>
  <c r="F16" i="8" l="1"/>
  <c r="C17" i="8" l="1"/>
  <c r="C18" i="8"/>
  <c r="F67" i="3" l="1"/>
  <c r="F68" i="3"/>
  <c r="C15" i="6" l="1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B24" i="4" l="1"/>
  <c r="F17" i="7" l="1"/>
  <c r="F15" i="7"/>
  <c r="B22" i="4" l="1"/>
  <c r="B23" i="4"/>
  <c r="C15" i="8" l="1"/>
  <c r="D15" i="8"/>
  <c r="E15" i="8"/>
  <c r="F15" i="8"/>
  <c r="C16" i="8"/>
  <c r="D16" i="8"/>
  <c r="E16" i="8"/>
  <c r="D17" i="8"/>
  <c r="E17" i="8"/>
  <c r="F17" i="8"/>
  <c r="D18" i="8"/>
  <c r="E18" i="8"/>
  <c r="F18" i="8"/>
  <c r="C21" i="8"/>
  <c r="D21" i="8"/>
  <c r="E21" i="8"/>
  <c r="F21" i="8"/>
  <c r="C22" i="8"/>
  <c r="D22" i="8"/>
  <c r="E22" i="8"/>
  <c r="F22" i="8"/>
  <c r="F67" i="8" s="1"/>
  <c r="D23" i="8"/>
  <c r="D25" i="8" s="1"/>
  <c r="E23" i="8"/>
  <c r="E25" i="8" s="1"/>
  <c r="F23" i="8"/>
  <c r="F25" i="8" s="1"/>
  <c r="C24" i="8"/>
  <c r="D24" i="8"/>
  <c r="E24" i="8"/>
  <c r="F24" i="8"/>
  <c r="B24" i="8" l="1"/>
  <c r="B22" i="8"/>
  <c r="C25" i="8"/>
  <c r="B25" i="8" s="1"/>
  <c r="B23" i="8"/>
  <c r="F68" i="8"/>
  <c r="E50" i="4"/>
  <c r="E25" i="2" l="1"/>
  <c r="B18" i="2"/>
  <c r="F16" i="7"/>
  <c r="B18" i="3"/>
  <c r="C25" i="4"/>
  <c r="D25" i="4"/>
  <c r="E25" i="4"/>
  <c r="F25" i="4"/>
  <c r="E38" i="8"/>
  <c r="F37" i="8"/>
  <c r="F23" i="7"/>
  <c r="F22" i="7"/>
  <c r="F18" i="7"/>
  <c r="F24" i="7"/>
  <c r="F71" i="4"/>
  <c r="F70" i="4"/>
  <c r="F68" i="4"/>
  <c r="F49" i="4"/>
  <c r="F50" i="4"/>
  <c r="F67" i="4"/>
  <c r="F62" i="4"/>
  <c r="F54" i="4"/>
  <c r="F55" i="4"/>
  <c r="F71" i="3"/>
  <c r="F70" i="3"/>
  <c r="F49" i="3"/>
  <c r="F50" i="3"/>
  <c r="F37" i="3"/>
  <c r="F39" i="3" s="1"/>
  <c r="F38" i="3"/>
  <c r="F40" i="3" s="1"/>
  <c r="F62" i="3"/>
  <c r="F54" i="3"/>
  <c r="F55" i="3"/>
  <c r="D25" i="3"/>
  <c r="E25" i="3"/>
  <c r="F25" i="3"/>
  <c r="C25" i="2"/>
  <c r="D25" i="2"/>
  <c r="F25" i="2"/>
  <c r="C25" i="1"/>
  <c r="D25" i="1"/>
  <c r="E25" i="1"/>
  <c r="F25" i="1"/>
  <c r="F71" i="2"/>
  <c r="F70" i="2"/>
  <c r="F68" i="2"/>
  <c r="F67" i="2"/>
  <c r="F62" i="2"/>
  <c r="F55" i="2"/>
  <c r="F54" i="2"/>
  <c r="F50" i="2"/>
  <c r="F49" i="2"/>
  <c r="F38" i="2"/>
  <c r="F40" i="2" s="1"/>
  <c r="F37" i="2"/>
  <c r="F39" i="2" s="1"/>
  <c r="F71" i="1"/>
  <c r="F70" i="1"/>
  <c r="F68" i="1"/>
  <c r="F67" i="1"/>
  <c r="F62" i="1"/>
  <c r="F55" i="1"/>
  <c r="F54" i="1"/>
  <c r="F49" i="1"/>
  <c r="F50" i="1"/>
  <c r="F37" i="1"/>
  <c r="F39" i="1" s="1"/>
  <c r="F38" i="1"/>
  <c r="F40" i="1" s="1"/>
  <c r="B16" i="2"/>
  <c r="B45" i="2" s="1"/>
  <c r="B17" i="2"/>
  <c r="B16" i="4"/>
  <c r="B17" i="4"/>
  <c r="B18" i="4"/>
  <c r="B15" i="4"/>
  <c r="B15" i="2"/>
  <c r="B23" i="2"/>
  <c r="B75" i="2" s="1"/>
  <c r="B23" i="1"/>
  <c r="B21" i="2"/>
  <c r="B37" i="2" s="1"/>
  <c r="B21" i="3"/>
  <c r="B37" i="3" s="1"/>
  <c r="B21" i="4"/>
  <c r="B37" i="4" s="1"/>
  <c r="B21" i="1"/>
  <c r="B37" i="1" s="1"/>
  <c r="C54" i="2"/>
  <c r="D54" i="2"/>
  <c r="E54" i="2"/>
  <c r="C54" i="3"/>
  <c r="D54" i="3"/>
  <c r="E54" i="3"/>
  <c r="C54" i="4"/>
  <c r="D54" i="4"/>
  <c r="E54" i="4"/>
  <c r="C54" i="1"/>
  <c r="D54" i="1"/>
  <c r="E54" i="1"/>
  <c r="C50" i="4"/>
  <c r="D50" i="4"/>
  <c r="D49" i="4"/>
  <c r="C49" i="4"/>
  <c r="E49" i="4"/>
  <c r="E51" i="4" s="1"/>
  <c r="C62" i="3"/>
  <c r="D62" i="3"/>
  <c r="E62" i="3"/>
  <c r="D55" i="3"/>
  <c r="E55" i="3"/>
  <c r="D50" i="3"/>
  <c r="E50" i="3"/>
  <c r="C49" i="3"/>
  <c r="D49" i="3"/>
  <c r="E49" i="3"/>
  <c r="D38" i="3"/>
  <c r="D40" i="3" s="1"/>
  <c r="E38" i="3"/>
  <c r="C37" i="3"/>
  <c r="C39" i="3" s="1"/>
  <c r="D37" i="3"/>
  <c r="D39" i="3" s="1"/>
  <c r="E37" i="3"/>
  <c r="E39" i="3" s="1"/>
  <c r="C71" i="2"/>
  <c r="D71" i="2"/>
  <c r="E71" i="2"/>
  <c r="C70" i="2"/>
  <c r="D70" i="2"/>
  <c r="E70" i="2"/>
  <c r="C67" i="2"/>
  <c r="D67" i="2"/>
  <c r="E67" i="2"/>
  <c r="C62" i="2"/>
  <c r="D62" i="2"/>
  <c r="E62" i="2"/>
  <c r="C55" i="2"/>
  <c r="D55" i="2"/>
  <c r="E55" i="2"/>
  <c r="C50" i="2"/>
  <c r="D50" i="2"/>
  <c r="E50" i="2"/>
  <c r="C49" i="2"/>
  <c r="D49" i="2"/>
  <c r="E49" i="2"/>
  <c r="C71" i="1"/>
  <c r="D71" i="1"/>
  <c r="E71" i="1"/>
  <c r="C70" i="1"/>
  <c r="D70" i="1"/>
  <c r="E70" i="1"/>
  <c r="C67" i="1"/>
  <c r="D67" i="1"/>
  <c r="E67" i="1"/>
  <c r="C62" i="1"/>
  <c r="D62" i="1"/>
  <c r="E62" i="1"/>
  <c r="C55" i="1"/>
  <c r="D55" i="1"/>
  <c r="E55" i="1"/>
  <c r="C50" i="1"/>
  <c r="D50" i="1"/>
  <c r="E50" i="1"/>
  <c r="C49" i="1"/>
  <c r="D49" i="1"/>
  <c r="E49" i="1"/>
  <c r="C38" i="1"/>
  <c r="D38" i="1"/>
  <c r="D40" i="1" s="1"/>
  <c r="E38" i="1"/>
  <c r="E40" i="1" s="1"/>
  <c r="C37" i="1"/>
  <c r="C39" i="1" s="1"/>
  <c r="D37" i="1"/>
  <c r="D39" i="1" s="1"/>
  <c r="E37" i="1"/>
  <c r="E39" i="1" s="1"/>
  <c r="B24" i="1"/>
  <c r="B22" i="1"/>
  <c r="B28" i="1" s="1"/>
  <c r="B74" i="1" s="1"/>
  <c r="B24" i="2"/>
  <c r="B22" i="2"/>
  <c r="B28" i="2" s="1"/>
  <c r="B74" i="2" s="1"/>
  <c r="E17" i="7"/>
  <c r="E16" i="7"/>
  <c r="E15" i="7"/>
  <c r="D17" i="7"/>
  <c r="D16" i="7"/>
  <c r="D15" i="7"/>
  <c r="C17" i="7"/>
  <c r="C16" i="7"/>
  <c r="C15" i="7"/>
  <c r="E71" i="4"/>
  <c r="D71" i="4"/>
  <c r="C71" i="4"/>
  <c r="E70" i="4"/>
  <c r="D70" i="4"/>
  <c r="C70" i="4"/>
  <c r="E71" i="3"/>
  <c r="D71" i="3"/>
  <c r="E70" i="3"/>
  <c r="D70" i="3"/>
  <c r="C70" i="3"/>
  <c r="E211" i="1"/>
  <c r="C38" i="6"/>
  <c r="E25" i="6"/>
  <c r="D37" i="6"/>
  <c r="E37" i="6"/>
  <c r="F37" i="6"/>
  <c r="C37" i="6"/>
  <c r="D24" i="7"/>
  <c r="E24" i="7"/>
  <c r="C24" i="7"/>
  <c r="C22" i="7"/>
  <c r="D22" i="7"/>
  <c r="E22" i="7"/>
  <c r="D23" i="7"/>
  <c r="E23" i="7"/>
  <c r="E25" i="7" s="1"/>
  <c r="D21" i="7"/>
  <c r="D37" i="7" s="1"/>
  <c r="E21" i="7"/>
  <c r="F21" i="7"/>
  <c r="F37" i="7" s="1"/>
  <c r="C21" i="7"/>
  <c r="C37" i="7" s="1"/>
  <c r="D37" i="8"/>
  <c r="E37" i="8"/>
  <c r="C37" i="8"/>
  <c r="D18" i="7"/>
  <c r="E18" i="7"/>
  <c r="C18" i="7"/>
  <c r="B28" i="4"/>
  <c r="B74" i="4" s="1"/>
  <c r="B24" i="3"/>
  <c r="B22" i="3"/>
  <c r="B28" i="3" s="1"/>
  <c r="B74" i="3" s="1"/>
  <c r="B17" i="3"/>
  <c r="B16" i="3"/>
  <c r="B15" i="3"/>
  <c r="B18" i="1"/>
  <c r="B17" i="1"/>
  <c r="B16" i="1"/>
  <c r="B15" i="1"/>
  <c r="E68" i="4"/>
  <c r="D68" i="4"/>
  <c r="C68" i="4"/>
  <c r="E62" i="4"/>
  <c r="D62" i="4"/>
  <c r="C62" i="4"/>
  <c r="E55" i="4"/>
  <c r="D55" i="4"/>
  <c r="C55" i="4"/>
  <c r="E67" i="4"/>
  <c r="D67" i="4"/>
  <c r="C67" i="4"/>
  <c r="E68" i="3"/>
  <c r="D68" i="3"/>
  <c r="E67" i="3"/>
  <c r="D67" i="3"/>
  <c r="E68" i="2"/>
  <c r="D68" i="2"/>
  <c r="C68" i="2"/>
  <c r="E38" i="2"/>
  <c r="E40" i="2" s="1"/>
  <c r="D38" i="2"/>
  <c r="D40" i="2" s="1"/>
  <c r="C38" i="2"/>
  <c r="E37" i="2"/>
  <c r="E39" i="2" s="1"/>
  <c r="D37" i="2"/>
  <c r="D39" i="2" s="1"/>
  <c r="C37" i="2"/>
  <c r="C39" i="2" s="1"/>
  <c r="B29" i="6"/>
  <c r="D68" i="1"/>
  <c r="E68" i="1"/>
  <c r="C68" i="1"/>
  <c r="C67" i="3"/>
  <c r="B29" i="7"/>
  <c r="E56" i="4" l="1"/>
  <c r="D56" i="4"/>
  <c r="E51" i="2"/>
  <c r="F51" i="3"/>
  <c r="F69" i="3" s="1"/>
  <c r="C51" i="2"/>
  <c r="F63" i="4"/>
  <c r="B25" i="4"/>
  <c r="B59" i="4" s="1"/>
  <c r="E51" i="1"/>
  <c r="E69" i="1" s="1"/>
  <c r="D50" i="6"/>
  <c r="F55" i="8"/>
  <c r="B18" i="8"/>
  <c r="E63" i="4"/>
  <c r="C64" i="4"/>
  <c r="E69" i="4"/>
  <c r="D38" i="8"/>
  <c r="D40" i="8" s="1"/>
  <c r="E63" i="3"/>
  <c r="D51" i="3"/>
  <c r="D69" i="3" s="1"/>
  <c r="D62" i="6"/>
  <c r="C56" i="2"/>
  <c r="E63" i="2"/>
  <c r="D55" i="8"/>
  <c r="D51" i="2"/>
  <c r="D69" i="2" s="1"/>
  <c r="F54" i="6"/>
  <c r="C63" i="2"/>
  <c r="F56" i="2"/>
  <c r="C40" i="6"/>
  <c r="D50" i="8"/>
  <c r="C39" i="7"/>
  <c r="D70" i="6"/>
  <c r="D39" i="7"/>
  <c r="E64" i="4"/>
  <c r="C63" i="4"/>
  <c r="F64" i="3"/>
  <c r="D63" i="2"/>
  <c r="B55" i="4"/>
  <c r="D51" i="4"/>
  <c r="D69" i="4" s="1"/>
  <c r="B67" i="4"/>
  <c r="C51" i="4"/>
  <c r="C69" i="4" s="1"/>
  <c r="F56" i="4"/>
  <c r="E54" i="8"/>
  <c r="B70" i="4"/>
  <c r="B45" i="4"/>
  <c r="C56" i="4"/>
  <c r="C54" i="8"/>
  <c r="E51" i="3"/>
  <c r="E69" i="3" s="1"/>
  <c r="B24" i="7"/>
  <c r="D56" i="3"/>
  <c r="D55" i="7"/>
  <c r="D70" i="7"/>
  <c r="B67" i="3"/>
  <c r="E54" i="7"/>
  <c r="B18" i="7"/>
  <c r="D54" i="7"/>
  <c r="B45" i="3"/>
  <c r="B70" i="3"/>
  <c r="B24" i="6"/>
  <c r="C55" i="6"/>
  <c r="B67" i="2"/>
  <c r="B70" i="2"/>
  <c r="D67" i="8"/>
  <c r="B28" i="8"/>
  <c r="B74" i="8" s="1"/>
  <c r="B18" i="6"/>
  <c r="C70" i="7"/>
  <c r="F50" i="7"/>
  <c r="F67" i="7"/>
  <c r="B55" i="1"/>
  <c r="C70" i="8"/>
  <c r="C67" i="8"/>
  <c r="B70" i="1"/>
  <c r="F70" i="6"/>
  <c r="D51" i="1"/>
  <c r="D69" i="1" s="1"/>
  <c r="B54" i="1"/>
  <c r="C67" i="6"/>
  <c r="F51" i="4"/>
  <c r="F69" i="4" s="1"/>
  <c r="F64" i="4"/>
  <c r="B75" i="4"/>
  <c r="B50" i="4"/>
  <c r="D64" i="4"/>
  <c r="B38" i="4"/>
  <c r="B40" i="4" s="1"/>
  <c r="B68" i="4"/>
  <c r="B71" i="4"/>
  <c r="B49" i="4"/>
  <c r="B46" i="4"/>
  <c r="B54" i="4"/>
  <c r="F63" i="3"/>
  <c r="F56" i="3"/>
  <c r="E40" i="3"/>
  <c r="E64" i="3" s="1"/>
  <c r="E56" i="3"/>
  <c r="B46" i="3"/>
  <c r="D64" i="3"/>
  <c r="B54" i="3"/>
  <c r="B62" i="3"/>
  <c r="B49" i="3"/>
  <c r="F71" i="7"/>
  <c r="F68" i="7"/>
  <c r="F38" i="7"/>
  <c r="F40" i="7" s="1"/>
  <c r="F63" i="2"/>
  <c r="E55" i="8"/>
  <c r="E38" i="7"/>
  <c r="E40" i="7" s="1"/>
  <c r="F64" i="2"/>
  <c r="F51" i="2"/>
  <c r="F69" i="2" s="1"/>
  <c r="B55" i="2"/>
  <c r="E69" i="2"/>
  <c r="E56" i="2"/>
  <c r="D55" i="6"/>
  <c r="B25" i="2"/>
  <c r="B59" i="2" s="1"/>
  <c r="B50" i="2"/>
  <c r="D56" i="2"/>
  <c r="B71" i="2"/>
  <c r="C40" i="2"/>
  <c r="C64" i="2" s="1"/>
  <c r="C25" i="6"/>
  <c r="C69" i="2"/>
  <c r="B38" i="2"/>
  <c r="B63" i="2" s="1"/>
  <c r="F62" i="6"/>
  <c r="E64" i="2"/>
  <c r="B49" i="2"/>
  <c r="D64" i="2"/>
  <c r="B46" i="2"/>
  <c r="B68" i="2"/>
  <c r="B54" i="2"/>
  <c r="C62" i="7"/>
  <c r="B62" i="2"/>
  <c r="F51" i="1"/>
  <c r="F69" i="1" s="1"/>
  <c r="B75" i="1"/>
  <c r="B38" i="1"/>
  <c r="B40" i="1" s="1"/>
  <c r="E55" i="7"/>
  <c r="E71" i="7"/>
  <c r="D68" i="8"/>
  <c r="D38" i="7"/>
  <c r="D40" i="7" s="1"/>
  <c r="E68" i="7"/>
  <c r="E56" i="1"/>
  <c r="E64" i="1"/>
  <c r="B25" i="1"/>
  <c r="B59" i="1" s="1"/>
  <c r="F56" i="1"/>
  <c r="F49" i="6"/>
  <c r="B62" i="1"/>
  <c r="E71" i="8"/>
  <c r="E62" i="7"/>
  <c r="E49" i="7"/>
  <c r="E62" i="8"/>
  <c r="B17" i="7"/>
  <c r="B46" i="7" s="1"/>
  <c r="D49" i="6"/>
  <c r="C49" i="8"/>
  <c r="C54" i="7"/>
  <c r="D63" i="4"/>
  <c r="B39" i="4"/>
  <c r="B62" i="4"/>
  <c r="D39" i="8"/>
  <c r="B39" i="3"/>
  <c r="D63" i="3"/>
  <c r="B39" i="2"/>
  <c r="F63" i="1"/>
  <c r="F55" i="7"/>
  <c r="C67" i="7"/>
  <c r="D68" i="7"/>
  <c r="D38" i="6"/>
  <c r="D40" i="6" s="1"/>
  <c r="E68" i="6"/>
  <c r="D63" i="1"/>
  <c r="F38" i="8"/>
  <c r="F40" i="8" s="1"/>
  <c r="D39" i="6"/>
  <c r="D68" i="6"/>
  <c r="D25" i="6"/>
  <c r="C51" i="1"/>
  <c r="C69" i="1" s="1"/>
  <c r="F71" i="6"/>
  <c r="F71" i="8"/>
  <c r="C49" i="7"/>
  <c r="B49" i="1"/>
  <c r="F25" i="7"/>
  <c r="F50" i="8"/>
  <c r="D67" i="6"/>
  <c r="B50" i="1"/>
  <c r="D49" i="7"/>
  <c r="E68" i="8"/>
  <c r="D62" i="7"/>
  <c r="D70" i="8"/>
  <c r="C63" i="1"/>
  <c r="D56" i="1"/>
  <c r="B39" i="1"/>
  <c r="B67" i="1"/>
  <c r="B71" i="1"/>
  <c r="D62" i="8"/>
  <c r="F38" i="6"/>
  <c r="F40" i="6" s="1"/>
  <c r="B21" i="6"/>
  <c r="B37" i="6" s="1"/>
  <c r="B21" i="7"/>
  <c r="B37" i="7" s="1"/>
  <c r="B17" i="6"/>
  <c r="C39" i="8"/>
  <c r="F64" i="1"/>
  <c r="F55" i="6"/>
  <c r="F39" i="7"/>
  <c r="E54" i="6"/>
  <c r="E63" i="1"/>
  <c r="B46" i="1"/>
  <c r="B45" i="1"/>
  <c r="C56" i="1"/>
  <c r="F50" i="6"/>
  <c r="B68" i="1"/>
  <c r="D71" i="6"/>
  <c r="D64" i="1"/>
  <c r="E49" i="6"/>
  <c r="F68" i="6"/>
  <c r="C40" i="1"/>
  <c r="C64" i="1" s="1"/>
  <c r="E50" i="6"/>
  <c r="C54" i="6"/>
  <c r="F70" i="7"/>
  <c r="E37" i="7"/>
  <c r="B16" i="7"/>
  <c r="B45" i="7" s="1"/>
  <c r="B15" i="8"/>
  <c r="F67" i="6"/>
  <c r="F49" i="8"/>
  <c r="C49" i="6"/>
  <c r="C62" i="6"/>
  <c r="C71" i="6"/>
  <c r="E49" i="8"/>
  <c r="F49" i="7"/>
  <c r="C62" i="8"/>
  <c r="E55" i="6"/>
  <c r="B23" i="6"/>
  <c r="B16" i="6"/>
  <c r="E70" i="8"/>
  <c r="E38" i="6"/>
  <c r="E40" i="6" s="1"/>
  <c r="C68" i="6"/>
  <c r="E71" i="6"/>
  <c r="E50" i="7"/>
  <c r="C39" i="6"/>
  <c r="F62" i="7"/>
  <c r="C63" i="6"/>
  <c r="B21" i="8"/>
  <c r="B22" i="7"/>
  <c r="B28" i="7" s="1"/>
  <c r="B74" i="7" s="1"/>
  <c r="F54" i="7"/>
  <c r="F54" i="8"/>
  <c r="F39" i="8"/>
  <c r="F39" i="6"/>
  <c r="E39" i="6"/>
  <c r="E40" i="8"/>
  <c r="E63" i="8"/>
  <c r="E67" i="7"/>
  <c r="F70" i="8"/>
  <c r="E67" i="8"/>
  <c r="B15" i="6"/>
  <c r="D50" i="7"/>
  <c r="E62" i="6"/>
  <c r="B22" i="6"/>
  <c r="D71" i="7"/>
  <c r="F25" i="6"/>
  <c r="E50" i="8"/>
  <c r="D67" i="7"/>
  <c r="D25" i="7"/>
  <c r="B17" i="8"/>
  <c r="D54" i="8"/>
  <c r="D54" i="6"/>
  <c r="F62" i="8"/>
  <c r="D71" i="8"/>
  <c r="E70" i="7"/>
  <c r="E67" i="6"/>
  <c r="C70" i="6"/>
  <c r="B15" i="7"/>
  <c r="C50" i="6"/>
  <c r="E39" i="8"/>
  <c r="E70" i="6"/>
  <c r="B16" i="8"/>
  <c r="B45" i="8" s="1"/>
  <c r="D49" i="8"/>
  <c r="C56" i="6" l="1"/>
  <c r="C64" i="6"/>
  <c r="B56" i="1"/>
  <c r="F56" i="8"/>
  <c r="D51" i="7"/>
  <c r="D69" i="7" s="1"/>
  <c r="B63" i="1"/>
  <c r="D63" i="8"/>
  <c r="D51" i="6"/>
  <c r="D69" i="6" s="1"/>
  <c r="B54" i="6"/>
  <c r="B56" i="4"/>
  <c r="E56" i="8"/>
  <c r="D64" i="7"/>
  <c r="D56" i="8"/>
  <c r="F56" i="6"/>
  <c r="D51" i="8"/>
  <c r="D69" i="8" s="1"/>
  <c r="D56" i="7"/>
  <c r="D64" i="6"/>
  <c r="F64" i="6"/>
  <c r="B64" i="1"/>
  <c r="B51" i="4"/>
  <c r="B69" i="4" s="1"/>
  <c r="E56" i="7"/>
  <c r="F51" i="7"/>
  <c r="F69" i="7" s="1"/>
  <c r="B51" i="1"/>
  <c r="B69" i="1" s="1"/>
  <c r="F51" i="6"/>
  <c r="F69" i="6" s="1"/>
  <c r="E51" i="7"/>
  <c r="E69" i="7" s="1"/>
  <c r="B63" i="4"/>
  <c r="B64" i="4"/>
  <c r="F64" i="7"/>
  <c r="F63" i="7"/>
  <c r="F51" i="8"/>
  <c r="F69" i="8" s="1"/>
  <c r="F63" i="6"/>
  <c r="F56" i="7"/>
  <c r="B51" i="2"/>
  <c r="B69" i="2" s="1"/>
  <c r="B40" i="2"/>
  <c r="B64" i="2" s="1"/>
  <c r="B56" i="2"/>
  <c r="D56" i="6"/>
  <c r="E56" i="6"/>
  <c r="B25" i="6"/>
  <c r="B59" i="6" s="1"/>
  <c r="D63" i="7"/>
  <c r="E63" i="6"/>
  <c r="B54" i="7"/>
  <c r="B62" i="7"/>
  <c r="E51" i="6"/>
  <c r="E69" i="6" s="1"/>
  <c r="C51" i="6"/>
  <c r="C69" i="6" s="1"/>
  <c r="D64" i="8"/>
  <c r="F64" i="8"/>
  <c r="B62" i="6"/>
  <c r="F63" i="8"/>
  <c r="D63" i="6"/>
  <c r="B49" i="6"/>
  <c r="B68" i="6"/>
  <c r="B70" i="7"/>
  <c r="B46" i="6"/>
  <c r="B49" i="7"/>
  <c r="E51" i="8"/>
  <c r="E69" i="8" s="1"/>
  <c r="B45" i="6"/>
  <c r="B67" i="7"/>
  <c r="B38" i="6"/>
  <c r="B55" i="6"/>
  <c r="B70" i="8"/>
  <c r="B75" i="6"/>
  <c r="E39" i="7"/>
  <c r="E64" i="7" s="1"/>
  <c r="E63" i="7"/>
  <c r="B39" i="7"/>
  <c r="B67" i="8"/>
  <c r="B71" i="6"/>
  <c r="E64" i="6"/>
  <c r="B39" i="6"/>
  <c r="B67" i="6"/>
  <c r="B50" i="6"/>
  <c r="B70" i="6"/>
  <c r="B28" i="6"/>
  <c r="B74" i="6" s="1"/>
  <c r="E64" i="8"/>
  <c r="B49" i="8"/>
  <c r="B46" i="8"/>
  <c r="B62" i="8"/>
  <c r="B54" i="8"/>
  <c r="B56" i="6" l="1"/>
  <c r="B51" i="6"/>
  <c r="B69" i="6" s="1"/>
  <c r="B63" i="6"/>
  <c r="B40" i="6"/>
  <c r="B64" i="6" s="1"/>
  <c r="C71" i="3"/>
  <c r="C25" i="3"/>
  <c r="B25" i="3" s="1"/>
  <c r="C38" i="3"/>
  <c r="C63" i="3" s="1"/>
  <c r="C68" i="3"/>
  <c r="C55" i="3"/>
  <c r="C56" i="3" s="1"/>
  <c r="C68" i="8"/>
  <c r="C23" i="7"/>
  <c r="C38" i="7" s="1"/>
  <c r="B23" i="3"/>
  <c r="B50" i="3" s="1"/>
  <c r="B51" i="3" s="1"/>
  <c r="C50" i="3"/>
  <c r="C51" i="3" s="1"/>
  <c r="C38" i="8" l="1"/>
  <c r="C63" i="8" s="1"/>
  <c r="C69" i="3"/>
  <c r="C40" i="7"/>
  <c r="C64" i="7" s="1"/>
  <c r="C63" i="7"/>
  <c r="C50" i="8"/>
  <c r="C51" i="8" s="1"/>
  <c r="C69" i="8" s="1"/>
  <c r="C71" i="7"/>
  <c r="B38" i="3"/>
  <c r="C68" i="7"/>
  <c r="C71" i="8"/>
  <c r="C25" i="7"/>
  <c r="B25" i="7" s="1"/>
  <c r="B55" i="3"/>
  <c r="B56" i="3" s="1"/>
  <c r="C40" i="3"/>
  <c r="C64" i="3" s="1"/>
  <c r="C55" i="8"/>
  <c r="C56" i="8" s="1"/>
  <c r="B71" i="3"/>
  <c r="B23" i="7"/>
  <c r="B68" i="3"/>
  <c r="B69" i="3" s="1"/>
  <c r="B59" i="3"/>
  <c r="B75" i="3"/>
  <c r="C55" i="7"/>
  <c r="C56" i="7" s="1"/>
  <c r="C50" i="7"/>
  <c r="C51" i="7" s="1"/>
  <c r="C40" i="8" l="1"/>
  <c r="C64" i="8" s="1"/>
  <c r="B59" i="8"/>
  <c r="B40" i="3"/>
  <c r="B64" i="3" s="1"/>
  <c r="B63" i="3"/>
  <c r="B71" i="7"/>
  <c r="B38" i="7"/>
  <c r="B50" i="7"/>
  <c r="B51" i="7" s="1"/>
  <c r="B75" i="7"/>
  <c r="B55" i="7"/>
  <c r="B56" i="7" s="1"/>
  <c r="B68" i="7"/>
  <c r="C69" i="7"/>
  <c r="B75" i="8"/>
  <c r="B55" i="8"/>
  <c r="B56" i="8" s="1"/>
  <c r="B50" i="8"/>
  <c r="B51" i="8" s="1"/>
  <c r="B71" i="8"/>
  <c r="B68" i="8"/>
  <c r="B59" i="7"/>
  <c r="B69" i="7" l="1"/>
  <c r="B69" i="8"/>
  <c r="B63" i="8"/>
  <c r="B64" i="8"/>
  <c r="B40" i="7"/>
  <c r="B64" i="7" s="1"/>
  <c r="B63" i="7"/>
</calcChain>
</file>

<file path=xl/sharedStrings.xml><?xml version="1.0" encoding="utf-8"?>
<sst xmlns="http://schemas.openxmlformats.org/spreadsheetml/2006/main" count="420" uniqueCount="120">
  <si>
    <t>Indicador</t>
  </si>
  <si>
    <t>Total Programa</t>
  </si>
  <si>
    <t>Productos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</si>
  <si>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</si>
  <si>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</si>
  <si>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</si>
  <si>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</si>
  <si>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</si>
  <si>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</si>
  <si>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</si>
  <si>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</si>
  <si>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</si>
  <si>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</si>
  <si>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</si>
  <si>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</si>
  <si>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</si>
  <si>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</si>
  <si>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</si>
  <si>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</si>
  <si>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</si>
  <si>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</si>
  <si>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De composición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</si>
  <si>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</si>
  <si>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</si>
  <si>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</si>
  <si>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</si>
  <si>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</si>
  <si>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</si>
  <si>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</si>
  <si>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</si>
  <si>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</si>
  <si>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</si>
  <si>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Beneficiarios </t>
  </si>
  <si>
    <t>Centros Diurnos</t>
  </si>
  <si>
    <t>Primer Trimestre</t>
  </si>
  <si>
    <t>Segundo Trimestre</t>
  </si>
  <si>
    <t>Tercer Trimestre</t>
  </si>
  <si>
    <t>Cuarto Trimestre</t>
  </si>
  <si>
    <t xml:space="preserve">Gasto mensual programado por beneficiario (GPB) </t>
  </si>
  <si>
    <t xml:space="preserve">Gasto mensual efectivo por beneficiario (GEB) </t>
  </si>
  <si>
    <t xml:space="preserve">Gasto trimestral programado por beneficiario (GPB) </t>
  </si>
  <si>
    <t xml:space="preserve">Gasto trimestral efectivo por beneficiario (GEB) </t>
  </si>
  <si>
    <t xml:space="preserve">Gasto anual programado por beneficiario (GPB) </t>
  </si>
  <si>
    <t xml:space="preserve">Gasto anual efectivo por beneficiario (GEB) </t>
  </si>
  <si>
    <t>Red de Cuido</t>
  </si>
  <si>
    <t>Personas de 65 años y más agredida y/o en condición de abandono</t>
  </si>
  <si>
    <t>Hogares y Albergues de larga estancia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</si>
  <si>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</si>
  <si>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</si>
  <si>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</si>
  <si>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</si>
  <si>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</si>
  <si>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</si>
  <si>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</si>
  <si>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</si>
  <si>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</si>
  <si>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</si>
  <si>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</si>
  <si>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</si>
  <si>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</si>
  <si>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</si>
  <si>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</si>
  <si>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</si>
  <si>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</si>
  <si>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</si>
  <si>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</si>
  <si>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</si>
  <si>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</si>
  <si>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</si>
  <si>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</si>
  <si>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</si>
  <si>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</si>
  <si>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</si>
  <si>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</si>
  <si>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</si>
  <si>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</si>
  <si>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</si>
  <si>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</si>
  <si>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</si>
  <si>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</si>
  <si>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</si>
  <si>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</si>
  <si>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t>Fuentes:  Informes Trimestrales CONAPAM 2023 y 2024 - Cronogramas de Metas e Inversión - Modificaciones 2024 - IPC, INEC 2023 y 2024</t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</si>
  <si>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</si>
  <si>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</si>
  <si>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</si>
  <si>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</si>
  <si>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</si>
  <si>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</si>
  <si>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</si>
  <si>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</si>
  <si>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</si>
  <si>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</si>
  <si>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</si>
  <si>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</si>
  <si>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</si>
  <si>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</si>
  <si>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</si>
  <si>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</si>
  <si>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</si>
  <si>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</si>
  <si>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</si>
  <si>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</si>
  <si>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</si>
  <si>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</si>
  <si>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</si>
  <si>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</si>
  <si>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</si>
  <si>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</si>
  <si>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</si>
  <si>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</si>
  <si>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</si>
  <si>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</si>
  <si>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</si>
  <si>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</si>
  <si>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</si>
  <si>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</si>
  <si>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</si>
  <si>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</si>
  <si>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Los indicadores se elaboraron tomando en consideración el Cronograma de Metas e Inversión Ordinario por un monto de ₡19 213 316 495, sin embargo, la Unidad ejecutora reporta que gastó ₡19 795 746 886 (₡582 430 391 más de lo realmente programado). Adicional a esto, se informa que el ingreso fue de ₡20 872 857 664 (₡1 659 541 169 más de lo realmente programado).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</si>
</sst>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____"/>
    <numFmt numFmtId="167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65" fontId="0" fillId="0" borderId="0" xfId="1" applyNumberFormat="1" applyFont="1" applyFill="1"/>
    <xf numFmtId="3" fontId="0" fillId="0" borderId="0" xfId="0" applyNumberFormat="1" applyFont="1" applyFill="1"/>
    <xf numFmtId="164" fontId="0" fillId="0" borderId="0" xfId="1" applyFont="1" applyFill="1"/>
    <xf numFmtId="0" fontId="0" fillId="0" borderId="0" xfId="0" applyFont="1" applyFill="1"/>
    <xf numFmtId="164" fontId="0" fillId="0" borderId="0" xfId="0" applyNumberFormat="1" applyFont="1" applyFill="1"/>
    <xf numFmtId="165" fontId="0" fillId="0" borderId="0" xfId="0" applyNumberFormat="1" applyFont="1" applyFill="1"/>
    <xf numFmtId="0" fontId="2" fillId="0" borderId="0" xfId="0" applyFont="1" applyFill="1"/>
    <xf numFmtId="166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/>
    </xf>
    <xf numFmtId="3" fontId="4" fillId="0" borderId="0" xfId="1" applyNumberFormat="1" applyFont="1" applyFill="1"/>
    <xf numFmtId="3" fontId="4" fillId="0" borderId="0" xfId="0" applyNumberFormat="1" applyFont="1" applyFill="1" applyAlignment="1"/>
    <xf numFmtId="0" fontId="4" fillId="0" borderId="0" xfId="0" applyFont="1" applyFill="1" applyAlignment="1"/>
    <xf numFmtId="4" fontId="4" fillId="0" borderId="0" xfId="0" applyNumberFormat="1" applyFont="1" applyFill="1" applyAlignment="1"/>
    <xf numFmtId="4" fontId="4" fillId="0" borderId="0" xfId="0" applyNumberFormat="1" applyFont="1" applyFill="1" applyAlignment="1">
      <alignment horizontal="right"/>
    </xf>
    <xf numFmtId="0" fontId="4" fillId="0" borderId="3" xfId="0" applyFont="1" applyFill="1" applyBorder="1"/>
    <xf numFmtId="4" fontId="4" fillId="0" borderId="3" xfId="0" applyNumberFormat="1" applyFont="1" applyFill="1" applyBorder="1" applyAlignment="1"/>
    <xf numFmtId="0" fontId="4" fillId="0" borderId="0" xfId="0" applyFont="1" applyFill="1" applyBorder="1"/>
    <xf numFmtId="4" fontId="4" fillId="0" borderId="0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2" fontId="4" fillId="0" borderId="0" xfId="0" applyNumberFormat="1" applyFont="1" applyFill="1" applyAlignment="1">
      <alignment horizontal="right"/>
    </xf>
    <xf numFmtId="3" fontId="4" fillId="0" borderId="0" xfId="0" applyNumberFormat="1" applyFont="1"/>
    <xf numFmtId="164" fontId="4" fillId="0" borderId="0" xfId="1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7" fontId="0" fillId="0" borderId="0" xfId="0" applyNumberFormat="1"/>
    <xf numFmtId="164" fontId="4" fillId="0" borderId="0" xfId="1" applyFont="1" applyFill="1" applyAlignment="1">
      <alignment horizontal="right"/>
    </xf>
    <xf numFmtId="0" fontId="2" fillId="0" borderId="0" xfId="0" applyFont="1"/>
    <xf numFmtId="165" fontId="1" fillId="0" borderId="0" xfId="1" applyNumberFormat="1" applyFont="1" applyFill="1"/>
    <xf numFmtId="0" fontId="1" fillId="0" borderId="0" xfId="0" applyFont="1"/>
    <xf numFmtId="4" fontId="4" fillId="0" borderId="0" xfId="0" applyNumberFormat="1" applyFont="1" applyAlignment="1">
      <alignment horizontal="right"/>
    </xf>
    <xf numFmtId="0" fontId="1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645A00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Cobertura Potencial.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Trimestre'!$A$45</c:f>
              <c:strCache>
                <c:ptCount val="1"/>
                <c:pt idx="0">
                  <c:v>Cobertura Programada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Trimestre'!$B$45</c:f>
              <c:numCache>
                <c:formatCode>#,##0.00</c:formatCode>
                <c:ptCount val="1"/>
                <c:pt idx="0">
                  <c:v>6.9888455996157344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F-4569-9C66-8332F2DBA237}"/>
            </c:ext>
          </c:extLst>
        </c:ser>
        <c:ser>
          <c:idx val="1"/>
          <c:order val="1"/>
          <c:tx>
            <c:strRef>
              <c:f>'I Trimestre'!$A$46</c:f>
              <c:strCache>
                <c:ptCount val="1"/>
                <c:pt idx="0">
                  <c:v>Cobertura Efectiva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Trimestre'!$B$46</c:f>
              <c:numCache>
                <c:formatCode>#,##0.00</c:formatCode>
                <c:ptCount val="1"/>
                <c:pt idx="0">
                  <c:v>6.2029673907242362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F-4569-9C66-8332F2DB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7121920"/>
        <c:axId val="67123456"/>
      </c:barChart>
      <c:catAx>
        <c:axId val="6712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23456"/>
        <c:crosses val="autoZero"/>
        <c:auto val="1"/>
        <c:lblAlgn val="ctr"/>
        <c:lblOffset val="100"/>
        <c:noMultiLvlLbl val="0"/>
      </c:catAx>
      <c:valAx>
        <c:axId val="6712345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7121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resultado 2024</a:t>
            </a:r>
          </a:p>
        </c:rich>
      </c:tx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700180488879753E-2"/>
          <c:y val="0.15809501067448781"/>
          <c:w val="0.91268262429345659"/>
          <c:h val="0.5699601168223864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89.429251711502474</c:v>
                </c:pt>
                <c:pt idx="1">
                  <c:v>95.05160898603522</c:v>
                </c:pt>
                <c:pt idx="2">
                  <c:v>92.696511139134103</c:v>
                </c:pt>
                <c:pt idx="3">
                  <c:v>86.34493078937524</c:v>
                </c:pt>
                <c:pt idx="4">
                  <c:v>113.11080203987018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A-4FF6-AF97-D6BDE1121E13}"/>
            </c:ext>
          </c:extLst>
        </c:ser>
        <c:ser>
          <c:idx val="0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Anual!$B$50:$F$50</c:f>
              <c:numCache>
                <c:formatCode>#,##0.00</c:formatCode>
                <c:ptCount val="5"/>
                <c:pt idx="0">
                  <c:v>103.03138914663012</c:v>
                </c:pt>
                <c:pt idx="1">
                  <c:v>98.722410482704888</c:v>
                </c:pt>
                <c:pt idx="2">
                  <c:v>99.187475540510377</c:v>
                </c:pt>
                <c:pt idx="3">
                  <c:v>128.64331026107726</c:v>
                </c:pt>
                <c:pt idx="4">
                  <c:v>73.674206321151189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A-4FF6-AF97-D6BDE1121E13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96.230320429066296</c:v>
                </c:pt>
                <c:pt idx="1">
                  <c:v>96.887009734370054</c:v>
                </c:pt>
                <c:pt idx="2">
                  <c:v>95.941993339822233</c:v>
                </c:pt>
                <c:pt idx="3">
                  <c:v>107.49412052522625</c:v>
                </c:pt>
                <c:pt idx="4">
                  <c:v>93.392504180510684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A-4FF6-AF97-D6BDE1121E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711360"/>
        <c:axId val="69712896"/>
        <c:axId val="0"/>
      </c:bar3DChart>
      <c:catAx>
        <c:axId val="6971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12896"/>
        <c:crosses val="autoZero"/>
        <c:auto val="1"/>
        <c:lblAlgn val="ctr"/>
        <c:lblOffset val="100"/>
        <c:noMultiLvlLbl val="0"/>
      </c:catAx>
      <c:valAx>
        <c:axId val="69712896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1136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1.0087508634498884E-2"/>
          <c:y val="0.92303564618018408"/>
          <c:w val="0.98991249136550108"/>
          <c:h val="7.6964353819815978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avance 2024</a:t>
            </a:r>
          </a:p>
        </c:rich>
      </c:tx>
      <c:overlay val="0"/>
    </c:title>
    <c:autoTitleDeleted val="0"/>
    <c:view3D>
      <c:rotX val="0"/>
      <c:rotY val="5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(Anual!$B$54,Anual!$C$54,Anual!$D$54,Anual!$E$54,Anual!$F$54)</c:f>
              <c:numCache>
                <c:formatCode>#,##0.00</c:formatCode>
                <c:ptCount val="5"/>
                <c:pt idx="0">
                  <c:v>89.427829038074037</c:v>
                </c:pt>
                <c:pt idx="1">
                  <c:v>95.05160898603522</c:v>
                </c:pt>
                <c:pt idx="2">
                  <c:v>92.696511139134103</c:v>
                </c:pt>
                <c:pt idx="3">
                  <c:v>86.34493078937524</c:v>
                </c:pt>
                <c:pt idx="4">
                  <c:v>113.07934742306267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19-8C2E-13788E9997FA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(Anual!$B$55,Anual!$C$55,Anual!$D$55,Anual!$E$55,Anual!$F$55)</c:f>
              <c:numCache>
                <c:formatCode>#,##0.00</c:formatCode>
                <c:ptCount val="5"/>
                <c:pt idx="0">
                  <c:v>103.03138914663012</c:v>
                </c:pt>
                <c:pt idx="1">
                  <c:v>98.722410482704888</c:v>
                </c:pt>
                <c:pt idx="2">
                  <c:v>99.187475540510377</c:v>
                </c:pt>
                <c:pt idx="3">
                  <c:v>128.64331026107726</c:v>
                </c:pt>
                <c:pt idx="4">
                  <c:v>73.674206321151189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519-8C2E-13788E9997FA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(Anual!$B$56,Anual!$C$56,Anual!$D$56,Anual!$E$56,Anual!$F$56)</c:f>
              <c:numCache>
                <c:formatCode>#,##0.00</c:formatCode>
                <c:ptCount val="5"/>
                <c:pt idx="0">
                  <c:v>96.229609092352078</c:v>
                </c:pt>
                <c:pt idx="1">
                  <c:v>96.887009734370054</c:v>
                </c:pt>
                <c:pt idx="2">
                  <c:v>95.941993339822233</c:v>
                </c:pt>
                <c:pt idx="3">
                  <c:v>107.49412052522625</c:v>
                </c:pt>
                <c:pt idx="4">
                  <c:v>93.37677687210693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E-4519-8C2E-13788E9997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767552"/>
        <c:axId val="69769088"/>
        <c:axId val="0"/>
      </c:bar3DChart>
      <c:catAx>
        <c:axId val="6976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769088"/>
        <c:crosses val="autoZero"/>
        <c:auto val="1"/>
        <c:lblAlgn val="ctr"/>
        <c:lblOffset val="100"/>
        <c:noMultiLvlLbl val="0"/>
      </c:catAx>
      <c:valAx>
        <c:axId val="69769088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67552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CONAPAM: Indicadores de expansión 2024</a:t>
            </a:r>
          </a:p>
        </c:rich>
      </c:tx>
      <c:overlay val="0"/>
    </c:title>
    <c:autoTitleDeleted val="0"/>
    <c:view3D>
      <c:rotX val="0"/>
      <c:rotY val="5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206273675791279E-2"/>
          <c:y val="0.15809491287198293"/>
          <c:w val="0.91333904024911394"/>
          <c:h val="0.5169143047327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-1.5749249306210134</c:v>
                </c:pt>
                <c:pt idx="1">
                  <c:v>-1.2043123849592496</c:v>
                </c:pt>
                <c:pt idx="2">
                  <c:v>2.898804316127146</c:v>
                </c:pt>
                <c:pt idx="3">
                  <c:v>-4.2896447226763446</c:v>
                </c:pt>
                <c:pt idx="4">
                  <c:v>24.651305369641818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CA7-9BAF-00A17EBD3470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2.3351824391217191</c:v>
                </c:pt>
                <c:pt idx="1">
                  <c:v>0.22641371103315766</c:v>
                </c:pt>
                <c:pt idx="2">
                  <c:v>5.9522125146658</c:v>
                </c:pt>
                <c:pt idx="3">
                  <c:v>30.771390396061136</c:v>
                </c:pt>
                <c:pt idx="4">
                  <c:v>-31.148167953251672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CA7-9BAF-00A17EBD3470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3.97267400302872</c:v>
                </c:pt>
                <c:pt idx="1">
                  <c:v>1.4481665450492898</c:v>
                </c:pt>
                <c:pt idx="2">
                  <c:v>2.9673893869144541</c:v>
                </c:pt>
                <c:pt idx="3">
                  <c:v>36.632436497751009</c:v>
                </c:pt>
                <c:pt idx="4">
                  <c:v>-44.76445164968419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2-4CA7-9BAF-00A17EBD34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9794816"/>
        <c:axId val="69796608"/>
        <c:axId val="0"/>
      </c:bar3DChart>
      <c:catAx>
        <c:axId val="6979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9796608"/>
        <c:crosses val="autoZero"/>
        <c:auto val="1"/>
        <c:lblAlgn val="ctr"/>
        <c:lblOffset val="100"/>
        <c:noMultiLvlLbl val="0"/>
      </c:catAx>
      <c:valAx>
        <c:axId val="69796608"/>
        <c:scaling>
          <c:orientation val="minMax"/>
          <c:max val="100"/>
          <c:min val="-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6979481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86349628013531199"/>
          <c:w val="0.99748211690374577"/>
          <c:h val="0.1365037563285971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tx1"/>
                </a:solidFill>
              </a:defRPr>
            </a:pPr>
            <a:r>
              <a:rPr lang="es-CR" sz="1800">
                <a:solidFill>
                  <a:schemeClr val="tx1"/>
                </a:solidFill>
              </a:rPr>
              <a:t>CONAPAM: Indicadores de gasto medio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anual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1222629.4719926796</c:v>
                </c:pt>
                <c:pt idx="1">
                  <c:v>2442679.1111111003</c:v>
                </c:pt>
                <c:pt idx="2">
                  <c:v>977064</c:v>
                </c:pt>
                <c:pt idx="3">
                  <c:v>665520.48907879996</c:v>
                </c:pt>
                <c:pt idx="4">
                  <c:v>6600140.9401916442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0-4836-B9D3-0FD92D20B775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anual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1408590.7071814898</c:v>
                </c:pt>
                <c:pt idx="1">
                  <c:v>2537013.0233152346</c:v>
                </c:pt>
                <c:pt idx="2">
                  <c:v>1045481.7598911688</c:v>
                </c:pt>
                <c:pt idx="3">
                  <c:v>991543.54493040929</c:v>
                </c:pt>
                <c:pt idx="4">
                  <c:v>4298971.7746405434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0-4836-B9D3-0FD92D20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54336"/>
        <c:axId val="69855872"/>
        <c:axId val="0"/>
      </c:bar3DChart>
      <c:catAx>
        <c:axId val="698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CR"/>
          </a:p>
        </c:txPr>
        <c:crossAx val="69855872"/>
        <c:crosses val="autoZero"/>
        <c:auto val="1"/>
        <c:lblAlgn val="ctr"/>
        <c:lblOffset val="100"/>
        <c:noMultiLvlLbl val="0"/>
      </c:catAx>
      <c:valAx>
        <c:axId val="69855872"/>
        <c:scaling>
          <c:orientation val="minMax"/>
          <c:max val="8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CR"/>
          </a:p>
        </c:txPr>
        <c:crossAx val="69854336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es-CR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100"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CONAPAM: Indicadores de giro de recursos 2024</a:t>
            </a:r>
          </a:p>
        </c:rich>
      </c:tx>
      <c:layout>
        <c:manualLayout>
          <c:xMode val="edge"/>
          <c:yMode val="edge"/>
          <c:x val="0.1206670665465296"/>
          <c:y val="5.0796990278326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964202479724075E-2"/>
          <c:y val="0.20437046454598601"/>
          <c:w val="0.81607159504055193"/>
          <c:h val="0.61238105796456532"/>
        </c:manualLayout>
      </c:layout>
      <c:bar3DChart>
        <c:barDir val="bar"/>
        <c:grouping val="clustered"/>
        <c:varyColors val="0"/>
        <c:ser>
          <c:idx val="1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  <a:sp3d contourW="19050"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33-4156-A079-A82643B21ACE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D33-4156-A079-A82643B21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108.63745293235124</c:v>
                </c:pt>
                <c:pt idx="1">
                  <c:v>94.839658299783579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8-41C4-844D-31FD39DE57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496264032"/>
        <c:axId val="496268296"/>
        <c:axId val="0"/>
      </c:bar3DChart>
      <c:valAx>
        <c:axId val="496268296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6264032"/>
        <c:crosses val="autoZero"/>
        <c:crossBetween val="between"/>
      </c:valAx>
      <c:catAx>
        <c:axId val="49626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6268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 rtl="0">
              <a:defRPr/>
            </a:pPr>
            <a:r>
              <a:rPr lang="en-US"/>
              <a:t>CONAPAM: Índice</a:t>
            </a:r>
            <a:r>
              <a:rPr lang="en-US" baseline="0"/>
              <a:t> </a:t>
            </a:r>
            <a:r>
              <a:rPr lang="en-US"/>
              <a:t>de eficiencia (IE)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110.86689648054831</c:v>
                </c:pt>
                <c:pt idx="1">
                  <c:v>100.6286926383704</c:v>
                </c:pt>
                <c:pt idx="2">
                  <c:v>102.6602188233157</c:v>
                </c:pt>
                <c:pt idx="3">
                  <c:v>160.15299765194675</c:v>
                </c:pt>
                <c:pt idx="4">
                  <c:v>60.830782717097044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6-4FB4-8EC2-3E09BA51BB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0147456"/>
        <c:axId val="70169728"/>
        <c:axId val="0"/>
      </c:bar3DChart>
      <c:catAx>
        <c:axId val="701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0169728"/>
        <c:crosses val="autoZero"/>
        <c:auto val="1"/>
        <c:lblAlgn val="ctr"/>
        <c:lblOffset val="100"/>
        <c:noMultiLvlLbl val="0"/>
      </c:catAx>
      <c:valAx>
        <c:axId val="7016972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0147456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Resultado.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Trimestre'!$B$49:$E$49</c:f>
              <c:numCache>
                <c:formatCode>#,##0.00</c:formatCode>
                <c:ptCount val="4"/>
                <c:pt idx="0">
                  <c:v>88.75525009545629</c:v>
                </c:pt>
                <c:pt idx="1">
                  <c:v>93.806921675774134</c:v>
                </c:pt>
                <c:pt idx="2">
                  <c:v>92.181588902900387</c:v>
                </c:pt>
                <c:pt idx="3">
                  <c:v>85.694552361219024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2-4DAA-A330-13E91251026F}"/>
            </c:ext>
          </c:extLst>
        </c:ser>
        <c:ser>
          <c:idx val="1"/>
          <c:order val="1"/>
          <c:tx>
            <c:strRef>
              <c:f>'I Trimestre'!$A$50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Trimestre'!$B$50:$E$50</c:f>
              <c:numCache>
                <c:formatCode>#,##0.00</c:formatCode>
                <c:ptCount val="4"/>
                <c:pt idx="0">
                  <c:v>62.689112739005246</c:v>
                </c:pt>
                <c:pt idx="1">
                  <c:v>84.749761266538854</c:v>
                </c:pt>
                <c:pt idx="2">
                  <c:v>78.955097211793458</c:v>
                </c:pt>
                <c:pt idx="3">
                  <c:v>90.354899982646771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2-4DAA-A330-13E91251026F}"/>
            </c:ext>
          </c:extLst>
        </c:ser>
        <c:ser>
          <c:idx val="2"/>
          <c:order val="2"/>
          <c:tx>
            <c:strRef>
              <c:f>'I Trimestre'!$A$51</c:f>
              <c:strCache>
                <c:ptCount val="1"/>
                <c:pt idx="0">
                  <c:v>Índice efectividad total (IET)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  <c:pt idx="4">
                  <c:v>Personas de 65 años y más agredida y/o en condición de abandono</c:v>
                </c:pt>
              </c:strCache>
            </c:strRef>
          </c:cat>
          <c:val>
            <c:numRef>
              <c:f>'I Trimestre'!$B$51:$E$51</c:f>
              <c:numCache>
                <c:formatCode>#,##0.00</c:formatCode>
                <c:ptCount val="4"/>
                <c:pt idx="0">
                  <c:v>75.722181417230772</c:v>
                </c:pt>
                <c:pt idx="1">
                  <c:v>89.278341471156494</c:v>
                </c:pt>
                <c:pt idx="2">
                  <c:v>85.568343057346922</c:v>
                </c:pt>
                <c:pt idx="3">
                  <c:v>88.024726171932898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2-4DAA-A330-13E91251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45088"/>
        <c:axId val="67155072"/>
      </c:barChart>
      <c:catAx>
        <c:axId val="67145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55072"/>
        <c:crosses val="autoZero"/>
        <c:auto val="1"/>
        <c:lblAlgn val="ctr"/>
        <c:lblOffset val="100"/>
        <c:noMultiLvlLbl val="0"/>
      </c:catAx>
      <c:valAx>
        <c:axId val="6715507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45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Avance.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Trimestre'!$B$54:$E$54</c:f>
              <c:numCache>
                <c:formatCode>#,##0.00</c:formatCode>
                <c:ptCount val="4"/>
                <c:pt idx="0">
                  <c:v>88.749602290804958</c:v>
                </c:pt>
                <c:pt idx="1">
                  <c:v>93.806921675774134</c:v>
                </c:pt>
                <c:pt idx="2">
                  <c:v>92.181588902900387</c:v>
                </c:pt>
                <c:pt idx="3">
                  <c:v>85.694552361219024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D-49D9-A989-C32CBE448BB4}"/>
            </c:ext>
          </c:extLst>
        </c:ser>
        <c:ser>
          <c:idx val="1"/>
          <c:order val="1"/>
          <c:tx>
            <c:strRef>
              <c:f>'I Trimestre'!$A$55</c:f>
              <c:strCache>
                <c:ptCount val="1"/>
                <c:pt idx="0">
                  <c:v>Índice avance gasto (IAG)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Trimestre'!$B$55:$E$55</c:f>
              <c:numCache>
                <c:formatCode>#,##0.00</c:formatCode>
                <c:ptCount val="4"/>
                <c:pt idx="0">
                  <c:v>15.668127512154822</c:v>
                </c:pt>
                <c:pt idx="1">
                  <c:v>21.187378635900096</c:v>
                </c:pt>
                <c:pt idx="2">
                  <c:v>19.738774302948364</c:v>
                </c:pt>
                <c:pt idx="3">
                  <c:v>22.588724687514127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D-49D9-A989-C32CBE448BB4}"/>
            </c:ext>
          </c:extLst>
        </c:ser>
        <c:ser>
          <c:idx val="2"/>
          <c:order val="2"/>
          <c:tx>
            <c:strRef>
              <c:f>'I Trimestre'!$A$56</c:f>
              <c:strCache>
                <c:ptCount val="1"/>
                <c:pt idx="0">
                  <c:v>Índice avance total (IAT)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Trimestre'!$B$56:$E$56</c:f>
              <c:numCache>
                <c:formatCode>#,##0.00</c:formatCode>
                <c:ptCount val="4"/>
                <c:pt idx="0">
                  <c:v>52.208864901479892</c:v>
                </c:pt>
                <c:pt idx="1">
                  <c:v>57.497150155837119</c:v>
                </c:pt>
                <c:pt idx="2">
                  <c:v>55.960181602924379</c:v>
                </c:pt>
                <c:pt idx="3">
                  <c:v>54.141638524366577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D-49D9-A989-C32CBE44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72608"/>
        <c:axId val="67174400"/>
      </c:barChart>
      <c:catAx>
        <c:axId val="67172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74400"/>
        <c:crosses val="autoZero"/>
        <c:auto val="1"/>
        <c:lblAlgn val="ctr"/>
        <c:lblOffset val="100"/>
        <c:noMultiLvlLbl val="0"/>
      </c:catAx>
      <c:valAx>
        <c:axId val="6717440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172608"/>
        <c:crosses val="autoZero"/>
        <c:crossBetween val="between"/>
        <c:majorUnit val="25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Expansión. Primer Trimestre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Trimestre'!$B$62:$E$62</c:f>
              <c:numCache>
                <c:formatCode>#,##0.00</c:formatCode>
                <c:ptCount val="4"/>
                <c:pt idx="0">
                  <c:v>0.30806113275396729</c:v>
                </c:pt>
                <c:pt idx="1">
                  <c:v>-1.8839966130398067</c:v>
                </c:pt>
                <c:pt idx="2">
                  <c:v>4.3043995243757349</c:v>
                </c:pt>
                <c:pt idx="3">
                  <c:v>-3.7587666849810852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B-4200-9F79-32B78E51CEE8}"/>
            </c:ext>
          </c:extLst>
        </c:ser>
        <c:ser>
          <c:idx val="1"/>
          <c:order val="1"/>
          <c:tx>
            <c:strRef>
              <c:f>'I Trimestre'!$A$63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Trimestre'!$B$63:$E$63</c:f>
              <c:numCache>
                <c:formatCode>#,##0.00</c:formatCode>
                <c:ptCount val="4"/>
                <c:pt idx="0">
                  <c:v>-19.932946126275798</c:v>
                </c:pt>
                <c:pt idx="1">
                  <c:v>-9.5687001152546358</c:v>
                </c:pt>
                <c:pt idx="2">
                  <c:v>-8.8589657658036955</c:v>
                </c:pt>
                <c:pt idx="3">
                  <c:v>-4.3732071454566483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B-4200-9F79-32B78E51CEE8}"/>
            </c:ext>
          </c:extLst>
        </c:ser>
        <c:ser>
          <c:idx val="2"/>
          <c:order val="2"/>
          <c:tx>
            <c:strRef>
              <c:f>'I Trimestre'!$A$64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Trimestre'!$B$64:$E$64</c:f>
              <c:numCache>
                <c:formatCode>#,##0.00</c:formatCode>
                <c:ptCount val="4"/>
                <c:pt idx="0">
                  <c:v>-20.178844083369874</c:v>
                </c:pt>
                <c:pt idx="1">
                  <c:v>-7.8322630732390213</c:v>
                </c:pt>
                <c:pt idx="2">
                  <c:v>-12.620143877155609</c:v>
                </c:pt>
                <c:pt idx="3">
                  <c:v>-0.63843784967341222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2B-4200-9F79-32B78E51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61984"/>
        <c:axId val="67963520"/>
      </c:barChart>
      <c:catAx>
        <c:axId val="6796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63520"/>
        <c:crosses val="autoZero"/>
        <c:auto val="1"/>
        <c:lblAlgn val="ctr"/>
        <c:lblOffset val="100"/>
        <c:noMultiLvlLbl val="0"/>
      </c:catAx>
      <c:valAx>
        <c:axId val="6796352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61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Gasto Medio. Primer Trimestre 2013.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Trimestre'!$A$67</c:f>
              <c:strCache>
                <c:ptCount val="1"/>
                <c:pt idx="0">
                  <c:v>Gasto mensual programado por beneficiario (GPB)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Trimestre'!$B$67:$E$67</c:f>
              <c:numCache>
                <c:formatCode>#,##0.00</c:formatCode>
                <c:ptCount val="4"/>
                <c:pt idx="0">
                  <c:v>101863.66725976836</c:v>
                </c:pt>
                <c:pt idx="1">
                  <c:v>203556</c:v>
                </c:pt>
                <c:pt idx="2">
                  <c:v>81422</c:v>
                </c:pt>
                <c:pt idx="3">
                  <c:v>55460.04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E2C-B38E-C47D1C62D3CC}"/>
            </c:ext>
          </c:extLst>
        </c:ser>
        <c:ser>
          <c:idx val="1"/>
          <c:order val="1"/>
          <c:tx>
            <c:strRef>
              <c:f>'I Trimestre'!$A$68</c:f>
              <c:strCache>
                <c:ptCount val="1"/>
                <c:pt idx="0">
                  <c:v>Gasto mensual efectivo por beneficiario (GEB)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Trimestre'!$B$68:$E$68</c:f>
              <c:numCache>
                <c:formatCode>#,##0.00</c:formatCode>
                <c:ptCount val="4"/>
                <c:pt idx="0">
                  <c:v>71947.776768002674</c:v>
                </c:pt>
                <c:pt idx="1">
                  <c:v>183902.44660194175</c:v>
                </c:pt>
                <c:pt idx="2">
                  <c:v>69739.326493388056</c:v>
                </c:pt>
                <c:pt idx="3">
                  <c:v>58476.13680401638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E2C-B38E-C47D1C62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88480"/>
        <c:axId val="68006656"/>
      </c:barChart>
      <c:catAx>
        <c:axId val="6798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006656"/>
        <c:crosses val="autoZero"/>
        <c:auto val="1"/>
        <c:lblAlgn val="ctr"/>
        <c:lblOffset val="100"/>
        <c:noMultiLvlLbl val="0"/>
      </c:catAx>
      <c:valAx>
        <c:axId val="6800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CR"/>
                  <a:t>Colones Corrientes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7988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>
              <a:defRPr lang="es-ES"/>
            </a:pPr>
            <a:endParaRPr lang="es-CR"/>
          </a:p>
        </c:txPr>
      </c:dTable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CONAPAM: Índice de eficiencia. Primer Trimestre 2013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Trimestre'!$A$69</c:f>
              <c:strCache>
                <c:ptCount val="1"/>
                <c:pt idx="0">
                  <c:v>Índice de eficiencia (IE) </c:v>
                </c:pt>
              </c:strCache>
            </c:strRef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Trimestre'!$B$69:$E$69</c:f>
              <c:numCache>
                <c:formatCode>#,##0.00</c:formatCode>
                <c:ptCount val="4"/>
                <c:pt idx="0">
                  <c:v>53.483668432040197</c:v>
                </c:pt>
                <c:pt idx="1">
                  <c:v>80.658420410645121</c:v>
                </c:pt>
                <c:pt idx="2">
                  <c:v>73.29073977517811</c:v>
                </c:pt>
                <c:pt idx="3">
                  <c:v>92.811796200760568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7-47D9-900E-F12FF1B48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02400"/>
        <c:axId val="68108288"/>
      </c:barChart>
      <c:catAx>
        <c:axId val="6810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08288"/>
        <c:crosses val="autoZero"/>
        <c:auto val="1"/>
        <c:lblAlgn val="ctr"/>
        <c:lblOffset val="100"/>
        <c:noMultiLvlLbl val="0"/>
      </c:catAx>
      <c:valAx>
        <c:axId val="68108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0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CR" sz="1400"/>
              <a:t>CONAPAM: Indicadores de Giro de Recursos. Primer Trimestre 2013.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Trimestre'!$A$74</c:f>
              <c:strCache>
                <c:ptCount val="1"/>
                <c:pt idx="0">
                  <c:v>Índice de giro efectivo (IGE)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Trimestre'!$B$74</c:f>
              <c:numCache>
                <c:formatCode>#,##0.00</c:formatCode>
                <c:ptCount val="1"/>
                <c:pt idx="0">
                  <c:v>100.026491179415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F-4EE6-B87A-86564D003E99}"/>
            </c:ext>
          </c:extLst>
        </c:ser>
        <c:ser>
          <c:idx val="1"/>
          <c:order val="1"/>
          <c:tx>
            <c:strRef>
              <c:f>'I Trimestre'!$A$75</c:f>
              <c:strCache>
                <c:ptCount val="1"/>
                <c:pt idx="0">
                  <c:v>Índice de uso de recursos (IUR) </c:v>
                </c:pt>
              </c:strCache>
            </c:strRef>
          </c:tx>
          <c:invertIfNegative val="0"/>
          <c:cat>
            <c:strRef>
              <c:f>'I Trimestre'!$B$9:$B$10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'I Trimestre'!$B$75</c:f>
              <c:numCache>
                <c:formatCode>#,##0.00</c:formatCode>
                <c:ptCount val="1"/>
                <c:pt idx="0">
                  <c:v>62.672510051923503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F-4EE6-B87A-86564D00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8144512"/>
        <c:axId val="68179072"/>
      </c:barChart>
      <c:catAx>
        <c:axId val="6814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179072"/>
        <c:crosses val="autoZero"/>
        <c:auto val="1"/>
        <c:lblAlgn val="ctr"/>
        <c:lblOffset val="100"/>
        <c:noMultiLvlLbl val="0"/>
      </c:catAx>
      <c:valAx>
        <c:axId val="6817907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8144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CONAPAM: Gasto trimestral efectivo por beneficiario</a:t>
            </a:r>
          </a:p>
        </c:rich>
      </c:tx>
      <c:layout>
        <c:manualLayout>
          <c:xMode val="edge"/>
          <c:yMode val="edge"/>
          <c:x val="0.11881255468066491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 Trimestre'!$B$71:$E$71</c:f>
              <c:numCache>
                <c:formatCode>#,##0.00</c:formatCode>
                <c:ptCount val="4"/>
                <c:pt idx="0">
                  <c:v>215843.33030400804</c:v>
                </c:pt>
                <c:pt idx="1">
                  <c:v>551707.33980582526</c:v>
                </c:pt>
                <c:pt idx="2">
                  <c:v>209217.97948016415</c:v>
                </c:pt>
                <c:pt idx="3">
                  <c:v>175428.41041204915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9-44B0-B4A6-FC2B2F34C024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'II Trimestre'!$B$71:$E$71</c:f>
              <c:numCache>
                <c:formatCode>#,##0.00</c:formatCode>
                <c:ptCount val="4"/>
                <c:pt idx="0">
                  <c:v>269476.55397408543</c:v>
                </c:pt>
                <c:pt idx="1">
                  <c:v>610412.60661049897</c:v>
                </c:pt>
                <c:pt idx="2">
                  <c:v>242452.93787575149</c:v>
                </c:pt>
                <c:pt idx="3">
                  <c:v>179755.31588524758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9-44B0-B4A6-FC2B2F34C024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'III Trimestre'!$B$71:$E$71</c:f>
              <c:numCache>
                <c:formatCode>#,##0.00</c:formatCode>
                <c:ptCount val="4"/>
                <c:pt idx="0">
                  <c:v>321070.6145014767</c:v>
                </c:pt>
                <c:pt idx="1">
                  <c:v>610668</c:v>
                </c:pt>
                <c:pt idx="2">
                  <c:v>244265.99999999997</c:v>
                </c:pt>
                <c:pt idx="3">
                  <c:v>179302.89312651331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9-44B0-B4A6-FC2B2F34C024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Trimestre'!$B$9:$B$10,'I Trimestre'!$C$10,'I Trimestre'!$D$10,'I Trimestre'!$E$10)</c:f>
              <c:strCache>
                <c:ptCount val="4"/>
                <c:pt idx="0">
                  <c:v>Total Programa</c:v>
                </c:pt>
                <c:pt idx="1">
                  <c:v>Hogares y Albergues de larga estancia</c:v>
                </c:pt>
                <c:pt idx="2">
                  <c:v>Centros Diurnos</c:v>
                </c:pt>
                <c:pt idx="3">
                  <c:v>Red de Cuido</c:v>
                </c:pt>
              </c:strCache>
            </c:strRef>
          </c:cat>
          <c:val>
            <c:numRef>
              <c:f>'IV Trimestre'!$B$71:$E$71</c:f>
              <c:numCache>
                <c:formatCode>#,##0.00</c:formatCode>
                <c:ptCount val="4"/>
                <c:pt idx="0">
                  <c:v>596195.78308429068</c:v>
                </c:pt>
                <c:pt idx="1">
                  <c:v>761506.23670380504</c:v>
                </c:pt>
                <c:pt idx="2">
                  <c:v>351560.51747280726</c:v>
                </c:pt>
                <c:pt idx="3">
                  <c:v>450285.00159116776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9-44B0-B4A6-FC2B2F34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8209664"/>
        <c:axId val="68358912"/>
      </c:barChart>
      <c:catAx>
        <c:axId val="6820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CR"/>
          </a:p>
        </c:txPr>
        <c:crossAx val="68358912"/>
        <c:crosses val="autoZero"/>
        <c:auto val="1"/>
        <c:lblAlgn val="ctr"/>
        <c:lblOffset val="100"/>
        <c:noMultiLvlLbl val="0"/>
      </c:catAx>
      <c:valAx>
        <c:axId val="68358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/>
            </a:pPr>
            <a:endParaRPr lang="es-CR"/>
          </a:p>
        </c:txPr>
        <c:crossAx val="6820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CONAPAM: Indicadores de cobertura</a:t>
            </a:r>
            <a:r>
              <a:rPr lang="es-CR" sz="1800" b="1" baseline="0"/>
              <a:t> </a:t>
            </a:r>
            <a:r>
              <a:rPr lang="es-CR" sz="1800" b="1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  <a:sp3d contourW="19050"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8B-4402-A59F-90F17F4912FE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B8B-4402-A59F-90F17F4912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Anual!$A$45:$A$46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Anual!$B$45:$B$46</c:f>
              <c:numCache>
                <c:formatCode>#,##0.00</c:formatCode>
                <c:ptCount val="2"/>
                <c:pt idx="0">
                  <c:v>6.9891791642205252</c:v>
                </c:pt>
                <c:pt idx="1">
                  <c:v>6.2503706273386586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A-4EBE-BAA0-BA2EA64002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493272696"/>
        <c:axId val="493266464"/>
        <c:axId val="0"/>
      </c:bar3DChart>
      <c:valAx>
        <c:axId val="493266464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3272696"/>
        <c:crosses val="autoZero"/>
        <c:crossBetween val="between"/>
        <c:majorUnit val="5"/>
      </c:valAx>
      <c:catAx>
        <c:axId val="493272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26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186</xdr:row>
      <xdr:rowOff>171450</xdr:rowOff>
    </xdr:from>
    <xdr:to>
      <xdr:col>2</xdr:col>
      <xdr:colOff>123825</xdr:colOff>
      <xdr:row>201</xdr:row>
      <xdr:rowOff>57150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201</xdr:row>
      <xdr:rowOff>152400</xdr:rowOff>
    </xdr:from>
    <xdr:to>
      <xdr:col>2</xdr:col>
      <xdr:colOff>95250</xdr:colOff>
      <xdr:row>216</xdr:row>
      <xdr:rowOff>38100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217</xdr:row>
      <xdr:rowOff>19050</xdr:rowOff>
    </xdr:from>
    <xdr:to>
      <xdr:col>2</xdr:col>
      <xdr:colOff>38100</xdr:colOff>
      <xdr:row>231</xdr:row>
      <xdr:rowOff>95250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232</xdr:row>
      <xdr:rowOff>47625</xdr:rowOff>
    </xdr:from>
    <xdr:to>
      <xdr:col>2</xdr:col>
      <xdr:colOff>85725</xdr:colOff>
      <xdr:row>246</xdr:row>
      <xdr:rowOff>123825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161925</xdr:colOff>
      <xdr:row>247</xdr:row>
      <xdr:rowOff>57150</xdr:rowOff>
    </xdr:from>
    <xdr:to>
      <xdr:col>2</xdr:col>
      <xdr:colOff>95250</xdr:colOff>
      <xdr:row>261</xdr:row>
      <xdr:rowOff>133350</xdr:rowOff>
    </xdr:to>
    <xdr:graphicFrame macro="">
      <xdr:nvGraphicFramePr>
        <xdr:cNvPr id="24" name="23 Gráfic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262</xdr:row>
      <xdr:rowOff>28575</xdr:rowOff>
    </xdr:from>
    <xdr:to>
      <xdr:col>2</xdr:col>
      <xdr:colOff>85725</xdr:colOff>
      <xdr:row>276</xdr:row>
      <xdr:rowOff>104775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277</xdr:row>
      <xdr:rowOff>28575</xdr:rowOff>
    </xdr:from>
    <xdr:to>
      <xdr:col>2</xdr:col>
      <xdr:colOff>66675</xdr:colOff>
      <xdr:row>291</xdr:row>
      <xdr:rowOff>104775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638175</xdr:colOff>
      <xdr:row>179</xdr:row>
      <xdr:rowOff>19050</xdr:rowOff>
    </xdr:from>
    <xdr:to>
      <xdr:col>15</xdr:col>
      <xdr:colOff>638175</xdr:colOff>
      <xdr:row>193</xdr:row>
      <xdr:rowOff>95250</xdr:rowOff>
    </xdr:to>
    <xdr:graphicFrame macro="">
      <xdr:nvGraphicFramePr>
        <xdr:cNvPr id="29" name="28 Gráfic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08089A0-C7EF-4A7F-B5DA-6D4465E064EF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D1B9C58-3D18-4D9B-8E42-75160A38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227C842-3747-45F5-B613-D3F116C22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77A386D8-7214-4029-9E01-AC6336502C6D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428626</xdr:colOff>
      <xdr:row>6</xdr:row>
      <xdr:rowOff>59529</xdr:rowOff>
    </xdr:from>
    <xdr:to>
      <xdr:col>5</xdr:col>
      <xdr:colOff>1178718</xdr:colOff>
      <xdr:row>7</xdr:row>
      <xdr:rowOff>166684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2665B8EB-4BA9-451F-9641-A4256BC2207B}"/>
            </a:ext>
          </a:extLst>
        </xdr:cNvPr>
        <xdr:cNvSpPr txBox="1"/>
      </xdr:nvSpPr>
      <xdr:spPr>
        <a:xfrm>
          <a:off x="428626" y="1202529"/>
          <a:ext cx="104941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688E174-6EAA-42CD-AB60-79C50AC7B746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2784EB6-A21C-4F9B-913F-048E2899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CD770A5-CDEF-4B77-A5E6-861BA56AA9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F7B8C375-6EA4-456A-BC3C-5A049C4DEBAE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428626</xdr:colOff>
      <xdr:row>6</xdr:row>
      <xdr:rowOff>59529</xdr:rowOff>
    </xdr:from>
    <xdr:to>
      <xdr:col>5</xdr:col>
      <xdr:colOff>1178718</xdr:colOff>
      <xdr:row>7</xdr:row>
      <xdr:rowOff>166684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7C2BF628-93EF-4906-8E9A-ACB58FDD32F9}"/>
            </a:ext>
          </a:extLst>
        </xdr:cNvPr>
        <xdr:cNvSpPr txBox="1"/>
      </xdr:nvSpPr>
      <xdr:spPr>
        <a:xfrm>
          <a:off x="428626" y="1202529"/>
          <a:ext cx="104941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31-07-2024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2C2A05D-F688-4656-9EEB-970849B092AC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118865D-6A07-469C-9926-DF51E3EA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CE273C6-9313-4A1B-B77F-C079CD6B08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3D55E91-F359-43E9-B2AE-C9991747D28C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428626</xdr:colOff>
      <xdr:row>6</xdr:row>
      <xdr:rowOff>59529</xdr:rowOff>
    </xdr:from>
    <xdr:to>
      <xdr:col>5</xdr:col>
      <xdr:colOff>1178718</xdr:colOff>
      <xdr:row>7</xdr:row>
      <xdr:rowOff>166684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D0165B1-2475-4EB4-9852-12A58D8D671D}"/>
            </a:ext>
          </a:extLst>
        </xdr:cNvPr>
        <xdr:cNvSpPr txBox="1"/>
      </xdr:nvSpPr>
      <xdr:spPr>
        <a:xfrm>
          <a:off x="428626" y="1202529"/>
          <a:ext cx="104941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31-07-2024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DCC53DD-6454-4040-BA3E-5E75EE40D4DC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521EA38-08E6-4A0F-8638-512C213CC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410EDC-BAE6-49F0-A7C0-BDFCAEF4E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E899FB95-B103-4E22-8FB1-EE1A2F40BDF8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392908</xdr:colOff>
      <xdr:row>6</xdr:row>
      <xdr:rowOff>59530</xdr:rowOff>
    </xdr:from>
    <xdr:to>
      <xdr:col>5</xdr:col>
      <xdr:colOff>1143000</xdr:colOff>
      <xdr:row>7</xdr:row>
      <xdr:rowOff>166685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6D4097B-64FD-4AD3-BEB0-8B94813A3051}"/>
            </a:ext>
          </a:extLst>
        </xdr:cNvPr>
        <xdr:cNvSpPr txBox="1"/>
      </xdr:nvSpPr>
      <xdr:spPr>
        <a:xfrm>
          <a:off x="392908" y="1202530"/>
          <a:ext cx="104941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25-11-2024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85E4F6B-DF81-49C7-BC16-EA4D36D6CC26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68233B0-935F-4E52-B168-0A71A949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0E955A3-04AA-4F8E-980E-70E21C32D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272F1EB-C9AE-4ADD-B880-8A8AEDC4548E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23814</xdr:colOff>
      <xdr:row>6</xdr:row>
      <xdr:rowOff>47624</xdr:rowOff>
    </xdr:from>
    <xdr:to>
      <xdr:col>5</xdr:col>
      <xdr:colOff>1309688</xdr:colOff>
      <xdr:row>7</xdr:row>
      <xdr:rowOff>154779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768798F-6A7D-4230-8063-4F2332F73599}"/>
            </a:ext>
          </a:extLst>
        </xdr:cNvPr>
        <xdr:cNvSpPr txBox="1"/>
      </xdr:nvSpPr>
      <xdr:spPr>
        <a:xfrm>
          <a:off x="23814" y="1190624"/>
          <a:ext cx="11029949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25-11-2024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E2A30BF-98A1-43C0-AFF5-E5EFE7349BD7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5343324-FF41-406C-A017-BBD77B8F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A59BFA7-F3F4-4324-95F9-5156399C8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56F20A65-7E2B-4D08-9394-C569C435EC4D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309564</xdr:colOff>
      <xdr:row>6</xdr:row>
      <xdr:rowOff>71438</xdr:rowOff>
    </xdr:from>
    <xdr:to>
      <xdr:col>5</xdr:col>
      <xdr:colOff>1202531</xdr:colOff>
      <xdr:row>7</xdr:row>
      <xdr:rowOff>178593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09564" y="1214438"/>
          <a:ext cx="1064418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7408</xdr:colOff>
      <xdr:row>11</xdr:row>
      <xdr:rowOff>16404</xdr:rowOff>
    </xdr:from>
    <xdr:to>
      <xdr:col>16</xdr:col>
      <xdr:colOff>214312</xdr:colOff>
      <xdr:row>30</xdr:row>
      <xdr:rowOff>-1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395548</xdr:colOff>
      <xdr:row>11</xdr:row>
      <xdr:rowOff>23813</xdr:rowOff>
    </xdr:from>
    <xdr:to>
      <xdr:col>28</xdr:col>
      <xdr:colOff>31750</xdr:colOff>
      <xdr:row>30</xdr:row>
      <xdr:rowOff>79375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756706</xdr:colOff>
      <xdr:row>30</xdr:row>
      <xdr:rowOff>202404</xdr:rowOff>
    </xdr:from>
    <xdr:to>
      <xdr:col>17</xdr:col>
      <xdr:colOff>460375</xdr:colOff>
      <xdr:row>49</xdr:row>
      <xdr:rowOff>142874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306912</xdr:colOff>
      <xdr:row>50</xdr:row>
      <xdr:rowOff>124615</xdr:rowOff>
    </xdr:from>
    <xdr:to>
      <xdr:col>28</xdr:col>
      <xdr:colOff>635000</xdr:colOff>
      <xdr:row>68</xdr:row>
      <xdr:rowOff>76200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422008</xdr:colOff>
      <xdr:row>70</xdr:row>
      <xdr:rowOff>118001</xdr:rowOff>
    </xdr:from>
    <xdr:to>
      <xdr:col>25</xdr:col>
      <xdr:colOff>63499</xdr:colOff>
      <xdr:row>92</xdr:row>
      <xdr:rowOff>171450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759356</xdr:colOff>
      <xdr:row>50</xdr:row>
      <xdr:rowOff>71700</xdr:rowOff>
    </xdr:from>
    <xdr:to>
      <xdr:col>16</xdr:col>
      <xdr:colOff>71438</xdr:colOff>
      <xdr:row>68</xdr:row>
      <xdr:rowOff>114300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570176</xdr:colOff>
      <xdr:row>31</xdr:row>
      <xdr:rowOff>5555</xdr:rowOff>
    </xdr:from>
    <xdr:to>
      <xdr:col>28</xdr:col>
      <xdr:colOff>79375</xdr:colOff>
      <xdr:row>49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6</xdr:col>
      <xdr:colOff>1</xdr:colOff>
      <xdr:row>5</xdr:row>
      <xdr:rowOff>178592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778F1EB-4D0B-495D-B454-5E527E587A43}"/>
            </a:ext>
          </a:extLst>
        </xdr:cNvPr>
        <xdr:cNvSpPr/>
      </xdr:nvSpPr>
      <xdr:spPr>
        <a:xfrm>
          <a:off x="1" y="0"/>
          <a:ext cx="11134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40B11DC-9A20-4D5F-8876-6977031A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154782</xdr:colOff>
      <xdr:row>4</xdr:row>
      <xdr:rowOff>154781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7F633CC-771D-4DDC-9A7A-45493053C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1</xdr:rowOff>
    </xdr:from>
    <xdr:to>
      <xdr:col>6</xdr:col>
      <xdr:colOff>1</xdr:colOff>
      <xdr:row>7</xdr:row>
      <xdr:rowOff>214312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AA6CECA6-0720-4013-A8A0-A4AB804C8E53}"/>
            </a:ext>
          </a:extLst>
        </xdr:cNvPr>
        <xdr:cNvSpPr/>
      </xdr:nvSpPr>
      <xdr:spPr>
        <a:xfrm>
          <a:off x="1" y="1143001"/>
          <a:ext cx="1113472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678658</xdr:colOff>
      <xdr:row>6</xdr:row>
      <xdr:rowOff>35719</xdr:rowOff>
    </xdr:from>
    <xdr:to>
      <xdr:col>5</xdr:col>
      <xdr:colOff>1154906</xdr:colOff>
      <xdr:row>7</xdr:row>
      <xdr:rowOff>142874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678658" y="1178719"/>
          <a:ext cx="1022746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Nacional de la Persona Adulta Mayor    Programa Construyendo Lazos de Solidaridad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1"/>
  <sheetViews>
    <sheetView showGridLines="0" tabSelected="1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1.44140625" style="4"/>
    <col min="8" max="8" width="13.109375" style="4" bestFit="1" customWidth="1"/>
    <col min="9" max="16384" width="11.44140625" style="4"/>
  </cols>
  <sheetData>
    <row r="1" spans="1:6" s="40" customFormat="1" x14ac:dyDescent="0.3"/>
    <row r="2" spans="1:6" s="40" customFormat="1" x14ac:dyDescent="0.3"/>
    <row r="3" spans="1:6" s="40" customFormat="1" x14ac:dyDescent="0.3"/>
    <row r="4" spans="1:6" s="40" customFormat="1" x14ac:dyDescent="0.3"/>
    <row r="5" spans="1:6" s="40" customFormat="1" x14ac:dyDescent="0.3"/>
    <row r="6" spans="1:6" s="40" customFormat="1" x14ac:dyDescent="0.3"/>
    <row r="7" spans="1:6" s="40" customFormat="1" x14ac:dyDescent="0.3"/>
    <row r="8" spans="1:6" s="40" customFormat="1" ht="18" customHeight="1" x14ac:dyDescent="0.3"/>
    <row r="9" spans="1:6" s="41" customFormat="1" ht="15.6" x14ac:dyDescent="0.35">
      <c r="A9" s="44" t="s">
        <v>0</v>
      </c>
      <c r="B9" s="46" t="s">
        <v>1</v>
      </c>
      <c r="C9" s="48" t="s">
        <v>2</v>
      </c>
      <c r="D9" s="48"/>
      <c r="E9" s="48"/>
      <c r="F9" s="48"/>
    </row>
    <row r="10" spans="1:6" s="41" customFormat="1" ht="66" customHeight="1" thickBot="1" x14ac:dyDescent="0.35">
      <c r="A10" s="45"/>
      <c r="B10" s="47"/>
      <c r="C10" s="31" t="s">
        <v>46</v>
      </c>
      <c r="D10" s="31" t="s">
        <v>33</v>
      </c>
      <c r="E10" s="31" t="s">
        <v>44</v>
      </c>
      <c r="F10" s="31" t="s">
        <v>45</v>
      </c>
    </row>
    <row r="11" spans="1:6" s="41" customFormat="1" ht="16.2" thickTop="1" x14ac:dyDescent="0.35">
      <c r="A11" s="32"/>
      <c r="B11" s="32"/>
      <c r="C11" s="32"/>
      <c r="D11" s="32"/>
      <c r="E11" s="32"/>
      <c r="F11" s="32"/>
    </row>
    <row r="12" spans="1:6" s="41" customFormat="1" ht="15.6" x14ac:dyDescent="0.35">
      <c r="A12" s="33" t="s">
        <v>3</v>
      </c>
      <c r="B12" s="32"/>
      <c r="C12" s="32"/>
      <c r="D12" s="32"/>
      <c r="E12" s="32"/>
      <c r="F12" s="32"/>
    </row>
    <row r="13" spans="1:6" s="41" customFormat="1" ht="15.6" x14ac:dyDescent="0.35">
      <c r="A13" s="32"/>
      <c r="B13" s="32"/>
      <c r="C13" s="32"/>
      <c r="D13" s="32"/>
      <c r="E13" s="32"/>
      <c r="F13" s="32"/>
    </row>
    <row r="14" spans="1:6" s="41" customFormat="1" ht="15.6" x14ac:dyDescent="0.35">
      <c r="A14" s="33" t="s">
        <v>32</v>
      </c>
      <c r="B14" s="32"/>
      <c r="C14" s="28"/>
      <c r="D14" s="32"/>
      <c r="E14" s="32"/>
      <c r="F14" s="32"/>
    </row>
    <row r="15" spans="1:6" ht="15.6" x14ac:dyDescent="0.35">
      <c r="A15" s="34" t="s">
        <v>47</v>
      </c>
      <c r="B15" s="11">
        <f>SUM(C15:F15)</f>
        <v>13904.166666666668</v>
      </c>
      <c r="C15" s="28">
        <v>1574.6666666666667</v>
      </c>
      <c r="D15" s="28">
        <v>1401.6666666666667</v>
      </c>
      <c r="E15" s="28">
        <v>10313.666666666666</v>
      </c>
      <c r="F15" s="28">
        <v>614.16666666666697</v>
      </c>
    </row>
    <row r="16" spans="1:6" ht="15.6" x14ac:dyDescent="0.35">
      <c r="A16" s="34" t="s">
        <v>75</v>
      </c>
      <c r="B16" s="11">
        <f>SUM(C16:F16)</f>
        <v>15714</v>
      </c>
      <c r="C16" s="28">
        <v>1647</v>
      </c>
      <c r="D16" s="28">
        <v>1586</v>
      </c>
      <c r="E16" s="28">
        <v>11583</v>
      </c>
      <c r="F16" s="28">
        <v>898</v>
      </c>
    </row>
    <row r="17" spans="1:8" ht="15.6" x14ac:dyDescent="0.35">
      <c r="A17" s="34" t="s">
        <v>76</v>
      </c>
      <c r="B17" s="11">
        <f>SUM(C17:F17)</f>
        <v>13947</v>
      </c>
      <c r="C17" s="28">
        <v>1545</v>
      </c>
      <c r="D17" s="28">
        <v>1462</v>
      </c>
      <c r="E17" s="28">
        <v>9926</v>
      </c>
      <c r="F17" s="28">
        <v>1014</v>
      </c>
    </row>
    <row r="18" spans="1:8" ht="15.6" x14ac:dyDescent="0.35">
      <c r="A18" s="34" t="s">
        <v>77</v>
      </c>
      <c r="B18" s="11">
        <f>SUM(C18:F18)</f>
        <v>15715</v>
      </c>
      <c r="C18" s="28">
        <v>1647</v>
      </c>
      <c r="D18" s="28">
        <v>1586</v>
      </c>
      <c r="E18" s="28">
        <v>11583</v>
      </c>
      <c r="F18" s="28">
        <v>899</v>
      </c>
    </row>
    <row r="19" spans="1:8" ht="15.6" x14ac:dyDescent="0.35">
      <c r="A19" s="32"/>
      <c r="B19" s="11"/>
      <c r="C19" s="28"/>
      <c r="D19" s="28"/>
      <c r="E19" s="28"/>
      <c r="F19" s="28"/>
    </row>
    <row r="20" spans="1:8" ht="15.6" x14ac:dyDescent="0.35">
      <c r="A20" s="35" t="s">
        <v>4</v>
      </c>
      <c r="B20" s="11"/>
      <c r="C20" s="28"/>
      <c r="D20" s="28"/>
      <c r="E20" s="28"/>
      <c r="F20" s="28"/>
    </row>
    <row r="21" spans="1:8" ht="15.6" x14ac:dyDescent="0.35">
      <c r="A21" s="34" t="s">
        <v>47</v>
      </c>
      <c r="B21" s="11">
        <f>SUM(C21:F21)</f>
        <v>3804952546.2399998</v>
      </c>
      <c r="C21" s="28">
        <v>953898424</v>
      </c>
      <c r="D21" s="28">
        <v>339637850</v>
      </c>
      <c r="E21" s="28">
        <v>1842800272.2399998</v>
      </c>
      <c r="F21" s="28">
        <v>668616000</v>
      </c>
    </row>
    <row r="22" spans="1:8" ht="15.6" x14ac:dyDescent="0.35">
      <c r="A22" s="34" t="s">
        <v>75</v>
      </c>
      <c r="B22" s="11">
        <f>SUM(C22:F22)</f>
        <v>4802057001.96</v>
      </c>
      <c r="C22" s="28">
        <v>1005770196</v>
      </c>
      <c r="D22" s="28">
        <v>387405876</v>
      </c>
      <c r="E22" s="28">
        <v>1927180929.96</v>
      </c>
      <c r="F22" s="28">
        <v>1481700000</v>
      </c>
      <c r="H22" s="6"/>
    </row>
    <row r="23" spans="1:8" ht="15.6" x14ac:dyDescent="0.35">
      <c r="A23" s="34" t="s">
        <v>76</v>
      </c>
      <c r="B23" s="11">
        <f>SUM(C23:F23)</f>
        <v>3010366927.75</v>
      </c>
      <c r="C23" s="28">
        <v>852387840</v>
      </c>
      <c r="D23" s="28">
        <v>305876686</v>
      </c>
      <c r="E23" s="28">
        <v>1741302401.7499998</v>
      </c>
      <c r="F23" s="28">
        <v>110800000</v>
      </c>
    </row>
    <row r="24" spans="1:8" ht="15.6" x14ac:dyDescent="0.35">
      <c r="A24" s="34" t="s">
        <v>77</v>
      </c>
      <c r="B24" s="11">
        <f>SUM(C24:F24)</f>
        <v>19213316494.996964</v>
      </c>
      <c r="C24" s="14">
        <v>4023092495.9999819</v>
      </c>
      <c r="D24" s="28">
        <v>1549623504</v>
      </c>
      <c r="E24" s="28">
        <v>7708723824.9997406</v>
      </c>
      <c r="F24" s="28">
        <v>5931876669.9972401</v>
      </c>
    </row>
    <row r="25" spans="1:8" ht="15.6" x14ac:dyDescent="0.35">
      <c r="A25" s="34" t="s">
        <v>78</v>
      </c>
      <c r="B25" s="11">
        <f>SUM(C25:F25)</f>
        <v>3010366927.75</v>
      </c>
      <c r="C25" s="11">
        <f>C23</f>
        <v>852387840</v>
      </c>
      <c r="D25" s="11">
        <f>D23</f>
        <v>305876686</v>
      </c>
      <c r="E25" s="11">
        <f>E23</f>
        <v>1741302401.7499998</v>
      </c>
      <c r="F25" s="11">
        <f>F23</f>
        <v>110800000</v>
      </c>
    </row>
    <row r="26" spans="1:8" ht="15.6" x14ac:dyDescent="0.35">
      <c r="A26" s="32"/>
      <c r="B26" s="11"/>
      <c r="C26" s="14"/>
      <c r="D26" s="11"/>
      <c r="E26" s="11"/>
      <c r="F26" s="11"/>
      <c r="H26" s="2"/>
    </row>
    <row r="27" spans="1:8" ht="15.6" x14ac:dyDescent="0.35">
      <c r="A27" s="35" t="s">
        <v>5</v>
      </c>
      <c r="B27" s="11"/>
      <c r="C27" s="11"/>
      <c r="D27" s="11"/>
      <c r="E27" s="11"/>
      <c r="F27" s="11"/>
    </row>
    <row r="28" spans="1:8" ht="15.6" x14ac:dyDescent="0.35">
      <c r="A28" s="34" t="s">
        <v>75</v>
      </c>
      <c r="B28" s="11">
        <f>B22</f>
        <v>4802057001.96</v>
      </c>
      <c r="C28" s="11"/>
      <c r="D28" s="11"/>
      <c r="E28" s="11"/>
      <c r="F28" s="11"/>
    </row>
    <row r="29" spans="1:8" ht="15.6" x14ac:dyDescent="0.35">
      <c r="A29" s="34" t="s">
        <v>76</v>
      </c>
      <c r="B29" s="11">
        <v>4803329123.4960003</v>
      </c>
      <c r="C29" s="11"/>
      <c r="D29" s="11"/>
      <c r="E29" s="11"/>
      <c r="F29" s="11"/>
    </row>
    <row r="30" spans="1:8" ht="15.6" x14ac:dyDescent="0.35">
      <c r="A30" s="32"/>
      <c r="B30" s="9"/>
      <c r="C30" s="9"/>
      <c r="D30" s="9"/>
      <c r="E30" s="9"/>
      <c r="F30" s="9"/>
    </row>
    <row r="31" spans="1:8" ht="15.6" x14ac:dyDescent="0.35">
      <c r="A31" s="33" t="s">
        <v>6</v>
      </c>
      <c r="B31" s="9"/>
      <c r="C31" s="9"/>
      <c r="D31" s="9"/>
      <c r="E31" s="9"/>
      <c r="F31" s="9"/>
    </row>
    <row r="32" spans="1:8" ht="15.6" x14ac:dyDescent="0.35">
      <c r="A32" s="34" t="s">
        <v>48</v>
      </c>
      <c r="B32" s="38">
        <v>1.1041000000000001</v>
      </c>
      <c r="C32" s="38">
        <v>1.1041000000000001</v>
      </c>
      <c r="D32" s="38">
        <v>1.1041000000000001</v>
      </c>
      <c r="E32" s="38">
        <v>1.1041000000000001</v>
      </c>
      <c r="F32" s="38">
        <v>1.1041000000000001</v>
      </c>
    </row>
    <row r="33" spans="1:6" ht="15.6" x14ac:dyDescent="0.35">
      <c r="A33" s="34" t="s">
        <v>79</v>
      </c>
      <c r="B33" s="38">
        <v>1.091</v>
      </c>
      <c r="C33" s="38">
        <v>1.091</v>
      </c>
      <c r="D33" s="38">
        <v>1.091</v>
      </c>
      <c r="E33" s="38">
        <v>1.091</v>
      </c>
      <c r="F33" s="38">
        <v>1.091</v>
      </c>
    </row>
    <row r="34" spans="1:6" ht="15.6" x14ac:dyDescent="0.35">
      <c r="A34" s="34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32"/>
      <c r="B35" s="11"/>
      <c r="C35" s="11"/>
      <c r="D35" s="11"/>
      <c r="E35" s="11"/>
      <c r="F35" s="11"/>
    </row>
    <row r="36" spans="1:6" ht="15.6" x14ac:dyDescent="0.35">
      <c r="A36" s="33" t="s">
        <v>8</v>
      </c>
      <c r="B36" s="11"/>
      <c r="C36" s="11"/>
      <c r="D36" s="11"/>
      <c r="E36" s="11"/>
      <c r="F36" s="11"/>
    </row>
    <row r="37" spans="1:6" ht="15.6" x14ac:dyDescent="0.35">
      <c r="A37" s="32" t="s">
        <v>49</v>
      </c>
      <c r="B37" s="15">
        <f>B21/B32</f>
        <v>3446202831.482655</v>
      </c>
      <c r="C37" s="15">
        <f>C21/C32</f>
        <v>863960170.27443159</v>
      </c>
      <c r="D37" s="15">
        <f>D21/D32</f>
        <v>307615116.38438547</v>
      </c>
      <c r="E37" s="15">
        <f>E21/E32</f>
        <v>1669051962.9019108</v>
      </c>
      <c r="F37" s="15">
        <f>F21/F32</f>
        <v>605575581.92192733</v>
      </c>
    </row>
    <row r="38" spans="1:6" ht="15.6" x14ac:dyDescent="0.35">
      <c r="A38" s="32" t="s">
        <v>80</v>
      </c>
      <c r="B38" s="15">
        <f>B23/B33</f>
        <v>2759273077.6810265</v>
      </c>
      <c r="C38" s="15">
        <f>C23/C33</f>
        <v>781290412.46562791</v>
      </c>
      <c r="D38" s="15">
        <f>D23/D33</f>
        <v>280363598.53345555</v>
      </c>
      <c r="E38" s="15">
        <f>E23/E33</f>
        <v>1596060863.1989</v>
      </c>
      <c r="F38" s="15">
        <f>F23/F33</f>
        <v>101558203.48304309</v>
      </c>
    </row>
    <row r="39" spans="1:6" ht="15.6" x14ac:dyDescent="0.35">
      <c r="A39" s="32" t="s">
        <v>50</v>
      </c>
      <c r="B39" s="15">
        <f>$B$37/(B15)</f>
        <v>247853.96450579478</v>
      </c>
      <c r="C39" s="15">
        <f>C37/(C15)</f>
        <v>548662.25885336462</v>
      </c>
      <c r="D39" s="15">
        <f>D37/(D15)</f>
        <v>219463.81668327143</v>
      </c>
      <c r="E39" s="15">
        <f>E37/(E15)</f>
        <v>161829.15512445406</v>
      </c>
      <c r="F39" s="15">
        <f>F37/(F15)</f>
        <v>986011.8023152136</v>
      </c>
    </row>
    <row r="40" spans="1:6" ht="15.6" x14ac:dyDescent="0.35">
      <c r="A40" s="32" t="s">
        <v>81</v>
      </c>
      <c r="B40" s="15">
        <f>$B$38/(B17)</f>
        <v>197839.89945371955</v>
      </c>
      <c r="C40" s="15">
        <f>C38/(C17)</f>
        <v>505689.58735639346</v>
      </c>
      <c r="D40" s="15">
        <f>D38/(D17)</f>
        <v>191767.16725954553</v>
      </c>
      <c r="E40" s="15">
        <f>E38/(E17)</f>
        <v>160795.97654633285</v>
      </c>
      <c r="F40" s="15">
        <f>F38/(F17)</f>
        <v>100156.01921404644</v>
      </c>
    </row>
    <row r="41" spans="1:6" ht="15.6" x14ac:dyDescent="0.35">
      <c r="A41" s="32"/>
      <c r="B41" s="16"/>
      <c r="C41" s="16"/>
      <c r="D41" s="16"/>
      <c r="E41" s="16"/>
      <c r="F41" s="16"/>
    </row>
    <row r="42" spans="1:6" ht="15.6" x14ac:dyDescent="0.35">
      <c r="A42" s="33" t="s">
        <v>9</v>
      </c>
      <c r="B42" s="16"/>
      <c r="C42" s="16"/>
      <c r="D42" s="16"/>
      <c r="E42" s="16"/>
      <c r="F42" s="16"/>
    </row>
    <row r="43" spans="1:6" ht="15.6" x14ac:dyDescent="0.35">
      <c r="A43" s="32"/>
      <c r="B43" s="16"/>
      <c r="C43" s="16"/>
      <c r="D43" s="16"/>
      <c r="E43" s="16"/>
      <c r="F43" s="16"/>
    </row>
    <row r="44" spans="1:6" ht="15.6" x14ac:dyDescent="0.35">
      <c r="A44" s="33" t="s">
        <v>10</v>
      </c>
      <c r="B44" s="16"/>
      <c r="C44" s="16"/>
      <c r="D44" s="16"/>
      <c r="E44" s="16"/>
      <c r="F44" s="16"/>
    </row>
    <row r="45" spans="1:6" ht="15.6" x14ac:dyDescent="0.35">
      <c r="A45" s="32" t="s">
        <v>11</v>
      </c>
      <c r="B45" s="17">
        <f>B16/B34*100</f>
        <v>6.9888455996157344</v>
      </c>
      <c r="C45" s="17"/>
      <c r="D45" s="17"/>
      <c r="E45" s="17"/>
      <c r="F45" s="17"/>
    </row>
    <row r="46" spans="1:6" ht="15.6" x14ac:dyDescent="0.35">
      <c r="A46" s="32" t="s">
        <v>12</v>
      </c>
      <c r="B46" s="17">
        <f>B17/B34*100</f>
        <v>6.2029673907242362</v>
      </c>
      <c r="C46" s="17"/>
      <c r="D46" s="17"/>
      <c r="E46" s="17"/>
      <c r="F46" s="17"/>
    </row>
    <row r="47" spans="1:6" ht="15.6" x14ac:dyDescent="0.35">
      <c r="A47" s="32"/>
      <c r="B47" s="17"/>
      <c r="C47" s="17"/>
      <c r="D47" s="17"/>
      <c r="E47" s="17"/>
      <c r="F47" s="17"/>
    </row>
    <row r="48" spans="1:6" ht="15.6" x14ac:dyDescent="0.35">
      <c r="A48" s="33" t="s">
        <v>13</v>
      </c>
      <c r="B48" s="17"/>
      <c r="C48" s="17"/>
      <c r="D48" s="17"/>
      <c r="E48" s="17"/>
      <c r="F48" s="17"/>
    </row>
    <row r="49" spans="1:6" ht="15.6" x14ac:dyDescent="0.35">
      <c r="A49" s="32" t="s">
        <v>14</v>
      </c>
      <c r="B49" s="17">
        <f>B17/B16*100</f>
        <v>88.75525009545629</v>
      </c>
      <c r="C49" s="17">
        <f>C17/C16*100</f>
        <v>93.806921675774134</v>
      </c>
      <c r="D49" s="17">
        <f>D17/D16*100</f>
        <v>92.181588902900387</v>
      </c>
      <c r="E49" s="17">
        <f>E17/E16*100</f>
        <v>85.694552361219024</v>
      </c>
      <c r="F49" s="17">
        <f>F17/F16*100</f>
        <v>112.91759465478842</v>
      </c>
    </row>
    <row r="50" spans="1:6" ht="15.6" x14ac:dyDescent="0.35">
      <c r="A50" s="32" t="s">
        <v>15</v>
      </c>
      <c r="B50" s="17">
        <f>B23/B22*100</f>
        <v>62.689112739005246</v>
      </c>
      <c r="C50" s="17">
        <f>C23/C22*100</f>
        <v>84.749761266538854</v>
      </c>
      <c r="D50" s="17">
        <f>D23/D22*100</f>
        <v>78.955097211793458</v>
      </c>
      <c r="E50" s="17">
        <f>E23/E22*100</f>
        <v>90.354899982646771</v>
      </c>
      <c r="F50" s="17">
        <f>F23/F22*100</f>
        <v>7.477897010190997</v>
      </c>
    </row>
    <row r="51" spans="1:6" ht="15.6" x14ac:dyDescent="0.35">
      <c r="A51" s="32" t="s">
        <v>16</v>
      </c>
      <c r="B51" s="17">
        <f>AVERAGE(B49:B50)</f>
        <v>75.722181417230772</v>
      </c>
      <c r="C51" s="17">
        <f>AVERAGE(C49:C50)</f>
        <v>89.278341471156494</v>
      </c>
      <c r="D51" s="17">
        <f>AVERAGE(D49:D50)</f>
        <v>85.568343057346922</v>
      </c>
      <c r="E51" s="17">
        <f>AVERAGE(E49:E50)</f>
        <v>88.024726171932898</v>
      </c>
      <c r="F51" s="17">
        <f>AVERAGE(F49:F50)</f>
        <v>60.197745832489709</v>
      </c>
    </row>
    <row r="52" spans="1:6" ht="15.6" x14ac:dyDescent="0.35">
      <c r="A52" s="32"/>
      <c r="B52" s="17"/>
      <c r="C52" s="17"/>
      <c r="D52" s="17"/>
      <c r="E52" s="17"/>
      <c r="F52" s="17"/>
    </row>
    <row r="53" spans="1:6" ht="15.6" x14ac:dyDescent="0.35">
      <c r="A53" s="33" t="s">
        <v>17</v>
      </c>
      <c r="B53" s="17"/>
      <c r="C53" s="17"/>
      <c r="D53" s="17"/>
      <c r="E53" s="17"/>
      <c r="F53" s="17"/>
    </row>
    <row r="54" spans="1:6" ht="15.6" x14ac:dyDescent="0.35">
      <c r="A54" s="32" t="s">
        <v>18</v>
      </c>
      <c r="B54" s="17">
        <f>(B17/B18)*100</f>
        <v>88.749602290804958</v>
      </c>
      <c r="C54" s="17">
        <f>(C17/C18)*100</f>
        <v>93.806921675774134</v>
      </c>
      <c r="D54" s="17">
        <f>(D17/D18)*100</f>
        <v>92.181588902900387</v>
      </c>
      <c r="E54" s="17">
        <f>(E17/E18)*100</f>
        <v>85.694552361219024</v>
      </c>
      <c r="F54" s="17">
        <f>(F17/F18)*100</f>
        <v>112.79199110122357</v>
      </c>
    </row>
    <row r="55" spans="1:6" ht="15.6" x14ac:dyDescent="0.35">
      <c r="A55" s="32" t="s">
        <v>19</v>
      </c>
      <c r="B55" s="17">
        <f>B23/B24*100</f>
        <v>15.668127512154822</v>
      </c>
      <c r="C55" s="17">
        <f>C23/C24*100</f>
        <v>21.187378635900096</v>
      </c>
      <c r="D55" s="17">
        <f>D23/D24*100</f>
        <v>19.738774302948364</v>
      </c>
      <c r="E55" s="17">
        <f>E23/E24*100</f>
        <v>22.588724687514127</v>
      </c>
      <c r="F55" s="17">
        <f>F23/F24*100</f>
        <v>1.8678743029236236</v>
      </c>
    </row>
    <row r="56" spans="1:6" ht="15.6" x14ac:dyDescent="0.35">
      <c r="A56" s="32" t="s">
        <v>20</v>
      </c>
      <c r="B56" s="17">
        <f>(B54+B55)/2</f>
        <v>52.208864901479892</v>
      </c>
      <c r="C56" s="17">
        <f>(C54+C55)/2</f>
        <v>57.497150155837119</v>
      </c>
      <c r="D56" s="17">
        <f>(D54+D55)/2</f>
        <v>55.960181602924379</v>
      </c>
      <c r="E56" s="17">
        <f>(E54+E55)/2</f>
        <v>54.141638524366577</v>
      </c>
      <c r="F56" s="17">
        <f>(F54+F55)/2</f>
        <v>57.329932702073599</v>
      </c>
    </row>
    <row r="57" spans="1:6" ht="15.6" x14ac:dyDescent="0.35">
      <c r="A57" s="32"/>
      <c r="B57" s="17"/>
      <c r="C57" s="17"/>
      <c r="D57" s="17"/>
      <c r="E57" s="17"/>
      <c r="F57" s="17"/>
    </row>
    <row r="58" spans="1:6" ht="15.6" x14ac:dyDescent="0.35">
      <c r="A58" s="33" t="s">
        <v>21</v>
      </c>
      <c r="B58" s="17"/>
      <c r="C58" s="17"/>
      <c r="D58" s="17"/>
      <c r="E58" s="17"/>
      <c r="F58" s="17"/>
    </row>
    <row r="59" spans="1:6" ht="15.6" x14ac:dyDescent="0.35">
      <c r="A59" s="32" t="s">
        <v>22</v>
      </c>
      <c r="B59" s="17">
        <f>B25/B23*100</f>
        <v>100</v>
      </c>
      <c r="C59" s="17"/>
      <c r="D59" s="17"/>
      <c r="E59" s="17"/>
      <c r="F59" s="17"/>
    </row>
    <row r="60" spans="1:6" ht="15.6" x14ac:dyDescent="0.35">
      <c r="A60" s="32"/>
      <c r="B60" s="17"/>
      <c r="C60" s="17"/>
      <c r="D60" s="17"/>
      <c r="E60" s="17"/>
      <c r="F60" s="17"/>
    </row>
    <row r="61" spans="1:6" ht="15.6" x14ac:dyDescent="0.35">
      <c r="A61" s="33" t="s">
        <v>23</v>
      </c>
      <c r="B61" s="17"/>
      <c r="C61" s="17"/>
      <c r="D61" s="17"/>
      <c r="E61" s="17"/>
      <c r="F61" s="17"/>
    </row>
    <row r="62" spans="1:6" ht="15.6" x14ac:dyDescent="0.35">
      <c r="A62" s="32" t="s">
        <v>24</v>
      </c>
      <c r="B62" s="17">
        <f>((B17/B15)-1)*100</f>
        <v>0.30806113275396729</v>
      </c>
      <c r="C62" s="17">
        <f>((C17/C15)-1)*100</f>
        <v>-1.8839966130398067</v>
      </c>
      <c r="D62" s="17">
        <f>((D17/D15)-1)*100</f>
        <v>4.3043995243757349</v>
      </c>
      <c r="E62" s="17">
        <f>((E17/E15)-1)*100</f>
        <v>-3.7587666849810852</v>
      </c>
      <c r="F62" s="17">
        <f>((F17/F15)-1)*100</f>
        <v>65.101763907733968</v>
      </c>
    </row>
    <row r="63" spans="1:6" ht="15.6" x14ac:dyDescent="0.35">
      <c r="A63" s="32" t="s">
        <v>25</v>
      </c>
      <c r="B63" s="17">
        <f>((B38/B37)-1)*100</f>
        <v>-19.932946126275798</v>
      </c>
      <c r="C63" s="17">
        <f>((C38/C37)-1)*100</f>
        <v>-9.5687001152546358</v>
      </c>
      <c r="D63" s="17">
        <f>((D38/D37)-1)*100</f>
        <v>-8.8589657658036955</v>
      </c>
      <c r="E63" s="17">
        <f>((E38/E37)-1)*100</f>
        <v>-4.3732071454566483</v>
      </c>
      <c r="F63" s="17">
        <f>((F38/F37)-1)*100</f>
        <v>-83.229475144832335</v>
      </c>
    </row>
    <row r="64" spans="1:6" ht="15.6" x14ac:dyDescent="0.35">
      <c r="A64" s="32" t="s">
        <v>26</v>
      </c>
      <c r="B64" s="17">
        <f>((B40/B39)-1)*100</f>
        <v>-20.178844083369874</v>
      </c>
      <c r="C64" s="17">
        <f>((C40/C39)-1)*100</f>
        <v>-7.8322630732390213</v>
      </c>
      <c r="D64" s="17">
        <f>((D40/D39)-1)*100</f>
        <v>-12.620143877155609</v>
      </c>
      <c r="E64" s="17">
        <f>((E40/E39)-1)*100</f>
        <v>-0.63843784967341222</v>
      </c>
      <c r="F64" s="17">
        <f>((F40/F39)-1)*100</f>
        <v>-89.842310307151067</v>
      </c>
    </row>
    <row r="65" spans="1:6" ht="15.6" x14ac:dyDescent="0.35">
      <c r="A65" s="32"/>
      <c r="B65" s="17"/>
      <c r="C65" s="17"/>
      <c r="D65" s="17"/>
      <c r="E65" s="17"/>
      <c r="F65" s="17"/>
    </row>
    <row r="66" spans="1:6" ht="15.6" x14ac:dyDescent="0.35">
      <c r="A66" s="33" t="s">
        <v>27</v>
      </c>
      <c r="B66" s="17"/>
      <c r="C66" s="17"/>
      <c r="D66" s="17"/>
      <c r="E66" s="17"/>
      <c r="F66" s="17"/>
    </row>
    <row r="67" spans="1:6" ht="15.6" x14ac:dyDescent="0.35">
      <c r="A67" s="32" t="s">
        <v>38</v>
      </c>
      <c r="B67" s="18">
        <f>B22/(B16*3)</f>
        <v>101863.66725976836</v>
      </c>
      <c r="C67" s="18">
        <f>C22/(C16*3)</f>
        <v>203556</v>
      </c>
      <c r="D67" s="18">
        <f>D22/(D16*3)</f>
        <v>81422</v>
      </c>
      <c r="E67" s="18">
        <f>E22/(E16*3)</f>
        <v>55460.04</v>
      </c>
      <c r="F67" s="18">
        <f>F22/(F16*3)</f>
        <v>550000</v>
      </c>
    </row>
    <row r="68" spans="1:6" ht="15.6" x14ac:dyDescent="0.35">
      <c r="A68" s="32" t="s">
        <v>39</v>
      </c>
      <c r="B68" s="18">
        <f>$B$23/(B17*3)</f>
        <v>71947.776768002674</v>
      </c>
      <c r="C68" s="18">
        <f>C23/(C17*3)</f>
        <v>183902.44660194175</v>
      </c>
      <c r="D68" s="18">
        <f>D23/(D17*3)</f>
        <v>69739.326493388056</v>
      </c>
      <c r="E68" s="18">
        <f>E23/(E17*3)</f>
        <v>58476.13680401638</v>
      </c>
      <c r="F68" s="18">
        <f>F23/(F17*3)</f>
        <v>36423.405654174887</v>
      </c>
    </row>
    <row r="69" spans="1:6" ht="15.6" x14ac:dyDescent="0.35">
      <c r="A69" s="32" t="s">
        <v>28</v>
      </c>
      <c r="B69" s="18">
        <f>(B68/B67)*B51</f>
        <v>53.483668432040197</v>
      </c>
      <c r="C69" s="18">
        <f>(C68/C67)*C51</f>
        <v>80.658420410645121</v>
      </c>
      <c r="D69" s="18">
        <f>(D68/D67)*D51</f>
        <v>73.29073977517811</v>
      </c>
      <c r="E69" s="18">
        <f>(E68/E67)*E51</f>
        <v>92.811796200760568</v>
      </c>
      <c r="F69" s="18">
        <f>(F68/F67)*F51</f>
        <v>3.9865580289521603</v>
      </c>
    </row>
    <row r="70" spans="1:6" ht="15.6" x14ac:dyDescent="0.35">
      <c r="A70" s="32" t="s">
        <v>40</v>
      </c>
      <c r="B70" s="18">
        <f t="shared" ref="B70:F71" si="0">B22/B16</f>
        <v>305591.00177930511</v>
      </c>
      <c r="C70" s="18">
        <f t="shared" si="0"/>
        <v>610668</v>
      </c>
      <c r="D70" s="18">
        <f t="shared" si="0"/>
        <v>244266</v>
      </c>
      <c r="E70" s="18">
        <f t="shared" si="0"/>
        <v>166380.12</v>
      </c>
      <c r="F70" s="18">
        <f t="shared" si="0"/>
        <v>1650000</v>
      </c>
    </row>
    <row r="71" spans="1:6" ht="15.6" x14ac:dyDescent="0.35">
      <c r="A71" s="32" t="s">
        <v>41</v>
      </c>
      <c r="B71" s="18">
        <f t="shared" si="0"/>
        <v>215843.33030400804</v>
      </c>
      <c r="C71" s="18">
        <f t="shared" si="0"/>
        <v>551707.33980582526</v>
      </c>
      <c r="D71" s="18">
        <f t="shared" si="0"/>
        <v>209217.97948016415</v>
      </c>
      <c r="E71" s="18">
        <f t="shared" si="0"/>
        <v>175428.41041204915</v>
      </c>
      <c r="F71" s="18">
        <f t="shared" si="0"/>
        <v>109270.21696252466</v>
      </c>
    </row>
    <row r="72" spans="1:6" ht="15.6" x14ac:dyDescent="0.35">
      <c r="A72" s="32"/>
      <c r="B72" s="17"/>
      <c r="C72" s="17"/>
      <c r="D72" s="17"/>
      <c r="E72" s="17"/>
      <c r="F72" s="17"/>
    </row>
    <row r="73" spans="1:6" ht="15.6" x14ac:dyDescent="0.35">
      <c r="A73" s="33" t="s">
        <v>29</v>
      </c>
      <c r="B73" s="17"/>
      <c r="C73" s="17"/>
      <c r="D73" s="17"/>
      <c r="E73" s="17"/>
      <c r="F73" s="17"/>
    </row>
    <row r="74" spans="1:6" ht="15.6" x14ac:dyDescent="0.35">
      <c r="A74" s="32" t="s">
        <v>30</v>
      </c>
      <c r="B74" s="17">
        <f>(B29/B28)*100</f>
        <v>100.026491179415</v>
      </c>
      <c r="C74" s="17"/>
      <c r="D74" s="17"/>
      <c r="E74" s="17"/>
      <c r="F74" s="17"/>
    </row>
    <row r="75" spans="1:6" ht="15.6" x14ac:dyDescent="0.35">
      <c r="A75" s="32" t="s">
        <v>31</v>
      </c>
      <c r="B75" s="22">
        <f>(B23/B29)*100</f>
        <v>62.672510051923503</v>
      </c>
      <c r="C75" s="22"/>
      <c r="D75" s="22"/>
      <c r="E75" s="22"/>
      <c r="F75" s="22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s="41" customFormat="1" ht="16.2" thickTop="1" x14ac:dyDescent="0.35">
      <c r="A77" s="32" t="s">
        <v>82</v>
      </c>
      <c r="B77" s="32"/>
      <c r="C77" s="32"/>
      <c r="D77" s="32"/>
      <c r="E77" s="32"/>
      <c r="F77" s="32"/>
    </row>
    <row r="78" spans="1:6" s="41" customFormat="1" ht="15.6" x14ac:dyDescent="0.35">
      <c r="A78" s="32"/>
      <c r="B78" s="32"/>
      <c r="C78" s="32"/>
      <c r="D78" s="32"/>
      <c r="E78" s="32"/>
      <c r="F78" s="32"/>
    </row>
    <row r="79" spans="1:6" s="41" customFormat="1" ht="15.6" x14ac:dyDescent="0.35">
      <c r="A79" s="32"/>
      <c r="B79" s="32"/>
      <c r="C79" s="32"/>
      <c r="D79" s="32"/>
      <c r="E79" s="32"/>
      <c r="F79" s="32"/>
    </row>
    <row r="80" spans="1:6" s="41" customFormat="1" ht="15.6" x14ac:dyDescent="0.35">
      <c r="A80" s="32"/>
      <c r="B80" s="32"/>
      <c r="C80" s="32"/>
      <c r="D80" s="32"/>
      <c r="E80" s="32"/>
      <c r="F80" s="32"/>
    </row>
    <row r="81" spans="1:6" s="41" customFormat="1" ht="15.6" x14ac:dyDescent="0.35">
      <c r="A81" s="32"/>
      <c r="B81" s="32"/>
      <c r="C81" s="32"/>
      <c r="D81" s="32"/>
      <c r="E81" s="32"/>
      <c r="F81" s="32"/>
    </row>
    <row r="82" spans="1:6" s="41" customFormat="1" x14ac:dyDescent="0.3"/>
    <row r="83" spans="1:6" s="41" customFormat="1" ht="15.6" x14ac:dyDescent="0.35">
      <c r="A83" s="32"/>
      <c r="B83" s="32"/>
      <c r="C83" s="32"/>
      <c r="D83" s="32"/>
      <c r="E83" s="32"/>
      <c r="F83" s="32"/>
    </row>
    <row r="84" spans="1:6" s="41" customFormat="1" ht="15.6" x14ac:dyDescent="0.35">
      <c r="A84" s="32"/>
      <c r="B84" s="32"/>
      <c r="C84" s="32"/>
      <c r="D84" s="32"/>
      <c r="E84" s="32"/>
      <c r="F84" s="32"/>
    </row>
    <row r="85" spans="1:6" s="41" customFormat="1" x14ac:dyDescent="0.3"/>
    <row r="86" spans="1:6" s="41" customFormat="1" x14ac:dyDescent="0.3"/>
    <row r="87" spans="1:6" s="41" customFormat="1" x14ac:dyDescent="0.3"/>
    <row r="188" spans="4:8" x14ac:dyDescent="0.3">
      <c r="D188" s="1"/>
      <c r="E188" s="1" t="s">
        <v>34</v>
      </c>
      <c r="F188" s="1" t="s">
        <v>35</v>
      </c>
      <c r="G188" s="1" t="s">
        <v>36</v>
      </c>
      <c r="H188" s="1" t="s">
        <v>37</v>
      </c>
    </row>
    <row r="189" spans="4:8" x14ac:dyDescent="0.3">
      <c r="D189" s="1" t="s">
        <v>30</v>
      </c>
      <c r="E189" s="1">
        <v>93.271828425704058</v>
      </c>
      <c r="F189" s="1">
        <v>86.548558144982096</v>
      </c>
      <c r="G189" s="1">
        <v>82.222189747580757</v>
      </c>
      <c r="H189" s="1">
        <v>104.27430435089333</v>
      </c>
    </row>
    <row r="190" spans="4:8" x14ac:dyDescent="0.3">
      <c r="D190" s="1" t="s">
        <v>31</v>
      </c>
      <c r="E190" s="1">
        <v>72.182667347333364</v>
      </c>
      <c r="F190" s="1">
        <v>84.936774249756979</v>
      </c>
      <c r="G190" s="1">
        <v>106.94937841615069</v>
      </c>
      <c r="H190" s="1">
        <v>130.54830055902181</v>
      </c>
    </row>
    <row r="211" spans="5:5" x14ac:dyDescent="0.3">
      <c r="E211" s="4">
        <f>(100+25)/2</f>
        <v>62.5</v>
      </c>
    </row>
  </sheetData>
  <mergeCells count="3">
    <mergeCell ref="A9:A10"/>
    <mergeCell ref="B9:B10"/>
    <mergeCell ref="C9:F9"/>
  </mergeCells>
  <pageMargins left="0.7" right="0.7" top="0.75" bottom="0.75" header="0.3" footer="0.3"/>
  <pageSetup orientation="portrait" r:id="rId1"/>
  <ignoredErrors>
    <ignoredError sqref="B45:B4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16384" width="11.44140625" style="4"/>
  </cols>
  <sheetData>
    <row r="1" spans="1:6" s="40" customFormat="1" x14ac:dyDescent="0.3"/>
    <row r="2" spans="1:6" s="40" customFormat="1" x14ac:dyDescent="0.3"/>
    <row r="3" spans="1:6" s="40" customFormat="1" x14ac:dyDescent="0.3"/>
    <row r="4" spans="1:6" s="40" customFormat="1" x14ac:dyDescent="0.3"/>
    <row r="5" spans="1:6" s="40" customFormat="1" x14ac:dyDescent="0.3"/>
    <row r="6" spans="1:6" s="40" customFormat="1" x14ac:dyDescent="0.3"/>
    <row r="7" spans="1:6" s="40" customFormat="1" x14ac:dyDescent="0.3"/>
    <row r="8" spans="1:6" s="40" customFormat="1" ht="18" customHeight="1" x14ac:dyDescent="0.3"/>
    <row r="9" spans="1:6" s="41" customFormat="1" ht="15.6" x14ac:dyDescent="0.35">
      <c r="A9" s="44" t="s">
        <v>0</v>
      </c>
      <c r="B9" s="46" t="s">
        <v>1</v>
      </c>
      <c r="C9" s="48" t="s">
        <v>2</v>
      </c>
      <c r="D9" s="48"/>
      <c r="E9" s="48"/>
      <c r="F9" s="48"/>
    </row>
    <row r="10" spans="1:6" s="41" customFormat="1" ht="66" customHeight="1" thickBot="1" x14ac:dyDescent="0.35">
      <c r="A10" s="45"/>
      <c r="B10" s="47"/>
      <c r="C10" s="31" t="s">
        <v>46</v>
      </c>
      <c r="D10" s="31" t="s">
        <v>33</v>
      </c>
      <c r="E10" s="31" t="s">
        <v>44</v>
      </c>
      <c r="F10" s="31" t="s">
        <v>45</v>
      </c>
    </row>
    <row r="11" spans="1:6" s="41" customFormat="1" ht="16.2" thickTop="1" x14ac:dyDescent="0.35">
      <c r="A11" s="32"/>
      <c r="B11" s="32"/>
      <c r="C11" s="32"/>
      <c r="D11" s="32"/>
      <c r="E11" s="32"/>
      <c r="F11" s="32"/>
    </row>
    <row r="12" spans="1:6" s="41" customFormat="1" ht="15.6" x14ac:dyDescent="0.35">
      <c r="A12" s="33" t="s">
        <v>3</v>
      </c>
      <c r="B12" s="32"/>
      <c r="C12" s="32"/>
      <c r="D12" s="32"/>
      <c r="E12" s="32"/>
      <c r="F12" s="32"/>
    </row>
    <row r="13" spans="1:6" s="41" customFormat="1" ht="15.6" x14ac:dyDescent="0.35">
      <c r="A13" s="32"/>
      <c r="B13" s="32"/>
      <c r="C13" s="32"/>
      <c r="D13" s="32"/>
      <c r="E13" s="32"/>
      <c r="F13" s="32"/>
    </row>
    <row r="14" spans="1:6" s="41" customFormat="1" ht="15.6" x14ac:dyDescent="0.35">
      <c r="A14" s="33" t="s">
        <v>32</v>
      </c>
      <c r="B14" s="32"/>
      <c r="C14" s="28"/>
      <c r="D14" s="32"/>
      <c r="E14" s="32"/>
      <c r="F14" s="32"/>
    </row>
    <row r="15" spans="1:6" ht="15.6" x14ac:dyDescent="0.35">
      <c r="A15" s="34" t="s">
        <v>51</v>
      </c>
      <c r="B15" s="11">
        <f>SUM(C15:F15)</f>
        <v>14169.333333333334</v>
      </c>
      <c r="C15" s="28">
        <v>1600</v>
      </c>
      <c r="D15" s="28">
        <v>1420.6666666666667</v>
      </c>
      <c r="E15" s="28">
        <v>10455</v>
      </c>
      <c r="F15" s="28">
        <v>693.66666666666674</v>
      </c>
    </row>
    <row r="16" spans="1:6" ht="15.6" x14ac:dyDescent="0.35">
      <c r="A16" s="34" t="s">
        <v>83</v>
      </c>
      <c r="B16" s="11">
        <f>SUM(C16:F16)</f>
        <v>15714</v>
      </c>
      <c r="C16" s="28">
        <v>1647</v>
      </c>
      <c r="D16" s="28">
        <v>1586</v>
      </c>
      <c r="E16" s="28">
        <v>11583</v>
      </c>
      <c r="F16" s="28">
        <v>898</v>
      </c>
    </row>
    <row r="17" spans="1:6" ht="15.6" x14ac:dyDescent="0.35">
      <c r="A17" s="34" t="s">
        <v>84</v>
      </c>
      <c r="B17" s="11">
        <f>SUM(C17:F17)</f>
        <v>13969</v>
      </c>
      <c r="C17" s="28">
        <v>1543</v>
      </c>
      <c r="D17" s="28">
        <v>1497</v>
      </c>
      <c r="E17" s="28">
        <v>9917</v>
      </c>
      <c r="F17" s="28">
        <v>1012</v>
      </c>
    </row>
    <row r="18" spans="1:6" ht="15.6" x14ac:dyDescent="0.35">
      <c r="A18" s="34" t="s">
        <v>77</v>
      </c>
      <c r="B18" s="11">
        <f>SUM(C18:F18)</f>
        <v>15715</v>
      </c>
      <c r="C18" s="28">
        <v>1647</v>
      </c>
      <c r="D18" s="28">
        <v>1586</v>
      </c>
      <c r="E18" s="28">
        <v>11583</v>
      </c>
      <c r="F18" s="28">
        <v>899</v>
      </c>
    </row>
    <row r="19" spans="1:6" ht="15.6" x14ac:dyDescent="0.35">
      <c r="A19" s="32"/>
      <c r="B19" s="11"/>
      <c r="C19" s="28"/>
      <c r="D19" s="28"/>
      <c r="E19" s="28"/>
      <c r="F19" s="28"/>
    </row>
    <row r="20" spans="1:6" ht="15.6" x14ac:dyDescent="0.35">
      <c r="A20" s="35" t="s">
        <v>4</v>
      </c>
      <c r="B20" s="11"/>
      <c r="C20" s="28"/>
      <c r="D20" s="28"/>
      <c r="E20" s="28"/>
      <c r="F20" s="28"/>
    </row>
    <row r="21" spans="1:6" ht="15.6" x14ac:dyDescent="0.35">
      <c r="A21" s="34" t="s">
        <v>51</v>
      </c>
      <c r="B21" s="11">
        <f>SUM(C21:F21)</f>
        <v>4213572967.7399998</v>
      </c>
      <c r="C21" s="28">
        <v>968437096</v>
      </c>
      <c r="D21" s="28">
        <v>344160970</v>
      </c>
      <c r="E21" s="28">
        <v>1865574901.7399998</v>
      </c>
      <c r="F21" s="28">
        <v>1035400000</v>
      </c>
    </row>
    <row r="22" spans="1:6" ht="15.6" x14ac:dyDescent="0.35">
      <c r="A22" s="34" t="s">
        <v>83</v>
      </c>
      <c r="B22" s="11">
        <f>SUM(C22:F22)</f>
        <v>4802057001.96</v>
      </c>
      <c r="C22" s="28">
        <v>1005770196</v>
      </c>
      <c r="D22" s="28">
        <v>387405876</v>
      </c>
      <c r="E22" s="28">
        <v>1927180929.96</v>
      </c>
      <c r="F22" s="28">
        <v>1481700000</v>
      </c>
    </row>
    <row r="23" spans="1:6" ht="15.6" x14ac:dyDescent="0.35">
      <c r="A23" s="34" t="s">
        <v>84</v>
      </c>
      <c r="B23" s="11">
        <f>SUM(C23:F23)</f>
        <v>3764317982.4639997</v>
      </c>
      <c r="C23" s="28">
        <v>941866652</v>
      </c>
      <c r="D23" s="28">
        <v>362952048</v>
      </c>
      <c r="E23" s="28">
        <v>1782633467.6340001</v>
      </c>
      <c r="F23" s="28">
        <v>676865814.83000004</v>
      </c>
    </row>
    <row r="24" spans="1:6" ht="15.6" x14ac:dyDescent="0.35">
      <c r="A24" s="34" t="s">
        <v>77</v>
      </c>
      <c r="B24" s="11">
        <f>SUM(C24:F24)</f>
        <v>19213316494.996964</v>
      </c>
      <c r="C24" s="14">
        <v>4023092495.9999819</v>
      </c>
      <c r="D24" s="28">
        <v>1549623504</v>
      </c>
      <c r="E24" s="28">
        <v>7708723824.9997406</v>
      </c>
      <c r="F24" s="28">
        <v>5931876669.9972401</v>
      </c>
    </row>
    <row r="25" spans="1:6" ht="15.6" x14ac:dyDescent="0.35">
      <c r="A25" s="34" t="s">
        <v>85</v>
      </c>
      <c r="B25" s="11">
        <f>SUM(C25:F25)</f>
        <v>3764317982.4639997</v>
      </c>
      <c r="C25" s="11">
        <f>C23</f>
        <v>941866652</v>
      </c>
      <c r="D25" s="11">
        <f>D23</f>
        <v>362952048</v>
      </c>
      <c r="E25" s="11">
        <f>E23</f>
        <v>1782633467.6340001</v>
      </c>
      <c r="F25" s="11">
        <f>F23</f>
        <v>676865814.83000004</v>
      </c>
    </row>
    <row r="26" spans="1:6" ht="15.6" x14ac:dyDescent="0.35">
      <c r="A26" s="32"/>
      <c r="B26" s="11"/>
      <c r="C26" s="14"/>
      <c r="D26" s="11"/>
      <c r="E26" s="11"/>
      <c r="F26" s="11"/>
    </row>
    <row r="27" spans="1:6" ht="15.6" x14ac:dyDescent="0.35">
      <c r="A27" s="35" t="s">
        <v>5</v>
      </c>
      <c r="B27" s="11"/>
      <c r="C27" s="11"/>
      <c r="D27" s="11"/>
      <c r="E27" s="11"/>
      <c r="F27" s="11"/>
    </row>
    <row r="28" spans="1:6" ht="15.6" x14ac:dyDescent="0.35">
      <c r="A28" s="34" t="s">
        <v>83</v>
      </c>
      <c r="B28" s="11">
        <f>B22</f>
        <v>4802057001.96</v>
      </c>
      <c r="C28" s="11"/>
      <c r="D28" s="11"/>
      <c r="E28" s="11"/>
      <c r="F28" s="11"/>
    </row>
    <row r="29" spans="1:6" ht="15.6" x14ac:dyDescent="0.35">
      <c r="A29" s="34" t="s">
        <v>84</v>
      </c>
      <c r="B29" s="11">
        <v>5094818539.5</v>
      </c>
      <c r="C29" s="11"/>
      <c r="D29" s="11"/>
      <c r="E29" s="11"/>
      <c r="F29" s="11"/>
    </row>
    <row r="30" spans="1:6" ht="15.6" x14ac:dyDescent="0.35">
      <c r="A30" s="32"/>
      <c r="B30" s="9"/>
      <c r="C30" s="9"/>
      <c r="D30" s="9"/>
      <c r="E30" s="9"/>
      <c r="F30" s="9"/>
    </row>
    <row r="31" spans="1:6" ht="15.6" x14ac:dyDescent="0.35">
      <c r="A31" s="33" t="s">
        <v>6</v>
      </c>
      <c r="B31" s="9"/>
      <c r="C31" s="9"/>
      <c r="D31" s="9"/>
      <c r="E31" s="9"/>
      <c r="F31" s="9"/>
    </row>
    <row r="32" spans="1:6" ht="15.6" x14ac:dyDescent="0.35">
      <c r="A32" s="34" t="s">
        <v>52</v>
      </c>
      <c r="B32" s="29">
        <v>1.0973999999999999</v>
      </c>
      <c r="C32" s="29">
        <v>1.0973999999999999</v>
      </c>
      <c r="D32" s="29">
        <v>1.0973999999999999</v>
      </c>
      <c r="E32" s="29">
        <v>1.0973999999999999</v>
      </c>
      <c r="F32" s="29">
        <v>1.0973999999999999</v>
      </c>
    </row>
    <row r="33" spans="1:6" ht="15.6" x14ac:dyDescent="0.35">
      <c r="A33" s="34" t="s">
        <v>86</v>
      </c>
      <c r="B33" s="29">
        <v>1.0971</v>
      </c>
      <c r="C33" s="29">
        <v>1.0971</v>
      </c>
      <c r="D33" s="29">
        <v>1.0971</v>
      </c>
      <c r="E33" s="29">
        <v>1.0971</v>
      </c>
      <c r="F33" s="29">
        <v>1.0971</v>
      </c>
    </row>
    <row r="34" spans="1:6" ht="15.6" x14ac:dyDescent="0.35">
      <c r="A34" s="34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32"/>
      <c r="B35" s="11"/>
      <c r="C35" s="11"/>
      <c r="D35" s="11"/>
      <c r="E35" s="11"/>
      <c r="F35" s="11"/>
    </row>
    <row r="36" spans="1:6" ht="15.6" x14ac:dyDescent="0.35">
      <c r="A36" s="33" t="s">
        <v>8</v>
      </c>
      <c r="B36" s="11"/>
      <c r="C36" s="11"/>
      <c r="D36" s="11"/>
      <c r="E36" s="11"/>
      <c r="F36" s="11"/>
    </row>
    <row r="37" spans="1:6" ht="15.6" x14ac:dyDescent="0.35">
      <c r="A37" s="32" t="s">
        <v>53</v>
      </c>
      <c r="B37" s="23">
        <f>B21/B32</f>
        <v>3839596289.1744123</v>
      </c>
      <c r="C37" s="23">
        <f>C21/C32</f>
        <v>882483229.45143068</v>
      </c>
      <c r="D37" s="23">
        <f>D21/D32</f>
        <v>313614880.62693644</v>
      </c>
      <c r="E37" s="23">
        <f>E21/E32</f>
        <v>1699995354.237288</v>
      </c>
      <c r="F37" s="23">
        <f>F21/F32</f>
        <v>943502824.85875714</v>
      </c>
    </row>
    <row r="38" spans="1:6" ht="15.6" x14ac:dyDescent="0.35">
      <c r="A38" s="32" t="s">
        <v>87</v>
      </c>
      <c r="B38" s="23">
        <f>B23/B33</f>
        <v>3431153023.8483272</v>
      </c>
      <c r="C38" s="23">
        <f>C23/C33</f>
        <v>858505744.23480082</v>
      </c>
      <c r="D38" s="23">
        <f>D23/D33</f>
        <v>330828591.74186492</v>
      </c>
      <c r="E38" s="23">
        <f>E23/E33</f>
        <v>1624859600.4320483</v>
      </c>
      <c r="F38" s="23">
        <f>F23/F33</f>
        <v>616959087.43961358</v>
      </c>
    </row>
    <row r="39" spans="1:6" ht="15.6" x14ac:dyDescent="0.35">
      <c r="A39" s="32" t="s">
        <v>54</v>
      </c>
      <c r="B39" s="23">
        <f>$B$37/(B15)</f>
        <v>270979.31842296122</v>
      </c>
      <c r="C39" s="23">
        <f>C37/(C15)</f>
        <v>551552.01840714412</v>
      </c>
      <c r="D39" s="23">
        <f>D37/(D15)</f>
        <v>220751.91034275206</v>
      </c>
      <c r="E39" s="23">
        <f>E37/(E15)</f>
        <v>162601.1816582772</v>
      </c>
      <c r="F39" s="23">
        <f>F37/(F15)</f>
        <v>1360167.4553465983</v>
      </c>
    </row>
    <row r="40" spans="1:6" ht="15.6" x14ac:dyDescent="0.35">
      <c r="A40" s="32" t="s">
        <v>88</v>
      </c>
      <c r="B40" s="23">
        <f>$B$38/(B17)</f>
        <v>245626.24553284611</v>
      </c>
      <c r="C40" s="23">
        <f>C38/(C17)</f>
        <v>556387.39094932005</v>
      </c>
      <c r="D40" s="23">
        <f>D38/(D17)</f>
        <v>220994.38326109882</v>
      </c>
      <c r="E40" s="23">
        <f>E38/(E17)</f>
        <v>163845.88085429548</v>
      </c>
      <c r="F40" s="23">
        <f>F38/(F17)</f>
        <v>609643.36703519127</v>
      </c>
    </row>
    <row r="41" spans="1:6" ht="15.6" x14ac:dyDescent="0.35">
      <c r="A41" s="32"/>
      <c r="B41" s="24"/>
      <c r="C41" s="24"/>
      <c r="D41" s="24"/>
      <c r="E41" s="24"/>
      <c r="F41" s="24"/>
    </row>
    <row r="42" spans="1:6" ht="15.6" x14ac:dyDescent="0.35">
      <c r="A42" s="33" t="s">
        <v>9</v>
      </c>
      <c r="B42" s="24"/>
      <c r="C42" s="24"/>
      <c r="D42" s="24"/>
      <c r="E42" s="24"/>
      <c r="F42" s="24"/>
    </row>
    <row r="43" spans="1:6" ht="15.6" x14ac:dyDescent="0.35">
      <c r="A43" s="32"/>
      <c r="B43" s="24"/>
      <c r="C43" s="24"/>
      <c r="D43" s="24"/>
      <c r="E43" s="24"/>
      <c r="F43" s="24"/>
    </row>
    <row r="44" spans="1:6" ht="15.6" x14ac:dyDescent="0.35">
      <c r="A44" s="33" t="s">
        <v>10</v>
      </c>
      <c r="B44" s="24"/>
      <c r="C44" s="24"/>
      <c r="D44" s="24"/>
      <c r="E44" s="24"/>
      <c r="F44" s="24"/>
    </row>
    <row r="45" spans="1:6" ht="15.6" x14ac:dyDescent="0.35">
      <c r="A45" s="32" t="s">
        <v>11</v>
      </c>
      <c r="B45" s="18">
        <f>B16/B34*100</f>
        <v>6.9888455996157344</v>
      </c>
      <c r="C45" s="18"/>
      <c r="D45" s="18"/>
      <c r="E45" s="18"/>
      <c r="F45" s="18"/>
    </row>
    <row r="46" spans="1:6" ht="15.6" x14ac:dyDescent="0.35">
      <c r="A46" s="32" t="s">
        <v>12</v>
      </c>
      <c r="B46" s="18">
        <f>B17/B34*100</f>
        <v>6.2127519524648198</v>
      </c>
      <c r="C46" s="18"/>
      <c r="D46" s="18"/>
      <c r="E46" s="18"/>
      <c r="F46" s="18"/>
    </row>
    <row r="47" spans="1:6" ht="15.6" x14ac:dyDescent="0.35">
      <c r="A47" s="32"/>
      <c r="B47" s="18"/>
      <c r="C47" s="18"/>
      <c r="D47" s="18"/>
      <c r="E47" s="18"/>
      <c r="F47" s="18"/>
    </row>
    <row r="48" spans="1:6" ht="15.6" x14ac:dyDescent="0.35">
      <c r="A48" s="33" t="s">
        <v>13</v>
      </c>
      <c r="B48" s="18"/>
      <c r="C48" s="18"/>
      <c r="D48" s="18"/>
      <c r="E48" s="18"/>
      <c r="F48" s="18"/>
    </row>
    <row r="49" spans="1:6" ht="15.6" x14ac:dyDescent="0.35">
      <c r="A49" s="32" t="s">
        <v>14</v>
      </c>
      <c r="B49" s="18">
        <f>B17/B16*100</f>
        <v>88.895252640957111</v>
      </c>
      <c r="C49" s="18">
        <f>C17/C16*100</f>
        <v>93.685488767455979</v>
      </c>
      <c r="D49" s="18">
        <f>D17/D16*100</f>
        <v>94.388398486759144</v>
      </c>
      <c r="E49" s="18">
        <f>E17/E16*100</f>
        <v>85.616852283518952</v>
      </c>
      <c r="F49" s="18">
        <f>F17/F16*100</f>
        <v>112.69487750556793</v>
      </c>
    </row>
    <row r="50" spans="1:6" ht="15.6" x14ac:dyDescent="0.35">
      <c r="A50" s="32" t="s">
        <v>15</v>
      </c>
      <c r="B50" s="18">
        <f>B23/B22*100</f>
        <v>78.389698017486282</v>
      </c>
      <c r="C50" s="18">
        <f>C23/C22*100</f>
        <v>93.646307650182152</v>
      </c>
      <c r="D50" s="18">
        <f>D23/D22*100</f>
        <v>93.68780147258272</v>
      </c>
      <c r="E50" s="18">
        <f>E23/E22*100</f>
        <v>92.499538570620871</v>
      </c>
      <c r="F50" s="18">
        <f>F23/F22*100</f>
        <v>45.681704449618685</v>
      </c>
    </row>
    <row r="51" spans="1:6" ht="15.6" x14ac:dyDescent="0.35">
      <c r="A51" s="32" t="s">
        <v>16</v>
      </c>
      <c r="B51" s="18">
        <f>AVERAGE(B49:B50)</f>
        <v>83.642475329221696</v>
      </c>
      <c r="C51" s="18">
        <f>AVERAGE(C49:C50)</f>
        <v>93.665898208819073</v>
      </c>
      <c r="D51" s="18">
        <f>AVERAGE(D49:D50)</f>
        <v>94.038099979670932</v>
      </c>
      <c r="E51" s="18">
        <f>AVERAGE(E49:E50)</f>
        <v>89.058195427069904</v>
      </c>
      <c r="F51" s="18">
        <f>AVERAGE(F49:F50)</f>
        <v>79.188290977593311</v>
      </c>
    </row>
    <row r="52" spans="1:6" ht="15.6" x14ac:dyDescent="0.35">
      <c r="A52" s="32"/>
      <c r="B52" s="18"/>
      <c r="C52" s="18"/>
      <c r="D52" s="18"/>
      <c r="E52" s="18"/>
      <c r="F52" s="18"/>
    </row>
    <row r="53" spans="1:6" ht="15.6" x14ac:dyDescent="0.35">
      <c r="A53" s="33" t="s">
        <v>17</v>
      </c>
      <c r="B53" s="18"/>
      <c r="C53" s="18"/>
      <c r="D53" s="18"/>
      <c r="E53" s="18"/>
      <c r="F53" s="18"/>
    </row>
    <row r="54" spans="1:6" ht="15.6" x14ac:dyDescent="0.35">
      <c r="A54" s="32" t="s">
        <v>18</v>
      </c>
      <c r="B54" s="18">
        <f>(B17/B18)*100</f>
        <v>88.889595927457847</v>
      </c>
      <c r="C54" s="18">
        <f>(C17/C18)*100</f>
        <v>93.685488767455979</v>
      </c>
      <c r="D54" s="18">
        <f>(D17/D18)*100</f>
        <v>94.388398486759144</v>
      </c>
      <c r="E54" s="18">
        <f>(E17/E18)*100</f>
        <v>85.616852283518952</v>
      </c>
      <c r="F54" s="18">
        <f>(F17/F18)*100</f>
        <v>112.56952169076753</v>
      </c>
    </row>
    <row r="55" spans="1:6" ht="15.6" x14ac:dyDescent="0.35">
      <c r="A55" s="32" t="s">
        <v>19</v>
      </c>
      <c r="B55" s="18">
        <f>B23/B24*100</f>
        <v>19.592234289401343</v>
      </c>
      <c r="C55" s="18">
        <f>C23/C24*100</f>
        <v>23.411508756919325</v>
      </c>
      <c r="D55" s="18">
        <f>D23/D24*100</f>
        <v>23.42195036814568</v>
      </c>
      <c r="E55" s="18">
        <f>E23/E24*100</f>
        <v>23.124884327193548</v>
      </c>
      <c r="F55" s="18">
        <f>F23/F24*100</f>
        <v>11.410652184552498</v>
      </c>
    </row>
    <row r="56" spans="1:6" ht="15.6" x14ac:dyDescent="0.35">
      <c r="A56" s="32" t="s">
        <v>20</v>
      </c>
      <c r="B56" s="18">
        <f>(B54+B55)/2</f>
        <v>54.240915108429597</v>
      </c>
      <c r="C56" s="18">
        <f>(C54+C55)/2</f>
        <v>58.548498762187648</v>
      </c>
      <c r="D56" s="18">
        <f>(D54+D55)/2</f>
        <v>58.905174427452408</v>
      </c>
      <c r="E56" s="18">
        <f>(E54+E55)/2</f>
        <v>54.370868305356254</v>
      </c>
      <c r="F56" s="18">
        <f>(F54+F55)/2</f>
        <v>61.990086937660017</v>
      </c>
    </row>
    <row r="57" spans="1:6" ht="15.6" x14ac:dyDescent="0.35">
      <c r="A57" s="32"/>
      <c r="B57" s="18"/>
      <c r="C57" s="18"/>
      <c r="D57" s="18"/>
      <c r="E57" s="18"/>
      <c r="F57" s="18"/>
    </row>
    <row r="58" spans="1:6" ht="15.6" x14ac:dyDescent="0.35">
      <c r="A58" s="33" t="s">
        <v>21</v>
      </c>
      <c r="B58" s="18"/>
      <c r="C58" s="18"/>
      <c r="D58" s="18"/>
      <c r="E58" s="18"/>
      <c r="F58" s="18"/>
    </row>
    <row r="59" spans="1:6" ht="15.6" x14ac:dyDescent="0.35">
      <c r="A59" s="32" t="s">
        <v>22</v>
      </c>
      <c r="B59" s="18">
        <f>B25/B23*100</f>
        <v>100</v>
      </c>
      <c r="C59" s="18"/>
      <c r="D59" s="18"/>
      <c r="E59" s="18"/>
      <c r="F59" s="18"/>
    </row>
    <row r="60" spans="1:6" ht="15.6" x14ac:dyDescent="0.35">
      <c r="A60" s="32"/>
      <c r="B60" s="18"/>
      <c r="C60" s="18"/>
      <c r="D60" s="18"/>
      <c r="E60" s="18"/>
      <c r="F60" s="18"/>
    </row>
    <row r="61" spans="1:6" ht="15.6" x14ac:dyDescent="0.35">
      <c r="A61" s="33" t="s">
        <v>23</v>
      </c>
      <c r="B61" s="18"/>
      <c r="C61" s="18"/>
      <c r="D61" s="18"/>
      <c r="E61" s="18"/>
      <c r="F61" s="18"/>
    </row>
    <row r="62" spans="1:6" ht="15.6" x14ac:dyDescent="0.35">
      <c r="A62" s="32" t="s">
        <v>24</v>
      </c>
      <c r="B62" s="18">
        <f>((B17/B15)-1)*100</f>
        <v>-1.4138515103039428</v>
      </c>
      <c r="C62" s="18">
        <f>((C17/C15)-1)*100</f>
        <v>-3.5625000000000018</v>
      </c>
      <c r="D62" s="18">
        <f>((D17/D15)-1)*100</f>
        <v>5.3730642890661651</v>
      </c>
      <c r="E62" s="18">
        <f>((E17/E15)-1)*100</f>
        <v>-5.1458632233381207</v>
      </c>
      <c r="F62" s="18">
        <f>((F17/F15)-1)*100</f>
        <v>45.891398366170087</v>
      </c>
    </row>
    <row r="63" spans="1:6" ht="15.6" x14ac:dyDescent="0.35">
      <c r="A63" s="32" t="s">
        <v>25</v>
      </c>
      <c r="B63" s="18">
        <f>((B38/B37)-1)*100</f>
        <v>-10.637661737450744</v>
      </c>
      <c r="C63" s="18">
        <f>((C38/C37)-1)*100</f>
        <v>-2.7170471252507267</v>
      </c>
      <c r="D63" s="18">
        <f>((D38/D37)-1)*100</f>
        <v>5.4888055951035186</v>
      </c>
      <c r="E63" s="18">
        <f>((E38/E37)-1)*100</f>
        <v>-4.419762302171093</v>
      </c>
      <c r="F63" s="18">
        <f>((F38/F37)-1)*100</f>
        <v>-34.609725462987072</v>
      </c>
    </row>
    <row r="64" spans="1:6" ht="15.6" x14ac:dyDescent="0.35">
      <c r="A64" s="32" t="s">
        <v>26</v>
      </c>
      <c r="B64" s="18">
        <f>((B40/B39)-1)*100</f>
        <v>-9.3560914676678273</v>
      </c>
      <c r="C64" s="18">
        <f>((C40/C39)-1)*100</f>
        <v>0.8766847696687341</v>
      </c>
      <c r="D64" s="18">
        <f>((D40/D39)-1)*100</f>
        <v>0.10983955607464235</v>
      </c>
      <c r="E64" s="18">
        <f>((E40/E39)-1)*100</f>
        <v>0.76549209748926206</v>
      </c>
      <c r="F64" s="18">
        <f>((F40/F39)-1)*100</f>
        <v>-55.178800622027694</v>
      </c>
    </row>
    <row r="65" spans="1:6" ht="15.6" x14ac:dyDescent="0.35">
      <c r="A65" s="32"/>
      <c r="B65" s="18"/>
      <c r="C65" s="18"/>
      <c r="D65" s="18"/>
      <c r="E65" s="18"/>
      <c r="F65" s="18"/>
    </row>
    <row r="66" spans="1:6" ht="15.6" x14ac:dyDescent="0.35">
      <c r="A66" s="33" t="s">
        <v>27</v>
      </c>
      <c r="B66" s="18"/>
      <c r="C66" s="18"/>
      <c r="D66" s="18"/>
      <c r="E66" s="18"/>
      <c r="F66" s="18"/>
    </row>
    <row r="67" spans="1:6" ht="15.6" x14ac:dyDescent="0.35">
      <c r="A67" s="32" t="s">
        <v>38</v>
      </c>
      <c r="B67" s="18">
        <f>B22/(B16*3)</f>
        <v>101863.66725976836</v>
      </c>
      <c r="C67" s="18">
        <f>C22/(C16*3)</f>
        <v>203556</v>
      </c>
      <c r="D67" s="18">
        <f>D22/(D16*3)</f>
        <v>81422</v>
      </c>
      <c r="E67" s="18">
        <f>E22/(E16*3)</f>
        <v>55460.04</v>
      </c>
      <c r="F67" s="18">
        <f>F22/(F16*3)</f>
        <v>550000</v>
      </c>
    </row>
    <row r="68" spans="1:6" ht="15.6" x14ac:dyDescent="0.35">
      <c r="A68" s="32" t="s">
        <v>39</v>
      </c>
      <c r="B68" s="18">
        <f>$B$23/(B17*3)</f>
        <v>89825.517991361819</v>
      </c>
      <c r="C68" s="18">
        <f>C23/(C17*3)</f>
        <v>203470.86887016633</v>
      </c>
      <c r="D68" s="18">
        <f>D23/(D17*3)</f>
        <v>80817.645958583831</v>
      </c>
      <c r="E68" s="18">
        <f>E23/(E17*3)</f>
        <v>59918.438628415854</v>
      </c>
      <c r="F68" s="18">
        <f>F23/(F17*3)</f>
        <v>222946.57932476944</v>
      </c>
    </row>
    <row r="69" spans="1:6" ht="15.6" x14ac:dyDescent="0.35">
      <c r="A69" s="32" t="s">
        <v>28</v>
      </c>
      <c r="B69" s="18">
        <f>(B68/B67)*B51</f>
        <v>73.757688827039047</v>
      </c>
      <c r="C69" s="18">
        <f>(C68/C67)*C51</f>
        <v>93.626725284702857</v>
      </c>
      <c r="D69" s="18">
        <f>(D68/D67)*D51</f>
        <v>93.340103052921265</v>
      </c>
      <c r="E69" s="18">
        <f>(E68/E67)*E51</f>
        <v>96.217529180547885</v>
      </c>
      <c r="F69" s="18">
        <f>(F68/F67)*F51</f>
        <v>32.099561083688968</v>
      </c>
    </row>
    <row r="70" spans="1:6" ht="15.6" x14ac:dyDescent="0.35">
      <c r="A70" s="32" t="s">
        <v>40</v>
      </c>
      <c r="B70" s="18">
        <f t="shared" ref="B70:F71" si="0">B22/B16</f>
        <v>305591.00177930511</v>
      </c>
      <c r="C70" s="18">
        <f t="shared" si="0"/>
        <v>610668</v>
      </c>
      <c r="D70" s="18">
        <f t="shared" si="0"/>
        <v>244266</v>
      </c>
      <c r="E70" s="18">
        <f t="shared" si="0"/>
        <v>166380.12</v>
      </c>
      <c r="F70" s="18">
        <f t="shared" si="0"/>
        <v>1650000</v>
      </c>
    </row>
    <row r="71" spans="1:6" ht="15.6" x14ac:dyDescent="0.35">
      <c r="A71" s="32" t="s">
        <v>41</v>
      </c>
      <c r="B71" s="18">
        <f t="shared" si="0"/>
        <v>269476.55397408543</v>
      </c>
      <c r="C71" s="18">
        <f t="shared" si="0"/>
        <v>610412.60661049897</v>
      </c>
      <c r="D71" s="18">
        <f t="shared" si="0"/>
        <v>242452.93787575149</v>
      </c>
      <c r="E71" s="18">
        <f t="shared" si="0"/>
        <v>179755.31588524758</v>
      </c>
      <c r="F71" s="18">
        <f t="shared" si="0"/>
        <v>668839.73797430831</v>
      </c>
    </row>
    <row r="72" spans="1:6" ht="15.6" x14ac:dyDescent="0.35">
      <c r="A72" s="32"/>
      <c r="B72" s="18"/>
      <c r="C72" s="18"/>
      <c r="D72" s="18"/>
      <c r="E72" s="18"/>
      <c r="F72" s="18"/>
    </row>
    <row r="73" spans="1:6" ht="15.6" x14ac:dyDescent="0.35">
      <c r="A73" s="33" t="s">
        <v>29</v>
      </c>
      <c r="B73" s="18"/>
      <c r="C73" s="18"/>
      <c r="D73" s="18"/>
      <c r="E73" s="18"/>
      <c r="F73" s="18"/>
    </row>
    <row r="74" spans="1:6" ht="15.6" x14ac:dyDescent="0.35">
      <c r="A74" s="32" t="s">
        <v>30</v>
      </c>
      <c r="B74" s="18">
        <f>(B29/B28)*100</f>
        <v>106.09658605511152</v>
      </c>
      <c r="C74" s="18"/>
      <c r="D74" s="18"/>
      <c r="E74" s="18"/>
      <c r="F74" s="18"/>
    </row>
    <row r="75" spans="1:6" ht="15.6" x14ac:dyDescent="0.35">
      <c r="A75" s="36" t="s">
        <v>31</v>
      </c>
      <c r="B75" s="25">
        <f>(B23/B29)*100</f>
        <v>73.885221883357318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s="41" customFormat="1" ht="16.2" thickTop="1" x14ac:dyDescent="0.35">
      <c r="A77" s="32" t="s">
        <v>82</v>
      </c>
      <c r="B77" s="32"/>
      <c r="C77" s="32"/>
      <c r="D77" s="32"/>
      <c r="E77" s="32"/>
      <c r="F77" s="32"/>
    </row>
    <row r="78" spans="1:6" customFormat="1" ht="15.6" x14ac:dyDescent="0.35">
      <c r="A78" s="32"/>
      <c r="B78" s="32"/>
      <c r="C78" s="32"/>
      <c r="D78" s="32"/>
      <c r="E78" s="32"/>
      <c r="F78" s="32"/>
    </row>
    <row r="79" spans="1:6" customFormat="1" x14ac:dyDescent="0.3"/>
    <row r="80" spans="1:6" customFormat="1" x14ac:dyDescent="0.3">
      <c r="B80" s="37"/>
      <c r="C80" s="37"/>
      <c r="D80" s="37"/>
    </row>
    <row r="81" spans="1:1" customFormat="1" x14ac:dyDescent="0.3"/>
    <row r="82" spans="1:1" customFormat="1" x14ac:dyDescent="0.3"/>
    <row r="85" spans="1:1" x14ac:dyDescent="0.3">
      <c r="A85" s="7"/>
    </row>
    <row r="88" spans="1:1" x14ac:dyDescent="0.3">
      <c r="A88" s="1"/>
    </row>
  </sheetData>
  <mergeCells count="3">
    <mergeCell ref="A9:A10"/>
    <mergeCell ref="B9:B10"/>
    <mergeCell ref="C9:F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9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8.6640625" style="4" customWidth="1"/>
    <col min="8" max="16384" width="11.44140625" style="4"/>
  </cols>
  <sheetData>
    <row r="1" spans="1:7" s="40" customFormat="1" x14ac:dyDescent="0.3"/>
    <row r="2" spans="1:7" s="40" customFormat="1" x14ac:dyDescent="0.3"/>
    <row r="3" spans="1:7" s="40" customFormat="1" x14ac:dyDescent="0.3"/>
    <row r="4" spans="1:7" s="40" customFormat="1" x14ac:dyDescent="0.3"/>
    <row r="5" spans="1:7" s="40" customFormat="1" x14ac:dyDescent="0.3"/>
    <row r="6" spans="1:7" s="40" customFormat="1" x14ac:dyDescent="0.3"/>
    <row r="7" spans="1:7" s="40" customFormat="1" x14ac:dyDescent="0.3"/>
    <row r="8" spans="1:7" s="40" customFormat="1" ht="18" customHeight="1" x14ac:dyDescent="0.3"/>
    <row r="9" spans="1:7" s="41" customFormat="1" ht="15.6" x14ac:dyDescent="0.35">
      <c r="A9" s="44" t="s">
        <v>0</v>
      </c>
      <c r="B9" s="46" t="s">
        <v>1</v>
      </c>
      <c r="C9" s="48" t="s">
        <v>2</v>
      </c>
      <c r="D9" s="48"/>
      <c r="E9" s="48"/>
      <c r="F9" s="48"/>
    </row>
    <row r="10" spans="1:7" s="41" customFormat="1" ht="66" customHeight="1" thickBot="1" x14ac:dyDescent="0.35">
      <c r="A10" s="45"/>
      <c r="B10" s="47"/>
      <c r="C10" s="31" t="s">
        <v>46</v>
      </c>
      <c r="D10" s="31" t="s">
        <v>33</v>
      </c>
      <c r="E10" s="31" t="s">
        <v>44</v>
      </c>
      <c r="F10" s="31" t="s">
        <v>45</v>
      </c>
    </row>
    <row r="11" spans="1:7" s="41" customFormat="1" ht="16.2" thickTop="1" x14ac:dyDescent="0.35">
      <c r="A11" s="32"/>
      <c r="B11" s="32"/>
      <c r="C11" s="32"/>
      <c r="D11" s="32"/>
      <c r="E11" s="32"/>
      <c r="F11" s="32"/>
    </row>
    <row r="12" spans="1:7" s="41" customFormat="1" ht="15.6" x14ac:dyDescent="0.35">
      <c r="A12" s="33" t="s">
        <v>3</v>
      </c>
      <c r="B12" s="32"/>
      <c r="C12" s="32"/>
      <c r="D12" s="32"/>
      <c r="E12" s="32"/>
      <c r="F12" s="32"/>
    </row>
    <row r="13" spans="1:7" s="41" customFormat="1" ht="15.6" x14ac:dyDescent="0.35">
      <c r="A13" s="32"/>
      <c r="B13" s="32"/>
      <c r="C13" s="32"/>
      <c r="D13" s="32"/>
      <c r="E13" s="32"/>
      <c r="F13" s="32"/>
    </row>
    <row r="14" spans="1:7" s="41" customFormat="1" ht="15.6" x14ac:dyDescent="0.35">
      <c r="A14" s="33" t="s">
        <v>32</v>
      </c>
      <c r="B14" s="32"/>
      <c r="C14" s="28"/>
      <c r="D14" s="32"/>
      <c r="E14" s="32"/>
      <c r="F14" s="32"/>
    </row>
    <row r="15" spans="1:7" ht="15.6" x14ac:dyDescent="0.35">
      <c r="A15" s="34" t="s">
        <v>55</v>
      </c>
      <c r="B15" s="11">
        <f>SUM(C15:F15)</f>
        <v>14036.749999999998</v>
      </c>
      <c r="C15" s="11">
        <f>(+'I Trimestre'!C15+'II Trimestre'!C15)/2</f>
        <v>1587.3333333333335</v>
      </c>
      <c r="D15" s="11">
        <f>(+'I Trimestre'!D15+'II Trimestre'!D15)/2</f>
        <v>1411.1666666666667</v>
      </c>
      <c r="E15" s="11">
        <f>(+'I Trimestre'!E15+'II Trimestre'!E15)/2</f>
        <v>10384.333333333332</v>
      </c>
      <c r="F15" s="11">
        <f>(+'I Trimestre'!F15+'II Trimestre'!F15)/2</f>
        <v>653.91666666666686</v>
      </c>
      <c r="G15" s="2"/>
    </row>
    <row r="16" spans="1:7" ht="15.6" x14ac:dyDescent="0.35">
      <c r="A16" s="34" t="s">
        <v>89</v>
      </c>
      <c r="B16" s="11">
        <f>SUM(C16:F16)</f>
        <v>15714</v>
      </c>
      <c r="C16" s="11">
        <f>(+'I Trimestre'!C16+'II Trimestre'!C16)/2</f>
        <v>1647</v>
      </c>
      <c r="D16" s="11">
        <f>(+'I Trimestre'!D16+'II Trimestre'!D16)/2</f>
        <v>1586</v>
      </c>
      <c r="E16" s="11">
        <f>(+'I Trimestre'!E16+'II Trimestre'!E16)/2</f>
        <v>11583</v>
      </c>
      <c r="F16" s="11">
        <f>(+'I Trimestre'!F16+'II Trimestre'!F16)/2</f>
        <v>898</v>
      </c>
      <c r="G16" s="3"/>
    </row>
    <row r="17" spans="1:7" ht="15.6" x14ac:dyDescent="0.35">
      <c r="A17" s="34" t="s">
        <v>90</v>
      </c>
      <c r="B17" s="11">
        <f>SUM(C17:F17)</f>
        <v>13958</v>
      </c>
      <c r="C17" s="11">
        <f>(+'I Trimestre'!C17+'II Trimestre'!C17)/2</f>
        <v>1544</v>
      </c>
      <c r="D17" s="11">
        <f>(+'I Trimestre'!D17+'II Trimestre'!D17)/2</f>
        <v>1479.5</v>
      </c>
      <c r="E17" s="11">
        <f>(+'I Trimestre'!E17+'II Trimestre'!E17)/2</f>
        <v>9921.5</v>
      </c>
      <c r="F17" s="11">
        <f>(+'I Trimestre'!F17+'II Trimestre'!F17)/2</f>
        <v>1013</v>
      </c>
    </row>
    <row r="18" spans="1:7" ht="15.6" x14ac:dyDescent="0.35">
      <c r="A18" s="34" t="s">
        <v>77</v>
      </c>
      <c r="B18" s="11">
        <f>SUM(C18:F18)</f>
        <v>15715</v>
      </c>
      <c r="C18" s="11">
        <f>+'II Trimestre'!C18</f>
        <v>1647</v>
      </c>
      <c r="D18" s="11">
        <f>+'II Trimestre'!D18</f>
        <v>1586</v>
      </c>
      <c r="E18" s="11">
        <f>+'II Trimestre'!E18</f>
        <v>11583</v>
      </c>
      <c r="F18" s="11">
        <f>+'II Trimestre'!F18</f>
        <v>899</v>
      </c>
      <c r="G18" s="3"/>
    </row>
    <row r="19" spans="1:7" ht="15.6" x14ac:dyDescent="0.35">
      <c r="A19" s="32"/>
      <c r="B19" s="11"/>
      <c r="C19" s="11"/>
      <c r="D19" s="11"/>
      <c r="E19" s="11"/>
      <c r="F19" s="11"/>
      <c r="G19" s="3"/>
    </row>
    <row r="20" spans="1:7" ht="15.6" x14ac:dyDescent="0.35">
      <c r="A20" s="35" t="s">
        <v>4</v>
      </c>
      <c r="B20" s="11"/>
      <c r="C20" s="11"/>
      <c r="D20" s="11"/>
      <c r="E20" s="11"/>
      <c r="F20" s="11"/>
      <c r="G20" s="5"/>
    </row>
    <row r="21" spans="1:7" ht="15.6" x14ac:dyDescent="0.35">
      <c r="A21" s="34" t="s">
        <v>55</v>
      </c>
      <c r="B21" s="11">
        <f>SUM(C21:F21)</f>
        <v>8018525513.9799995</v>
      </c>
      <c r="C21" s="11">
        <f>+'I Trimestre'!C21+'II Trimestre'!C21</f>
        <v>1922335520</v>
      </c>
      <c r="D21" s="11">
        <f>+'I Trimestre'!D21+'II Trimestre'!D21</f>
        <v>683798820</v>
      </c>
      <c r="E21" s="11">
        <f>+'I Trimestre'!E21+'II Trimestre'!E21</f>
        <v>3708375173.9799995</v>
      </c>
      <c r="F21" s="11">
        <f>+'I Trimestre'!F21+'II Trimestre'!F21</f>
        <v>1704016000</v>
      </c>
    </row>
    <row r="22" spans="1:7" ht="15.6" x14ac:dyDescent="0.35">
      <c r="A22" s="34" t="s">
        <v>89</v>
      </c>
      <c r="B22" s="11">
        <f>SUM(C22:F22)</f>
        <v>9604114003.9200001</v>
      </c>
      <c r="C22" s="11">
        <f>+'I Trimestre'!C22+'II Trimestre'!C22</f>
        <v>2011540392</v>
      </c>
      <c r="D22" s="11">
        <f>+'I Trimestre'!D22+'II Trimestre'!D22</f>
        <v>774811752</v>
      </c>
      <c r="E22" s="11">
        <f>+'I Trimestre'!E22+'II Trimestre'!E22</f>
        <v>3854361859.9200001</v>
      </c>
      <c r="F22" s="11">
        <f>+'I Trimestre'!F22+'II Trimestre'!F22</f>
        <v>2963400000</v>
      </c>
      <c r="G22" s="3"/>
    </row>
    <row r="23" spans="1:7" ht="15.6" x14ac:dyDescent="0.35">
      <c r="A23" s="34" t="s">
        <v>90</v>
      </c>
      <c r="B23" s="11">
        <f>SUM(C23:F23)</f>
        <v>6774684910.2139997</v>
      </c>
      <c r="C23" s="11">
        <f>+'I Trimestre'!C23+'II Trimestre'!C23</f>
        <v>1794254492</v>
      </c>
      <c r="D23" s="11">
        <f>+'I Trimestre'!D23+'II Trimestre'!D23</f>
        <v>668828734</v>
      </c>
      <c r="E23" s="11">
        <f>+'I Trimestre'!E23+'II Trimestre'!E23</f>
        <v>3523935869.3839998</v>
      </c>
      <c r="F23" s="11">
        <f>+'I Trimestre'!F23+'II Trimestre'!F23</f>
        <v>787665814.83000004</v>
      </c>
    </row>
    <row r="24" spans="1:7" ht="15.6" x14ac:dyDescent="0.35">
      <c r="A24" s="34" t="s">
        <v>77</v>
      </c>
      <c r="B24" s="11">
        <f>SUM(C24:F24)</f>
        <v>19213316494.996964</v>
      </c>
      <c r="C24" s="11">
        <f>+'II Trimestre'!C24</f>
        <v>4023092495.9999819</v>
      </c>
      <c r="D24" s="11">
        <f>+'II Trimestre'!D24</f>
        <v>1549623504</v>
      </c>
      <c r="E24" s="11">
        <f>+'II Trimestre'!E24</f>
        <v>7708723824.9997406</v>
      </c>
      <c r="F24" s="11">
        <f>+'II Trimestre'!F24</f>
        <v>5931876669.9972401</v>
      </c>
    </row>
    <row r="25" spans="1:7" ht="15.6" x14ac:dyDescent="0.35">
      <c r="A25" s="34" t="s">
        <v>91</v>
      </c>
      <c r="B25" s="11">
        <f>SUM(C25:F25)</f>
        <v>6774684910.2139997</v>
      </c>
      <c r="C25" s="11">
        <f>+C23</f>
        <v>1794254492</v>
      </c>
      <c r="D25" s="11">
        <f>+D23</f>
        <v>668828734</v>
      </c>
      <c r="E25" s="11">
        <f>+E23</f>
        <v>3523935869.3839998</v>
      </c>
      <c r="F25" s="11">
        <f>+F23</f>
        <v>787665814.83000004</v>
      </c>
      <c r="G25" s="3"/>
    </row>
    <row r="26" spans="1:7" ht="15.6" x14ac:dyDescent="0.35">
      <c r="A26" s="32"/>
      <c r="B26" s="11"/>
      <c r="C26" s="11"/>
      <c r="D26" s="11"/>
      <c r="E26" s="11"/>
      <c r="F26" s="11"/>
      <c r="G26" s="3"/>
    </row>
    <row r="27" spans="1:7" ht="15.6" x14ac:dyDescent="0.35">
      <c r="A27" s="35" t="s">
        <v>5</v>
      </c>
      <c r="B27" s="11"/>
      <c r="C27" s="11"/>
      <c r="D27" s="11"/>
      <c r="E27" s="11"/>
      <c r="F27" s="11"/>
    </row>
    <row r="28" spans="1:7" ht="15.6" x14ac:dyDescent="0.35">
      <c r="A28" s="34" t="s">
        <v>89</v>
      </c>
      <c r="B28" s="11">
        <f>B22</f>
        <v>9604114003.9200001</v>
      </c>
      <c r="C28" s="11"/>
      <c r="D28" s="11"/>
      <c r="E28" s="11"/>
      <c r="F28" s="11"/>
    </row>
    <row r="29" spans="1:7" ht="15.6" x14ac:dyDescent="0.35">
      <c r="A29" s="34" t="s">
        <v>90</v>
      </c>
      <c r="B29" s="11">
        <f>'I Trimestre'!B29+'II Trimestre'!B29</f>
        <v>9898147662.9960003</v>
      </c>
      <c r="C29" s="49"/>
      <c r="D29" s="49"/>
      <c r="E29" s="11"/>
      <c r="F29" s="11"/>
    </row>
    <row r="30" spans="1:7" ht="15.6" x14ac:dyDescent="0.35">
      <c r="A30" s="32"/>
      <c r="B30" s="9"/>
      <c r="C30" s="9"/>
      <c r="D30" s="9"/>
      <c r="E30" s="9"/>
      <c r="F30" s="9"/>
    </row>
    <row r="31" spans="1:7" ht="15.6" x14ac:dyDescent="0.35">
      <c r="A31" s="33" t="s">
        <v>6</v>
      </c>
      <c r="B31" s="9"/>
      <c r="C31" s="9"/>
      <c r="D31" s="9"/>
      <c r="E31" s="9"/>
      <c r="F31" s="9"/>
    </row>
    <row r="32" spans="1:7" ht="15.6" x14ac:dyDescent="0.35">
      <c r="A32" s="34" t="s">
        <v>56</v>
      </c>
      <c r="B32" s="38">
        <v>1.0973999999999999</v>
      </c>
      <c r="C32" s="38">
        <v>1.0973999999999999</v>
      </c>
      <c r="D32" s="38">
        <v>1.0973999999999999</v>
      </c>
      <c r="E32" s="38">
        <v>1.0973999999999999</v>
      </c>
      <c r="F32" s="38">
        <v>1.0973999999999999</v>
      </c>
    </row>
    <row r="33" spans="1:6" ht="15.6" x14ac:dyDescent="0.35">
      <c r="A33" s="34" t="s">
        <v>92</v>
      </c>
      <c r="B33" s="38">
        <v>1.0971</v>
      </c>
      <c r="C33" s="38">
        <v>1.0971</v>
      </c>
      <c r="D33" s="38">
        <v>1.0971</v>
      </c>
      <c r="E33" s="38">
        <v>1.0971</v>
      </c>
      <c r="F33" s="38">
        <v>1.0971</v>
      </c>
    </row>
    <row r="34" spans="1:6" ht="15.6" x14ac:dyDescent="0.35">
      <c r="A34" s="34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32"/>
      <c r="B35" s="11"/>
      <c r="C35" s="11"/>
      <c r="D35" s="11"/>
      <c r="E35" s="11"/>
      <c r="F35" s="11"/>
    </row>
    <row r="36" spans="1:6" ht="15.6" x14ac:dyDescent="0.35">
      <c r="A36" s="33" t="s">
        <v>8</v>
      </c>
      <c r="B36" s="11"/>
      <c r="C36" s="11"/>
      <c r="D36" s="11"/>
      <c r="E36" s="11"/>
      <c r="F36" s="11"/>
    </row>
    <row r="37" spans="1:6" ht="15.6" x14ac:dyDescent="0.35">
      <c r="A37" s="32" t="s">
        <v>57</v>
      </c>
      <c r="B37" s="23">
        <f>B21/B32</f>
        <v>7306839360.2879534</v>
      </c>
      <c r="C37" s="23">
        <f>C21/C32</f>
        <v>1751718170.2205215</v>
      </c>
      <c r="D37" s="23">
        <f>D21/D32</f>
        <v>623108091.85347188</v>
      </c>
      <c r="E37" s="23">
        <f>E21/E32</f>
        <v>3379237446.6739564</v>
      </c>
      <c r="F37" s="23">
        <f>F21/F32</f>
        <v>1552775651.5400038</v>
      </c>
    </row>
    <row r="38" spans="1:6" ht="15.6" x14ac:dyDescent="0.35">
      <c r="A38" s="32" t="s">
        <v>93</v>
      </c>
      <c r="B38" s="23">
        <f>B23/B33</f>
        <v>6175084231.3499222</v>
      </c>
      <c r="C38" s="23">
        <f>C23/C33</f>
        <v>1635452093.7015769</v>
      </c>
      <c r="D38" s="23">
        <f>D23/D33</f>
        <v>609633336.97930908</v>
      </c>
      <c r="E38" s="23">
        <f>E23/E33</f>
        <v>3212046184.8363867</v>
      </c>
      <c r="F38" s="23">
        <f>F23/F33</f>
        <v>717952615.83264983</v>
      </c>
    </row>
    <row r="39" spans="1:6" ht="15.6" x14ac:dyDescent="0.35">
      <c r="A39" s="32" t="s">
        <v>58</v>
      </c>
      <c r="B39" s="23">
        <f>$B$37/(B15)</f>
        <v>520550.65170270571</v>
      </c>
      <c r="C39" s="23">
        <f>C37/(C15)</f>
        <v>1103560.3760314079</v>
      </c>
      <c r="D39" s="23">
        <f>D37/(D15)</f>
        <v>441555.27945208823</v>
      </c>
      <c r="E39" s="23">
        <f>E37/(E15)</f>
        <v>325416.88890385744</v>
      </c>
      <c r="F39" s="23">
        <f>F37/(F15)</f>
        <v>2374577.2675519357</v>
      </c>
    </row>
    <row r="40" spans="1:6" ht="15.6" x14ac:dyDescent="0.35">
      <c r="A40" s="32" t="s">
        <v>94</v>
      </c>
      <c r="B40" s="23">
        <f>$B$38/(B17)</f>
        <v>442404.65907364397</v>
      </c>
      <c r="C40" s="23">
        <f>C38/(C17)</f>
        <v>1059230.6306357363</v>
      </c>
      <c r="D40" s="23">
        <f>D38/(D17)</f>
        <v>412053.62418337888</v>
      </c>
      <c r="E40" s="23">
        <f>E38/(E17)</f>
        <v>323746.02477814711</v>
      </c>
      <c r="F40" s="23">
        <f>F38/(F17)</f>
        <v>708739.00871929899</v>
      </c>
    </row>
    <row r="41" spans="1:6" ht="15.6" x14ac:dyDescent="0.35">
      <c r="A41" s="32"/>
      <c r="B41" s="24"/>
      <c r="C41" s="24"/>
      <c r="D41" s="24"/>
      <c r="E41" s="24"/>
      <c r="F41" s="24"/>
    </row>
    <row r="42" spans="1:6" ht="15.6" x14ac:dyDescent="0.35">
      <c r="A42" s="33" t="s">
        <v>9</v>
      </c>
      <c r="B42" s="24"/>
      <c r="C42" s="24"/>
      <c r="D42" s="24"/>
      <c r="E42" s="24"/>
      <c r="F42" s="24"/>
    </row>
    <row r="43" spans="1:6" ht="15.6" x14ac:dyDescent="0.35">
      <c r="A43" s="32"/>
      <c r="B43" s="24"/>
      <c r="C43" s="24"/>
      <c r="D43" s="24"/>
      <c r="E43" s="24"/>
      <c r="F43" s="24"/>
    </row>
    <row r="44" spans="1:6" ht="15.6" x14ac:dyDescent="0.35">
      <c r="A44" s="33" t="s">
        <v>10</v>
      </c>
      <c r="B44" s="24"/>
      <c r="C44" s="24"/>
      <c r="D44" s="24"/>
      <c r="E44" s="24"/>
      <c r="F44" s="24"/>
    </row>
    <row r="45" spans="1:6" ht="15.6" x14ac:dyDescent="0.35">
      <c r="A45" s="32" t="s">
        <v>11</v>
      </c>
      <c r="B45" s="18">
        <f>(B16/(B34))*100</f>
        <v>6.9888455996157344</v>
      </c>
      <c r="C45" s="18"/>
      <c r="D45" s="18"/>
      <c r="E45" s="18"/>
      <c r="F45" s="18"/>
    </row>
    <row r="46" spans="1:6" ht="15.6" x14ac:dyDescent="0.35">
      <c r="A46" s="32" t="s">
        <v>12</v>
      </c>
      <c r="B46" s="18">
        <f>(B17/(B34))*100</f>
        <v>6.2078596715945276</v>
      </c>
      <c r="C46" s="18"/>
      <c r="D46" s="18"/>
      <c r="E46" s="18"/>
      <c r="F46" s="18"/>
    </row>
    <row r="47" spans="1:6" ht="15.6" x14ac:dyDescent="0.35">
      <c r="A47" s="32"/>
      <c r="B47" s="18"/>
      <c r="C47" s="18"/>
      <c r="D47" s="18"/>
      <c r="E47" s="18"/>
      <c r="F47" s="18"/>
    </row>
    <row r="48" spans="1:6" ht="15.6" x14ac:dyDescent="0.35">
      <c r="A48" s="33" t="s">
        <v>13</v>
      </c>
      <c r="B48" s="18"/>
      <c r="C48" s="18"/>
      <c r="D48" s="18"/>
      <c r="E48" s="18"/>
      <c r="F48" s="18"/>
    </row>
    <row r="49" spans="1:7" ht="15.6" x14ac:dyDescent="0.35">
      <c r="A49" s="32" t="s">
        <v>14</v>
      </c>
      <c r="B49" s="18">
        <f>B17/B16*100</f>
        <v>88.825251368206693</v>
      </c>
      <c r="C49" s="18">
        <f>C17/C16*100</f>
        <v>93.746205221615057</v>
      </c>
      <c r="D49" s="18">
        <f>D17/D16*100</f>
        <v>93.284993694829765</v>
      </c>
      <c r="E49" s="18">
        <f>E17/E16*100</f>
        <v>85.655702322368981</v>
      </c>
      <c r="F49" s="18">
        <f>F17/F16*100</f>
        <v>112.80623608017817</v>
      </c>
    </row>
    <row r="50" spans="1:7" ht="15.6" x14ac:dyDescent="0.35">
      <c r="A50" s="32" t="s">
        <v>15</v>
      </c>
      <c r="B50" s="18">
        <f>B23/B22*100</f>
        <v>70.53940537824576</v>
      </c>
      <c r="C50" s="18">
        <f>C23/C22*100</f>
        <v>89.19803445836051</v>
      </c>
      <c r="D50" s="18">
        <f>D23/D22*100</f>
        <v>86.321449342188089</v>
      </c>
      <c r="E50" s="18">
        <f>E23/E22*100</f>
        <v>91.427219276633807</v>
      </c>
      <c r="F50" s="18">
        <f>F23/F22*100</f>
        <v>26.579800729904839</v>
      </c>
    </row>
    <row r="51" spans="1:7" ht="15.6" x14ac:dyDescent="0.35">
      <c r="A51" s="32" t="s">
        <v>16</v>
      </c>
      <c r="B51" s="18">
        <f>AVERAGE(B49:B50)</f>
        <v>79.682328373226227</v>
      </c>
      <c r="C51" s="18">
        <f>AVERAGE(C49:C50)</f>
        <v>91.472119839987784</v>
      </c>
      <c r="D51" s="18">
        <f>AVERAGE(D49:D50)</f>
        <v>89.803221518508934</v>
      </c>
      <c r="E51" s="18">
        <f>AVERAGE(E49:E50)</f>
        <v>88.541460799501394</v>
      </c>
      <c r="F51" s="18">
        <f>AVERAGE(F49:F50)</f>
        <v>69.693018405041499</v>
      </c>
    </row>
    <row r="52" spans="1:7" ht="15.6" x14ac:dyDescent="0.35">
      <c r="A52" s="32"/>
      <c r="B52" s="18"/>
      <c r="C52" s="18"/>
      <c r="D52" s="18"/>
      <c r="E52" s="18"/>
      <c r="F52" s="18"/>
    </row>
    <row r="53" spans="1:7" ht="15.6" x14ac:dyDescent="0.35">
      <c r="A53" s="33" t="s">
        <v>17</v>
      </c>
      <c r="B53" s="18"/>
      <c r="C53" s="18"/>
      <c r="D53" s="18"/>
      <c r="E53" s="18"/>
      <c r="F53" s="18"/>
    </row>
    <row r="54" spans="1:7" ht="15.6" x14ac:dyDescent="0.35">
      <c r="A54" s="32" t="s">
        <v>18</v>
      </c>
      <c r="B54" s="18">
        <f>(B17/B18)*100</f>
        <v>88.819599109131403</v>
      </c>
      <c r="C54" s="18">
        <f>(C17/C18)*100</f>
        <v>93.746205221615057</v>
      </c>
      <c r="D54" s="18">
        <f>(D17/D18)*100</f>
        <v>93.284993694829765</v>
      </c>
      <c r="E54" s="18">
        <f>(E17/E18)*100</f>
        <v>85.655702322368981</v>
      </c>
      <c r="F54" s="18">
        <f>(F17/F18)*100</f>
        <v>112.68075639599556</v>
      </c>
    </row>
    <row r="55" spans="1:7" ht="15.6" x14ac:dyDescent="0.35">
      <c r="A55" s="32" t="s">
        <v>19</v>
      </c>
      <c r="B55" s="18">
        <f>B23/B24*100</f>
        <v>35.260361801556165</v>
      </c>
      <c r="C55" s="18">
        <f>C23/C24*100</f>
        <v>44.598887392819421</v>
      </c>
      <c r="D55" s="18">
        <f>D23/D24*100</f>
        <v>43.160724671094044</v>
      </c>
      <c r="E55" s="18">
        <f>E23/E24*100</f>
        <v>45.713609014707679</v>
      </c>
      <c r="F55" s="18">
        <f>F23/F24*100</f>
        <v>13.278526487476123</v>
      </c>
    </row>
    <row r="56" spans="1:7" ht="15.6" x14ac:dyDescent="0.35">
      <c r="A56" s="32" t="s">
        <v>20</v>
      </c>
      <c r="B56" s="18">
        <f>(B54+B55)/2</f>
        <v>62.03998045534378</v>
      </c>
      <c r="C56" s="18">
        <f>(C54+C55)/2</f>
        <v>69.172546307217232</v>
      </c>
      <c r="D56" s="18">
        <f>(D54+D55)/2</f>
        <v>68.222859182961912</v>
      </c>
      <c r="E56" s="18">
        <f>(E54+E55)/2</f>
        <v>65.684655668538326</v>
      </c>
      <c r="F56" s="18">
        <f>(F54+F55)/2</f>
        <v>62.979641441735843</v>
      </c>
    </row>
    <row r="57" spans="1:7" ht="15.6" x14ac:dyDescent="0.35">
      <c r="A57" s="32"/>
      <c r="B57" s="18"/>
      <c r="C57" s="18"/>
      <c r="D57" s="18"/>
      <c r="E57" s="18"/>
      <c r="F57" s="18"/>
    </row>
    <row r="58" spans="1:7" ht="15.6" x14ac:dyDescent="0.35">
      <c r="A58" s="33" t="s">
        <v>21</v>
      </c>
      <c r="B58" s="18"/>
      <c r="C58" s="18"/>
      <c r="D58" s="18"/>
      <c r="E58" s="18"/>
      <c r="F58" s="18"/>
    </row>
    <row r="59" spans="1:7" ht="15.6" x14ac:dyDescent="0.35">
      <c r="A59" s="32" t="s">
        <v>22</v>
      </c>
      <c r="B59" s="18">
        <f>B25/B23*100</f>
        <v>100</v>
      </c>
      <c r="C59" s="18"/>
      <c r="D59" s="18"/>
      <c r="E59" s="18"/>
      <c r="F59" s="18"/>
    </row>
    <row r="60" spans="1:7" ht="15.6" x14ac:dyDescent="0.35">
      <c r="A60" s="32"/>
      <c r="B60" s="18"/>
      <c r="C60" s="18"/>
      <c r="D60" s="18"/>
      <c r="E60" s="18"/>
      <c r="F60" s="18"/>
    </row>
    <row r="61" spans="1:7" ht="15.6" x14ac:dyDescent="0.35">
      <c r="A61" s="33" t="s">
        <v>23</v>
      </c>
      <c r="B61" s="18"/>
      <c r="C61" s="18"/>
      <c r="D61" s="18"/>
      <c r="E61" s="18"/>
      <c r="F61" s="18"/>
    </row>
    <row r="62" spans="1:7" ht="15.6" x14ac:dyDescent="0.35">
      <c r="A62" s="32" t="s">
        <v>24</v>
      </c>
      <c r="B62" s="18">
        <f>((B17/B15)-1)*100</f>
        <v>-0.56102730332875383</v>
      </c>
      <c r="C62" s="18">
        <f>((C17/C15)-1)*100</f>
        <v>-2.7299454010919821</v>
      </c>
      <c r="D62" s="18">
        <f>((D17/D15)-1)*100</f>
        <v>4.8423290421636844</v>
      </c>
      <c r="E62" s="18">
        <f>((E17/E15)-1)*100</f>
        <v>-4.4570346355086059</v>
      </c>
      <c r="F62" s="18">
        <f>((F17/F15)-1)*100</f>
        <v>54.91270549254488</v>
      </c>
    </row>
    <row r="63" spans="1:7" ht="15.6" x14ac:dyDescent="0.35">
      <c r="A63" s="32" t="s">
        <v>25</v>
      </c>
      <c r="B63" s="18">
        <f>((B38/B37)-1)*100</f>
        <v>-15.488983309103844</v>
      </c>
      <c r="C63" s="18">
        <f>((C38/C37)-1)*100</f>
        <v>-6.6372592632471195</v>
      </c>
      <c r="D63" s="18">
        <f>((D38/D37)-1)*100</f>
        <v>-2.1625068026450034</v>
      </c>
      <c r="E63" s="18">
        <f>((E38/E37)-1)*100</f>
        <v>-4.9476032529803149</v>
      </c>
      <c r="F63" s="18">
        <f>((F38/F37)-1)*100</f>
        <v>-53.763274487167379</v>
      </c>
      <c r="G63" s="8"/>
    </row>
    <row r="64" spans="1:7" ht="15.6" x14ac:dyDescent="0.35">
      <c r="A64" s="32" t="s">
        <v>26</v>
      </c>
      <c r="B64" s="18">
        <f>((B40/B39)-1)*100</f>
        <v>-15.012178425566947</v>
      </c>
      <c r="C64" s="18">
        <f>((C40/C39)-1)*100</f>
        <v>-4.0169750888563893</v>
      </c>
      <c r="D64" s="18">
        <f>((D40/D39)-1)*100</f>
        <v>-6.6813050690543214</v>
      </c>
      <c r="E64" s="18">
        <f>((E40/E39)-1)*100</f>
        <v>-0.51345341396954458</v>
      </c>
      <c r="F64" s="18">
        <f>((F40/F39)-1)*100</f>
        <v>-70.153044990194331</v>
      </c>
    </row>
    <row r="65" spans="1:6" ht="15.6" x14ac:dyDescent="0.35">
      <c r="A65" s="32"/>
      <c r="B65" s="18"/>
      <c r="C65" s="18"/>
      <c r="D65" s="18"/>
      <c r="E65" s="18"/>
      <c r="F65" s="18"/>
    </row>
    <row r="66" spans="1:6" ht="15.6" x14ac:dyDescent="0.35">
      <c r="A66" s="33" t="s">
        <v>27</v>
      </c>
      <c r="B66" s="18"/>
      <c r="C66" s="18"/>
      <c r="D66" s="18"/>
      <c r="E66" s="18"/>
      <c r="F66" s="18"/>
    </row>
    <row r="67" spans="1:6" ht="15.6" x14ac:dyDescent="0.35">
      <c r="A67" s="32" t="s">
        <v>38</v>
      </c>
      <c r="B67" s="18">
        <f t="shared" ref="B67:F68" si="0">B22/(B16*6)</f>
        <v>101863.66725976836</v>
      </c>
      <c r="C67" s="18">
        <f t="shared" si="0"/>
        <v>203556</v>
      </c>
      <c r="D67" s="18">
        <f t="shared" si="0"/>
        <v>81422</v>
      </c>
      <c r="E67" s="18">
        <f t="shared" si="0"/>
        <v>55460.04</v>
      </c>
      <c r="F67" s="18">
        <f t="shared" si="0"/>
        <v>550000</v>
      </c>
    </row>
    <row r="68" spans="1:6" ht="15.6" x14ac:dyDescent="0.35">
      <c r="A68" s="32" t="s">
        <v>39</v>
      </c>
      <c r="B68" s="18">
        <f t="shared" si="0"/>
        <v>80893.691911615795</v>
      </c>
      <c r="C68" s="18">
        <f t="shared" si="0"/>
        <v>193680.3208117444</v>
      </c>
      <c r="D68" s="18">
        <f t="shared" si="0"/>
        <v>75344.005181930828</v>
      </c>
      <c r="E68" s="18">
        <f t="shared" si="0"/>
        <v>59196.960630684203</v>
      </c>
      <c r="F68" s="18">
        <f t="shared" si="0"/>
        <v>129592.9277443238</v>
      </c>
    </row>
    <row r="69" spans="1:6" ht="15.6" x14ac:dyDescent="0.35">
      <c r="A69" s="32" t="s">
        <v>28</v>
      </c>
      <c r="B69" s="18">
        <f>(B68/B67)*B51</f>
        <v>63.278673305430551</v>
      </c>
      <c r="C69" s="18">
        <f>(C68/C67)*C51</f>
        <v>87.034278114814413</v>
      </c>
      <c r="D69" s="18">
        <f>(D68/D67)*D51</f>
        <v>83.099584724578364</v>
      </c>
      <c r="E69" s="18">
        <f>(E68/E67)*E51</f>
        <v>94.507421363766653</v>
      </c>
      <c r="F69" s="18">
        <f>(F68/F67)*F51</f>
        <v>16.421313269906129</v>
      </c>
    </row>
    <row r="70" spans="1:6" ht="15.6" x14ac:dyDescent="0.35">
      <c r="A70" s="32" t="s">
        <v>40</v>
      </c>
      <c r="B70" s="18">
        <f>B22/B16</f>
        <v>611182.00355861022</v>
      </c>
      <c r="C70" s="18">
        <f t="shared" ref="C70:F71" si="1">C22/C16</f>
        <v>1221336</v>
      </c>
      <c r="D70" s="18">
        <f t="shared" si="1"/>
        <v>488532</v>
      </c>
      <c r="E70" s="18">
        <f t="shared" si="1"/>
        <v>332760.24</v>
      </c>
      <c r="F70" s="18">
        <f t="shared" si="1"/>
        <v>3300000</v>
      </c>
    </row>
    <row r="71" spans="1:6" ht="15.6" x14ac:dyDescent="0.35">
      <c r="A71" s="32" t="s">
        <v>41</v>
      </c>
      <c r="B71" s="18">
        <f>B23/B17</f>
        <v>485362.1514696948</v>
      </c>
      <c r="C71" s="18">
        <f t="shared" si="1"/>
        <v>1162081.9248704663</v>
      </c>
      <c r="D71" s="18">
        <f t="shared" si="1"/>
        <v>452064.031091585</v>
      </c>
      <c r="E71" s="18">
        <f t="shared" si="1"/>
        <v>355181.76378410519</v>
      </c>
      <c r="F71" s="18">
        <f t="shared" si="1"/>
        <v>777557.56646594277</v>
      </c>
    </row>
    <row r="72" spans="1:6" ht="15.6" x14ac:dyDescent="0.35">
      <c r="A72" s="32"/>
      <c r="B72" s="18"/>
      <c r="C72" s="18"/>
      <c r="D72" s="18"/>
      <c r="E72" s="18"/>
      <c r="F72" s="18"/>
    </row>
    <row r="73" spans="1:6" ht="15.6" x14ac:dyDescent="0.35">
      <c r="A73" s="33" t="s">
        <v>29</v>
      </c>
      <c r="B73" s="18"/>
      <c r="C73" s="18"/>
      <c r="D73" s="18"/>
      <c r="E73" s="18"/>
      <c r="F73" s="18"/>
    </row>
    <row r="74" spans="1:6" ht="15.6" x14ac:dyDescent="0.35">
      <c r="A74" s="32" t="s">
        <v>30</v>
      </c>
      <c r="B74" s="25">
        <f>(B29/B28)*100</f>
        <v>103.06153861726327</v>
      </c>
      <c r="C74" s="25"/>
      <c r="D74" s="25"/>
      <c r="E74" s="25"/>
      <c r="F74" s="25"/>
    </row>
    <row r="75" spans="1:6" ht="15.6" x14ac:dyDescent="0.35">
      <c r="A75" s="32" t="s">
        <v>31</v>
      </c>
      <c r="B75" s="25">
        <f>(B23/B29)*100</f>
        <v>68.443966900403041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s="41" customFormat="1" ht="16.2" thickTop="1" x14ac:dyDescent="0.35">
      <c r="A77" s="32" t="s">
        <v>82</v>
      </c>
      <c r="B77" s="32"/>
      <c r="C77" s="32"/>
      <c r="D77" s="32"/>
      <c r="E77" s="32"/>
      <c r="F77" s="32"/>
    </row>
    <row r="78" spans="1:6" s="41" customFormat="1" x14ac:dyDescent="0.3"/>
    <row r="79" spans="1:6" s="41" customFormat="1" x14ac:dyDescent="0.3"/>
    <row r="80" spans="1:6" s="41" customFormat="1" x14ac:dyDescent="0.3">
      <c r="A80" s="39"/>
    </row>
    <row r="81" spans="1:1" s="41" customFormat="1" x14ac:dyDescent="0.3"/>
    <row r="82" spans="1:1" s="41" customFormat="1" x14ac:dyDescent="0.3"/>
    <row r="83" spans="1:1" s="41" customFormat="1" x14ac:dyDescent="0.3">
      <c r="A83" s="40"/>
    </row>
    <row r="86" spans="1:1" x14ac:dyDescent="0.3">
      <c r="A86" s="7"/>
    </row>
    <row r="89" spans="1:1" x14ac:dyDescent="0.3">
      <c r="A89" s="1"/>
    </row>
  </sheetData>
  <mergeCells count="4">
    <mergeCell ref="A9:A10"/>
    <mergeCell ref="C9:F9"/>
    <mergeCell ref="C29:D29"/>
    <mergeCell ref="B9:B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8.6640625" style="4" customWidth="1"/>
    <col min="8" max="16384" width="11.44140625" style="4"/>
  </cols>
  <sheetData>
    <row r="1" spans="1:7" s="40" customFormat="1" x14ac:dyDescent="0.3"/>
    <row r="2" spans="1:7" s="40" customFormat="1" x14ac:dyDescent="0.3"/>
    <row r="3" spans="1:7" s="40" customFormat="1" x14ac:dyDescent="0.3"/>
    <row r="4" spans="1:7" s="40" customFormat="1" x14ac:dyDescent="0.3"/>
    <row r="5" spans="1:7" s="40" customFormat="1" x14ac:dyDescent="0.3"/>
    <row r="6" spans="1:7" s="40" customFormat="1" x14ac:dyDescent="0.3"/>
    <row r="7" spans="1:7" s="40" customFormat="1" x14ac:dyDescent="0.3"/>
    <row r="8" spans="1:7" s="40" customFormat="1" ht="18" customHeight="1" x14ac:dyDescent="0.3"/>
    <row r="9" spans="1:7" s="41" customFormat="1" ht="15.6" x14ac:dyDescent="0.35">
      <c r="A9" s="44" t="s">
        <v>0</v>
      </c>
      <c r="B9" s="46" t="s">
        <v>1</v>
      </c>
      <c r="C9" s="48" t="s">
        <v>2</v>
      </c>
      <c r="D9" s="48"/>
      <c r="E9" s="48"/>
      <c r="F9" s="48"/>
    </row>
    <row r="10" spans="1:7" s="41" customFormat="1" ht="66" customHeight="1" thickBot="1" x14ac:dyDescent="0.35">
      <c r="A10" s="45"/>
      <c r="B10" s="47"/>
      <c r="C10" s="31" t="s">
        <v>46</v>
      </c>
      <c r="D10" s="31" t="s">
        <v>33</v>
      </c>
      <c r="E10" s="31" t="s">
        <v>44</v>
      </c>
      <c r="F10" s="31" t="s">
        <v>45</v>
      </c>
    </row>
    <row r="11" spans="1:7" s="41" customFormat="1" ht="16.2" thickTop="1" x14ac:dyDescent="0.35">
      <c r="A11" s="32"/>
      <c r="B11" s="32"/>
      <c r="C11" s="32"/>
      <c r="D11" s="32"/>
      <c r="E11" s="32"/>
      <c r="F11" s="32"/>
    </row>
    <row r="12" spans="1:7" s="41" customFormat="1" ht="15.6" x14ac:dyDescent="0.35">
      <c r="A12" s="33" t="s">
        <v>3</v>
      </c>
      <c r="B12" s="32"/>
      <c r="C12" s="32"/>
      <c r="D12" s="32"/>
      <c r="E12" s="32"/>
      <c r="F12" s="32"/>
    </row>
    <row r="13" spans="1:7" s="41" customFormat="1" ht="15.6" x14ac:dyDescent="0.35">
      <c r="A13" s="32"/>
      <c r="B13" s="32"/>
      <c r="C13" s="32"/>
      <c r="D13" s="32"/>
      <c r="E13" s="32"/>
      <c r="F13" s="32"/>
    </row>
    <row r="14" spans="1:7" s="41" customFormat="1" ht="15.6" x14ac:dyDescent="0.35">
      <c r="A14" s="33" t="s">
        <v>32</v>
      </c>
      <c r="B14" s="32"/>
      <c r="C14" s="28"/>
      <c r="D14" s="32"/>
      <c r="E14" s="32"/>
      <c r="F14" s="32"/>
    </row>
    <row r="15" spans="1:7" ht="15.6" x14ac:dyDescent="0.35">
      <c r="A15" s="34" t="s">
        <v>59</v>
      </c>
      <c r="B15" s="11">
        <f>SUM(C15:F15)</f>
        <v>14687.333333333334</v>
      </c>
      <c r="C15" s="28">
        <v>1575.6666666666665</v>
      </c>
      <c r="D15" s="28">
        <v>1423.3333333333333</v>
      </c>
      <c r="E15" s="28">
        <v>10750.333333333334</v>
      </c>
      <c r="F15" s="28">
        <v>938</v>
      </c>
      <c r="G15" s="2"/>
    </row>
    <row r="16" spans="1:7" ht="15.6" x14ac:dyDescent="0.35">
      <c r="A16" s="34" t="s">
        <v>95</v>
      </c>
      <c r="B16" s="11">
        <f>SUM(C16:F16)</f>
        <v>15714</v>
      </c>
      <c r="C16" s="28">
        <v>1647</v>
      </c>
      <c r="D16" s="28">
        <v>1586</v>
      </c>
      <c r="E16" s="28">
        <v>11583</v>
      </c>
      <c r="F16" s="28">
        <v>898</v>
      </c>
      <c r="G16" s="3"/>
    </row>
    <row r="17" spans="1:7" ht="15.6" x14ac:dyDescent="0.35">
      <c r="A17" s="34" t="s">
        <v>96</v>
      </c>
      <c r="B17" s="11">
        <f>SUM(C17:F17)</f>
        <v>13994.666666666668</v>
      </c>
      <c r="C17" s="28">
        <v>1588.3333333333333</v>
      </c>
      <c r="D17" s="28">
        <v>1481.3333333333335</v>
      </c>
      <c r="E17" s="28">
        <v>9912</v>
      </c>
      <c r="F17" s="28">
        <v>1013</v>
      </c>
    </row>
    <row r="18" spans="1:7" ht="15.6" x14ac:dyDescent="0.35">
      <c r="A18" s="34" t="s">
        <v>77</v>
      </c>
      <c r="B18" s="11">
        <f>SUM(C18:F18)</f>
        <v>15715</v>
      </c>
      <c r="C18" s="28">
        <v>1647</v>
      </c>
      <c r="D18" s="28">
        <v>1586</v>
      </c>
      <c r="E18" s="28">
        <v>11583</v>
      </c>
      <c r="F18" s="28">
        <v>899</v>
      </c>
      <c r="G18" s="3"/>
    </row>
    <row r="19" spans="1:7" ht="15.6" x14ac:dyDescent="0.35">
      <c r="A19" s="32"/>
      <c r="B19" s="11"/>
      <c r="C19" s="28"/>
      <c r="D19" s="28"/>
      <c r="E19" s="28"/>
      <c r="F19" s="28"/>
      <c r="G19" s="3"/>
    </row>
    <row r="20" spans="1:7" ht="15.6" x14ac:dyDescent="0.35">
      <c r="A20" s="35" t="s">
        <v>4</v>
      </c>
      <c r="B20" s="11"/>
      <c r="C20" s="28"/>
      <c r="D20" s="28"/>
      <c r="E20" s="28"/>
      <c r="F20" s="28"/>
      <c r="G20" s="5"/>
    </row>
    <row r="21" spans="1:7" ht="15.6" x14ac:dyDescent="0.35">
      <c r="A21" s="34" t="s">
        <v>59</v>
      </c>
      <c r="B21" s="11">
        <f>SUM(C21:F21)</f>
        <v>4627625494.1000004</v>
      </c>
      <c r="C21" s="28">
        <v>954100350</v>
      </c>
      <c r="D21" s="28">
        <v>344807130</v>
      </c>
      <c r="E21" s="28">
        <v>1962994014.1000004</v>
      </c>
      <c r="F21" s="28">
        <v>1365724000</v>
      </c>
    </row>
    <row r="22" spans="1:7" ht="15.6" x14ac:dyDescent="0.35">
      <c r="A22" s="34" t="s">
        <v>95</v>
      </c>
      <c r="B22" s="11">
        <f>SUM(C22:F22)</f>
        <v>4802057001.96</v>
      </c>
      <c r="C22" s="28">
        <v>1005770196</v>
      </c>
      <c r="D22" s="28">
        <v>387405876</v>
      </c>
      <c r="E22" s="28">
        <v>1927180929.96</v>
      </c>
      <c r="F22" s="28">
        <v>1481700000</v>
      </c>
      <c r="G22" s="3"/>
    </row>
    <row r="23" spans="1:7" ht="15.6" x14ac:dyDescent="0.35">
      <c r="A23" s="34" t="s">
        <v>96</v>
      </c>
      <c r="B23" s="11">
        <f>SUM(C23:F23)</f>
        <v>4493276226.4099998</v>
      </c>
      <c r="C23" s="28">
        <v>969944340</v>
      </c>
      <c r="D23" s="28">
        <v>361839368</v>
      </c>
      <c r="E23" s="28">
        <v>1777250276.6700001</v>
      </c>
      <c r="F23" s="28">
        <v>1384242241.74</v>
      </c>
    </row>
    <row r="24" spans="1:7" ht="15.6" x14ac:dyDescent="0.35">
      <c r="A24" s="34" t="s">
        <v>77</v>
      </c>
      <c r="B24" s="11">
        <f>SUM(C24:F24)</f>
        <v>19213316494.996964</v>
      </c>
      <c r="C24" s="14">
        <v>4023092495.9999819</v>
      </c>
      <c r="D24" s="28">
        <v>1549623504</v>
      </c>
      <c r="E24" s="28">
        <v>7708723824.9997406</v>
      </c>
      <c r="F24" s="28">
        <v>5931876669.9972401</v>
      </c>
    </row>
    <row r="25" spans="1:7" ht="15.6" x14ac:dyDescent="0.35">
      <c r="A25" s="34" t="s">
        <v>97</v>
      </c>
      <c r="B25" s="11">
        <f>SUM(C25:F25)</f>
        <v>4493276226.4099998</v>
      </c>
      <c r="C25" s="11">
        <f>C23</f>
        <v>969944340</v>
      </c>
      <c r="D25" s="11">
        <f>D23</f>
        <v>361839368</v>
      </c>
      <c r="E25" s="11">
        <f>E23</f>
        <v>1777250276.6700001</v>
      </c>
      <c r="F25" s="11">
        <f>F23</f>
        <v>1384242241.74</v>
      </c>
    </row>
    <row r="26" spans="1:7" ht="15.6" x14ac:dyDescent="0.35">
      <c r="A26" s="32"/>
      <c r="B26" s="11"/>
      <c r="C26" s="11"/>
      <c r="D26" s="11"/>
      <c r="E26" s="11"/>
      <c r="F26" s="11"/>
      <c r="G26" s="3"/>
    </row>
    <row r="27" spans="1:7" ht="15.6" x14ac:dyDescent="0.35">
      <c r="A27" s="35" t="s">
        <v>5</v>
      </c>
      <c r="B27" s="11"/>
      <c r="C27" s="11"/>
      <c r="D27" s="11"/>
      <c r="E27" s="11"/>
      <c r="F27" s="11"/>
    </row>
    <row r="28" spans="1:7" ht="15.6" x14ac:dyDescent="0.35">
      <c r="A28" s="34" t="s">
        <v>95</v>
      </c>
      <c r="B28" s="11">
        <f>B22</f>
        <v>4802057001.96</v>
      </c>
      <c r="C28" s="11"/>
      <c r="D28" s="11"/>
      <c r="E28" s="11"/>
      <c r="F28" s="11"/>
    </row>
    <row r="29" spans="1:7" ht="15.6" x14ac:dyDescent="0.35">
      <c r="A29" s="34" t="s">
        <v>96</v>
      </c>
      <c r="B29" s="28">
        <v>4657584415.5</v>
      </c>
      <c r="C29" s="15"/>
      <c r="D29" s="15"/>
      <c r="E29" s="11"/>
      <c r="F29" s="11"/>
    </row>
    <row r="30" spans="1:7" ht="15.6" x14ac:dyDescent="0.35">
      <c r="A30" s="32"/>
      <c r="B30" s="9"/>
      <c r="C30" s="9"/>
      <c r="D30" s="9"/>
      <c r="E30" s="9"/>
      <c r="F30" s="9"/>
    </row>
    <row r="31" spans="1:7" ht="15.6" x14ac:dyDescent="0.35">
      <c r="A31" s="33" t="s">
        <v>6</v>
      </c>
      <c r="B31" s="9"/>
      <c r="C31" s="9"/>
      <c r="D31" s="9"/>
      <c r="E31" s="9"/>
      <c r="F31" s="9"/>
    </row>
    <row r="32" spans="1:7" ht="15.6" x14ac:dyDescent="0.35">
      <c r="A32" s="34" t="s">
        <v>60</v>
      </c>
      <c r="B32" s="42">
        <v>1.0948</v>
      </c>
      <c r="C32" s="42">
        <v>1.0948</v>
      </c>
      <c r="D32" s="42">
        <v>1.0948</v>
      </c>
      <c r="E32" s="42">
        <v>1.0948</v>
      </c>
      <c r="F32" s="42">
        <v>1.0948</v>
      </c>
    </row>
    <row r="33" spans="1:6" ht="15.6" x14ac:dyDescent="0.35">
      <c r="A33" s="34" t="s">
        <v>98</v>
      </c>
      <c r="B33" s="42">
        <v>1.0932999999999999</v>
      </c>
      <c r="C33" s="42">
        <v>1.0932999999999999</v>
      </c>
      <c r="D33" s="42">
        <v>1.0932999999999999</v>
      </c>
      <c r="E33" s="42">
        <v>1.0932999999999999</v>
      </c>
      <c r="F33" s="42">
        <v>1.0932999999999999</v>
      </c>
    </row>
    <row r="34" spans="1:6" ht="15.6" x14ac:dyDescent="0.35">
      <c r="A34" s="34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32"/>
      <c r="B35" s="11"/>
      <c r="C35" s="11"/>
      <c r="D35" s="11"/>
      <c r="E35" s="11"/>
      <c r="F35" s="11"/>
    </row>
    <row r="36" spans="1:6" ht="15.6" x14ac:dyDescent="0.35">
      <c r="A36" s="33" t="s">
        <v>8</v>
      </c>
      <c r="B36" s="11"/>
      <c r="C36" s="11"/>
      <c r="D36" s="11"/>
      <c r="E36" s="11"/>
      <c r="F36" s="11"/>
    </row>
    <row r="37" spans="1:6" ht="15.6" x14ac:dyDescent="0.35">
      <c r="A37" s="32" t="s">
        <v>61</v>
      </c>
      <c r="B37" s="23">
        <f>B21/B32</f>
        <v>4226914042.8388748</v>
      </c>
      <c r="C37" s="23">
        <f>C21/C32</f>
        <v>871483695.65217388</v>
      </c>
      <c r="D37" s="23">
        <f>D21/D32</f>
        <v>314949881.25685054</v>
      </c>
      <c r="E37" s="23">
        <f>E21/E32</f>
        <v>1793016088.8746808</v>
      </c>
      <c r="F37" s="23">
        <f>F21/F32</f>
        <v>1247464377.0551698</v>
      </c>
    </row>
    <row r="38" spans="1:6" ht="15.6" x14ac:dyDescent="0.35">
      <c r="A38" s="32" t="s">
        <v>99</v>
      </c>
      <c r="B38" s="23">
        <f>B23/B33</f>
        <v>4109829165.2885761</v>
      </c>
      <c r="C38" s="23">
        <f>C23/C33</f>
        <v>887171261.31894267</v>
      </c>
      <c r="D38" s="23">
        <f>D23/D33</f>
        <v>330960731.72962594</v>
      </c>
      <c r="E38" s="23">
        <f>E23/E33</f>
        <v>1625583350.1051862</v>
      </c>
      <c r="F38" s="23">
        <f>F23/F33</f>
        <v>1266113822.1348212</v>
      </c>
    </row>
    <row r="39" spans="1:6" ht="15.6" x14ac:dyDescent="0.35">
      <c r="A39" s="32" t="s">
        <v>62</v>
      </c>
      <c r="B39" s="23">
        <f>$B$37/(B15)</f>
        <v>287793.15801635478</v>
      </c>
      <c r="C39" s="23">
        <f>C37/(C15)</f>
        <v>553088.8696755917</v>
      </c>
      <c r="D39" s="23">
        <f>D37/(D15)</f>
        <v>221276.26317811516</v>
      </c>
      <c r="E39" s="23">
        <f>E37/(E15)</f>
        <v>166787.0226232998</v>
      </c>
      <c r="F39" s="23">
        <f>F37/(F15)</f>
        <v>1329919.3785236352</v>
      </c>
    </row>
    <row r="40" spans="1:6" ht="15.6" x14ac:dyDescent="0.35">
      <c r="A40" s="32" t="s">
        <v>100</v>
      </c>
      <c r="B40" s="23">
        <f>$B$38/(B17)</f>
        <v>293671.10079710669</v>
      </c>
      <c r="C40" s="23">
        <f>C38/(C17)</f>
        <v>558554.83398884116</v>
      </c>
      <c r="D40" s="23">
        <f>D38/(D17)</f>
        <v>223420.8360010976</v>
      </c>
      <c r="E40" s="23">
        <f>E38/(E17)</f>
        <v>164001.54863853776</v>
      </c>
      <c r="F40" s="23">
        <f>F38/(F17)</f>
        <v>1249865.5697283526</v>
      </c>
    </row>
    <row r="41" spans="1:6" ht="15.6" x14ac:dyDescent="0.35">
      <c r="A41" s="32"/>
      <c r="B41" s="24"/>
      <c r="C41" s="24"/>
      <c r="D41" s="24"/>
      <c r="E41" s="24"/>
      <c r="F41" s="24"/>
    </row>
    <row r="42" spans="1:6" ht="15.6" x14ac:dyDescent="0.35">
      <c r="A42" s="33" t="s">
        <v>9</v>
      </c>
      <c r="B42" s="24"/>
      <c r="C42" s="24"/>
      <c r="D42" s="24"/>
      <c r="E42" s="24"/>
      <c r="F42" s="24"/>
    </row>
    <row r="43" spans="1:6" ht="15.6" x14ac:dyDescent="0.35">
      <c r="A43" s="32"/>
      <c r="B43" s="24"/>
      <c r="C43" s="24"/>
      <c r="D43" s="24"/>
      <c r="E43" s="24"/>
      <c r="F43" s="24"/>
    </row>
    <row r="44" spans="1:6" ht="15.6" x14ac:dyDescent="0.35">
      <c r="A44" s="33" t="s">
        <v>10</v>
      </c>
      <c r="B44" s="24"/>
      <c r="C44" s="24"/>
      <c r="D44" s="24"/>
      <c r="E44" s="24"/>
      <c r="F44" s="24"/>
    </row>
    <row r="45" spans="1:6" ht="15.6" x14ac:dyDescent="0.35">
      <c r="A45" s="32" t="s">
        <v>11</v>
      </c>
      <c r="B45" s="18">
        <f>B16/B34*100</f>
        <v>6.9888455996157344</v>
      </c>
      <c r="C45" s="18"/>
      <c r="D45" s="18"/>
      <c r="E45" s="18"/>
      <c r="F45" s="18"/>
    </row>
    <row r="46" spans="1:6" ht="15.6" x14ac:dyDescent="0.35">
      <c r="A46" s="32" t="s">
        <v>12</v>
      </c>
      <c r="B46" s="18">
        <f>B17/B34*100</f>
        <v>6.2241672744955023</v>
      </c>
      <c r="C46" s="18"/>
      <c r="D46" s="18"/>
      <c r="E46" s="18"/>
      <c r="F46" s="18"/>
    </row>
    <row r="47" spans="1:6" ht="15.6" x14ac:dyDescent="0.35">
      <c r="A47" s="32"/>
      <c r="B47" s="18"/>
      <c r="C47" s="18"/>
      <c r="D47" s="18"/>
      <c r="E47" s="18"/>
      <c r="F47" s="18"/>
    </row>
    <row r="48" spans="1:6" ht="15.6" x14ac:dyDescent="0.35">
      <c r="A48" s="33" t="s">
        <v>13</v>
      </c>
      <c r="B48" s="18"/>
      <c r="C48" s="18"/>
      <c r="D48" s="18"/>
      <c r="E48" s="18"/>
      <c r="F48" s="18"/>
    </row>
    <row r="49" spans="1:7" ht="15.6" x14ac:dyDescent="0.35">
      <c r="A49" s="32" t="s">
        <v>14</v>
      </c>
      <c r="B49" s="18">
        <f>B17/B16*100</f>
        <v>89.058588944041418</v>
      </c>
      <c r="C49" s="18">
        <f>C17/C16*100</f>
        <v>96.437968022667476</v>
      </c>
      <c r="D49" s="18">
        <f>D17/D16*100</f>
        <v>93.400588482555705</v>
      </c>
      <c r="E49" s="18">
        <f>E17/E16*100</f>
        <v>85.57368557368558</v>
      </c>
      <c r="F49" s="18">
        <f>F17/F16*100</f>
        <v>112.80623608017817</v>
      </c>
    </row>
    <row r="50" spans="1:7" ht="15.6" x14ac:dyDescent="0.35">
      <c r="A50" s="32" t="s">
        <v>15</v>
      </c>
      <c r="B50" s="18">
        <f>B23/B22*100</f>
        <v>93.569822777531201</v>
      </c>
      <c r="C50" s="18">
        <f>C23/C22*100</f>
        <v>96.437968022667476</v>
      </c>
      <c r="D50" s="18">
        <f>D23/D22*100</f>
        <v>93.40058848255569</v>
      </c>
      <c r="E50" s="18">
        <f>E23/E22*100</f>
        <v>92.220208753668402</v>
      </c>
      <c r="F50" s="18">
        <f>F23/F22*100</f>
        <v>93.422571488155498</v>
      </c>
    </row>
    <row r="51" spans="1:7" ht="15.6" x14ac:dyDescent="0.35">
      <c r="A51" s="32" t="s">
        <v>16</v>
      </c>
      <c r="B51" s="18">
        <f>AVERAGE(B49:B50)</f>
        <v>91.314205860786302</v>
      </c>
      <c r="C51" s="18">
        <f>AVERAGE(C49:C50)</f>
        <v>96.437968022667476</v>
      </c>
      <c r="D51" s="18">
        <f>AVERAGE(D49:D50)</f>
        <v>93.40058848255569</v>
      </c>
      <c r="E51" s="18">
        <f>AVERAGE(E49:E50)</f>
        <v>88.896947163676998</v>
      </c>
      <c r="F51" s="18">
        <f>AVERAGE(F49:F50)</f>
        <v>103.11440378416683</v>
      </c>
    </row>
    <row r="52" spans="1:7" ht="15.6" x14ac:dyDescent="0.35">
      <c r="A52" s="32"/>
      <c r="B52" s="18"/>
      <c r="C52" s="18"/>
      <c r="D52" s="18"/>
      <c r="E52" s="18"/>
      <c r="F52" s="18"/>
    </row>
    <row r="53" spans="1:7" ht="15.6" x14ac:dyDescent="0.35">
      <c r="A53" s="33" t="s">
        <v>17</v>
      </c>
      <c r="B53" s="18"/>
      <c r="C53" s="18"/>
      <c r="D53" s="18"/>
      <c r="E53" s="18"/>
      <c r="F53" s="18"/>
    </row>
    <row r="54" spans="1:7" ht="15.6" x14ac:dyDescent="0.35">
      <c r="A54" s="32" t="s">
        <v>18</v>
      </c>
      <c r="B54" s="18">
        <f>(B17/B18)*100</f>
        <v>89.052921836886213</v>
      </c>
      <c r="C54" s="18">
        <f>(C17/C18)*100</f>
        <v>96.437968022667476</v>
      </c>
      <c r="D54" s="18">
        <f>(D17/D18)*100</f>
        <v>93.400588482555705</v>
      </c>
      <c r="E54" s="18">
        <f>(E17/E18)*100</f>
        <v>85.57368557368558</v>
      </c>
      <c r="F54" s="18">
        <f>(F17/F18)*100</f>
        <v>112.68075639599556</v>
      </c>
    </row>
    <row r="55" spans="1:7" ht="15.6" x14ac:dyDescent="0.35">
      <c r="A55" s="32" t="s">
        <v>19</v>
      </c>
      <c r="B55" s="18">
        <f>B23/B24*100</f>
        <v>23.386260396949289</v>
      </c>
      <c r="C55" s="18">
        <f>C23/C24*100</f>
        <v>24.109421818274903</v>
      </c>
      <c r="D55" s="18">
        <f>D23/D24*100</f>
        <v>23.350147120638923</v>
      </c>
      <c r="E55" s="18">
        <f>E23/E24*100</f>
        <v>23.055051873908063</v>
      </c>
      <c r="F55" s="18">
        <f>F23/F24*100</f>
        <v>23.335654443750329</v>
      </c>
    </row>
    <row r="56" spans="1:7" ht="15.6" x14ac:dyDescent="0.35">
      <c r="A56" s="32" t="s">
        <v>20</v>
      </c>
      <c r="B56" s="18">
        <f>(B54+B55)/2</f>
        <v>56.219591116917755</v>
      </c>
      <c r="C56" s="18">
        <f>(C54+C55)/2</f>
        <v>60.273694920471186</v>
      </c>
      <c r="D56" s="18">
        <f>(D54+D55)/2</f>
        <v>58.375367801597314</v>
      </c>
      <c r="E56" s="18">
        <f>(E54+E55)/2</f>
        <v>54.314368723796818</v>
      </c>
      <c r="F56" s="18">
        <f>(F54+F55)/2</f>
        <v>68.008205419872951</v>
      </c>
    </row>
    <row r="57" spans="1:7" ht="15.6" x14ac:dyDescent="0.35">
      <c r="A57" s="32"/>
      <c r="B57" s="18"/>
      <c r="C57" s="18"/>
      <c r="D57" s="18"/>
      <c r="E57" s="18"/>
      <c r="F57" s="18"/>
    </row>
    <row r="58" spans="1:7" ht="15.6" x14ac:dyDescent="0.35">
      <c r="A58" s="33" t="s">
        <v>21</v>
      </c>
      <c r="B58" s="18"/>
      <c r="C58" s="18"/>
      <c r="D58" s="18"/>
      <c r="E58" s="18"/>
      <c r="F58" s="18"/>
    </row>
    <row r="59" spans="1:7" ht="15.6" x14ac:dyDescent="0.35">
      <c r="A59" s="32" t="s">
        <v>22</v>
      </c>
      <c r="B59" s="18">
        <f>B25/B23*100</f>
        <v>100</v>
      </c>
      <c r="C59" s="18"/>
      <c r="D59" s="18"/>
      <c r="E59" s="18"/>
      <c r="F59" s="18"/>
    </row>
    <row r="60" spans="1:7" ht="15.6" x14ac:dyDescent="0.35">
      <c r="A60" s="32"/>
      <c r="B60" s="18"/>
      <c r="C60" s="18"/>
      <c r="D60" s="18"/>
      <c r="E60" s="18"/>
      <c r="F60" s="18"/>
    </row>
    <row r="61" spans="1:7" ht="15.6" x14ac:dyDescent="0.35">
      <c r="A61" s="33" t="s">
        <v>23</v>
      </c>
      <c r="B61" s="18"/>
      <c r="C61" s="18"/>
      <c r="D61" s="18"/>
      <c r="E61" s="18"/>
      <c r="F61" s="18"/>
    </row>
    <row r="62" spans="1:7" ht="15.6" x14ac:dyDescent="0.35">
      <c r="A62" s="32" t="s">
        <v>24</v>
      </c>
      <c r="B62" s="18">
        <f>((B17/B15)-1)*100</f>
        <v>-4.7160818846171288</v>
      </c>
      <c r="C62" s="18">
        <f>((C17/C15)-1)*100</f>
        <v>0.80389253226147428</v>
      </c>
      <c r="D62" s="18">
        <f>((D17/D15)-1)*100</f>
        <v>4.0749414519906546</v>
      </c>
      <c r="E62" s="18">
        <f>((E17/E15)-1)*100</f>
        <v>-7.7982078075098489</v>
      </c>
      <c r="F62" s="18">
        <f>((F17/F15)-1)*100</f>
        <v>7.9957356076759023</v>
      </c>
    </row>
    <row r="63" spans="1:7" ht="15.6" x14ac:dyDescent="0.35">
      <c r="A63" s="32" t="s">
        <v>25</v>
      </c>
      <c r="B63" s="18">
        <f>((B38/B37)-1)*100</f>
        <v>-2.7699848249495562</v>
      </c>
      <c r="C63" s="18">
        <f>((C38/C37)-1)*100</f>
        <v>1.8000985841770678</v>
      </c>
      <c r="D63" s="18">
        <f>((D38/D37)-1)*100</f>
        <v>5.0836185138035006</v>
      </c>
      <c r="E63" s="18">
        <f>((E38/E37)-1)*100</f>
        <v>-9.3380499934374477</v>
      </c>
      <c r="F63" s="18">
        <f>((F38/F37)-1)*100</f>
        <v>1.4949881874523951</v>
      </c>
      <c r="G63" s="8"/>
    </row>
    <row r="64" spans="1:7" ht="15.6" x14ac:dyDescent="0.35">
      <c r="A64" s="32" t="s">
        <v>26</v>
      </c>
      <c r="B64" s="18">
        <f>((B40/B39)-1)*100</f>
        <v>2.0424192226341509</v>
      </c>
      <c r="C64" s="18">
        <f>((C40/C39)-1)*100</f>
        <v>0.98826149158550702</v>
      </c>
      <c r="D64" s="18">
        <f>((D40/D39)-1)*100</f>
        <v>0.96918340547724746</v>
      </c>
      <c r="E64" s="18">
        <f>((E40/E39)-1)*100</f>
        <v>-1.6700783675797304</v>
      </c>
      <c r="F64" s="18">
        <f>((F40/F39)-1)*100</f>
        <v>-6.0194482528821869</v>
      </c>
    </row>
    <row r="65" spans="1:6" ht="15.6" x14ac:dyDescent="0.35">
      <c r="A65" s="32"/>
      <c r="B65" s="18"/>
      <c r="C65" s="18"/>
      <c r="D65" s="18"/>
      <c r="E65" s="18"/>
      <c r="F65" s="18"/>
    </row>
    <row r="66" spans="1:6" ht="15.6" x14ac:dyDescent="0.35">
      <c r="A66" s="33" t="s">
        <v>27</v>
      </c>
      <c r="B66" s="18"/>
      <c r="C66" s="18"/>
      <c r="D66" s="18"/>
      <c r="E66" s="18"/>
      <c r="F66" s="18"/>
    </row>
    <row r="67" spans="1:6" ht="15.6" x14ac:dyDescent="0.35">
      <c r="A67" s="32" t="s">
        <v>38</v>
      </c>
      <c r="B67" s="18">
        <f>B22/(B16*3)</f>
        <v>101863.66725976836</v>
      </c>
      <c r="C67" s="18">
        <f t="shared" ref="C67:E68" si="0">C22/(C16*3)</f>
        <v>203556</v>
      </c>
      <c r="D67" s="18">
        <f t="shared" si="0"/>
        <v>81422</v>
      </c>
      <c r="E67" s="18">
        <f>E22/(E16*3)</f>
        <v>55460.04</v>
      </c>
      <c r="F67" s="18">
        <f>F22/(F16*3)</f>
        <v>550000</v>
      </c>
    </row>
    <row r="68" spans="1:6" ht="15.6" x14ac:dyDescent="0.35">
      <c r="A68" s="32" t="s">
        <v>39</v>
      </c>
      <c r="B68" s="18">
        <f>$B$23/(B17*3)</f>
        <v>107023.53816715891</v>
      </c>
      <c r="C68" s="18">
        <f>C23/(C17*3)</f>
        <v>203556</v>
      </c>
      <c r="D68" s="18">
        <f t="shared" si="0"/>
        <v>81422</v>
      </c>
      <c r="E68" s="18">
        <f t="shared" si="0"/>
        <v>59767.63104217111</v>
      </c>
      <c r="F68" s="18">
        <f t="shared" ref="F68" si="1">F23/(F17*3)</f>
        <v>455492.67579466931</v>
      </c>
    </row>
    <row r="69" spans="1:6" ht="15.6" x14ac:dyDescent="0.35">
      <c r="A69" s="32" t="s">
        <v>28</v>
      </c>
      <c r="B69" s="18">
        <f>(B68/B67)*B51</f>
        <v>95.939697234967696</v>
      </c>
      <c r="C69" s="18">
        <f>(C68/C67)*C51</f>
        <v>96.437968022667476</v>
      </c>
      <c r="D69" s="18">
        <f>(D68/D67)*D51</f>
        <v>93.40058848255569</v>
      </c>
      <c r="E69" s="18">
        <f>(E68/E67)*E51</f>
        <v>95.801588654714749</v>
      </c>
      <c r="F69" s="18">
        <f>(F68/F67)*F51</f>
        <v>85.396101259312957</v>
      </c>
    </row>
    <row r="70" spans="1:6" ht="15.6" x14ac:dyDescent="0.35">
      <c r="A70" s="32" t="s">
        <v>40</v>
      </c>
      <c r="B70" s="18">
        <f>B22/B16</f>
        <v>305591.00177930511</v>
      </c>
      <c r="C70" s="18">
        <f t="shared" ref="C70:F71" si="2">C22/C16</f>
        <v>610668</v>
      </c>
      <c r="D70" s="18">
        <f t="shared" si="2"/>
        <v>244266</v>
      </c>
      <c r="E70" s="18">
        <f t="shared" si="2"/>
        <v>166380.12</v>
      </c>
      <c r="F70" s="18">
        <f t="shared" si="2"/>
        <v>1650000</v>
      </c>
    </row>
    <row r="71" spans="1:6" ht="15.6" x14ac:dyDescent="0.35">
      <c r="A71" s="32" t="s">
        <v>41</v>
      </c>
      <c r="B71" s="18">
        <f>B23/B17</f>
        <v>321070.6145014767</v>
      </c>
      <c r="C71" s="18">
        <f t="shared" si="2"/>
        <v>610668</v>
      </c>
      <c r="D71" s="18">
        <f t="shared" si="2"/>
        <v>244265.99999999997</v>
      </c>
      <c r="E71" s="18">
        <f t="shared" si="2"/>
        <v>179302.89312651331</v>
      </c>
      <c r="F71" s="18">
        <f t="shared" si="2"/>
        <v>1366478.0273840078</v>
      </c>
    </row>
    <row r="72" spans="1:6" ht="15.6" x14ac:dyDescent="0.35">
      <c r="A72" s="32"/>
      <c r="B72" s="18"/>
      <c r="C72" s="18"/>
      <c r="D72" s="18"/>
      <c r="E72" s="18"/>
      <c r="F72" s="18"/>
    </row>
    <row r="73" spans="1:6" ht="15.6" x14ac:dyDescent="0.35">
      <c r="A73" s="33" t="s">
        <v>29</v>
      </c>
      <c r="B73" s="18"/>
      <c r="C73" s="18"/>
      <c r="D73" s="18"/>
      <c r="E73" s="18"/>
      <c r="F73" s="18"/>
    </row>
    <row r="74" spans="1:6" ht="15.6" x14ac:dyDescent="0.35">
      <c r="A74" s="32" t="s">
        <v>30</v>
      </c>
      <c r="B74" s="18">
        <f>(B29/B28)*100</f>
        <v>96.991443741691683</v>
      </c>
      <c r="C74" s="18"/>
      <c r="D74" s="18"/>
      <c r="E74" s="18"/>
      <c r="F74" s="18"/>
    </row>
    <row r="75" spans="1:6" ht="15.6" x14ac:dyDescent="0.35">
      <c r="A75" s="32" t="s">
        <v>31</v>
      </c>
      <c r="B75" s="25">
        <f>(B23/B29)*100</f>
        <v>96.472244527802914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s="41" customFormat="1" ht="16.2" thickTop="1" x14ac:dyDescent="0.35">
      <c r="A77" s="32" t="s">
        <v>82</v>
      </c>
      <c r="B77" s="32"/>
      <c r="C77" s="32"/>
      <c r="D77" s="32"/>
      <c r="E77" s="32"/>
      <c r="F77" s="32"/>
    </row>
    <row r="78" spans="1:6" s="41" customFormat="1" x14ac:dyDescent="0.3"/>
    <row r="79" spans="1:6" s="41" customFormat="1" x14ac:dyDescent="0.3"/>
    <row r="80" spans="1:6" s="41" customFormat="1" x14ac:dyDescent="0.3"/>
    <row r="81" spans="1:1" s="41" customFormat="1" x14ac:dyDescent="0.3">
      <c r="A81" s="39"/>
    </row>
    <row r="82" spans="1:1" s="41" customFormat="1" x14ac:dyDescent="0.3"/>
    <row r="83" spans="1:1" s="41" customFormat="1" x14ac:dyDescent="0.3"/>
    <row r="86" spans="1:1" x14ac:dyDescent="0.3">
      <c r="A86" s="7"/>
    </row>
  </sheetData>
  <mergeCells count="3">
    <mergeCell ref="A9:A10"/>
    <mergeCell ref="C9:F9"/>
    <mergeCell ref="B9:B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4" customWidth="1"/>
    <col min="2" max="6" width="20.88671875" style="4" customWidth="1"/>
    <col min="7" max="7" width="18.6640625" style="4" customWidth="1"/>
    <col min="8" max="16384" width="11.44140625" style="4"/>
  </cols>
  <sheetData>
    <row r="1" spans="1:7" s="40" customFormat="1" x14ac:dyDescent="0.3"/>
    <row r="2" spans="1:7" s="40" customFormat="1" x14ac:dyDescent="0.3"/>
    <row r="3" spans="1:7" s="40" customFormat="1" x14ac:dyDescent="0.3"/>
    <row r="4" spans="1:7" s="40" customFormat="1" x14ac:dyDescent="0.3"/>
    <row r="5" spans="1:7" s="40" customFormat="1" x14ac:dyDescent="0.3"/>
    <row r="6" spans="1:7" s="40" customFormat="1" x14ac:dyDescent="0.3"/>
    <row r="7" spans="1:7" s="40" customFormat="1" x14ac:dyDescent="0.3"/>
    <row r="8" spans="1:7" s="40" customFormat="1" ht="18" customHeight="1" x14ac:dyDescent="0.3"/>
    <row r="9" spans="1:7" s="41" customFormat="1" ht="15.6" x14ac:dyDescent="0.35">
      <c r="A9" s="44" t="s">
        <v>0</v>
      </c>
      <c r="B9" s="46" t="s">
        <v>1</v>
      </c>
      <c r="C9" s="48" t="s">
        <v>2</v>
      </c>
      <c r="D9" s="48"/>
      <c r="E9" s="48"/>
      <c r="F9" s="48"/>
    </row>
    <row r="10" spans="1:7" s="41" customFormat="1" ht="66" customHeight="1" thickBot="1" x14ac:dyDescent="0.35">
      <c r="A10" s="45"/>
      <c r="B10" s="47"/>
      <c r="C10" s="31" t="s">
        <v>46</v>
      </c>
      <c r="D10" s="31" t="s">
        <v>33</v>
      </c>
      <c r="E10" s="31" t="s">
        <v>44</v>
      </c>
      <c r="F10" s="31" t="s">
        <v>45</v>
      </c>
    </row>
    <row r="11" spans="1:7" s="41" customFormat="1" ht="16.2" thickTop="1" x14ac:dyDescent="0.35">
      <c r="A11" s="32"/>
      <c r="B11" s="32"/>
      <c r="C11" s="32"/>
      <c r="D11" s="32"/>
      <c r="E11" s="32"/>
      <c r="F11" s="32"/>
    </row>
    <row r="12" spans="1:7" s="41" customFormat="1" ht="15.6" x14ac:dyDescent="0.35">
      <c r="A12" s="33" t="s">
        <v>3</v>
      </c>
      <c r="B12" s="32"/>
      <c r="C12" s="32"/>
      <c r="D12" s="32"/>
      <c r="E12" s="32"/>
      <c r="F12" s="32"/>
    </row>
    <row r="13" spans="1:7" s="41" customFormat="1" ht="15.6" x14ac:dyDescent="0.35">
      <c r="A13" s="32"/>
      <c r="B13" s="32"/>
      <c r="C13" s="32"/>
      <c r="D13" s="32"/>
      <c r="E13" s="32"/>
      <c r="F13" s="32"/>
    </row>
    <row r="14" spans="1:7" s="41" customFormat="1" ht="15.6" x14ac:dyDescent="0.35">
      <c r="A14" s="33" t="s">
        <v>32</v>
      </c>
      <c r="B14" s="32"/>
      <c r="C14" s="28"/>
      <c r="D14" s="32"/>
      <c r="E14" s="32"/>
      <c r="F14" s="32"/>
    </row>
    <row r="15" spans="1:7" ht="15.6" x14ac:dyDescent="0.35">
      <c r="A15" s="34" t="s">
        <v>63</v>
      </c>
      <c r="B15" s="11">
        <f>SUM(C15:F15)</f>
        <v>14253.611111111111</v>
      </c>
      <c r="C15" s="11">
        <f>(+'I Trimestre'!C15+'II Trimestre'!C15+'III Trimestre'!C15)/3</f>
        <v>1583.4444444444446</v>
      </c>
      <c r="D15" s="11">
        <f>(+'I Trimestre'!D15+'II Trimestre'!D15+'III Trimestre'!D15)/3</f>
        <v>1415.2222222222224</v>
      </c>
      <c r="E15" s="11">
        <f>(+'I Trimestre'!E15+'II Trimestre'!E15+'III Trimestre'!E15)/3</f>
        <v>10506.333333333334</v>
      </c>
      <c r="F15" s="11">
        <f>(+'I Trimestre'!F15+'II Trimestre'!F15+'III Trimestre'!F15)/3</f>
        <v>748.61111111111131</v>
      </c>
      <c r="G15" s="2"/>
    </row>
    <row r="16" spans="1:7" ht="15.6" x14ac:dyDescent="0.35">
      <c r="A16" s="34" t="s">
        <v>101</v>
      </c>
      <c r="B16" s="11">
        <f>SUM(C16:F16)</f>
        <v>15714</v>
      </c>
      <c r="C16" s="11">
        <f>(+'I Trimestre'!C16+'II Trimestre'!C16+'III Trimestre'!C16)/3</f>
        <v>1647</v>
      </c>
      <c r="D16" s="11">
        <f>(+'I Trimestre'!D16+'II Trimestre'!D16+'III Trimestre'!D16)/3</f>
        <v>1586</v>
      </c>
      <c r="E16" s="11">
        <f>(+'I Trimestre'!E16+'II Trimestre'!E16+'III Trimestre'!E16)/3</f>
        <v>11583</v>
      </c>
      <c r="F16" s="11">
        <f>(+'I Trimestre'!F16+'II Trimestre'!F16+'III Trimestre'!F16)/3</f>
        <v>898</v>
      </c>
      <c r="G16" s="3"/>
    </row>
    <row r="17" spans="1:7" ht="15.6" x14ac:dyDescent="0.35">
      <c r="A17" s="34" t="s">
        <v>102</v>
      </c>
      <c r="B17" s="11">
        <f>SUM(C17:F17)</f>
        <v>13970.222222222223</v>
      </c>
      <c r="C17" s="11">
        <f>(+'I Trimestre'!C17+'II Trimestre'!C17+'III Trimestre'!C17)/3</f>
        <v>1558.7777777777776</v>
      </c>
      <c r="D17" s="11">
        <f>(+'I Trimestre'!D17+'II Trimestre'!D17+'III Trimestre'!D17)/3</f>
        <v>1480.1111111111113</v>
      </c>
      <c r="E17" s="11">
        <f>(+'I Trimestre'!E17+'II Trimestre'!E17+'III Trimestre'!E17)/3</f>
        <v>9918.3333333333339</v>
      </c>
      <c r="F17" s="11">
        <f>(+'I Trimestre'!F17+'II Trimestre'!F17+'III Trimestre'!F17)/3</f>
        <v>1013</v>
      </c>
    </row>
    <row r="18" spans="1:7" ht="15.6" x14ac:dyDescent="0.35">
      <c r="A18" s="34" t="s">
        <v>77</v>
      </c>
      <c r="B18" s="11">
        <f>SUM(C18:F18)</f>
        <v>15715</v>
      </c>
      <c r="C18" s="11">
        <f>+'III Trimestre'!C18</f>
        <v>1647</v>
      </c>
      <c r="D18" s="11">
        <f>+'III Trimestre'!D18</f>
        <v>1586</v>
      </c>
      <c r="E18" s="11">
        <f>+'III Trimestre'!E18</f>
        <v>11583</v>
      </c>
      <c r="F18" s="11">
        <f>+'III Trimestre'!F18</f>
        <v>899</v>
      </c>
      <c r="G18" s="3"/>
    </row>
    <row r="19" spans="1:7" ht="15.6" x14ac:dyDescent="0.35">
      <c r="A19" s="32"/>
      <c r="B19" s="11"/>
      <c r="C19" s="11"/>
      <c r="D19" s="11"/>
      <c r="E19" s="11"/>
      <c r="F19" s="11"/>
      <c r="G19" s="3"/>
    </row>
    <row r="20" spans="1:7" ht="15.6" x14ac:dyDescent="0.35">
      <c r="A20" s="35" t="s">
        <v>4</v>
      </c>
      <c r="B20" s="11"/>
      <c r="C20" s="11"/>
      <c r="D20" s="11"/>
      <c r="E20" s="11"/>
      <c r="F20" s="11"/>
      <c r="G20" s="5"/>
    </row>
    <row r="21" spans="1:7" ht="15.6" x14ac:dyDescent="0.35">
      <c r="A21" s="34" t="s">
        <v>63</v>
      </c>
      <c r="B21" s="11">
        <f>SUM(C21:F21)</f>
        <v>12646151008.08</v>
      </c>
      <c r="C21" s="11">
        <f>+'I Trimestre'!C21+'II Trimestre'!C21+'III Trimestre'!C21</f>
        <v>2876435870</v>
      </c>
      <c r="D21" s="11">
        <f>+'I Trimestre'!D21+'II Trimestre'!D21+'III Trimestre'!D21</f>
        <v>1028605950</v>
      </c>
      <c r="E21" s="11">
        <f>+'I Trimestre'!E21+'II Trimestre'!E21+'III Trimestre'!E21</f>
        <v>5671369188.0799999</v>
      </c>
      <c r="F21" s="11">
        <f>+'I Trimestre'!F21+'II Trimestre'!F21+'III Trimestre'!F21</f>
        <v>3069740000</v>
      </c>
    </row>
    <row r="22" spans="1:7" ht="15.6" x14ac:dyDescent="0.35">
      <c r="A22" s="34" t="s">
        <v>101</v>
      </c>
      <c r="B22" s="11">
        <f>SUM(C22:F22)</f>
        <v>14406171005.880001</v>
      </c>
      <c r="C22" s="11">
        <f>+'I Trimestre'!C22+'II Trimestre'!C22+'III Trimestre'!C22</f>
        <v>3017310588</v>
      </c>
      <c r="D22" s="11">
        <f>+'I Trimestre'!D22+'II Trimestre'!D22+'III Trimestre'!D22</f>
        <v>1162217628</v>
      </c>
      <c r="E22" s="11">
        <f>+'I Trimestre'!E22+'II Trimestre'!E22+'III Trimestre'!E22</f>
        <v>5781542789.8800001</v>
      </c>
      <c r="F22" s="11">
        <f>+'I Trimestre'!F22+'II Trimestre'!F22+'III Trimestre'!F22</f>
        <v>4445100000</v>
      </c>
      <c r="G22" s="3"/>
    </row>
    <row r="23" spans="1:7" ht="15.6" x14ac:dyDescent="0.35">
      <c r="A23" s="34" t="s">
        <v>102</v>
      </c>
      <c r="B23" s="11">
        <f>SUM(C23:F23)</f>
        <v>11267961136.624001</v>
      </c>
      <c r="C23" s="11">
        <f>+'I Trimestre'!C23+'II Trimestre'!C23+'III Trimestre'!C23</f>
        <v>2764198832</v>
      </c>
      <c r="D23" s="11">
        <f>+'I Trimestre'!D23+'II Trimestre'!D23+'III Trimestre'!D23</f>
        <v>1030668102</v>
      </c>
      <c r="E23" s="11">
        <f>+'I Trimestre'!E23+'II Trimestre'!E23+'III Trimestre'!E23</f>
        <v>5301186146.0539999</v>
      </c>
      <c r="F23" s="11">
        <f>+'I Trimestre'!F23+'II Trimestre'!F23+'III Trimestre'!F23</f>
        <v>2171908056.5700002</v>
      </c>
    </row>
    <row r="24" spans="1:7" ht="15.6" x14ac:dyDescent="0.35">
      <c r="A24" s="34" t="s">
        <v>77</v>
      </c>
      <c r="B24" s="11">
        <f>SUM(C24:F24)</f>
        <v>19213316494.996964</v>
      </c>
      <c r="C24" s="11">
        <f>+'III Trimestre'!C24</f>
        <v>4023092495.9999819</v>
      </c>
      <c r="D24" s="11">
        <f>+'III Trimestre'!D24</f>
        <v>1549623504</v>
      </c>
      <c r="E24" s="11">
        <f>+'III Trimestre'!E24</f>
        <v>7708723824.9997406</v>
      </c>
      <c r="F24" s="11">
        <f>+'III Trimestre'!F24</f>
        <v>5931876669.9972401</v>
      </c>
    </row>
    <row r="25" spans="1:7" ht="15.6" x14ac:dyDescent="0.35">
      <c r="A25" s="34" t="s">
        <v>103</v>
      </c>
      <c r="B25" s="11">
        <f>SUM(C25:F25)</f>
        <v>11267961136.624001</v>
      </c>
      <c r="C25" s="11">
        <f>+C23</f>
        <v>2764198832</v>
      </c>
      <c r="D25" s="11">
        <f>+D23</f>
        <v>1030668102</v>
      </c>
      <c r="E25" s="11">
        <f>+E23</f>
        <v>5301186146.0539999</v>
      </c>
      <c r="F25" s="11">
        <f>+F23</f>
        <v>2171908056.5700002</v>
      </c>
    </row>
    <row r="26" spans="1:7" ht="15.6" x14ac:dyDescent="0.35">
      <c r="A26" s="32"/>
      <c r="B26" s="11"/>
      <c r="C26" s="11"/>
      <c r="D26" s="11"/>
      <c r="E26" s="11"/>
      <c r="F26" s="11"/>
      <c r="G26" s="3"/>
    </row>
    <row r="27" spans="1:7" ht="15.6" x14ac:dyDescent="0.35">
      <c r="A27" s="35" t="s">
        <v>5</v>
      </c>
      <c r="B27" s="11"/>
      <c r="C27" s="11"/>
      <c r="D27" s="11"/>
      <c r="E27" s="11"/>
      <c r="F27" s="11"/>
    </row>
    <row r="28" spans="1:7" ht="15.6" x14ac:dyDescent="0.35">
      <c r="A28" s="34" t="s">
        <v>101</v>
      </c>
      <c r="B28" s="11">
        <f>B22</f>
        <v>14406171005.880001</v>
      </c>
      <c r="C28" s="11"/>
      <c r="D28" s="11"/>
      <c r="E28" s="11"/>
      <c r="F28" s="11"/>
    </row>
    <row r="29" spans="1:7" ht="15.6" x14ac:dyDescent="0.35">
      <c r="A29" s="34" t="s">
        <v>102</v>
      </c>
      <c r="B29" s="11">
        <f>'I Trimestre'!B29+'II Trimestre'!B29+'III Trimestre'!B29</f>
        <v>14555732078.496</v>
      </c>
      <c r="C29" s="49"/>
      <c r="D29" s="49"/>
      <c r="E29" s="11"/>
      <c r="F29" s="11"/>
    </row>
    <row r="30" spans="1:7" ht="15.6" x14ac:dyDescent="0.35">
      <c r="A30" s="32"/>
      <c r="B30" s="9"/>
      <c r="C30" s="9"/>
      <c r="D30" s="9"/>
      <c r="E30" s="9"/>
      <c r="F30" s="9"/>
    </row>
    <row r="31" spans="1:7" ht="15.6" x14ac:dyDescent="0.35">
      <c r="A31" s="33" t="s">
        <v>6</v>
      </c>
      <c r="B31" s="9"/>
      <c r="C31" s="9"/>
      <c r="D31" s="9"/>
      <c r="E31" s="9"/>
      <c r="F31" s="9"/>
    </row>
    <row r="32" spans="1:7" ht="15.6" x14ac:dyDescent="0.35">
      <c r="A32" s="34" t="s">
        <v>64</v>
      </c>
      <c r="B32" s="42">
        <v>1.0948</v>
      </c>
      <c r="C32" s="42">
        <v>1.0948</v>
      </c>
      <c r="D32" s="42">
        <v>1.0948</v>
      </c>
      <c r="E32" s="42">
        <v>1.0948</v>
      </c>
      <c r="F32" s="42">
        <v>1.0948</v>
      </c>
    </row>
    <row r="33" spans="1:6" ht="15.6" x14ac:dyDescent="0.35">
      <c r="A33" s="34" t="s">
        <v>104</v>
      </c>
      <c r="B33" s="42">
        <v>1.0932999999999999</v>
      </c>
      <c r="C33" s="42">
        <v>1.0932999999999999</v>
      </c>
      <c r="D33" s="42">
        <v>1.0932999999999999</v>
      </c>
      <c r="E33" s="42">
        <v>1.0932999999999999</v>
      </c>
      <c r="F33" s="42">
        <v>1.0932999999999999</v>
      </c>
    </row>
    <row r="34" spans="1:6" ht="15.6" x14ac:dyDescent="0.35">
      <c r="A34" s="34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32"/>
      <c r="B35" s="11"/>
      <c r="C35" s="11"/>
      <c r="D35" s="11"/>
      <c r="E35" s="11"/>
      <c r="F35" s="11"/>
    </row>
    <row r="36" spans="1:6" ht="15.6" x14ac:dyDescent="0.35">
      <c r="A36" s="33" t="s">
        <v>8</v>
      </c>
      <c r="B36" s="11"/>
      <c r="C36" s="11"/>
      <c r="D36" s="11"/>
      <c r="E36" s="11"/>
      <c r="F36" s="11"/>
    </row>
    <row r="37" spans="1:6" ht="15.6" x14ac:dyDescent="0.35">
      <c r="A37" s="32" t="s">
        <v>65</v>
      </c>
      <c r="B37" s="23">
        <f>B21/B32</f>
        <v>11551106145.487761</v>
      </c>
      <c r="C37" s="23">
        <f>C21/C32</f>
        <v>2627361956.521739</v>
      </c>
      <c r="D37" s="23">
        <f>D21/D32</f>
        <v>939537769.45560837</v>
      </c>
      <c r="E37" s="23">
        <f>E21/E32</f>
        <v>5180278761.4906836</v>
      </c>
      <c r="F37" s="23">
        <f>F21/F32</f>
        <v>2803927658.0197296</v>
      </c>
    </row>
    <row r="38" spans="1:6" ht="15.6" x14ac:dyDescent="0.35">
      <c r="A38" s="32" t="s">
        <v>105</v>
      </c>
      <c r="B38" s="23">
        <f>B23/B33</f>
        <v>10306376233.9925</v>
      </c>
      <c r="C38" s="23">
        <f>C23/C33</f>
        <v>2528307721.5768776</v>
      </c>
      <c r="D38" s="23">
        <f>D23/D33</f>
        <v>942712980.88356352</v>
      </c>
      <c r="E38" s="23">
        <f>E23/E33</f>
        <v>4848793694.3693409</v>
      </c>
      <c r="F38" s="23">
        <f>F23/F33</f>
        <v>1986561837.1627185</v>
      </c>
    </row>
    <row r="39" spans="1:6" ht="15.6" x14ac:dyDescent="0.35">
      <c r="A39" s="32" t="s">
        <v>66</v>
      </c>
      <c r="B39" s="23">
        <f>$B$37/(B15)</f>
        <v>810398.57587270159</v>
      </c>
      <c r="C39" s="23">
        <f>C37/(C15)</f>
        <v>1659270.0588517052</v>
      </c>
      <c r="D39" s="23">
        <f>D37/(D15)</f>
        <v>663880.02866455796</v>
      </c>
      <c r="E39" s="23">
        <f>E37/(E15)</f>
        <v>493062.47928145085</v>
      </c>
      <c r="F39" s="23">
        <f>F37/(F15)</f>
        <v>3745506.3335328475</v>
      </c>
    </row>
    <row r="40" spans="1:6" ht="15.6" x14ac:dyDescent="0.35">
      <c r="A40" s="32" t="s">
        <v>106</v>
      </c>
      <c r="B40" s="23">
        <f>$B$38/(B17)</f>
        <v>737738.88990815787</v>
      </c>
      <c r="C40" s="23">
        <f>C38/(C17)</f>
        <v>1621980.8606594841</v>
      </c>
      <c r="D40" s="23">
        <f>D38/(D17)</f>
        <v>636920.4134788732</v>
      </c>
      <c r="E40" s="23">
        <f>E38/(E17)</f>
        <v>488871.82265528553</v>
      </c>
      <c r="F40" s="23">
        <f>F38/(F17)</f>
        <v>1961067.9537637893</v>
      </c>
    </row>
    <row r="41" spans="1:6" ht="15.6" x14ac:dyDescent="0.35">
      <c r="A41" s="32"/>
      <c r="B41" s="24"/>
      <c r="C41" s="24"/>
      <c r="D41" s="24"/>
      <c r="E41" s="24"/>
      <c r="F41" s="24"/>
    </row>
    <row r="42" spans="1:6" ht="15.6" x14ac:dyDescent="0.35">
      <c r="A42" s="33" t="s">
        <v>9</v>
      </c>
      <c r="B42" s="24"/>
      <c r="C42" s="24"/>
      <c r="D42" s="24"/>
      <c r="E42" s="24"/>
      <c r="F42" s="24"/>
    </row>
    <row r="43" spans="1:6" ht="15.6" x14ac:dyDescent="0.35">
      <c r="A43" s="32"/>
      <c r="B43" s="24"/>
      <c r="C43" s="24"/>
      <c r="D43" s="24"/>
      <c r="E43" s="24"/>
      <c r="F43" s="24"/>
    </row>
    <row r="44" spans="1:6" ht="15.6" x14ac:dyDescent="0.35">
      <c r="A44" s="33" t="s">
        <v>10</v>
      </c>
      <c r="B44" s="24"/>
      <c r="C44" s="24"/>
      <c r="D44" s="24"/>
      <c r="E44" s="24"/>
      <c r="F44" s="24"/>
    </row>
    <row r="45" spans="1:6" ht="15.6" x14ac:dyDescent="0.35">
      <c r="A45" s="32" t="s">
        <v>11</v>
      </c>
      <c r="B45" s="18">
        <f>B16/B34*100</f>
        <v>6.9888455996157344</v>
      </c>
      <c r="C45" s="18"/>
      <c r="D45" s="18"/>
      <c r="E45" s="18"/>
      <c r="F45" s="18"/>
    </row>
    <row r="46" spans="1:6" ht="15.6" x14ac:dyDescent="0.35">
      <c r="A46" s="32" t="s">
        <v>12</v>
      </c>
      <c r="B46" s="18">
        <f>B17/B34*100</f>
        <v>6.2132955392281861</v>
      </c>
      <c r="C46" s="18"/>
      <c r="D46" s="18"/>
      <c r="E46" s="18"/>
      <c r="F46" s="18"/>
    </row>
    <row r="47" spans="1:6" ht="15.6" x14ac:dyDescent="0.35">
      <c r="A47" s="32"/>
      <c r="B47" s="18"/>
      <c r="C47" s="18"/>
      <c r="D47" s="18"/>
      <c r="E47" s="18"/>
      <c r="F47" s="18"/>
    </row>
    <row r="48" spans="1:6" ht="15.6" x14ac:dyDescent="0.35">
      <c r="A48" s="33" t="s">
        <v>13</v>
      </c>
      <c r="B48" s="18"/>
      <c r="C48" s="18"/>
      <c r="D48" s="18"/>
      <c r="E48" s="18"/>
      <c r="F48" s="18"/>
    </row>
    <row r="49" spans="1:7" ht="15.6" x14ac:dyDescent="0.35">
      <c r="A49" s="32" t="s">
        <v>14</v>
      </c>
      <c r="B49" s="18">
        <f>B17/B16*100</f>
        <v>88.903030560151592</v>
      </c>
      <c r="C49" s="18">
        <f>C17/C16*100</f>
        <v>94.643459488632516</v>
      </c>
      <c r="D49" s="18">
        <f>D17/D16*100</f>
        <v>93.323525290738417</v>
      </c>
      <c r="E49" s="18">
        <f>E17/E16*100</f>
        <v>85.62836340614119</v>
      </c>
      <c r="F49" s="18">
        <f>F17/F16*100</f>
        <v>112.80623608017817</v>
      </c>
    </row>
    <row r="50" spans="1:7" ht="15.6" x14ac:dyDescent="0.35">
      <c r="A50" s="32" t="s">
        <v>15</v>
      </c>
      <c r="B50" s="18">
        <f>B23/B22*100</f>
        <v>78.216211178007583</v>
      </c>
      <c r="C50" s="18">
        <f>C23/C22*100</f>
        <v>91.611345646462823</v>
      </c>
      <c r="D50" s="18">
        <f>D23/D22*100</f>
        <v>88.681162388977285</v>
      </c>
      <c r="E50" s="18">
        <f>E23/E22*100</f>
        <v>91.69154910231201</v>
      </c>
      <c r="F50" s="18">
        <f>F23/F22*100</f>
        <v>48.860724315988399</v>
      </c>
    </row>
    <row r="51" spans="1:7" ht="15.6" x14ac:dyDescent="0.35">
      <c r="A51" s="32" t="s">
        <v>16</v>
      </c>
      <c r="B51" s="18">
        <f>AVERAGE(B49:B50)</f>
        <v>83.559620869079595</v>
      </c>
      <c r="C51" s="18">
        <f>AVERAGE(C49:C50)</f>
        <v>93.127402567547676</v>
      </c>
      <c r="D51" s="18">
        <f>AVERAGE(D49:D50)</f>
        <v>91.002343839857843</v>
      </c>
      <c r="E51" s="18">
        <f>AVERAGE(E49:E50)</f>
        <v>88.6599562542266</v>
      </c>
      <c r="F51" s="18">
        <f>AVERAGE(F49:F50)</f>
        <v>80.833480198083279</v>
      </c>
    </row>
    <row r="52" spans="1:7" ht="15.6" x14ac:dyDescent="0.35">
      <c r="A52" s="32"/>
      <c r="B52" s="18"/>
      <c r="C52" s="18"/>
      <c r="D52" s="18"/>
      <c r="E52" s="18"/>
      <c r="F52" s="18"/>
    </row>
    <row r="53" spans="1:7" ht="15.6" x14ac:dyDescent="0.35">
      <c r="A53" s="33" t="s">
        <v>17</v>
      </c>
      <c r="B53" s="18"/>
      <c r="C53" s="18"/>
      <c r="D53" s="18"/>
      <c r="E53" s="18"/>
      <c r="F53" s="18"/>
    </row>
    <row r="54" spans="1:7" ht="15.6" x14ac:dyDescent="0.35">
      <c r="A54" s="32" t="s">
        <v>18</v>
      </c>
      <c r="B54" s="18">
        <f>(B17/B18)*100</f>
        <v>88.89737335171634</v>
      </c>
      <c r="C54" s="18">
        <f>(C17/C18)*100</f>
        <v>94.643459488632516</v>
      </c>
      <c r="D54" s="18">
        <f>(D17/D18)*100</f>
        <v>93.323525290738417</v>
      </c>
      <c r="E54" s="18">
        <f>(E17/E18)*100</f>
        <v>85.62836340614119</v>
      </c>
      <c r="F54" s="18">
        <f>(F17/F18)*100</f>
        <v>112.68075639599556</v>
      </c>
    </row>
    <row r="55" spans="1:7" ht="15.6" x14ac:dyDescent="0.35">
      <c r="A55" s="32" t="s">
        <v>19</v>
      </c>
      <c r="B55" s="18">
        <f>B23/B24*100</f>
        <v>58.646622198505462</v>
      </c>
      <c r="C55" s="18">
        <f>C23/C24*100</f>
        <v>68.708309211094317</v>
      </c>
      <c r="D55" s="18">
        <f>D23/D24*100</f>
        <v>66.510871791732967</v>
      </c>
      <c r="E55" s="18">
        <f>E23/E24*100</f>
        <v>68.768660888615742</v>
      </c>
      <c r="F55" s="18">
        <f>F23/F24*100</f>
        <v>36.61418093122645</v>
      </c>
    </row>
    <row r="56" spans="1:7" ht="15.6" x14ac:dyDescent="0.35">
      <c r="A56" s="32" t="s">
        <v>20</v>
      </c>
      <c r="B56" s="18">
        <f>(B54+B55)/2</f>
        <v>73.771997775110904</v>
      </c>
      <c r="C56" s="18">
        <f>(C54+C55)/2</f>
        <v>81.675884349863423</v>
      </c>
      <c r="D56" s="18">
        <f>(D54+D55)/2</f>
        <v>79.917198541235692</v>
      </c>
      <c r="E56" s="18">
        <f>(E54+E55)/2</f>
        <v>77.198512147378466</v>
      </c>
      <c r="F56" s="18">
        <f>(F54+F55)/2</f>
        <v>74.647468663611008</v>
      </c>
    </row>
    <row r="57" spans="1:7" ht="15.6" x14ac:dyDescent="0.35">
      <c r="A57" s="32"/>
      <c r="B57" s="18"/>
      <c r="C57" s="18"/>
      <c r="D57" s="18"/>
      <c r="E57" s="18"/>
      <c r="F57" s="18"/>
    </row>
    <row r="58" spans="1:7" ht="15.6" x14ac:dyDescent="0.35">
      <c r="A58" s="33" t="s">
        <v>21</v>
      </c>
      <c r="B58" s="18"/>
      <c r="C58" s="18"/>
      <c r="D58" s="18"/>
      <c r="E58" s="18"/>
      <c r="F58" s="18"/>
    </row>
    <row r="59" spans="1:7" ht="15.6" x14ac:dyDescent="0.35">
      <c r="A59" s="32" t="s">
        <v>22</v>
      </c>
      <c r="B59" s="18">
        <f>B25/B23*100</f>
        <v>100</v>
      </c>
      <c r="C59" s="18"/>
      <c r="D59" s="18"/>
      <c r="E59" s="18"/>
      <c r="F59" s="18"/>
    </row>
    <row r="60" spans="1:7" ht="15.6" x14ac:dyDescent="0.35">
      <c r="A60" s="32"/>
      <c r="B60" s="18"/>
      <c r="C60" s="18"/>
      <c r="D60" s="18"/>
      <c r="E60" s="18"/>
      <c r="F60" s="18"/>
    </row>
    <row r="61" spans="1:7" ht="15.6" x14ac:dyDescent="0.35">
      <c r="A61" s="33" t="s">
        <v>23</v>
      </c>
      <c r="B61" s="18"/>
      <c r="C61" s="18"/>
      <c r="D61" s="18"/>
      <c r="E61" s="18"/>
      <c r="F61" s="18"/>
    </row>
    <row r="62" spans="1:7" ht="15.6" x14ac:dyDescent="0.35">
      <c r="A62" s="32" t="s">
        <v>24</v>
      </c>
      <c r="B62" s="18">
        <f>((B17/B15)-1)*100</f>
        <v>-1.9881901272581937</v>
      </c>
      <c r="C62" s="18">
        <f>((C17/C15)-1)*100</f>
        <v>-1.5577854185671369</v>
      </c>
      <c r="D62" s="18">
        <f>((D17/D15)-1)*100</f>
        <v>4.5850671272670285</v>
      </c>
      <c r="E62" s="18">
        <f>((E17/E15)-1)*100</f>
        <v>-5.596624258383831</v>
      </c>
      <c r="F62" s="18">
        <f>((F17/F15)-1)*100</f>
        <v>35.317254174396993</v>
      </c>
    </row>
    <row r="63" spans="1:7" ht="15.6" x14ac:dyDescent="0.35">
      <c r="A63" s="32" t="s">
        <v>25</v>
      </c>
      <c r="B63" s="18">
        <f>((B38/B37)-1)*100</f>
        <v>-10.775850345566184</v>
      </c>
      <c r="C63" s="18">
        <f>((C38/C37)-1)*100</f>
        <v>-3.7701023530079314</v>
      </c>
      <c r="D63" s="18">
        <f>((D38/D37)-1)*100</f>
        <v>0.33795463377646051</v>
      </c>
      <c r="E63" s="18">
        <f>((E38/E37)-1)*100</f>
        <v>-6.3989812591852546</v>
      </c>
      <c r="F63" s="18">
        <f>((F38/F37)-1)*100</f>
        <v>-29.150745687721301</v>
      </c>
      <c r="G63" s="8"/>
    </row>
    <row r="64" spans="1:7" ht="15.6" x14ac:dyDescent="0.35">
      <c r="A64" s="32" t="s">
        <v>26</v>
      </c>
      <c r="B64" s="18">
        <f>((B40/B39)-1)*100</f>
        <v>-8.9659197495871705</v>
      </c>
      <c r="C64" s="18">
        <f>((C40/C39)-1)*100</f>
        <v>-2.2473254424916878</v>
      </c>
      <c r="D64" s="18">
        <f>((D40/D39)-1)*100</f>
        <v>-4.060916735199271</v>
      </c>
      <c r="E64" s="18">
        <f>((E40/E39)-1)*100</f>
        <v>-0.84992405673870453</v>
      </c>
      <c r="F64" s="18">
        <f>((F40/F39)-1)*100</f>
        <v>-47.64211353197566</v>
      </c>
    </row>
    <row r="65" spans="1:6" ht="15.6" x14ac:dyDescent="0.35">
      <c r="A65" s="32"/>
      <c r="B65" s="18"/>
      <c r="C65" s="18"/>
      <c r="D65" s="18"/>
      <c r="E65" s="18"/>
      <c r="F65" s="18"/>
    </row>
    <row r="66" spans="1:6" ht="15.6" x14ac:dyDescent="0.35">
      <c r="A66" s="33" t="s">
        <v>27</v>
      </c>
      <c r="B66" s="18"/>
      <c r="C66" s="18"/>
      <c r="D66" s="18"/>
      <c r="E66" s="18"/>
      <c r="F66" s="18"/>
    </row>
    <row r="67" spans="1:6" ht="15.6" x14ac:dyDescent="0.35">
      <c r="A67" s="32" t="s">
        <v>38</v>
      </c>
      <c r="B67" s="18">
        <f t="shared" ref="B67:F68" si="0">B22/(B16*9)</f>
        <v>101863.66725976836</v>
      </c>
      <c r="C67" s="18">
        <f t="shared" si="0"/>
        <v>203556</v>
      </c>
      <c r="D67" s="18">
        <f t="shared" si="0"/>
        <v>81422</v>
      </c>
      <c r="E67" s="18">
        <f t="shared" si="0"/>
        <v>55460.04</v>
      </c>
      <c r="F67" s="18">
        <f t="shared" si="0"/>
        <v>550000</v>
      </c>
    </row>
    <row r="68" spans="1:6" ht="15.6" x14ac:dyDescent="0.35">
      <c r="A68" s="32" t="s">
        <v>39</v>
      </c>
      <c r="B68" s="18">
        <f t="shared" si="0"/>
        <v>89618.88092628766</v>
      </c>
      <c r="C68" s="18">
        <f t="shared" si="0"/>
        <v>197034.63055100152</v>
      </c>
      <c r="D68" s="18">
        <f t="shared" si="0"/>
        <v>77371.676450716899</v>
      </c>
      <c r="E68" s="18">
        <f t="shared" si="0"/>
        <v>59387.062634335962</v>
      </c>
      <c r="F68" s="18">
        <f t="shared" si="0"/>
        <v>238226.17709443899</v>
      </c>
    </row>
    <row r="69" spans="1:6" ht="15.6" x14ac:dyDescent="0.35">
      <c r="A69" s="32" t="s">
        <v>28</v>
      </c>
      <c r="B69" s="18">
        <f>(B68/B67)*B51</f>
        <v>73.515119908405453</v>
      </c>
      <c r="C69" s="18">
        <f>(C68/C67)*C51</f>
        <v>90.143858982644318</v>
      </c>
      <c r="D69" s="18">
        <f>(D68/D67)*D51</f>
        <v>86.475447714799088</v>
      </c>
      <c r="E69" s="18">
        <f>(E68/E67)*E51</f>
        <v>94.937803420755586</v>
      </c>
      <c r="F69" s="18">
        <f>(F68/F67)*F51</f>
        <v>35.01209267059712</v>
      </c>
    </row>
    <row r="70" spans="1:6" ht="15.6" x14ac:dyDescent="0.35">
      <c r="A70" s="32" t="s">
        <v>40</v>
      </c>
      <c r="B70" s="18">
        <f>B22/B16</f>
        <v>916773.00533791527</v>
      </c>
      <c r="C70" s="18">
        <f t="shared" ref="C70:F71" si="1">C22/C16</f>
        <v>1832004</v>
      </c>
      <c r="D70" s="18">
        <f t="shared" si="1"/>
        <v>732798</v>
      </c>
      <c r="E70" s="18">
        <f t="shared" si="1"/>
        <v>499140.36</v>
      </c>
      <c r="F70" s="18">
        <f t="shared" si="1"/>
        <v>4950000</v>
      </c>
    </row>
    <row r="71" spans="1:6" ht="15.6" x14ac:dyDescent="0.35">
      <c r="A71" s="32" t="s">
        <v>41</v>
      </c>
      <c r="B71" s="18">
        <f>B23/B17</f>
        <v>806569.9283365889</v>
      </c>
      <c r="C71" s="18">
        <f t="shared" si="1"/>
        <v>1773311.6749590137</v>
      </c>
      <c r="D71" s="18">
        <f t="shared" si="1"/>
        <v>696345.08805645211</v>
      </c>
      <c r="E71" s="18">
        <f t="shared" si="1"/>
        <v>534483.56370902364</v>
      </c>
      <c r="F71" s="18">
        <f t="shared" si="1"/>
        <v>2144035.5938499509</v>
      </c>
    </row>
    <row r="72" spans="1:6" ht="15.6" x14ac:dyDescent="0.35">
      <c r="A72" s="32"/>
      <c r="B72" s="18"/>
      <c r="C72" s="18"/>
      <c r="D72" s="18"/>
      <c r="E72" s="18"/>
      <c r="F72" s="18"/>
    </row>
    <row r="73" spans="1:6" ht="15.6" x14ac:dyDescent="0.35">
      <c r="A73" s="33" t="s">
        <v>29</v>
      </c>
      <c r="B73" s="18"/>
      <c r="C73" s="18"/>
      <c r="D73" s="18"/>
      <c r="E73" s="18"/>
      <c r="F73" s="18"/>
    </row>
    <row r="74" spans="1:6" ht="15.6" x14ac:dyDescent="0.35">
      <c r="A74" s="32" t="s">
        <v>30</v>
      </c>
      <c r="B74" s="25">
        <f>(B29/B28)*100</f>
        <v>101.0381736587394</v>
      </c>
      <c r="C74" s="25"/>
      <c r="D74" s="25"/>
      <c r="E74" s="25"/>
      <c r="F74" s="25"/>
    </row>
    <row r="75" spans="1:6" ht="15.6" x14ac:dyDescent="0.35">
      <c r="A75" s="32" t="s">
        <v>31</v>
      </c>
      <c r="B75" s="26">
        <f>(B23/B29)*100</f>
        <v>77.412534634865892</v>
      </c>
      <c r="C75" s="26"/>
      <c r="D75" s="26"/>
      <c r="E75" s="26"/>
      <c r="F75" s="26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s="41" customFormat="1" ht="16.2" thickTop="1" x14ac:dyDescent="0.35">
      <c r="A77" s="32" t="s">
        <v>82</v>
      </c>
      <c r="B77" s="32"/>
      <c r="C77" s="32"/>
      <c r="D77" s="32"/>
      <c r="E77" s="32"/>
      <c r="F77" s="32"/>
    </row>
    <row r="78" spans="1:6" s="41" customFormat="1" x14ac:dyDescent="0.3"/>
    <row r="79" spans="1:6" s="41" customFormat="1" x14ac:dyDescent="0.3"/>
    <row r="80" spans="1:6" s="41" customFormat="1" x14ac:dyDescent="0.3"/>
    <row r="81" spans="1:1" s="41" customFormat="1" x14ac:dyDescent="0.3">
      <c r="A81" s="39"/>
    </row>
    <row r="82" spans="1:1" customFormat="1" x14ac:dyDescent="0.3"/>
    <row r="86" spans="1:1" x14ac:dyDescent="0.3">
      <c r="A86" s="7"/>
    </row>
  </sheetData>
  <mergeCells count="4">
    <mergeCell ref="A9:A10"/>
    <mergeCell ref="C9:F9"/>
    <mergeCell ref="C29:D29"/>
    <mergeCell ref="B9:B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3" customWidth="1"/>
    <col min="2" max="6" width="20.88671875" style="43" customWidth="1"/>
    <col min="7" max="16384" width="11.44140625" style="43"/>
  </cols>
  <sheetData>
    <row r="1" spans="1:6" s="40" customFormat="1" x14ac:dyDescent="0.3"/>
    <row r="2" spans="1:6" s="40" customFormat="1" x14ac:dyDescent="0.3"/>
    <row r="3" spans="1:6" s="40" customFormat="1" x14ac:dyDescent="0.3"/>
    <row r="4" spans="1:6" s="40" customFormat="1" x14ac:dyDescent="0.3"/>
    <row r="5" spans="1:6" s="40" customFormat="1" x14ac:dyDescent="0.3"/>
    <row r="6" spans="1:6" s="40" customFormat="1" x14ac:dyDescent="0.3"/>
    <row r="7" spans="1:6" s="40" customFormat="1" x14ac:dyDescent="0.3"/>
    <row r="8" spans="1:6" s="40" customFormat="1" ht="18" customHeight="1" x14ac:dyDescent="0.3"/>
    <row r="9" spans="1:6" ht="15.6" x14ac:dyDescent="0.35">
      <c r="A9" s="50" t="s">
        <v>0</v>
      </c>
      <c r="B9" s="52" t="s">
        <v>1</v>
      </c>
      <c r="C9" s="54" t="s">
        <v>2</v>
      </c>
      <c r="D9" s="54"/>
      <c r="E9" s="54"/>
      <c r="F9" s="54"/>
    </row>
    <row r="10" spans="1:6" ht="66" customHeight="1" thickBot="1" x14ac:dyDescent="0.35">
      <c r="A10" s="51"/>
      <c r="B10" s="53"/>
      <c r="C10" s="30" t="s">
        <v>46</v>
      </c>
      <c r="D10" s="30" t="s">
        <v>33</v>
      </c>
      <c r="E10" s="30" t="s">
        <v>44</v>
      </c>
      <c r="F10" s="30" t="s">
        <v>45</v>
      </c>
    </row>
    <row r="11" spans="1:6" ht="16.2" thickTop="1" x14ac:dyDescent="0.35">
      <c r="A11" s="9"/>
      <c r="B11" s="9"/>
      <c r="C11" s="9"/>
      <c r="D11" s="9"/>
      <c r="E11" s="9"/>
      <c r="F11" s="9"/>
    </row>
    <row r="12" spans="1:6" ht="15.6" x14ac:dyDescent="0.35">
      <c r="A12" s="10" t="s">
        <v>3</v>
      </c>
      <c r="B12" s="9"/>
      <c r="C12" s="9"/>
      <c r="D12" s="9"/>
      <c r="E12" s="9"/>
      <c r="F12" s="9"/>
    </row>
    <row r="13" spans="1:6" ht="15.6" x14ac:dyDescent="0.35">
      <c r="A13" s="9"/>
      <c r="B13" s="9"/>
      <c r="C13" s="9"/>
      <c r="D13" s="9"/>
      <c r="E13" s="9"/>
      <c r="F13" s="9"/>
    </row>
    <row r="14" spans="1:6" ht="15.6" x14ac:dyDescent="0.35">
      <c r="A14" s="10" t="s">
        <v>32</v>
      </c>
      <c r="B14" s="9"/>
      <c r="C14" s="9"/>
      <c r="D14" s="9"/>
      <c r="E14" s="9"/>
      <c r="F14" s="9"/>
    </row>
    <row r="15" spans="1:6" ht="15.6" x14ac:dyDescent="0.35">
      <c r="A15" s="12" t="s">
        <v>67</v>
      </c>
      <c r="B15" s="11">
        <f>SUM(C15:F15)</f>
        <v>14353.000000000002</v>
      </c>
      <c r="C15" s="11">
        <v>1588</v>
      </c>
      <c r="D15" s="11">
        <v>1469.3333333333335</v>
      </c>
      <c r="E15" s="11">
        <v>10279.333333333334</v>
      </c>
      <c r="F15" s="11">
        <v>1016.3333333333334</v>
      </c>
    </row>
    <row r="16" spans="1:6" ht="15.6" x14ac:dyDescent="0.35">
      <c r="A16" s="12" t="s">
        <v>107</v>
      </c>
      <c r="B16" s="11">
        <f>SUM(C16:F16)</f>
        <v>15717</v>
      </c>
      <c r="C16" s="11">
        <v>1647</v>
      </c>
      <c r="D16" s="11">
        <v>1586</v>
      </c>
      <c r="E16" s="11">
        <v>11583</v>
      </c>
      <c r="F16" s="11">
        <v>901</v>
      </c>
    </row>
    <row r="17" spans="1:6" ht="15.6" x14ac:dyDescent="0.35">
      <c r="A17" s="12" t="s">
        <v>108</v>
      </c>
      <c r="B17" s="11">
        <f>SUM(C17:F17)</f>
        <v>14303.666666666668</v>
      </c>
      <c r="C17" s="11">
        <v>1585.6666666666665</v>
      </c>
      <c r="D17" s="11">
        <v>1440.3333333333333</v>
      </c>
      <c r="E17" s="11">
        <v>10250.333333333334</v>
      </c>
      <c r="F17" s="11">
        <v>1027.3333333333335</v>
      </c>
    </row>
    <row r="18" spans="1:6" ht="15.6" x14ac:dyDescent="0.35">
      <c r="A18" s="12" t="s">
        <v>77</v>
      </c>
      <c r="B18" s="11">
        <f>SUM(C18:F18)</f>
        <v>15715</v>
      </c>
      <c r="C18" s="11">
        <v>1647</v>
      </c>
      <c r="D18" s="11">
        <v>1586</v>
      </c>
      <c r="E18" s="11">
        <v>11583</v>
      </c>
      <c r="F18" s="11">
        <v>899</v>
      </c>
    </row>
    <row r="19" spans="1:6" ht="15.6" x14ac:dyDescent="0.35">
      <c r="A19" s="9"/>
      <c r="B19" s="11"/>
      <c r="C19" s="11"/>
      <c r="D19" s="11"/>
      <c r="E19" s="11"/>
      <c r="F19" s="11"/>
    </row>
    <row r="20" spans="1:6" ht="15.6" x14ac:dyDescent="0.35">
      <c r="A20" s="13" t="s">
        <v>4</v>
      </c>
      <c r="B20" s="11"/>
      <c r="C20" s="11"/>
      <c r="D20" s="11"/>
      <c r="E20" s="11"/>
      <c r="F20" s="11"/>
    </row>
    <row r="21" spans="1:6" ht="15.6" x14ac:dyDescent="0.35">
      <c r="A21" s="12" t="s">
        <v>67</v>
      </c>
      <c r="B21" s="11">
        <f>SUM(C21:F21)</f>
        <v>6536662680.1000004</v>
      </c>
      <c r="C21" s="11">
        <v>1053260200</v>
      </c>
      <c r="D21" s="11">
        <v>409988520</v>
      </c>
      <c r="E21" s="11">
        <v>1848708671.0999999</v>
      </c>
      <c r="F21" s="11">
        <v>3224705289</v>
      </c>
    </row>
    <row r="22" spans="1:6" ht="15.6" x14ac:dyDescent="0.35">
      <c r="A22" s="12" t="s">
        <v>107</v>
      </c>
      <c r="B22" s="11">
        <f>SUM(C22:F22)</f>
        <v>4807145489.1169624</v>
      </c>
      <c r="C22" s="11">
        <v>1005781907.9999816</v>
      </c>
      <c r="D22" s="11">
        <v>387405876</v>
      </c>
      <c r="E22" s="11">
        <v>1927181035.1197405</v>
      </c>
      <c r="F22" s="11">
        <v>1486776669.9972401</v>
      </c>
    </row>
    <row r="23" spans="1:6" ht="15.6" x14ac:dyDescent="0.35">
      <c r="A23" s="12" t="s">
        <v>108</v>
      </c>
      <c r="B23" s="11">
        <f>SUM(C23:F23)</f>
        <v>8527785749.3100004</v>
      </c>
      <c r="C23" s="11">
        <v>1207495056</v>
      </c>
      <c r="D23" s="11">
        <v>506364332</v>
      </c>
      <c r="E23" s="11">
        <v>4615571361.3100004</v>
      </c>
      <c r="F23" s="11">
        <v>2198355000</v>
      </c>
    </row>
    <row r="24" spans="1:6" ht="15.6" x14ac:dyDescent="0.35">
      <c r="A24" s="12" t="s">
        <v>77</v>
      </c>
      <c r="B24" s="11">
        <f>SUM(C24:F24)</f>
        <v>19213316494.996964</v>
      </c>
      <c r="C24" s="14">
        <v>4023092495.9999819</v>
      </c>
      <c r="D24" s="11">
        <v>1549623504</v>
      </c>
      <c r="E24" s="11">
        <v>7708723824.9997406</v>
      </c>
      <c r="F24" s="11">
        <v>5931876669.9972401</v>
      </c>
    </row>
    <row r="25" spans="1:6" ht="15.6" x14ac:dyDescent="0.35">
      <c r="A25" s="12" t="s">
        <v>109</v>
      </c>
      <c r="B25" s="11">
        <f>SUM(C25:F25)</f>
        <v>8527785749.3100004</v>
      </c>
      <c r="C25" s="11">
        <f>C23</f>
        <v>1207495056</v>
      </c>
      <c r="D25" s="11">
        <f>D23</f>
        <v>506364332</v>
      </c>
      <c r="E25" s="11">
        <f>E23</f>
        <v>4615571361.3100004</v>
      </c>
      <c r="F25" s="11">
        <f>F23</f>
        <v>2198355000</v>
      </c>
    </row>
    <row r="26" spans="1:6" ht="15.6" x14ac:dyDescent="0.35">
      <c r="A26" s="9"/>
      <c r="B26" s="11"/>
      <c r="C26" s="11"/>
      <c r="D26" s="11"/>
      <c r="E26" s="11"/>
      <c r="F26" s="11"/>
    </row>
    <row r="27" spans="1:6" ht="15.6" x14ac:dyDescent="0.35">
      <c r="A27" s="13" t="s">
        <v>5</v>
      </c>
      <c r="B27" s="11"/>
      <c r="C27" s="11"/>
      <c r="D27" s="11"/>
      <c r="E27" s="11"/>
      <c r="F27" s="11"/>
    </row>
    <row r="28" spans="1:6" ht="15.6" x14ac:dyDescent="0.35">
      <c r="A28" s="12" t="s">
        <v>107</v>
      </c>
      <c r="B28" s="11">
        <f>B22</f>
        <v>4807145489.1169624</v>
      </c>
      <c r="C28" s="11"/>
      <c r="D28" s="11"/>
      <c r="E28" s="11"/>
      <c r="F28" s="11"/>
    </row>
    <row r="29" spans="1:6" ht="15.6" x14ac:dyDescent="0.35">
      <c r="A29" s="12" t="s">
        <v>108</v>
      </c>
      <c r="B29" s="11">
        <v>6317125585.5</v>
      </c>
      <c r="C29" s="15"/>
      <c r="D29" s="15"/>
      <c r="E29" s="11"/>
      <c r="F29" s="11"/>
    </row>
    <row r="30" spans="1:6" ht="15.6" x14ac:dyDescent="0.35">
      <c r="A30" s="9"/>
      <c r="B30" s="9"/>
      <c r="C30" s="9"/>
      <c r="D30" s="9"/>
      <c r="E30" s="9"/>
      <c r="F30" s="9"/>
    </row>
    <row r="31" spans="1:6" ht="15.6" x14ac:dyDescent="0.35">
      <c r="A31" s="10" t="s">
        <v>6</v>
      </c>
      <c r="B31" s="9"/>
      <c r="C31" s="9"/>
      <c r="D31" s="9"/>
      <c r="E31" s="9"/>
      <c r="F31" s="9"/>
    </row>
    <row r="32" spans="1:6" ht="15.6" x14ac:dyDescent="0.35">
      <c r="A32" s="12" t="s">
        <v>68</v>
      </c>
      <c r="B32" s="27">
        <v>1.0947</v>
      </c>
      <c r="C32" s="27">
        <v>1.0947</v>
      </c>
      <c r="D32" s="27">
        <v>1.0947</v>
      </c>
      <c r="E32" s="27">
        <v>1.0947</v>
      </c>
      <c r="F32" s="27">
        <v>1.0947</v>
      </c>
    </row>
    <row r="33" spans="1:6" ht="15.6" x14ac:dyDescent="0.35">
      <c r="A33" s="12" t="s">
        <v>110</v>
      </c>
      <c r="B33" s="27">
        <v>1.1039000000000001</v>
      </c>
      <c r="C33" s="27">
        <v>1.1039000000000001</v>
      </c>
      <c r="D33" s="27">
        <v>1.1039000000000001</v>
      </c>
      <c r="E33" s="27">
        <v>1.1039000000000001</v>
      </c>
      <c r="F33" s="27">
        <v>1.1039000000000001</v>
      </c>
    </row>
    <row r="34" spans="1:6" ht="15.6" x14ac:dyDescent="0.35">
      <c r="A34" s="12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9"/>
      <c r="B35" s="11"/>
      <c r="C35" s="11"/>
      <c r="D35" s="11"/>
      <c r="E35" s="11"/>
      <c r="F35" s="11"/>
    </row>
    <row r="36" spans="1:6" ht="15.6" x14ac:dyDescent="0.35">
      <c r="A36" s="10" t="s">
        <v>8</v>
      </c>
      <c r="B36" s="11"/>
      <c r="C36" s="11"/>
      <c r="D36" s="11"/>
      <c r="E36" s="11"/>
      <c r="F36" s="11"/>
    </row>
    <row r="37" spans="1:6" ht="15.6" x14ac:dyDescent="0.35">
      <c r="A37" s="9" t="s">
        <v>69</v>
      </c>
      <c r="B37" s="23">
        <f>B21/B32</f>
        <v>5971190901.708231</v>
      </c>
      <c r="C37" s="23">
        <f>C21/C32</f>
        <v>962145062.57422125</v>
      </c>
      <c r="D37" s="23">
        <f>D21/D32</f>
        <v>374521348.31460673</v>
      </c>
      <c r="E37" s="23">
        <f>E21/E32</f>
        <v>1688781100.8495476</v>
      </c>
      <c r="F37" s="23">
        <f>F21/F32</f>
        <v>2945743389.9698548</v>
      </c>
    </row>
    <row r="38" spans="1:6" ht="15.6" x14ac:dyDescent="0.35">
      <c r="A38" s="9" t="s">
        <v>111</v>
      </c>
      <c r="B38" s="23">
        <f t="shared" ref="B38:F38" si="0">B23/B33</f>
        <v>7725143354.7513361</v>
      </c>
      <c r="C38" s="23">
        <f t="shared" si="0"/>
        <v>1093844601.866111</v>
      </c>
      <c r="D38" s="23">
        <f t="shared" si="0"/>
        <v>458704893.55919915</v>
      </c>
      <c r="E38" s="23">
        <f t="shared" si="0"/>
        <v>4181149887.951807</v>
      </c>
      <c r="F38" s="23">
        <f t="shared" si="0"/>
        <v>1991443971.3742185</v>
      </c>
    </row>
    <row r="39" spans="1:6" ht="15.6" x14ac:dyDescent="0.35">
      <c r="A39" s="9" t="s">
        <v>70</v>
      </c>
      <c r="B39" s="23">
        <f>$B$37/(B15)</f>
        <v>416023.89059487428</v>
      </c>
      <c r="C39" s="23">
        <f>C37/(C15)</f>
        <v>605884.80010971113</v>
      </c>
      <c r="D39" s="23">
        <f>D37/(D15)</f>
        <v>254892.02471502271</v>
      </c>
      <c r="E39" s="23">
        <f>E37/(E15)</f>
        <v>164288.97148156958</v>
      </c>
      <c r="F39" s="23">
        <f>F37/(F15)</f>
        <v>2898402.8107279646</v>
      </c>
    </row>
    <row r="40" spans="1:6" ht="15.6" x14ac:dyDescent="0.35">
      <c r="A40" s="9" t="s">
        <v>112</v>
      </c>
      <c r="B40" s="23">
        <f>$B$38/(B17)</f>
        <v>540081.33262459526</v>
      </c>
      <c r="C40" s="23">
        <f>C38/(C17)</f>
        <v>689832.62678123475</v>
      </c>
      <c r="D40" s="23">
        <f>D38/(D17)</f>
        <v>318471.34475297329</v>
      </c>
      <c r="E40" s="23">
        <f>E38/(E17)</f>
        <v>407903.79707506811</v>
      </c>
      <c r="F40" s="23">
        <f>F38/(F17)</f>
        <v>1938459.4140566692</v>
      </c>
    </row>
    <row r="41" spans="1:6" ht="15.6" x14ac:dyDescent="0.35">
      <c r="A41" s="9"/>
      <c r="B41" s="24"/>
      <c r="C41" s="24"/>
      <c r="D41" s="24"/>
      <c r="E41" s="24"/>
      <c r="F41" s="24"/>
    </row>
    <row r="42" spans="1:6" ht="15.6" x14ac:dyDescent="0.35">
      <c r="A42" s="10" t="s">
        <v>9</v>
      </c>
      <c r="B42" s="24"/>
      <c r="C42" s="24"/>
      <c r="D42" s="24"/>
      <c r="E42" s="24"/>
      <c r="F42" s="24"/>
    </row>
    <row r="43" spans="1:6" ht="15.6" x14ac:dyDescent="0.35">
      <c r="A43" s="9"/>
      <c r="B43" s="24"/>
      <c r="C43" s="24"/>
      <c r="D43" s="24"/>
      <c r="E43" s="24"/>
      <c r="F43" s="24"/>
    </row>
    <row r="44" spans="1:6" ht="15.6" x14ac:dyDescent="0.35">
      <c r="A44" s="10" t="s">
        <v>10</v>
      </c>
      <c r="B44" s="24"/>
      <c r="C44" s="24"/>
      <c r="D44" s="24"/>
      <c r="E44" s="24"/>
      <c r="F44" s="24"/>
    </row>
    <row r="45" spans="1:6" ht="15.6" x14ac:dyDescent="0.35">
      <c r="A45" s="9" t="s">
        <v>11</v>
      </c>
      <c r="B45" s="18">
        <f>B16/B34*100</f>
        <v>6.9901798580349048</v>
      </c>
      <c r="C45" s="18"/>
      <c r="D45" s="18"/>
      <c r="E45" s="18"/>
      <c r="F45" s="18"/>
    </row>
    <row r="46" spans="1:6" ht="15.6" x14ac:dyDescent="0.35">
      <c r="A46" s="9" t="s">
        <v>12</v>
      </c>
      <c r="B46" s="18">
        <f>B17/B34*100</f>
        <v>6.3615958916700768</v>
      </c>
      <c r="C46" s="18"/>
      <c r="D46" s="18"/>
      <c r="E46" s="18"/>
      <c r="F46" s="18"/>
    </row>
    <row r="47" spans="1:6" ht="15.6" x14ac:dyDescent="0.35">
      <c r="A47" s="9"/>
      <c r="B47" s="18"/>
      <c r="C47" s="18"/>
      <c r="D47" s="18"/>
      <c r="E47" s="18"/>
      <c r="F47" s="18"/>
    </row>
    <row r="48" spans="1:6" ht="15.6" x14ac:dyDescent="0.35">
      <c r="A48" s="10" t="s">
        <v>13</v>
      </c>
      <c r="B48" s="18"/>
      <c r="C48" s="18"/>
      <c r="D48" s="18"/>
      <c r="E48" s="18"/>
      <c r="F48" s="18"/>
    </row>
    <row r="49" spans="1:6" ht="15.6" x14ac:dyDescent="0.35">
      <c r="A49" s="9" t="s">
        <v>14</v>
      </c>
      <c r="B49" s="18">
        <f>B17/B16*100</f>
        <v>91.007613836397965</v>
      </c>
      <c r="C49" s="18">
        <f>C17/C16*100</f>
        <v>96.27605747824326</v>
      </c>
      <c r="D49" s="18">
        <f>D17/D16*100</f>
        <v>90.815468684321146</v>
      </c>
      <c r="E49" s="18">
        <f>E17/E16*100</f>
        <v>88.494632939077391</v>
      </c>
      <c r="F49" s="18">
        <f>F17/F16*100</f>
        <v>114.02145763965964</v>
      </c>
    </row>
    <row r="50" spans="1:6" ht="15.6" x14ac:dyDescent="0.35">
      <c r="A50" s="9" t="s">
        <v>15</v>
      </c>
      <c r="B50" s="18">
        <f t="shared" ref="B50:F50" si="1">B23/B22*100</f>
        <v>177.39812053985688</v>
      </c>
      <c r="C50" s="18">
        <f t="shared" si="1"/>
        <v>120.05535657338768</v>
      </c>
      <c r="D50" s="18">
        <f t="shared" si="1"/>
        <v>130.7064149951097</v>
      </c>
      <c r="E50" s="18">
        <f t="shared" si="1"/>
        <v>239.49858768837581</v>
      </c>
      <c r="F50" s="18">
        <f t="shared" si="1"/>
        <v>147.86047187598666</v>
      </c>
    </row>
    <row r="51" spans="1:6" ht="15.6" x14ac:dyDescent="0.35">
      <c r="A51" s="9" t="s">
        <v>16</v>
      </c>
      <c r="B51" s="18">
        <f>AVERAGE(B49:B50)</f>
        <v>134.20286718812741</v>
      </c>
      <c r="C51" s="18">
        <f>AVERAGE(C49:C50)</f>
        <v>108.16570702581546</v>
      </c>
      <c r="D51" s="18">
        <f>AVERAGE(D49:D50)</f>
        <v>110.76094183971543</v>
      </c>
      <c r="E51" s="18">
        <f>AVERAGE(E49:E50)</f>
        <v>163.99661031372659</v>
      </c>
      <c r="F51" s="18">
        <f>AVERAGE(F49:F50)</f>
        <v>130.94096475782317</v>
      </c>
    </row>
    <row r="52" spans="1:6" ht="15.6" x14ac:dyDescent="0.35">
      <c r="A52" s="9"/>
      <c r="B52" s="18"/>
      <c r="C52" s="18"/>
      <c r="D52" s="18"/>
      <c r="E52" s="18"/>
      <c r="F52" s="18"/>
    </row>
    <row r="53" spans="1:6" ht="15.6" x14ac:dyDescent="0.35">
      <c r="A53" s="10" t="s">
        <v>17</v>
      </c>
      <c r="B53" s="18"/>
      <c r="C53" s="18"/>
      <c r="D53" s="18"/>
      <c r="E53" s="18"/>
      <c r="F53" s="18"/>
    </row>
    <row r="54" spans="1:6" ht="15.6" x14ac:dyDescent="0.35">
      <c r="A54" s="9" t="s">
        <v>18</v>
      </c>
      <c r="B54" s="18">
        <f>(B17/B18)*100</f>
        <v>91.019196097147102</v>
      </c>
      <c r="C54" s="18">
        <f>(C17/C18)*100</f>
        <v>96.27605747824326</v>
      </c>
      <c r="D54" s="18">
        <f>(D17/D18)*100</f>
        <v>90.815468684321146</v>
      </c>
      <c r="E54" s="18">
        <f>(E17/E18)*100</f>
        <v>88.494632939077391</v>
      </c>
      <c r="F54" s="18">
        <f>(F17/F18)*100</f>
        <v>114.27512050426401</v>
      </c>
    </row>
    <row r="55" spans="1:6" ht="15.6" x14ac:dyDescent="0.35">
      <c r="A55" s="9" t="s">
        <v>19</v>
      </c>
      <c r="B55" s="18">
        <f t="shared" ref="B55:F55" si="2">B23/B24*100</f>
        <v>44.384766948124685</v>
      </c>
      <c r="C55" s="18">
        <f t="shared" si="2"/>
        <v>30.014101271610571</v>
      </c>
      <c r="D55" s="18">
        <f t="shared" si="2"/>
        <v>32.676603748777424</v>
      </c>
      <c r="E55" s="18">
        <f t="shared" si="2"/>
        <v>59.874649372461541</v>
      </c>
      <c r="F55" s="18">
        <f t="shared" si="2"/>
        <v>37.060025389924753</v>
      </c>
    </row>
    <row r="56" spans="1:6" ht="15.6" x14ac:dyDescent="0.35">
      <c r="A56" s="9" t="s">
        <v>20</v>
      </c>
      <c r="B56" s="18">
        <f>(B54+B55)/2</f>
        <v>67.70198152263589</v>
      </c>
      <c r="C56" s="18">
        <f>(C54+C55)/2</f>
        <v>63.145079374926915</v>
      </c>
      <c r="D56" s="18">
        <f>(D54+D55)/2</f>
        <v>61.746036216549285</v>
      </c>
      <c r="E56" s="18">
        <f>(E54+E55)/2</f>
        <v>74.184641155769469</v>
      </c>
      <c r="F56" s="18">
        <f>(F54+F55)/2</f>
        <v>75.667572947094385</v>
      </c>
    </row>
    <row r="57" spans="1:6" ht="15.6" x14ac:dyDescent="0.35">
      <c r="A57" s="9"/>
      <c r="B57" s="18"/>
      <c r="C57" s="18"/>
      <c r="D57" s="18"/>
      <c r="E57" s="18"/>
      <c r="F57" s="18"/>
    </row>
    <row r="58" spans="1:6" ht="15.6" x14ac:dyDescent="0.35">
      <c r="A58" s="10" t="s">
        <v>21</v>
      </c>
      <c r="B58" s="18"/>
      <c r="C58" s="18"/>
      <c r="D58" s="18"/>
      <c r="E58" s="18"/>
      <c r="F58" s="18"/>
    </row>
    <row r="59" spans="1:6" ht="15.6" x14ac:dyDescent="0.35">
      <c r="A59" s="9" t="s">
        <v>22</v>
      </c>
      <c r="B59" s="18">
        <f>B25/B23*100</f>
        <v>100</v>
      </c>
      <c r="C59" s="18"/>
      <c r="D59" s="18"/>
      <c r="E59" s="18"/>
      <c r="F59" s="18"/>
    </row>
    <row r="60" spans="1:6" ht="15.6" x14ac:dyDescent="0.35">
      <c r="A60" s="9"/>
      <c r="B60" s="18"/>
      <c r="C60" s="18"/>
      <c r="D60" s="18"/>
      <c r="E60" s="18"/>
      <c r="F60" s="18"/>
    </row>
    <row r="61" spans="1:6" ht="15.6" x14ac:dyDescent="0.35">
      <c r="A61" s="10" t="s">
        <v>23</v>
      </c>
      <c r="B61" s="18"/>
      <c r="C61" s="18"/>
      <c r="D61" s="18"/>
      <c r="E61" s="18"/>
      <c r="F61" s="18"/>
    </row>
    <row r="62" spans="1:6" ht="15.6" x14ac:dyDescent="0.35">
      <c r="A62" s="9" t="s">
        <v>24</v>
      </c>
      <c r="B62" s="18">
        <f>((B17/B15)-1)*100</f>
        <v>-0.34371443832881265</v>
      </c>
      <c r="C62" s="18">
        <f>((C17/C15)-1)*100</f>
        <v>-0.14693534844669731</v>
      </c>
      <c r="D62" s="18">
        <f>((D17/D15)-1)*100</f>
        <v>-1.9736842105263275</v>
      </c>
      <c r="E62" s="18">
        <f>((E17/E15)-1)*100</f>
        <v>-0.28211946300019664</v>
      </c>
      <c r="F62" s="18">
        <f>((F17/F15)-1)*100</f>
        <v>1.0823220728107596</v>
      </c>
    </row>
    <row r="63" spans="1:6" ht="15.6" x14ac:dyDescent="0.35">
      <c r="A63" s="9" t="s">
        <v>25</v>
      </c>
      <c r="B63" s="18">
        <f>((B38/B37)-1)*100</f>
        <v>29.373578602910456</v>
      </c>
      <c r="C63" s="18">
        <f>((C38/C37)-1)*100</f>
        <v>13.688116731538113</v>
      </c>
      <c r="D63" s="18">
        <f>((D38/D37)-1)*100</f>
        <v>22.477635954112895</v>
      </c>
      <c r="E63" s="18">
        <f>((E38/E37)-1)*100</f>
        <v>147.58388673632504</v>
      </c>
      <c r="F63" s="18">
        <f>((F38/F37)-1)*100</f>
        <v>-32.395877449644459</v>
      </c>
    </row>
    <row r="64" spans="1:6" ht="15.6" x14ac:dyDescent="0.35">
      <c r="A64" s="9" t="s">
        <v>26</v>
      </c>
      <c r="B64" s="18">
        <f>((B40/B39)-1)*100</f>
        <v>29.819787957929698</v>
      </c>
      <c r="C64" s="18">
        <f>((C40/C39)-1)*100</f>
        <v>13.855410575793069</v>
      </c>
      <c r="D64" s="18">
        <f>((D40/D39)-1)*100</f>
        <v>24.94362862432995</v>
      </c>
      <c r="E64" s="18">
        <f>((E40/E39)-1)*100</f>
        <v>148.28434519771037</v>
      </c>
      <c r="F64" s="18">
        <f>((F40/F39)-1)*100</f>
        <v>-33.119737295251774</v>
      </c>
    </row>
    <row r="65" spans="1:6" ht="15.6" x14ac:dyDescent="0.35">
      <c r="A65" s="9"/>
      <c r="B65" s="18"/>
      <c r="C65" s="18"/>
      <c r="D65" s="18"/>
      <c r="E65" s="18"/>
      <c r="F65" s="18"/>
    </row>
    <row r="66" spans="1:6" ht="15.6" x14ac:dyDescent="0.35">
      <c r="A66" s="10" t="s">
        <v>27</v>
      </c>
      <c r="B66" s="18"/>
      <c r="C66" s="18"/>
      <c r="D66" s="18"/>
      <c r="E66" s="18"/>
      <c r="F66" s="18"/>
    </row>
    <row r="67" spans="1:6" ht="15.6" x14ac:dyDescent="0.35">
      <c r="A67" s="9" t="s">
        <v>38</v>
      </c>
      <c r="B67" s="18">
        <f>B22/(B16*3)</f>
        <v>101952.14288386168</v>
      </c>
      <c r="C67" s="18">
        <f t="shared" ref="C67:F68" si="3">C22/(C16*3)</f>
        <v>203558.37037036667</v>
      </c>
      <c r="D67" s="18">
        <f t="shared" si="3"/>
        <v>81422</v>
      </c>
      <c r="E67" s="18">
        <f t="shared" si="3"/>
        <v>55460.04302626667</v>
      </c>
      <c r="F67" s="18">
        <f t="shared" si="3"/>
        <v>550046.86274407699</v>
      </c>
    </row>
    <row r="68" spans="1:6" ht="15.6" x14ac:dyDescent="0.35">
      <c r="A68" s="9" t="s">
        <v>39</v>
      </c>
      <c r="B68" s="18">
        <f>$B$23/(B17*3)</f>
        <v>198731.92769476358</v>
      </c>
      <c r="C68" s="18">
        <f>C23/(C17*3)</f>
        <v>253835.41223460165</v>
      </c>
      <c r="D68" s="18">
        <f t="shared" si="3"/>
        <v>117186.8391576024</v>
      </c>
      <c r="E68" s="18">
        <f t="shared" si="3"/>
        <v>150095.00053038928</v>
      </c>
      <c r="F68" s="18">
        <f t="shared" si="3"/>
        <v>713288.44905905251</v>
      </c>
    </row>
    <row r="69" spans="1:6" ht="15.6" x14ac:dyDescent="0.35">
      <c r="A69" s="9" t="s">
        <v>28</v>
      </c>
      <c r="B69" s="18">
        <f>(B68/B67)*B51</f>
        <v>261.59719397798585</v>
      </c>
      <c r="C69" s="18">
        <f>(C68/C67)*C51</f>
        <v>134.88164000620242</v>
      </c>
      <c r="D69" s="18">
        <f>(D68/D67)*D51</f>
        <v>159.41299251203955</v>
      </c>
      <c r="E69" s="18">
        <f>(E68/E67)*E51</f>
        <v>443.83433493484284</v>
      </c>
      <c r="F69" s="18">
        <f>(F68/F67)*F51</f>
        <v>169.80130966379096</v>
      </c>
    </row>
    <row r="70" spans="1:6" ht="15.6" x14ac:dyDescent="0.35">
      <c r="A70" s="9" t="s">
        <v>40</v>
      </c>
      <c r="B70" s="18">
        <f>B22/B16</f>
        <v>305856.42865158507</v>
      </c>
      <c r="C70" s="18">
        <f t="shared" ref="C70:F71" si="4">C22/C16</f>
        <v>610675.11111109995</v>
      </c>
      <c r="D70" s="18">
        <f t="shared" si="4"/>
        <v>244266</v>
      </c>
      <c r="E70" s="18">
        <f t="shared" si="4"/>
        <v>166380.1290788</v>
      </c>
      <c r="F70" s="18">
        <f t="shared" si="4"/>
        <v>1650140.5882322309</v>
      </c>
    </row>
    <row r="71" spans="1:6" ht="15.6" x14ac:dyDescent="0.35">
      <c r="A71" s="9" t="s">
        <v>41</v>
      </c>
      <c r="B71" s="18">
        <f>B23/B17</f>
        <v>596195.78308429068</v>
      </c>
      <c r="C71" s="18">
        <f t="shared" si="4"/>
        <v>761506.23670380504</v>
      </c>
      <c r="D71" s="18">
        <f t="shared" si="4"/>
        <v>351560.51747280726</v>
      </c>
      <c r="E71" s="18">
        <f t="shared" si="4"/>
        <v>450285.00159116776</v>
      </c>
      <c r="F71" s="18">
        <f t="shared" si="4"/>
        <v>2139865.3471771572</v>
      </c>
    </row>
    <row r="72" spans="1:6" ht="15.6" x14ac:dyDescent="0.35">
      <c r="A72" s="9"/>
      <c r="B72" s="18"/>
      <c r="C72" s="18"/>
      <c r="D72" s="18"/>
      <c r="E72" s="18"/>
      <c r="F72" s="18"/>
    </row>
    <row r="73" spans="1:6" ht="15.6" x14ac:dyDescent="0.35">
      <c r="A73" s="9" t="s">
        <v>29</v>
      </c>
      <c r="B73" s="18"/>
      <c r="C73" s="18"/>
      <c r="D73" s="18"/>
      <c r="E73" s="18"/>
      <c r="F73" s="18"/>
    </row>
    <row r="74" spans="1:6" ht="15.6" x14ac:dyDescent="0.35">
      <c r="A74" s="9" t="s">
        <v>30</v>
      </c>
      <c r="B74" s="18">
        <f>(B29/B28)*100</f>
        <v>131.41115865541258</v>
      </c>
      <c r="C74" s="18"/>
      <c r="D74" s="18"/>
      <c r="E74" s="18"/>
      <c r="F74" s="18"/>
    </row>
    <row r="75" spans="1:6" ht="15.6" x14ac:dyDescent="0.35">
      <c r="A75" s="21" t="s">
        <v>31</v>
      </c>
      <c r="B75" s="25">
        <f>(B23/B29)*100</f>
        <v>134.99471609182876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ht="16.2" thickTop="1" x14ac:dyDescent="0.35">
      <c r="A77" s="9" t="s">
        <v>82</v>
      </c>
      <c r="B77" s="9"/>
      <c r="C77" s="9"/>
      <c r="D77" s="9"/>
      <c r="E77" s="9"/>
      <c r="F77" s="9"/>
    </row>
  </sheetData>
  <mergeCells count="3">
    <mergeCell ref="A9:A10"/>
    <mergeCell ref="B9:B10"/>
    <mergeCell ref="C9:F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43" customWidth="1"/>
    <col min="2" max="6" width="20.88671875" style="43" customWidth="1"/>
    <col min="7" max="16384" width="11.44140625" style="43"/>
  </cols>
  <sheetData>
    <row r="1" spans="1:6" s="40" customFormat="1" x14ac:dyDescent="0.3"/>
    <row r="2" spans="1:6" s="40" customFormat="1" x14ac:dyDescent="0.3"/>
    <row r="3" spans="1:6" s="40" customFormat="1" x14ac:dyDescent="0.3"/>
    <row r="4" spans="1:6" s="40" customFormat="1" x14ac:dyDescent="0.3"/>
    <row r="5" spans="1:6" s="40" customFormat="1" x14ac:dyDescent="0.3"/>
    <row r="6" spans="1:6" s="40" customFormat="1" x14ac:dyDescent="0.3"/>
    <row r="7" spans="1:6" s="40" customFormat="1" x14ac:dyDescent="0.3"/>
    <row r="8" spans="1:6" s="40" customFormat="1" ht="18" customHeight="1" x14ac:dyDescent="0.3"/>
    <row r="9" spans="1:6" ht="15.6" x14ac:dyDescent="0.35">
      <c r="A9" s="50" t="s">
        <v>0</v>
      </c>
      <c r="B9" s="52" t="s">
        <v>1</v>
      </c>
      <c r="C9" s="54" t="s">
        <v>2</v>
      </c>
      <c r="D9" s="54"/>
      <c r="E9" s="54"/>
      <c r="F9" s="54"/>
    </row>
    <row r="10" spans="1:6" ht="66" customHeight="1" thickBot="1" x14ac:dyDescent="0.35">
      <c r="A10" s="51"/>
      <c r="B10" s="53"/>
      <c r="C10" s="30" t="s">
        <v>46</v>
      </c>
      <c r="D10" s="30" t="s">
        <v>33</v>
      </c>
      <c r="E10" s="30" t="s">
        <v>44</v>
      </c>
      <c r="F10" s="30" t="s">
        <v>45</v>
      </c>
    </row>
    <row r="11" spans="1:6" ht="16.2" thickTop="1" x14ac:dyDescent="0.35">
      <c r="A11" s="9"/>
      <c r="B11" s="9"/>
      <c r="C11" s="9"/>
      <c r="D11" s="9"/>
      <c r="E11" s="9"/>
      <c r="F11" s="9"/>
    </row>
    <row r="12" spans="1:6" ht="15.6" x14ac:dyDescent="0.35">
      <c r="A12" s="10" t="s">
        <v>3</v>
      </c>
      <c r="B12" s="9"/>
      <c r="C12" s="9"/>
      <c r="D12" s="9"/>
      <c r="E12" s="9"/>
      <c r="F12" s="9"/>
    </row>
    <row r="13" spans="1:6" ht="15.6" x14ac:dyDescent="0.35">
      <c r="A13" s="9"/>
      <c r="B13" s="9"/>
      <c r="C13" s="9"/>
      <c r="D13" s="9"/>
      <c r="E13" s="9"/>
      <c r="F13" s="9"/>
    </row>
    <row r="14" spans="1:6" ht="15.6" x14ac:dyDescent="0.35">
      <c r="A14" s="10" t="s">
        <v>32</v>
      </c>
      <c r="B14" s="9"/>
      <c r="C14" s="9"/>
      <c r="D14" s="9"/>
      <c r="E14" s="9"/>
      <c r="F14" s="9"/>
    </row>
    <row r="15" spans="1:6" ht="15.6" x14ac:dyDescent="0.35">
      <c r="A15" s="12" t="s">
        <v>71</v>
      </c>
      <c r="B15" s="11">
        <f>SUM(C15:F15)</f>
        <v>14278.458333333334</v>
      </c>
      <c r="C15" s="11">
        <f>(+'I Trimestre'!C15+'II Trimestre'!C15+'III Trimestre'!C15+'IV Trimestre'!C15)/4</f>
        <v>1584.5833333333335</v>
      </c>
      <c r="D15" s="11">
        <f>(+'I Trimestre'!D15+'II Trimestre'!D15+'III Trimestre'!D15+'IV Trimestre'!D15)/4</f>
        <v>1428.75</v>
      </c>
      <c r="E15" s="11">
        <f>(+'I Trimestre'!E15+'II Trimestre'!E15+'III Trimestre'!E15+'IV Trimestre'!E15)/4</f>
        <v>10449.583333333334</v>
      </c>
      <c r="F15" s="11">
        <f>(+'I Trimestre'!F15+'II Trimestre'!F15+'III Trimestre'!F15+'IV Trimestre'!F15)/4</f>
        <v>815.54166666666686</v>
      </c>
    </row>
    <row r="16" spans="1:6" ht="15.6" x14ac:dyDescent="0.35">
      <c r="A16" s="12" t="s">
        <v>113</v>
      </c>
      <c r="B16" s="11">
        <f>SUM(C16:F16)</f>
        <v>15714.75</v>
      </c>
      <c r="C16" s="11">
        <f>(+'I Trimestre'!C16+'II Trimestre'!C16+'III Trimestre'!C16+'IV Trimestre'!C16)/4</f>
        <v>1647</v>
      </c>
      <c r="D16" s="11">
        <f>(+'I Trimestre'!D16+'II Trimestre'!D16+'III Trimestre'!D16+'IV Trimestre'!D16)/4</f>
        <v>1586</v>
      </c>
      <c r="E16" s="11">
        <f>(+'I Trimestre'!E16+'II Trimestre'!E16+'III Trimestre'!E16+'IV Trimestre'!E16)/4</f>
        <v>11583</v>
      </c>
      <c r="F16" s="11">
        <f>(+'I Trimestre'!F16+'II Trimestre'!F16+'III Trimestre'!F16+'IV Trimestre'!F16)/4</f>
        <v>898.75</v>
      </c>
    </row>
    <row r="17" spans="1:6" ht="15.6" x14ac:dyDescent="0.35">
      <c r="A17" s="12" t="s">
        <v>114</v>
      </c>
      <c r="B17" s="11">
        <f>SUM(C17:F17)</f>
        <v>14053.583333333334</v>
      </c>
      <c r="C17" s="11">
        <f>(+'I Trimestre'!C17+'II Trimestre'!C17+'III Trimestre'!C17+'IV Trimestre'!C17)/4</f>
        <v>1565.5</v>
      </c>
      <c r="D17" s="11">
        <f>(+'I Trimestre'!D17+'II Trimestre'!D17+'III Trimestre'!D17+'IV Trimestre'!D17)/4</f>
        <v>1470.1666666666667</v>
      </c>
      <c r="E17" s="11">
        <f>(+'I Trimestre'!E17+'II Trimestre'!E17+'III Trimestre'!E17+'IV Trimestre'!E17)/4</f>
        <v>10001.333333333334</v>
      </c>
      <c r="F17" s="11">
        <f>(+'I Trimestre'!F17+'II Trimestre'!F17+'III Trimestre'!F17+'IV Trimestre'!F17)/4</f>
        <v>1016.5833333333334</v>
      </c>
    </row>
    <row r="18" spans="1:6" ht="15.6" x14ac:dyDescent="0.35">
      <c r="A18" s="12" t="s">
        <v>77</v>
      </c>
      <c r="B18" s="11">
        <f>SUM(C18:F18)</f>
        <v>15715</v>
      </c>
      <c r="C18" s="11">
        <f>+'IV Trimestre'!C18</f>
        <v>1647</v>
      </c>
      <c r="D18" s="11">
        <f>+'IV Trimestre'!D18</f>
        <v>1586</v>
      </c>
      <c r="E18" s="11">
        <f>+'IV Trimestre'!E18</f>
        <v>11583</v>
      </c>
      <c r="F18" s="11">
        <f>+'IV Trimestre'!F18</f>
        <v>899</v>
      </c>
    </row>
    <row r="19" spans="1:6" ht="15.6" x14ac:dyDescent="0.35">
      <c r="A19" s="9"/>
      <c r="B19" s="11"/>
      <c r="C19" s="11"/>
      <c r="D19" s="11"/>
      <c r="E19" s="11"/>
      <c r="F19" s="11"/>
    </row>
    <row r="20" spans="1:6" ht="15.6" x14ac:dyDescent="0.35">
      <c r="A20" s="13" t="s">
        <v>4</v>
      </c>
      <c r="B20" s="11"/>
      <c r="C20" s="11"/>
      <c r="D20" s="11"/>
      <c r="E20" s="11"/>
      <c r="F20" s="11"/>
    </row>
    <row r="21" spans="1:6" ht="15.6" x14ac:dyDescent="0.35">
      <c r="A21" s="12" t="s">
        <v>71</v>
      </c>
      <c r="B21" s="11">
        <f>SUM(C21:F21)</f>
        <v>19182813688.18</v>
      </c>
      <c r="C21" s="11">
        <f>+'I Trimestre'!C21+'II Trimestre'!C21+'III Trimestre'!C21+'IV Trimestre'!C21</f>
        <v>3929696070</v>
      </c>
      <c r="D21" s="11">
        <f>+'I Trimestre'!D21+'II Trimestre'!D21+'III Trimestre'!D21+'IV Trimestre'!D21</f>
        <v>1438594470</v>
      </c>
      <c r="E21" s="11">
        <f>+'I Trimestre'!E21+'II Trimestre'!E21+'III Trimestre'!E21+'IV Trimestre'!E21</f>
        <v>7520077859.1800003</v>
      </c>
      <c r="F21" s="11">
        <f>+'I Trimestre'!F21+'II Trimestre'!F21+'III Trimestre'!F21+'IV Trimestre'!F21</f>
        <v>6294445289</v>
      </c>
    </row>
    <row r="22" spans="1:6" ht="15.6" x14ac:dyDescent="0.35">
      <c r="A22" s="12" t="s">
        <v>113</v>
      </c>
      <c r="B22" s="11">
        <f>SUM(C22:F22)</f>
        <v>19213316494.996964</v>
      </c>
      <c r="C22" s="11">
        <f>+'I Trimestre'!C22+'II Trimestre'!C22+'III Trimestre'!C22+'IV Trimestre'!C22</f>
        <v>4023092495.9999819</v>
      </c>
      <c r="D22" s="11">
        <f>+'I Trimestre'!D22+'II Trimestre'!D22+'III Trimestre'!D22+'IV Trimestre'!D22</f>
        <v>1549623504</v>
      </c>
      <c r="E22" s="11">
        <f>+'I Trimestre'!E22+'II Trimestre'!E22+'III Trimestre'!E22+'IV Trimestre'!E22</f>
        <v>7708723824.9997406</v>
      </c>
      <c r="F22" s="11">
        <f>+'I Trimestre'!F22+'II Trimestre'!F22+'III Trimestre'!F22+'IV Trimestre'!F22</f>
        <v>5931876669.9972401</v>
      </c>
    </row>
    <row r="23" spans="1:6" ht="15.6" x14ac:dyDescent="0.35">
      <c r="A23" s="12" t="s">
        <v>114</v>
      </c>
      <c r="B23" s="11">
        <f>SUM(C23:F23)</f>
        <v>19795746885.933998</v>
      </c>
      <c r="C23" s="11">
        <f>+'I Trimestre'!C23+'II Trimestre'!C23+'III Trimestre'!C23+'IV Trimestre'!C23</f>
        <v>3971693888</v>
      </c>
      <c r="D23" s="11">
        <f>+'I Trimestre'!D23+'II Trimestre'!D23+'III Trimestre'!D23+'IV Trimestre'!D23</f>
        <v>1537032434</v>
      </c>
      <c r="E23" s="11">
        <f>+'I Trimestre'!E23+'II Trimestre'!E23+'III Trimestre'!E23+'IV Trimestre'!E23</f>
        <v>9916757507.3640003</v>
      </c>
      <c r="F23" s="11">
        <f>+'I Trimestre'!F23+'II Trimestre'!F23+'III Trimestre'!F23+'IV Trimestre'!F23</f>
        <v>4370263056.5699997</v>
      </c>
    </row>
    <row r="24" spans="1:6" ht="15.6" x14ac:dyDescent="0.35">
      <c r="A24" s="12" t="s">
        <v>77</v>
      </c>
      <c r="B24" s="11">
        <f>SUM(C24:F24)</f>
        <v>19213316494.996964</v>
      </c>
      <c r="C24" s="11">
        <f>+'IV Trimestre'!C24</f>
        <v>4023092495.9999819</v>
      </c>
      <c r="D24" s="11">
        <f>+'IV Trimestre'!D24</f>
        <v>1549623504</v>
      </c>
      <c r="E24" s="11">
        <f>+'IV Trimestre'!E24</f>
        <v>7708723824.9997406</v>
      </c>
      <c r="F24" s="11">
        <f>+'IV Trimestre'!F24</f>
        <v>5931876669.9972401</v>
      </c>
    </row>
    <row r="25" spans="1:6" ht="15.6" x14ac:dyDescent="0.35">
      <c r="A25" s="12" t="s">
        <v>115</v>
      </c>
      <c r="B25" s="11">
        <f>SUM(C25:F25)</f>
        <v>19795746885.933998</v>
      </c>
      <c r="C25" s="11">
        <f>+C23</f>
        <v>3971693888</v>
      </c>
      <c r="D25" s="11">
        <f>+D23</f>
        <v>1537032434</v>
      </c>
      <c r="E25" s="11">
        <f>+E23</f>
        <v>9916757507.3640003</v>
      </c>
      <c r="F25" s="11">
        <f>+F23</f>
        <v>4370263056.5699997</v>
      </c>
    </row>
    <row r="26" spans="1:6" ht="15.6" x14ac:dyDescent="0.35">
      <c r="A26" s="9"/>
      <c r="B26" s="11"/>
      <c r="C26" s="11"/>
      <c r="D26" s="11"/>
      <c r="E26" s="11"/>
      <c r="F26" s="11"/>
    </row>
    <row r="27" spans="1:6" ht="15.6" x14ac:dyDescent="0.35">
      <c r="A27" s="13" t="s">
        <v>5</v>
      </c>
      <c r="B27" s="11"/>
      <c r="C27" s="11"/>
      <c r="D27" s="11"/>
      <c r="E27" s="11"/>
      <c r="F27" s="11"/>
    </row>
    <row r="28" spans="1:6" ht="15.6" x14ac:dyDescent="0.35">
      <c r="A28" s="12" t="s">
        <v>113</v>
      </c>
      <c r="B28" s="11">
        <f>B22</f>
        <v>19213316494.996964</v>
      </c>
      <c r="C28" s="11"/>
      <c r="D28" s="11"/>
      <c r="E28" s="11"/>
      <c r="F28" s="11"/>
    </row>
    <row r="29" spans="1:6" ht="15.6" x14ac:dyDescent="0.35">
      <c r="A29" s="12" t="s">
        <v>114</v>
      </c>
      <c r="B29" s="11">
        <f>'I Trimestre'!B29+'II Trimestre'!B29+'III Trimestre'!B29+'IV Trimestre'!B29</f>
        <v>20872857663.996002</v>
      </c>
      <c r="C29" s="11"/>
      <c r="D29" s="11"/>
      <c r="E29" s="11"/>
      <c r="F29" s="11"/>
    </row>
    <row r="30" spans="1:6" ht="15.6" x14ac:dyDescent="0.35">
      <c r="A30" s="9"/>
      <c r="B30" s="9"/>
      <c r="C30" s="11"/>
      <c r="D30" s="11"/>
      <c r="E30" s="9"/>
      <c r="F30" s="9"/>
    </row>
    <row r="31" spans="1:6" ht="15.6" x14ac:dyDescent="0.35">
      <c r="A31" s="10" t="s">
        <v>6</v>
      </c>
      <c r="B31" s="9"/>
      <c r="C31" s="9"/>
      <c r="D31" s="9"/>
      <c r="E31" s="9"/>
      <c r="F31" s="9"/>
    </row>
    <row r="32" spans="1:6" ht="15.6" x14ac:dyDescent="0.35">
      <c r="A32" s="12" t="s">
        <v>72</v>
      </c>
      <c r="B32" s="27">
        <v>1.0947</v>
      </c>
      <c r="C32" s="27">
        <v>1.0947</v>
      </c>
      <c r="D32" s="27">
        <v>1.0947</v>
      </c>
      <c r="E32" s="27">
        <v>1.0947</v>
      </c>
      <c r="F32" s="27">
        <v>1.0947</v>
      </c>
    </row>
    <row r="33" spans="1:6" ht="15.6" x14ac:dyDescent="0.35">
      <c r="A33" s="12" t="s">
        <v>116</v>
      </c>
      <c r="B33" s="27">
        <v>1.1039000000000001</v>
      </c>
      <c r="C33" s="27">
        <v>1.1039000000000001</v>
      </c>
      <c r="D33" s="27">
        <v>1.1039000000000001</v>
      </c>
      <c r="E33" s="27">
        <v>1.1039000000000001</v>
      </c>
      <c r="F33" s="27">
        <v>1.1039000000000001</v>
      </c>
    </row>
    <row r="34" spans="1:6" ht="15.6" x14ac:dyDescent="0.35">
      <c r="A34" s="12" t="s">
        <v>7</v>
      </c>
      <c r="B34" s="11">
        <v>224844</v>
      </c>
      <c r="C34" s="11"/>
      <c r="D34" s="11"/>
      <c r="E34" s="11"/>
      <c r="F34" s="11"/>
    </row>
    <row r="35" spans="1:6" ht="15.6" x14ac:dyDescent="0.35">
      <c r="A35" s="9"/>
      <c r="B35" s="9"/>
      <c r="C35" s="9"/>
      <c r="D35" s="9"/>
      <c r="E35" s="9"/>
      <c r="F35" s="9"/>
    </row>
    <row r="36" spans="1:6" ht="15.6" x14ac:dyDescent="0.35">
      <c r="A36" s="10" t="s">
        <v>8</v>
      </c>
      <c r="B36" s="9"/>
      <c r="C36" s="9"/>
      <c r="D36" s="9"/>
      <c r="E36" s="9"/>
      <c r="F36" s="9"/>
    </row>
    <row r="37" spans="1:6" ht="15.6" x14ac:dyDescent="0.35">
      <c r="A37" s="9" t="s">
        <v>73</v>
      </c>
      <c r="B37" s="23">
        <f>B21/B32</f>
        <v>17523352231.826073</v>
      </c>
      <c r="C37" s="23">
        <f>C21/C32</f>
        <v>3589747026.5826254</v>
      </c>
      <c r="D37" s="23">
        <f>D21/D32</f>
        <v>1314144943.8202248</v>
      </c>
      <c r="E37" s="23">
        <f>E21/E32</f>
        <v>6869533076.8064308</v>
      </c>
      <c r="F37" s="23">
        <f>F21/F32</f>
        <v>5749927184.6167898</v>
      </c>
    </row>
    <row r="38" spans="1:6" ht="15.6" x14ac:dyDescent="0.35">
      <c r="A38" s="9" t="s">
        <v>117</v>
      </c>
      <c r="B38" s="23">
        <f>B23/B33</f>
        <v>17932554475.889118</v>
      </c>
      <c r="C38" s="23">
        <f t="shared" ref="C38:F38" si="0">C23/C33</f>
        <v>3597874706.0422134</v>
      </c>
      <c r="D38" s="23">
        <f t="shared" si="0"/>
        <v>1392365643.62714</v>
      </c>
      <c r="E38" s="23">
        <f t="shared" si="0"/>
        <v>8983383918.2570877</v>
      </c>
      <c r="F38" s="23">
        <f t="shared" si="0"/>
        <v>3958930207.962677</v>
      </c>
    </row>
    <row r="39" spans="1:6" ht="15.6" x14ac:dyDescent="0.35">
      <c r="A39" s="9" t="s">
        <v>74</v>
      </c>
      <c r="B39" s="23">
        <f>$B$37/(B15)</f>
        <v>1227258.0010208436</v>
      </c>
      <c r="C39" s="23">
        <f>C37/(C15)</f>
        <v>2265420.1587689454</v>
      </c>
      <c r="D39" s="23">
        <f>D37/(D15)</f>
        <v>919786.48736323696</v>
      </c>
      <c r="E39" s="23">
        <f>E37/(E15)</f>
        <v>657397.79833069234</v>
      </c>
      <c r="F39" s="23">
        <f>F37/(F15)</f>
        <v>7050439.5049712835</v>
      </c>
    </row>
    <row r="40" spans="1:6" ht="15.6" x14ac:dyDescent="0.35">
      <c r="A40" s="9" t="s">
        <v>118</v>
      </c>
      <c r="B40" s="23">
        <f>$B$38/(B17)</f>
        <v>1276012.9605774886</v>
      </c>
      <c r="C40" s="23">
        <f>C38/(C17)</f>
        <v>2298227.2156130397</v>
      </c>
      <c r="D40" s="23">
        <f>D38/(D17)</f>
        <v>947080.13397152699</v>
      </c>
      <c r="E40" s="23">
        <f>E38/(E17)</f>
        <v>898218.62934179651</v>
      </c>
      <c r="F40" s="23">
        <f>F38/(F17)</f>
        <v>3894348.9216781803</v>
      </c>
    </row>
    <row r="41" spans="1:6" ht="15.6" x14ac:dyDescent="0.35">
      <c r="A41" s="9"/>
      <c r="B41" s="24"/>
      <c r="C41" s="24"/>
      <c r="D41" s="24"/>
      <c r="E41" s="24"/>
      <c r="F41" s="24"/>
    </row>
    <row r="42" spans="1:6" ht="15.6" x14ac:dyDescent="0.35">
      <c r="A42" s="10" t="s">
        <v>9</v>
      </c>
      <c r="B42" s="24"/>
      <c r="C42" s="24"/>
      <c r="D42" s="24"/>
      <c r="E42" s="24"/>
      <c r="F42" s="24"/>
    </row>
    <row r="43" spans="1:6" ht="15.6" x14ac:dyDescent="0.35">
      <c r="A43" s="9"/>
      <c r="B43" s="24"/>
      <c r="C43" s="24"/>
      <c r="D43" s="24"/>
      <c r="E43" s="24"/>
      <c r="F43" s="24"/>
    </row>
    <row r="44" spans="1:6" ht="15.6" x14ac:dyDescent="0.35">
      <c r="A44" s="10" t="s">
        <v>10</v>
      </c>
      <c r="B44" s="24"/>
      <c r="C44" s="24"/>
      <c r="D44" s="24"/>
      <c r="E44" s="24"/>
      <c r="F44" s="24"/>
    </row>
    <row r="45" spans="1:6" ht="15.6" x14ac:dyDescent="0.35">
      <c r="A45" s="9" t="s">
        <v>11</v>
      </c>
      <c r="B45" s="18">
        <f>B16/B34*100</f>
        <v>6.9891791642205252</v>
      </c>
      <c r="C45" s="18"/>
      <c r="D45" s="18"/>
      <c r="E45" s="18"/>
      <c r="F45" s="18"/>
    </row>
    <row r="46" spans="1:6" ht="15.6" x14ac:dyDescent="0.35">
      <c r="A46" s="9" t="s">
        <v>12</v>
      </c>
      <c r="B46" s="18">
        <f>B17/B34*100</f>
        <v>6.2503706273386586</v>
      </c>
      <c r="C46" s="18"/>
      <c r="D46" s="18"/>
      <c r="E46" s="18"/>
      <c r="F46" s="18"/>
    </row>
    <row r="47" spans="1:6" ht="15.6" x14ac:dyDescent="0.35">
      <c r="A47" s="9"/>
      <c r="B47" s="18"/>
      <c r="C47" s="18"/>
      <c r="D47" s="18"/>
      <c r="E47" s="18"/>
      <c r="F47" s="18"/>
    </row>
    <row r="48" spans="1:6" ht="15.6" x14ac:dyDescent="0.35">
      <c r="A48" s="10" t="s">
        <v>13</v>
      </c>
      <c r="B48" s="18"/>
      <c r="C48" s="18"/>
      <c r="D48" s="18"/>
      <c r="E48" s="18"/>
      <c r="F48" s="18"/>
    </row>
    <row r="49" spans="1:6" ht="15.6" x14ac:dyDescent="0.35">
      <c r="A49" s="9" t="s">
        <v>14</v>
      </c>
      <c r="B49" s="18">
        <f>B17/B16*100</f>
        <v>89.429251711502474</v>
      </c>
      <c r="C49" s="18">
        <f>C17/C16*100</f>
        <v>95.05160898603522</v>
      </c>
      <c r="D49" s="18">
        <f>D17/D16*100</f>
        <v>92.696511139134103</v>
      </c>
      <c r="E49" s="18">
        <f>E17/E16*100</f>
        <v>86.34493078937524</v>
      </c>
      <c r="F49" s="18">
        <f>F17/F16*100</f>
        <v>113.11080203987018</v>
      </c>
    </row>
    <row r="50" spans="1:6" ht="15.6" x14ac:dyDescent="0.35">
      <c r="A50" s="9" t="s">
        <v>15</v>
      </c>
      <c r="B50" s="18">
        <f t="shared" ref="B50:F50" si="1">B23/B22*100</f>
        <v>103.03138914663012</v>
      </c>
      <c r="C50" s="18">
        <f t="shared" si="1"/>
        <v>98.722410482704888</v>
      </c>
      <c r="D50" s="18">
        <f t="shared" si="1"/>
        <v>99.187475540510377</v>
      </c>
      <c r="E50" s="18">
        <f t="shared" si="1"/>
        <v>128.64331026107726</v>
      </c>
      <c r="F50" s="18">
        <f t="shared" si="1"/>
        <v>73.674206321151189</v>
      </c>
    </row>
    <row r="51" spans="1:6" ht="15.6" x14ac:dyDescent="0.35">
      <c r="A51" s="9" t="s">
        <v>16</v>
      </c>
      <c r="B51" s="18">
        <f>AVERAGE(B49:B50)</f>
        <v>96.230320429066296</v>
      </c>
      <c r="C51" s="18">
        <f>AVERAGE(C49:C50)</f>
        <v>96.887009734370054</v>
      </c>
      <c r="D51" s="18">
        <f>AVERAGE(D49:D50)</f>
        <v>95.941993339822233</v>
      </c>
      <c r="E51" s="18">
        <f>AVERAGE(E49:E50)</f>
        <v>107.49412052522625</v>
      </c>
      <c r="F51" s="18">
        <f>AVERAGE(F49:F50)</f>
        <v>93.392504180510684</v>
      </c>
    </row>
    <row r="52" spans="1:6" ht="15.6" x14ac:dyDescent="0.35">
      <c r="A52" s="9"/>
      <c r="B52" s="18"/>
      <c r="C52" s="18"/>
      <c r="D52" s="18"/>
      <c r="E52" s="18"/>
      <c r="F52" s="18"/>
    </row>
    <row r="53" spans="1:6" ht="15.6" x14ac:dyDescent="0.35">
      <c r="A53" s="10" t="s">
        <v>17</v>
      </c>
      <c r="B53" s="18"/>
      <c r="C53" s="18"/>
      <c r="D53" s="18"/>
      <c r="E53" s="18"/>
      <c r="F53" s="18"/>
    </row>
    <row r="54" spans="1:6" ht="15.6" x14ac:dyDescent="0.35">
      <c r="A54" s="9" t="s">
        <v>18</v>
      </c>
      <c r="B54" s="18">
        <f>(B17/B18)*100</f>
        <v>89.427829038074037</v>
      </c>
      <c r="C54" s="18">
        <f>(C17/C18)*100</f>
        <v>95.05160898603522</v>
      </c>
      <c r="D54" s="18">
        <f>(D17/D18)*100</f>
        <v>92.696511139134103</v>
      </c>
      <c r="E54" s="18">
        <f>(E17/E18)*100</f>
        <v>86.34493078937524</v>
      </c>
      <c r="F54" s="18">
        <f>(F17/F18)*100</f>
        <v>113.07934742306267</v>
      </c>
    </row>
    <row r="55" spans="1:6" ht="15.6" x14ac:dyDescent="0.35">
      <c r="A55" s="9" t="s">
        <v>19</v>
      </c>
      <c r="B55" s="18">
        <f t="shared" ref="B55:F55" si="2">B23/B24*100</f>
        <v>103.03138914663012</v>
      </c>
      <c r="C55" s="18">
        <f t="shared" si="2"/>
        <v>98.722410482704888</v>
      </c>
      <c r="D55" s="18">
        <f t="shared" si="2"/>
        <v>99.187475540510377</v>
      </c>
      <c r="E55" s="18">
        <f t="shared" si="2"/>
        <v>128.64331026107726</v>
      </c>
      <c r="F55" s="18">
        <f t="shared" si="2"/>
        <v>73.674206321151189</v>
      </c>
    </row>
    <row r="56" spans="1:6" ht="15.6" x14ac:dyDescent="0.35">
      <c r="A56" s="9" t="s">
        <v>20</v>
      </c>
      <c r="B56" s="18">
        <f>(B54+B55)/2</f>
        <v>96.229609092352078</v>
      </c>
      <c r="C56" s="18">
        <f>(C54+C55)/2</f>
        <v>96.887009734370054</v>
      </c>
      <c r="D56" s="18">
        <f>(D54+D55)/2</f>
        <v>95.941993339822233</v>
      </c>
      <c r="E56" s="18">
        <f>(E54+E55)/2</f>
        <v>107.49412052522625</v>
      </c>
      <c r="F56" s="18">
        <f>(F54+F55)/2</f>
        <v>93.37677687210693</v>
      </c>
    </row>
    <row r="57" spans="1:6" ht="15.6" x14ac:dyDescent="0.35">
      <c r="A57" s="9"/>
      <c r="B57" s="18"/>
      <c r="C57" s="18"/>
      <c r="D57" s="18"/>
      <c r="E57" s="18"/>
      <c r="F57" s="18"/>
    </row>
    <row r="58" spans="1:6" ht="15.6" x14ac:dyDescent="0.35">
      <c r="A58" s="10" t="s">
        <v>21</v>
      </c>
      <c r="B58" s="18"/>
      <c r="C58" s="18"/>
      <c r="D58" s="18"/>
      <c r="E58" s="18"/>
      <c r="F58" s="18"/>
    </row>
    <row r="59" spans="1:6" ht="15.6" x14ac:dyDescent="0.35">
      <c r="A59" s="9" t="s">
        <v>22</v>
      </c>
      <c r="B59" s="18">
        <f>B25/B23*100</f>
        <v>100</v>
      </c>
      <c r="C59" s="18"/>
      <c r="D59" s="18"/>
      <c r="E59" s="18"/>
      <c r="F59" s="18"/>
    </row>
    <row r="60" spans="1:6" ht="15.6" x14ac:dyDescent="0.35">
      <c r="A60" s="9"/>
      <c r="B60" s="18"/>
      <c r="C60" s="18"/>
      <c r="D60" s="18"/>
      <c r="E60" s="18"/>
      <c r="F60" s="18"/>
    </row>
    <row r="61" spans="1:6" ht="15.6" x14ac:dyDescent="0.35">
      <c r="A61" s="10" t="s">
        <v>23</v>
      </c>
      <c r="B61" s="18"/>
      <c r="C61" s="18"/>
      <c r="D61" s="18"/>
      <c r="E61" s="18"/>
      <c r="F61" s="18"/>
    </row>
    <row r="62" spans="1:6" ht="15.6" x14ac:dyDescent="0.35">
      <c r="A62" s="9" t="s">
        <v>24</v>
      </c>
      <c r="B62" s="18">
        <f>((B17/B15)-1)*100</f>
        <v>-1.5749249306210134</v>
      </c>
      <c r="C62" s="18">
        <f>((C17/C15)-1)*100</f>
        <v>-1.2043123849592496</v>
      </c>
      <c r="D62" s="18">
        <f>((D17/D15)-1)*100</f>
        <v>2.898804316127146</v>
      </c>
      <c r="E62" s="18">
        <f>((E17/E15)-1)*100</f>
        <v>-4.2896447226763446</v>
      </c>
      <c r="F62" s="18">
        <f>((F17/F15)-1)*100</f>
        <v>24.651305369641818</v>
      </c>
    </row>
    <row r="63" spans="1:6" ht="15.6" x14ac:dyDescent="0.35">
      <c r="A63" s="9" t="s">
        <v>25</v>
      </c>
      <c r="B63" s="18">
        <f>((B38/B37)-1)*100</f>
        <v>2.3351824391217191</v>
      </c>
      <c r="C63" s="18">
        <f>((C38/C37)-1)*100</f>
        <v>0.22641371103315766</v>
      </c>
      <c r="D63" s="18">
        <f>((D38/D37)-1)*100</f>
        <v>5.9522125146658</v>
      </c>
      <c r="E63" s="18">
        <f>((E38/E37)-1)*100</f>
        <v>30.771390396061136</v>
      </c>
      <c r="F63" s="18">
        <f>((F38/F37)-1)*100</f>
        <v>-31.148167953251672</v>
      </c>
    </row>
    <row r="64" spans="1:6" ht="15.6" x14ac:dyDescent="0.35">
      <c r="A64" s="9" t="s">
        <v>26</v>
      </c>
      <c r="B64" s="18">
        <f>((B40/B39)-1)*100</f>
        <v>3.97267400302872</v>
      </c>
      <c r="C64" s="18">
        <f>((C40/C39)-1)*100</f>
        <v>1.4481665450492898</v>
      </c>
      <c r="D64" s="18">
        <f>((D40/D39)-1)*100</f>
        <v>2.9673893869144541</v>
      </c>
      <c r="E64" s="18">
        <f>((E40/E39)-1)*100</f>
        <v>36.632436497751009</v>
      </c>
      <c r="F64" s="18">
        <f>((F40/F39)-1)*100</f>
        <v>-44.76445164968419</v>
      </c>
    </row>
    <row r="65" spans="1:6" ht="15.6" x14ac:dyDescent="0.35">
      <c r="A65" s="9"/>
      <c r="B65" s="18"/>
      <c r="C65" s="18"/>
      <c r="D65" s="18"/>
      <c r="E65" s="18"/>
      <c r="F65" s="18"/>
    </row>
    <row r="66" spans="1:6" ht="15.6" x14ac:dyDescent="0.35">
      <c r="A66" s="10" t="s">
        <v>27</v>
      </c>
      <c r="B66" s="18"/>
      <c r="C66" s="18"/>
      <c r="D66" s="18"/>
      <c r="E66" s="18"/>
      <c r="F66" s="18"/>
    </row>
    <row r="67" spans="1:6" ht="15.6" x14ac:dyDescent="0.35">
      <c r="A67" s="9" t="s">
        <v>38</v>
      </c>
      <c r="B67" s="18">
        <f t="shared" ref="B67:F68" si="3">B22/(B16*12)</f>
        <v>101885.7893327233</v>
      </c>
      <c r="C67" s="18">
        <f t="shared" si="3"/>
        <v>203556.59259259168</v>
      </c>
      <c r="D67" s="18">
        <f t="shared" si="3"/>
        <v>81422</v>
      </c>
      <c r="E67" s="18">
        <f t="shared" si="3"/>
        <v>55460.040756566668</v>
      </c>
      <c r="F67" s="18">
        <f>F22/(F16*12)</f>
        <v>550011.74501597031</v>
      </c>
    </row>
    <row r="68" spans="1:6" ht="15.6" x14ac:dyDescent="0.35">
      <c r="A68" s="9" t="s">
        <v>39</v>
      </c>
      <c r="B68" s="18">
        <f t="shared" si="3"/>
        <v>117382.55893179082</v>
      </c>
      <c r="C68" s="18">
        <f t="shared" si="3"/>
        <v>211417.75194293621</v>
      </c>
      <c r="D68" s="18">
        <f t="shared" si="3"/>
        <v>87123.479990930733</v>
      </c>
      <c r="E68" s="18">
        <f t="shared" si="3"/>
        <v>82628.628744200774</v>
      </c>
      <c r="F68" s="18">
        <f t="shared" si="3"/>
        <v>358247.64788671199</v>
      </c>
    </row>
    <row r="69" spans="1:6" ht="15.6" x14ac:dyDescent="0.35">
      <c r="A69" s="9" t="s">
        <v>28</v>
      </c>
      <c r="B69" s="18">
        <f>(B68/B67)*B51</f>
        <v>110.86689648054831</v>
      </c>
      <c r="C69" s="18">
        <f>(C68/C67)*C51</f>
        <v>100.6286926383704</v>
      </c>
      <c r="D69" s="18">
        <f>(D68/D67)*D51</f>
        <v>102.6602188233157</v>
      </c>
      <c r="E69" s="18">
        <f>(E68/E67)*E51</f>
        <v>160.15299765194675</v>
      </c>
      <c r="F69" s="18">
        <f>(F68/F67)*F51</f>
        <v>60.830782717097044</v>
      </c>
    </row>
    <row r="70" spans="1:6" ht="15.6" x14ac:dyDescent="0.35">
      <c r="A70" s="9" t="s">
        <v>42</v>
      </c>
      <c r="B70" s="18">
        <f>B22/B16</f>
        <v>1222629.4719926796</v>
      </c>
      <c r="C70" s="18">
        <f t="shared" ref="C70:F71" si="4">C22/C16</f>
        <v>2442679.1111111003</v>
      </c>
      <c r="D70" s="18">
        <f t="shared" si="4"/>
        <v>977064</v>
      </c>
      <c r="E70" s="18">
        <f t="shared" si="4"/>
        <v>665520.48907879996</v>
      </c>
      <c r="F70" s="18">
        <f t="shared" si="4"/>
        <v>6600140.9401916442</v>
      </c>
    </row>
    <row r="71" spans="1:6" ht="15.6" x14ac:dyDescent="0.35">
      <c r="A71" s="9" t="s">
        <v>43</v>
      </c>
      <c r="B71" s="18">
        <f>B23/B17</f>
        <v>1408590.7071814898</v>
      </c>
      <c r="C71" s="18">
        <f t="shared" si="4"/>
        <v>2537013.0233152346</v>
      </c>
      <c r="D71" s="18">
        <f t="shared" si="4"/>
        <v>1045481.7598911688</v>
      </c>
      <c r="E71" s="18">
        <f t="shared" si="4"/>
        <v>991543.54493040929</v>
      </c>
      <c r="F71" s="18">
        <f t="shared" si="4"/>
        <v>4298971.7746405434</v>
      </c>
    </row>
    <row r="72" spans="1:6" ht="15.6" x14ac:dyDescent="0.35">
      <c r="A72" s="9"/>
      <c r="B72" s="18"/>
      <c r="C72" s="18"/>
      <c r="D72" s="18"/>
      <c r="E72" s="18"/>
      <c r="F72" s="18"/>
    </row>
    <row r="73" spans="1:6" ht="15.6" x14ac:dyDescent="0.35">
      <c r="A73" s="10" t="s">
        <v>29</v>
      </c>
      <c r="B73" s="18"/>
      <c r="C73" s="18"/>
      <c r="D73" s="18"/>
      <c r="E73" s="18"/>
      <c r="F73" s="18"/>
    </row>
    <row r="74" spans="1:6" ht="15.6" x14ac:dyDescent="0.35">
      <c r="A74" s="9" t="s">
        <v>30</v>
      </c>
      <c r="B74" s="18">
        <f>(B29/B28)*100</f>
        <v>108.63745293235124</v>
      </c>
      <c r="C74" s="18"/>
      <c r="D74" s="18"/>
      <c r="E74" s="18"/>
      <c r="F74" s="18"/>
    </row>
    <row r="75" spans="1:6" ht="15.6" x14ac:dyDescent="0.35">
      <c r="A75" s="21" t="s">
        <v>31</v>
      </c>
      <c r="B75" s="25">
        <f>(B23/B29)*100</f>
        <v>94.839658299783579</v>
      </c>
      <c r="C75" s="25"/>
      <c r="D75" s="25"/>
      <c r="E75" s="25"/>
      <c r="F75" s="25"/>
    </row>
    <row r="76" spans="1:6" ht="16.2" thickBot="1" x14ac:dyDescent="0.4">
      <c r="A76" s="19"/>
      <c r="B76" s="20"/>
      <c r="C76" s="20"/>
      <c r="D76" s="20"/>
      <c r="E76" s="20"/>
      <c r="F76" s="20"/>
    </row>
    <row r="77" spans="1:6" ht="16.2" thickTop="1" x14ac:dyDescent="0.35">
      <c r="A77" s="9" t="s">
        <v>82</v>
      </c>
      <c r="B77" s="9"/>
      <c r="C77" s="9"/>
      <c r="D77" s="9"/>
      <c r="E77" s="9"/>
      <c r="F77" s="9"/>
    </row>
    <row r="79" spans="1:6" ht="54.75" customHeight="1" x14ac:dyDescent="0.35">
      <c r="A79" s="55" t="s">
        <v>119</v>
      </c>
      <c r="B79" s="55"/>
      <c r="C79" s="55"/>
      <c r="D79" s="55"/>
      <c r="E79" s="55"/>
      <c r="F79" s="55"/>
    </row>
  </sheetData>
  <mergeCells count="4">
    <mergeCell ref="A9:A10"/>
    <mergeCell ref="B9:B10"/>
    <mergeCell ref="C9:F9"/>
    <mergeCell ref="A79:F7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2012-05-29T14:39:16Z</dcterms:created>
  <dcterms:modified xsi:type="dcterms:W3CDTF">2026-01-03T12:43:38Z</dcterms:modified>
</cp:coreProperties>
</file>