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7180055\Desktop\ACTUALIZACIÓN PW 2025\2024\Indicadores\"/>
    </mc:Choice>
  </mc:AlternateContent>
  <xr:revisionPtr revIDLastSave="0" documentId="13_ncr:1_{F47ED475-5FC4-443C-B8B8-BA70C3CB9749}" xr6:coauthVersionLast="47" xr6:coauthVersionMax="47" xr10:uidLastSave="{00000000-0000-0000-0000-000000000000}"/>
  <bookViews>
    <workbookView xWindow="-108" yWindow="-108" windowWidth="23256" windowHeight="13896" tabRatio="647" xr2:uid="{00000000-000D-0000-FFFF-FFFF00000000}"/>
  </bookViews>
  <sheets>
    <sheet name="I Trimestre" sheetId="4" r:id="rId1"/>
    <sheet name="II Trimestre" sheetId="5" r:id="rId2"/>
    <sheet name="I Semestre" sheetId="2" r:id="rId3"/>
    <sheet name="III Trimestre" sheetId="6" r:id="rId4"/>
    <sheet name="III T Acumulado" sheetId="3" r:id="rId5"/>
    <sheet name="IV Trimestre" sheetId="1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3" l="1"/>
  <c r="E18" i="3"/>
  <c r="D18" i="3"/>
  <c r="B23" i="7"/>
  <c r="B17" i="7"/>
  <c r="F17" i="7"/>
  <c r="E17" i="7"/>
  <c r="D17" i="7"/>
  <c r="G50" i="3" l="1"/>
  <c r="H50" i="3"/>
  <c r="G51" i="3"/>
  <c r="H51" i="3"/>
  <c r="E17" i="3"/>
  <c r="F17" i="3"/>
  <c r="D17" i="3"/>
  <c r="C17" i="3"/>
  <c r="G50" i="6"/>
  <c r="G51" i="6"/>
  <c r="G50" i="2"/>
  <c r="H50" i="2"/>
  <c r="G51" i="2"/>
  <c r="H51" i="2"/>
  <c r="D17" i="2"/>
  <c r="C17" i="2" s="1"/>
  <c r="B17" i="2" s="1"/>
  <c r="E17" i="2"/>
  <c r="F17" i="2"/>
  <c r="D18" i="2"/>
  <c r="B75" i="5"/>
  <c r="B74" i="5"/>
  <c r="F71" i="5"/>
  <c r="E71" i="5"/>
  <c r="D71" i="5"/>
  <c r="C71" i="5"/>
  <c r="B71" i="5"/>
  <c r="F70" i="5"/>
  <c r="E70" i="5"/>
  <c r="D70" i="5"/>
  <c r="C70" i="5"/>
  <c r="B70" i="5"/>
  <c r="F68" i="5"/>
  <c r="E68" i="5"/>
  <c r="D68" i="5"/>
  <c r="C68" i="5"/>
  <c r="B68" i="5"/>
  <c r="F67" i="5"/>
  <c r="E67" i="5"/>
  <c r="D67" i="5"/>
  <c r="C67" i="5"/>
  <c r="B67" i="5"/>
  <c r="F64" i="5"/>
  <c r="C64" i="5"/>
  <c r="B64" i="5"/>
  <c r="H63" i="5"/>
  <c r="G63" i="5"/>
  <c r="F63" i="5"/>
  <c r="C63" i="5"/>
  <c r="B63" i="5"/>
  <c r="F62" i="5"/>
  <c r="C62" i="5"/>
  <c r="B62" i="5"/>
  <c r="B59" i="5"/>
  <c r="H55" i="5"/>
  <c r="H56" i="5" s="1"/>
  <c r="G55" i="5"/>
  <c r="G56" i="5" s="1"/>
  <c r="F55" i="5"/>
  <c r="E55" i="5"/>
  <c r="D55" i="5"/>
  <c r="C55" i="5"/>
  <c r="C56" i="5" s="1"/>
  <c r="B55" i="5"/>
  <c r="B56" i="5" s="1"/>
  <c r="F54" i="5"/>
  <c r="F56" i="5" s="1"/>
  <c r="E54" i="5"/>
  <c r="E56" i="5" s="1"/>
  <c r="D54" i="5"/>
  <c r="D56" i="5" s="1"/>
  <c r="C54" i="5"/>
  <c r="B54" i="5"/>
  <c r="H50" i="5"/>
  <c r="H51" i="5" s="1"/>
  <c r="G50" i="5"/>
  <c r="G51" i="5" s="1"/>
  <c r="F50" i="5"/>
  <c r="E50" i="5"/>
  <c r="D50" i="5"/>
  <c r="C50" i="5"/>
  <c r="B50" i="5"/>
  <c r="F49" i="5"/>
  <c r="F51" i="5" s="1"/>
  <c r="E49" i="5"/>
  <c r="E51" i="5" s="1"/>
  <c r="D49" i="5"/>
  <c r="D51" i="5" s="1"/>
  <c r="C49" i="5"/>
  <c r="C51" i="5" s="1"/>
  <c r="B49" i="5"/>
  <c r="B51" i="5" s="1"/>
  <c r="F40" i="5"/>
  <c r="E40" i="5"/>
  <c r="D40" i="5"/>
  <c r="C40" i="5"/>
  <c r="B40" i="5"/>
  <c r="H38" i="5"/>
  <c r="G38" i="5"/>
  <c r="F38" i="5"/>
  <c r="E38" i="5"/>
  <c r="D38" i="5"/>
  <c r="C38" i="5"/>
  <c r="B38" i="5"/>
  <c r="H37" i="5"/>
  <c r="G37" i="5"/>
  <c r="F37" i="5"/>
  <c r="F39" i="5" s="1"/>
  <c r="E37" i="5"/>
  <c r="E39" i="5" s="1"/>
  <c r="D37" i="5"/>
  <c r="D39" i="5" s="1"/>
  <c r="C37" i="5"/>
  <c r="C39" i="5" s="1"/>
  <c r="B37" i="5"/>
  <c r="B39" i="5" s="1"/>
  <c r="B74" i="4"/>
  <c r="F70" i="4"/>
  <c r="E70" i="4"/>
  <c r="D70" i="4"/>
  <c r="C70" i="4"/>
  <c r="B70" i="4"/>
  <c r="F67" i="4"/>
  <c r="E67" i="4"/>
  <c r="D67" i="4"/>
  <c r="C67" i="4"/>
  <c r="B67" i="4"/>
  <c r="H63" i="4"/>
  <c r="G63" i="4"/>
  <c r="F63" i="4"/>
  <c r="C63" i="4"/>
  <c r="B63" i="4"/>
  <c r="F62" i="4"/>
  <c r="C62" i="4"/>
  <c r="B62" i="4"/>
  <c r="F56" i="4"/>
  <c r="B56" i="4"/>
  <c r="H55" i="4"/>
  <c r="H56" i="4" s="1"/>
  <c r="G55" i="4"/>
  <c r="G56" i="4" s="1"/>
  <c r="F55" i="4"/>
  <c r="E55" i="4"/>
  <c r="D55" i="4"/>
  <c r="C55" i="4"/>
  <c r="B55" i="4"/>
  <c r="F54" i="4"/>
  <c r="E54" i="4"/>
  <c r="E56" i="4" s="1"/>
  <c r="D54" i="4"/>
  <c r="D56" i="4" s="1"/>
  <c r="C54" i="4"/>
  <c r="C56" i="4" s="1"/>
  <c r="B54" i="4"/>
  <c r="H51" i="4"/>
  <c r="G51" i="4"/>
  <c r="F51" i="4"/>
  <c r="E51" i="4"/>
  <c r="H50" i="4"/>
  <c r="G50" i="4"/>
  <c r="F50" i="4"/>
  <c r="E50" i="4"/>
  <c r="D50" i="4"/>
  <c r="C50" i="4"/>
  <c r="B50" i="4"/>
  <c r="B51" i="4" s="1"/>
  <c r="F49" i="4"/>
  <c r="E49" i="4"/>
  <c r="D49" i="4"/>
  <c r="D51" i="4" s="1"/>
  <c r="C49" i="4"/>
  <c r="C51" i="4" s="1"/>
  <c r="B4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B69" i="5" l="1"/>
  <c r="C69" i="5"/>
  <c r="D69" i="5"/>
  <c r="E69" i="5"/>
  <c r="F69" i="5"/>
  <c r="G50" i="1" l="1"/>
  <c r="G51" i="1" s="1"/>
  <c r="B29" i="7" l="1"/>
  <c r="D21" i="2" l="1"/>
  <c r="H21" i="2"/>
  <c r="G21" i="2"/>
  <c r="F21" i="2"/>
  <c r="E21" i="2"/>
  <c r="F15" i="2"/>
  <c r="E15" i="2"/>
  <c r="D15" i="2"/>
  <c r="C21" i="2" l="1"/>
  <c r="F67" i="1"/>
  <c r="D67" i="1" l="1"/>
  <c r="E67" i="1"/>
  <c r="B34" i="4"/>
  <c r="C17" i="1" l="1"/>
  <c r="D16" i="7"/>
  <c r="D22" i="7"/>
  <c r="E22" i="7"/>
  <c r="C22" i="1"/>
  <c r="E24" i="7"/>
  <c r="D24" i="7"/>
  <c r="C24" i="7" s="1"/>
  <c r="D67" i="7" l="1"/>
  <c r="B22" i="1"/>
  <c r="H23" i="7"/>
  <c r="F46" i="1"/>
  <c r="F45" i="1"/>
  <c r="F46" i="6"/>
  <c r="F45" i="6"/>
  <c r="F46" i="5"/>
  <c r="F45" i="5"/>
  <c r="F45" i="4" l="1"/>
  <c r="B34" i="7"/>
  <c r="B34" i="1"/>
  <c r="B34" i="3"/>
  <c r="B34" i="6"/>
  <c r="B34" i="2"/>
  <c r="B34" i="5"/>
  <c r="H22" i="7" l="1"/>
  <c r="H50" i="7" s="1"/>
  <c r="H51" i="7" s="1"/>
  <c r="G22" i="7"/>
  <c r="F22" i="7"/>
  <c r="C22" i="7"/>
  <c r="F16" i="7"/>
  <c r="F45" i="7" s="1"/>
  <c r="E16" i="7"/>
  <c r="E67" i="7" s="1"/>
  <c r="F67" i="7" l="1"/>
  <c r="B22" i="7"/>
  <c r="C24" i="1"/>
  <c r="C23" i="1"/>
  <c r="C21" i="1"/>
  <c r="C16" i="1"/>
  <c r="C46" i="1"/>
  <c r="C18" i="1"/>
  <c r="C15" i="1"/>
  <c r="C68" i="1" l="1"/>
  <c r="B23" i="1"/>
  <c r="C45" i="1"/>
  <c r="C67" i="1"/>
  <c r="C70" i="1"/>
  <c r="B28" i="7"/>
  <c r="E24" i="3"/>
  <c r="F24" i="3"/>
  <c r="G24" i="3"/>
  <c r="H24" i="3"/>
  <c r="D24" i="3"/>
  <c r="D21" i="3"/>
  <c r="E21" i="3"/>
  <c r="F21" i="3"/>
  <c r="G21" i="3"/>
  <c r="H21" i="3"/>
  <c r="D22" i="3"/>
  <c r="E22" i="3"/>
  <c r="F22" i="3"/>
  <c r="G22" i="3"/>
  <c r="H22" i="3"/>
  <c r="E23" i="3"/>
  <c r="F23" i="3"/>
  <c r="G23" i="3"/>
  <c r="H23" i="3"/>
  <c r="D15" i="3"/>
  <c r="E15" i="3"/>
  <c r="F15" i="3"/>
  <c r="D16" i="3"/>
  <c r="E16" i="3"/>
  <c r="F16" i="3"/>
  <c r="F45" i="3" s="1"/>
  <c r="F46" i="3"/>
  <c r="C21" i="6"/>
  <c r="C15" i="6"/>
  <c r="C17" i="6"/>
  <c r="C46" i="6" s="1"/>
  <c r="C18" i="6"/>
  <c r="C21" i="5"/>
  <c r="C15" i="5"/>
  <c r="C21" i="4"/>
  <c r="C15" i="4"/>
  <c r="C24" i="3" l="1"/>
  <c r="C18" i="3"/>
  <c r="C22" i="3"/>
  <c r="C46" i="3"/>
  <c r="C16" i="3"/>
  <c r="C45" i="3" s="1"/>
  <c r="C21" i="3"/>
  <c r="C15" i="2"/>
  <c r="C15" i="3"/>
  <c r="F46" i="4"/>
  <c r="C16" i="7" l="1"/>
  <c r="C67" i="7" s="1"/>
  <c r="F21" i="7"/>
  <c r="F37" i="7" s="1"/>
  <c r="G21" i="7"/>
  <c r="G37" i="7" s="1"/>
  <c r="H21" i="7"/>
  <c r="H37" i="7" s="1"/>
  <c r="F23" i="7"/>
  <c r="G23" i="7"/>
  <c r="G25" i="7" s="1"/>
  <c r="F24" i="7"/>
  <c r="G24" i="7"/>
  <c r="H24" i="7"/>
  <c r="H55" i="7" s="1"/>
  <c r="H56" i="7" s="1"/>
  <c r="E21" i="7"/>
  <c r="E37" i="7" s="1"/>
  <c r="E23" i="7"/>
  <c r="E25" i="7" s="1"/>
  <c r="E18" i="7"/>
  <c r="F18" i="7"/>
  <c r="E49" i="7"/>
  <c r="F46" i="7"/>
  <c r="D15" i="7"/>
  <c r="E15" i="7"/>
  <c r="F15" i="7"/>
  <c r="F25" i="7" l="1"/>
  <c r="F68" i="7"/>
  <c r="F70" i="7"/>
  <c r="B24" i="7"/>
  <c r="C45" i="7"/>
  <c r="B16" i="7"/>
  <c r="E39" i="7"/>
  <c r="E55" i="7"/>
  <c r="F39" i="7"/>
  <c r="C15" i="7"/>
  <c r="F50" i="7"/>
  <c r="G50" i="7"/>
  <c r="G51" i="7" s="1"/>
  <c r="E70" i="7"/>
  <c r="G55" i="7"/>
  <c r="G56" i="7" s="1"/>
  <c r="G38" i="7"/>
  <c r="G63" i="7" s="1"/>
  <c r="F49" i="7"/>
  <c r="E71" i="7"/>
  <c r="E68" i="7"/>
  <c r="E54" i="7"/>
  <c r="D49" i="7"/>
  <c r="C17" i="7"/>
  <c r="H38" i="7"/>
  <c r="H63" i="7" s="1"/>
  <c r="E38" i="7"/>
  <c r="E40" i="7" s="1"/>
  <c r="F62" i="7"/>
  <c r="F54" i="7"/>
  <c r="E50" i="7"/>
  <c r="E51" i="7" s="1"/>
  <c r="F38" i="7"/>
  <c r="F71" i="7"/>
  <c r="F55" i="7"/>
  <c r="B45" i="7" l="1"/>
  <c r="B67" i="7"/>
  <c r="B46" i="7"/>
  <c r="C46" i="7"/>
  <c r="E56" i="7"/>
  <c r="F51" i="7"/>
  <c r="F69" i="7" s="1"/>
  <c r="C49" i="7"/>
  <c r="E69" i="7"/>
  <c r="F56" i="7"/>
  <c r="F63" i="7"/>
  <c r="F40" i="7"/>
  <c r="F64" i="7" s="1"/>
  <c r="C37" i="1"/>
  <c r="C39" i="1" s="1"/>
  <c r="D37" i="1"/>
  <c r="D39" i="1" s="1"/>
  <c r="E37" i="1"/>
  <c r="E39" i="1" s="1"/>
  <c r="F37" i="1"/>
  <c r="F39" i="1" s="1"/>
  <c r="G37" i="1"/>
  <c r="H37" i="1"/>
  <c r="D38" i="1"/>
  <c r="D40" i="1" s="1"/>
  <c r="E38" i="1"/>
  <c r="E40" i="1" s="1"/>
  <c r="F38" i="1"/>
  <c r="F40" i="1" s="1"/>
  <c r="F64" i="1" s="1"/>
  <c r="G38" i="1"/>
  <c r="H38" i="1"/>
  <c r="D49" i="1"/>
  <c r="E49" i="1"/>
  <c r="F49" i="1"/>
  <c r="D50" i="1"/>
  <c r="E50" i="1"/>
  <c r="F50" i="1"/>
  <c r="H50" i="1"/>
  <c r="H51" i="1" s="1"/>
  <c r="D54" i="1"/>
  <c r="E54" i="1"/>
  <c r="F54" i="1"/>
  <c r="D55" i="1"/>
  <c r="E55" i="1"/>
  <c r="F55" i="1"/>
  <c r="G55" i="1"/>
  <c r="G56" i="1" s="1"/>
  <c r="H55" i="1"/>
  <c r="H56" i="1" s="1"/>
  <c r="F62" i="1"/>
  <c r="D68" i="1"/>
  <c r="E68" i="1"/>
  <c r="F68" i="1"/>
  <c r="D70" i="1"/>
  <c r="E70" i="1"/>
  <c r="F70" i="1"/>
  <c r="D71" i="1"/>
  <c r="E71" i="1"/>
  <c r="F71" i="1"/>
  <c r="B21" i="1"/>
  <c r="D25" i="1"/>
  <c r="E25" i="1"/>
  <c r="F25" i="1"/>
  <c r="G25" i="1"/>
  <c r="B24" i="1"/>
  <c r="B15" i="1"/>
  <c r="B18" i="1"/>
  <c r="D37" i="3"/>
  <c r="D39" i="3" s="1"/>
  <c r="E37" i="3"/>
  <c r="E39" i="3" s="1"/>
  <c r="G25" i="3"/>
  <c r="E25" i="3"/>
  <c r="E50" i="3"/>
  <c r="H37" i="3"/>
  <c r="G37" i="3"/>
  <c r="B18" i="3"/>
  <c r="C37" i="6"/>
  <c r="D37" i="6"/>
  <c r="D39" i="6" s="1"/>
  <c r="E37" i="6"/>
  <c r="E39" i="6" s="1"/>
  <c r="F37" i="6"/>
  <c r="F39" i="6" s="1"/>
  <c r="G37" i="6"/>
  <c r="H37" i="6"/>
  <c r="D38" i="6"/>
  <c r="D40" i="6" s="1"/>
  <c r="E38" i="6"/>
  <c r="E40" i="6" s="1"/>
  <c r="F38" i="6"/>
  <c r="F40" i="6" s="1"/>
  <c r="G38" i="6"/>
  <c r="H38" i="6"/>
  <c r="C39" i="6"/>
  <c r="D49" i="6"/>
  <c r="E49" i="6"/>
  <c r="F49" i="6"/>
  <c r="D50" i="6"/>
  <c r="D51" i="6" s="1"/>
  <c r="E50" i="6"/>
  <c r="F50" i="6"/>
  <c r="D54" i="6"/>
  <c r="E54" i="6"/>
  <c r="F54" i="6"/>
  <c r="D55" i="6"/>
  <c r="E55" i="6"/>
  <c r="F55" i="6"/>
  <c r="G55" i="6"/>
  <c r="G56" i="6" s="1"/>
  <c r="H55" i="6"/>
  <c r="H56" i="6" s="1"/>
  <c r="F62" i="6"/>
  <c r="D67" i="6"/>
  <c r="E67" i="6"/>
  <c r="F67" i="6"/>
  <c r="D68" i="6"/>
  <c r="E68" i="6"/>
  <c r="F68" i="6"/>
  <c r="D70" i="6"/>
  <c r="E70" i="6"/>
  <c r="F70" i="6"/>
  <c r="D71" i="6"/>
  <c r="E71" i="6"/>
  <c r="F71" i="6"/>
  <c r="B21" i="6"/>
  <c r="C23" i="6"/>
  <c r="C38" i="6" s="1"/>
  <c r="C24" i="6"/>
  <c r="B24" i="6" s="1"/>
  <c r="C22" i="6"/>
  <c r="G25" i="6"/>
  <c r="F25" i="6"/>
  <c r="E25" i="6"/>
  <c r="D25" i="6"/>
  <c r="B15" i="6"/>
  <c r="B18" i="6"/>
  <c r="C16" i="6"/>
  <c r="C45" i="6" s="1"/>
  <c r="E37" i="2"/>
  <c r="E39" i="2" s="1"/>
  <c r="F37" i="2"/>
  <c r="G37" i="2"/>
  <c r="H37" i="2"/>
  <c r="E22" i="2"/>
  <c r="F22" i="2"/>
  <c r="G22" i="2"/>
  <c r="H22" i="2"/>
  <c r="E23" i="2"/>
  <c r="E25" i="2" s="1"/>
  <c r="F23" i="2"/>
  <c r="F38" i="2" s="1"/>
  <c r="G23" i="2"/>
  <c r="G25" i="2" s="1"/>
  <c r="H23" i="2"/>
  <c r="E24" i="2"/>
  <c r="F24" i="2"/>
  <c r="G24" i="2"/>
  <c r="H24" i="2"/>
  <c r="F16" i="2"/>
  <c r="F45" i="2" s="1"/>
  <c r="F46" i="2"/>
  <c r="F18" i="2"/>
  <c r="E18" i="2"/>
  <c r="E16" i="2"/>
  <c r="G25" i="5"/>
  <c r="F25" i="5"/>
  <c r="E25" i="5"/>
  <c r="B21" i="5"/>
  <c r="C24" i="5"/>
  <c r="B24" i="5" s="1"/>
  <c r="C22" i="5"/>
  <c r="B22" i="5" s="1"/>
  <c r="B15" i="5"/>
  <c r="C17" i="5"/>
  <c r="C18" i="5"/>
  <c r="B18" i="5" s="1"/>
  <c r="C16" i="5"/>
  <c r="C45" i="5" s="1"/>
  <c r="B21" i="4"/>
  <c r="C23" i="4"/>
  <c r="C24" i="4"/>
  <c r="B24" i="4" s="1"/>
  <c r="C22" i="4"/>
  <c r="B22" i="4" s="1"/>
  <c r="G25" i="4"/>
  <c r="F25" i="4"/>
  <c r="E25" i="4"/>
  <c r="D25" i="4"/>
  <c r="B15" i="4"/>
  <c r="C17" i="4"/>
  <c r="C46" i="4" s="1"/>
  <c r="C18" i="4"/>
  <c r="B18" i="4" s="1"/>
  <c r="C16" i="4"/>
  <c r="C45" i="4" s="1"/>
  <c r="H63" i="6" l="1"/>
  <c r="E56" i="6"/>
  <c r="D56" i="6"/>
  <c r="F51" i="6"/>
  <c r="F56" i="6"/>
  <c r="E51" i="6"/>
  <c r="F63" i="6"/>
  <c r="F63" i="2"/>
  <c r="F25" i="2"/>
  <c r="C46" i="5"/>
  <c r="G63" i="6"/>
  <c r="D69" i="6"/>
  <c r="E69" i="6"/>
  <c r="F69" i="6"/>
  <c r="C67" i="6"/>
  <c r="F63" i="1"/>
  <c r="D56" i="1"/>
  <c r="F51" i="1"/>
  <c r="F69" i="1" s="1"/>
  <c r="E55" i="3"/>
  <c r="G55" i="3"/>
  <c r="G56" i="3" s="1"/>
  <c r="G38" i="3"/>
  <c r="G63" i="3" s="1"/>
  <c r="F64" i="6"/>
  <c r="B23" i="6"/>
  <c r="C40" i="6"/>
  <c r="C64" i="6" s="1"/>
  <c r="C63" i="6"/>
  <c r="B16" i="6"/>
  <c r="B45" i="6" s="1"/>
  <c r="B17" i="6"/>
  <c r="B46" i="6" s="1"/>
  <c r="B22" i="6"/>
  <c r="C71" i="6"/>
  <c r="C70" i="6"/>
  <c r="C68" i="6"/>
  <c r="C62" i="6"/>
  <c r="C55" i="6"/>
  <c r="C54" i="6"/>
  <c r="C50" i="6"/>
  <c r="C49" i="6"/>
  <c r="B16" i="5"/>
  <c r="B45" i="5" s="1"/>
  <c r="H55" i="2"/>
  <c r="H56" i="2" s="1"/>
  <c r="H38" i="2"/>
  <c r="H63" i="2" s="1"/>
  <c r="B17" i="5"/>
  <c r="F39" i="2"/>
  <c r="F55" i="2"/>
  <c r="F50" i="2"/>
  <c r="F70" i="2"/>
  <c r="F67" i="2"/>
  <c r="B16" i="4"/>
  <c r="B45" i="4" s="1"/>
  <c r="F40" i="2"/>
  <c r="F49" i="2"/>
  <c r="F54" i="2"/>
  <c r="F62" i="2"/>
  <c r="F71" i="2"/>
  <c r="F68" i="2"/>
  <c r="B17" i="4"/>
  <c r="B46" i="4" s="1"/>
  <c r="E49" i="2"/>
  <c r="G38" i="2"/>
  <c r="G63" i="2" s="1"/>
  <c r="G55" i="2"/>
  <c r="G56" i="2" s="1"/>
  <c r="E38" i="2"/>
  <c r="E40" i="2" s="1"/>
  <c r="E50" i="2"/>
  <c r="E55" i="2"/>
  <c r="E68" i="2"/>
  <c r="E71" i="2"/>
  <c r="E67" i="2"/>
  <c r="E70" i="2"/>
  <c r="B23" i="4"/>
  <c r="E54" i="2"/>
  <c r="E56" i="1"/>
  <c r="D51" i="1"/>
  <c r="D69" i="1" s="1"/>
  <c r="E70" i="3"/>
  <c r="D67" i="3"/>
  <c r="F67" i="3"/>
  <c r="B24" i="3"/>
  <c r="E68" i="3"/>
  <c r="E38" i="3"/>
  <c r="E40" i="3" s="1"/>
  <c r="H63" i="1"/>
  <c r="C50" i="1"/>
  <c r="F56" i="1"/>
  <c r="E51" i="1"/>
  <c r="E69" i="1" s="1"/>
  <c r="B16" i="1"/>
  <c r="G63" i="1"/>
  <c r="C38" i="1"/>
  <c r="C63" i="1" s="1"/>
  <c r="C55" i="1"/>
  <c r="B17" i="1"/>
  <c r="B46" i="1" s="1"/>
  <c r="C71" i="1"/>
  <c r="C62" i="1"/>
  <c r="C54" i="1"/>
  <c r="C49" i="1"/>
  <c r="E49" i="3"/>
  <c r="E51" i="3" s="1"/>
  <c r="E54" i="3"/>
  <c r="F37" i="3"/>
  <c r="F39" i="3" s="1"/>
  <c r="F25" i="3"/>
  <c r="F38" i="3"/>
  <c r="F50" i="3"/>
  <c r="F55" i="3"/>
  <c r="F68" i="3"/>
  <c r="F71" i="3"/>
  <c r="H38" i="3"/>
  <c r="H55" i="3"/>
  <c r="H56" i="3" s="1"/>
  <c r="E71" i="3"/>
  <c r="E67" i="3"/>
  <c r="F70" i="3"/>
  <c r="D70" i="3"/>
  <c r="F62" i="3"/>
  <c r="F54" i="3"/>
  <c r="D54" i="3"/>
  <c r="F49" i="3"/>
  <c r="D49" i="3"/>
  <c r="B68" i="1" l="1"/>
  <c r="B45" i="1"/>
  <c r="B67" i="1"/>
  <c r="C51" i="1"/>
  <c r="C69" i="1" s="1"/>
  <c r="F64" i="2"/>
  <c r="B46" i="5"/>
  <c r="E56" i="3"/>
  <c r="E69" i="3"/>
  <c r="C51" i="6"/>
  <c r="C69" i="6" s="1"/>
  <c r="C56" i="6"/>
  <c r="F51" i="2"/>
  <c r="F69" i="2" s="1"/>
  <c r="E56" i="2"/>
  <c r="F56" i="2"/>
  <c r="E51" i="2"/>
  <c r="E69" i="2" s="1"/>
  <c r="F56" i="3"/>
  <c r="C40" i="1"/>
  <c r="C64" i="1" s="1"/>
  <c r="C56" i="1"/>
  <c r="C70" i="3"/>
  <c r="C67" i="3"/>
  <c r="B22" i="3"/>
  <c r="H63" i="3"/>
  <c r="B16" i="3"/>
  <c r="B45" i="3" s="1"/>
  <c r="F51" i="3"/>
  <c r="F69" i="3" s="1"/>
  <c r="C49" i="3"/>
  <c r="C54" i="3"/>
  <c r="B17" i="3"/>
  <c r="B46" i="3" s="1"/>
  <c r="F40" i="3"/>
  <c r="F64" i="3" s="1"/>
  <c r="F63" i="3"/>
  <c r="D16" i="2" l="1"/>
  <c r="C16" i="2" s="1"/>
  <c r="C45" i="2" s="1"/>
  <c r="C18" i="2"/>
  <c r="B18" i="2" s="1"/>
  <c r="D22" i="2"/>
  <c r="D24" i="2"/>
  <c r="C24" i="2" s="1"/>
  <c r="B24" i="2" s="1"/>
  <c r="B37" i="1"/>
  <c r="B37" i="6"/>
  <c r="D37" i="2" l="1"/>
  <c r="D39" i="2" s="1"/>
  <c r="C46" i="2"/>
  <c r="D49" i="2"/>
  <c r="D54" i="2"/>
  <c r="C22" i="2"/>
  <c r="D67" i="2"/>
  <c r="D70" i="2"/>
  <c r="B16" i="2"/>
  <c r="B45" i="2" s="1"/>
  <c r="B55" i="6"/>
  <c r="B50" i="6"/>
  <c r="B54" i="6"/>
  <c r="B39" i="1"/>
  <c r="B71" i="1"/>
  <c r="B75" i="1"/>
  <c r="B38" i="1"/>
  <c r="B40" i="1" s="1"/>
  <c r="B62" i="1"/>
  <c r="B55" i="1"/>
  <c r="B50" i="1"/>
  <c r="B54" i="1"/>
  <c r="B62" i="6"/>
  <c r="B39" i="6"/>
  <c r="B71" i="6"/>
  <c r="B75" i="6"/>
  <c r="B38" i="6"/>
  <c r="B40" i="6" s="1"/>
  <c r="B68" i="6"/>
  <c r="B49" i="1"/>
  <c r="B70" i="1"/>
  <c r="B67" i="6"/>
  <c r="B49" i="6"/>
  <c r="B70" i="6"/>
  <c r="B56" i="1" l="1"/>
  <c r="B56" i="6"/>
  <c r="C67" i="2"/>
  <c r="C70" i="2"/>
  <c r="B22" i="2"/>
  <c r="C49" i="2"/>
  <c r="C54" i="2"/>
  <c r="B46" i="2"/>
  <c r="B51" i="6"/>
  <c r="B69" i="6" s="1"/>
  <c r="B64" i="6"/>
  <c r="B64" i="1"/>
  <c r="B51" i="1"/>
  <c r="B69" i="1" s="1"/>
  <c r="B63" i="1"/>
  <c r="B63" i="6"/>
  <c r="C25" i="4" l="1"/>
  <c r="B25" i="4" l="1"/>
  <c r="D18" i="7"/>
  <c r="C18" i="7" l="1"/>
  <c r="D54" i="7"/>
  <c r="B15" i="7"/>
  <c r="C62" i="7"/>
  <c r="B15" i="3"/>
  <c r="C62" i="3"/>
  <c r="B54" i="3"/>
  <c r="B18" i="7" l="1"/>
  <c r="B54" i="7" s="1"/>
  <c r="C54" i="7"/>
  <c r="B15" i="2"/>
  <c r="C62" i="2"/>
  <c r="B62" i="3"/>
  <c r="B62" i="7"/>
  <c r="B49" i="7"/>
  <c r="B49" i="3"/>
  <c r="B28" i="4"/>
  <c r="C25" i="6"/>
  <c r="C25" i="1"/>
  <c r="B25" i="6" l="1"/>
  <c r="B59" i="6" s="1"/>
  <c r="C37" i="2"/>
  <c r="B21" i="2"/>
  <c r="C37" i="3"/>
  <c r="B21" i="3"/>
  <c r="B25" i="1"/>
  <c r="B59" i="1" s="1"/>
  <c r="B62" i="2"/>
  <c r="B49" i="2"/>
  <c r="B54" i="2"/>
  <c r="C39" i="3" l="1"/>
  <c r="C39" i="2"/>
  <c r="D21" i="7"/>
  <c r="D37" i="7" l="1"/>
  <c r="D39" i="7" s="1"/>
  <c r="C21" i="7"/>
  <c r="D70" i="7"/>
  <c r="B37" i="2"/>
  <c r="B37" i="3"/>
  <c r="C37" i="7" l="1"/>
  <c r="C39" i="7" s="1"/>
  <c r="B21" i="7"/>
  <c r="B37" i="7" s="1"/>
  <c r="B39" i="7" s="1"/>
  <c r="B70" i="7"/>
  <c r="C70" i="7"/>
  <c r="B39" i="2"/>
  <c r="B39" i="3"/>
  <c r="B70" i="2"/>
  <c r="B67" i="2"/>
  <c r="B70" i="3"/>
  <c r="B67" i="3"/>
  <c r="B29" i="3"/>
  <c r="B29" i="2"/>
  <c r="B28" i="2" l="1"/>
  <c r="B74" i="2" s="1"/>
  <c r="B74" i="7"/>
  <c r="B28" i="1" l="1"/>
  <c r="B74" i="1" s="1"/>
  <c r="B28" i="3" l="1"/>
  <c r="B74" i="3" s="1"/>
  <c r="B28" i="6" l="1"/>
  <c r="B74" i="6" s="1"/>
  <c r="B28" i="5"/>
  <c r="D23" i="7"/>
  <c r="D38" i="7" s="1"/>
  <c r="D40" i="7" s="1"/>
  <c r="D23" i="2"/>
  <c r="D50" i="2" s="1"/>
  <c r="D51" i="2" s="1"/>
  <c r="D23" i="3"/>
  <c r="D55" i="3" s="1"/>
  <c r="D56" i="3" s="1"/>
  <c r="D25" i="5"/>
  <c r="C23" i="5"/>
  <c r="B23" i="5" l="1"/>
  <c r="C25" i="5"/>
  <c r="B25" i="5" s="1"/>
  <c r="D38" i="3"/>
  <c r="D40" i="3" s="1"/>
  <c r="D55" i="7"/>
  <c r="D56" i="7" s="1"/>
  <c r="C23" i="7"/>
  <c r="B38" i="7" s="1"/>
  <c r="D50" i="3"/>
  <c r="D51" i="3" s="1"/>
  <c r="D25" i="2"/>
  <c r="D68" i="7"/>
  <c r="C23" i="3"/>
  <c r="C68" i="3" s="1"/>
  <c r="D68" i="2"/>
  <c r="D69" i="2" s="1"/>
  <c r="D25" i="7"/>
  <c r="C25" i="7" s="1"/>
  <c r="B25" i="7" s="1"/>
  <c r="D71" i="3"/>
  <c r="D68" i="3"/>
  <c r="D38" i="2"/>
  <c r="D40" i="2" s="1"/>
  <c r="C23" i="2"/>
  <c r="D50" i="7"/>
  <c r="D51" i="7" s="1"/>
  <c r="D69" i="7" s="1"/>
  <c r="D55" i="2"/>
  <c r="D56" i="2" s="1"/>
  <c r="D25" i="3"/>
  <c r="D71" i="2"/>
  <c r="D71" i="7"/>
  <c r="C38" i="3" l="1"/>
  <c r="C50" i="3"/>
  <c r="C51" i="3" s="1"/>
  <c r="C69" i="3" s="1"/>
  <c r="B68" i="7"/>
  <c r="B55" i="7"/>
  <c r="B56" i="7" s="1"/>
  <c r="C71" i="7"/>
  <c r="C71" i="3"/>
  <c r="B23" i="3"/>
  <c r="B38" i="3" s="1"/>
  <c r="C25" i="3"/>
  <c r="B25" i="3" s="1"/>
  <c r="D69" i="3"/>
  <c r="B75" i="7"/>
  <c r="B71" i="7"/>
  <c r="B59" i="7"/>
  <c r="C55" i="7"/>
  <c r="C56" i="7" s="1"/>
  <c r="C50" i="7"/>
  <c r="C51" i="7" s="1"/>
  <c r="B50" i="7"/>
  <c r="B51" i="7" s="1"/>
  <c r="B69" i="7" s="1"/>
  <c r="C38" i="7"/>
  <c r="C63" i="7" s="1"/>
  <c r="C68" i="7"/>
  <c r="C55" i="3"/>
  <c r="C56" i="3" s="1"/>
  <c r="B63" i="7"/>
  <c r="B40" i="7"/>
  <c r="B64" i="7" s="1"/>
  <c r="C40" i="3"/>
  <c r="C64" i="3" s="1"/>
  <c r="C63" i="3"/>
  <c r="C55" i="2"/>
  <c r="C56" i="2" s="1"/>
  <c r="B23" i="2"/>
  <c r="C38" i="2"/>
  <c r="C68" i="2"/>
  <c r="C71" i="2"/>
  <c r="C25" i="2"/>
  <c r="B25" i="2" s="1"/>
  <c r="C50" i="2"/>
  <c r="C51" i="2" s="1"/>
  <c r="B59" i="3" l="1"/>
  <c r="B68" i="3"/>
  <c r="B50" i="3"/>
  <c r="B51" i="3" s="1"/>
  <c r="B71" i="3"/>
  <c r="B55" i="3"/>
  <c r="B56" i="3" s="1"/>
  <c r="B75" i="3"/>
  <c r="C40" i="7"/>
  <c r="C64" i="7" s="1"/>
  <c r="C69" i="7"/>
  <c r="B59" i="2"/>
  <c r="C69" i="2"/>
  <c r="B63" i="3"/>
  <c r="B40" i="3"/>
  <c r="B64" i="3" s="1"/>
  <c r="C63" i="2"/>
  <c r="C40" i="2"/>
  <c r="C64" i="2" s="1"/>
  <c r="B71" i="2"/>
  <c r="B38" i="2"/>
  <c r="B55" i="2"/>
  <c r="B56" i="2" s="1"/>
  <c r="B75" i="2"/>
  <c r="B68" i="2"/>
  <c r="B50" i="2"/>
  <c r="B51" i="2" s="1"/>
  <c r="B69" i="3"/>
  <c r="B40" i="2" l="1"/>
  <c r="B64" i="2" s="1"/>
  <c r="B63" i="2"/>
  <c r="B69" i="2"/>
</calcChain>
</file>

<file path=xl/sharedStrings.xml><?xml version="1.0" encoding="utf-8"?>
<sst xmlns="http://schemas.openxmlformats.org/spreadsheetml/2006/main" count="452" uniqueCount="122">
  <si>
    <t>Indicador</t>
  </si>
  <si>
    <t>Insumos</t>
  </si>
  <si>
    <t>Gasto FODESAF</t>
  </si>
  <si>
    <t>Ingresos FODESAF</t>
  </si>
  <si>
    <t>Otros insumos</t>
  </si>
  <si>
    <t>Población objetivo</t>
  </si>
  <si>
    <t>Cálculos intermedios</t>
  </si>
  <si>
    <t>Indicadores</t>
  </si>
  <si>
    <t>De Cobertura Potencial</t>
  </si>
  <si>
    <t>Cobertura Programada</t>
  </si>
  <si>
    <t>Cobertura Efectiva</t>
  </si>
  <si>
    <t>De resultado</t>
  </si>
  <si>
    <t>Índice efectividad en beneficiarios (IEB)</t>
  </si>
  <si>
    <t xml:space="preserve">Índice efectividad en gasto (IEG) </t>
  </si>
  <si>
    <t>Índice efectividad total (IET)</t>
  </si>
  <si>
    <t xml:space="preserve">De avance </t>
  </si>
  <si>
    <t xml:space="preserve">Índice avance beneficiarios (IAB) </t>
  </si>
  <si>
    <t>Índice avance gasto (IAG)</t>
  </si>
  <si>
    <t xml:space="preserve">Índice avance total (IAT) </t>
  </si>
  <si>
    <t>Índice transferencia efectiva del gasto (ITG)</t>
  </si>
  <si>
    <t>De expansión</t>
  </si>
  <si>
    <t xml:space="preserve">Índice de crecimiento beneficiarios (ICB) </t>
  </si>
  <si>
    <t xml:space="preserve">Índice de crecimiento del gasto real (ICGR) </t>
  </si>
  <si>
    <t xml:space="preserve">Índice de crecimiento del gasto real por beneficiario (ICGRB) </t>
  </si>
  <si>
    <t>De gasto medio</t>
  </si>
  <si>
    <t xml:space="preserve">Índice de eficiencia (IE) </t>
  </si>
  <si>
    <t>De giro de recursos</t>
  </si>
  <si>
    <t>Índice de giro efectivo (IGE)</t>
  </si>
  <si>
    <t xml:space="preserve">Índice de uso de recursos (IUR) </t>
  </si>
  <si>
    <t>De composición</t>
  </si>
  <si>
    <t xml:space="preserve">Gasto mensual programado por beneficiario (GPB) </t>
  </si>
  <si>
    <t xml:space="preserve">Gasto mensual efectivo por beneficiario (GEB) </t>
  </si>
  <si>
    <t xml:space="preserve">Gasto programado trimestral por beneficiario (GPB) </t>
  </si>
  <si>
    <t xml:space="preserve">Gasto efectivo trimestral por beneficiario (GEB) </t>
  </si>
  <si>
    <t>Total Programa</t>
  </si>
  <si>
    <t xml:space="preserve">Gasto programado Semestral por beneficiario (GPB) </t>
  </si>
  <si>
    <t xml:space="preserve">Gasto efectivo Semestral por beneficiario (GEB) </t>
  </si>
  <si>
    <t xml:space="preserve">Gasto programado Acumulado por beneficiario (GPB) </t>
  </si>
  <si>
    <t xml:space="preserve">Gasto efectivo Acumulado por beneficiario (GEB) </t>
  </si>
  <si>
    <t xml:space="preserve">Gasto programado anual por beneficiario (GPB) </t>
  </si>
  <si>
    <t xml:space="preserve">Gasto efectivo anual por beneficiario (GEB) </t>
  </si>
  <si>
    <t xml:space="preserve">Beneficiarios: personas (promedio mensual) </t>
  </si>
  <si>
    <t>Pensión Especial</t>
  </si>
  <si>
    <t xml:space="preserve">Servicios Médicos </t>
  </si>
  <si>
    <t xml:space="preserve">Gastos Administrativos </t>
  </si>
  <si>
    <t xml:space="preserve">Productos </t>
  </si>
  <si>
    <t>Total Pensión Ordinaria</t>
  </si>
  <si>
    <t>Pensiones ordinarias para adultos mayores (65 o más años)</t>
  </si>
  <si>
    <t>Pensiones ordinarias para otros beneficiarios</t>
  </si>
  <si>
    <t>n.d.</t>
  </si>
  <si>
    <t>Efectivos 1T 2023</t>
  </si>
  <si>
    <t>IPC (1T 2023)</t>
  </si>
  <si>
    <t>Gasto efectivo real 1T 2023</t>
  </si>
  <si>
    <t>Gasto efectivo real por beneficiario 1T 2023</t>
  </si>
  <si>
    <t>Efectivos 2T 2023</t>
  </si>
  <si>
    <t>IPC (2T 2023)</t>
  </si>
  <si>
    <t>Gasto efectivo real 2T 2023</t>
  </si>
  <si>
    <t>Gasto efectivo real por beneficiario 2T 2023</t>
  </si>
  <si>
    <t>Efectivos 1S 2023</t>
  </si>
  <si>
    <t>IPC (1S 2023)</t>
  </si>
  <si>
    <t>Gasto efectivo real 1S 2023</t>
  </si>
  <si>
    <t>Gasto efectivo real por beneficiario 1S 2023</t>
  </si>
  <si>
    <t>Efectivos 3T 2023</t>
  </si>
  <si>
    <t>IPC (3T 2023)</t>
  </si>
  <si>
    <t>Gasto efectivo real 3T 2023</t>
  </si>
  <si>
    <t>Gasto efectivo real por beneficiario 3T 2023</t>
  </si>
  <si>
    <t>Efectivos 3 TA 2023</t>
  </si>
  <si>
    <t>IPC (3 TA 2023)</t>
  </si>
  <si>
    <t>Gasto efectivo real 3 TA 2023</t>
  </si>
  <si>
    <t>Gasto efectivo real por beneficiario 3 TA 2023</t>
  </si>
  <si>
    <t>Efectivos 4T 2023</t>
  </si>
  <si>
    <t>IPC (4T 2023)</t>
  </si>
  <si>
    <t>Gasto efectivo real 4T 2023</t>
  </si>
  <si>
    <t>Gasto efectivo real por beneficiario 4T 2023</t>
  </si>
  <si>
    <t>Efectivos 2023</t>
  </si>
  <si>
    <t>IPC (2023)</t>
  </si>
  <si>
    <t>Gasto efectivo real 2023</t>
  </si>
  <si>
    <t>Gasto efectivo real por beneficiario 2023</t>
  </si>
  <si>
    <t>Programados 1T 2024</t>
  </si>
  <si>
    <t>Efectivos 1T 2024</t>
  </si>
  <si>
    <t>Programados año 2024</t>
  </si>
  <si>
    <t>En transferencias 1T 2024</t>
  </si>
  <si>
    <t>IPC (1T 2024)</t>
  </si>
  <si>
    <t>Gasto efectivo real 1T 2024</t>
  </si>
  <si>
    <t>Gasto efectivo real por beneficiario 1T 2024</t>
  </si>
  <si>
    <r>
      <rPr>
        <b/>
        <sz val="11"/>
        <color theme="1"/>
        <rFont val="Palatino Linotype"/>
        <family val="1"/>
      </rPr>
      <t xml:space="preserve">Fuentes: </t>
    </r>
    <r>
      <rPr>
        <sz val="11"/>
        <color theme="1"/>
        <rFont val="Palatino Linotype"/>
        <family val="1"/>
      </rPr>
      <t xml:space="preserve"> Informes Trimestrales RNC 2023 y 2024 - Cronogramas de Metas e Inversión - Modificaciones 2024 - IPC, INEC 2023 y 2024</t>
    </r>
  </si>
  <si>
    <t>Programados 2T 2024</t>
  </si>
  <si>
    <t>Efectivos 2T 2024</t>
  </si>
  <si>
    <t>En transferencias 2T 2024</t>
  </si>
  <si>
    <t>IPC (2T 2024)</t>
  </si>
  <si>
    <t>Gasto efectivo real 2T 2024</t>
  </si>
  <si>
    <t>Gasto efectivo real por beneficiario 2T 2024</t>
  </si>
  <si>
    <t>Programados 1S 2024</t>
  </si>
  <si>
    <t>Efectivos 1S 2024</t>
  </si>
  <si>
    <t>En transferencias 1S 2024</t>
  </si>
  <si>
    <t>IPC (1S 2024)</t>
  </si>
  <si>
    <t>Gasto efectivo real 1S 2024</t>
  </si>
  <si>
    <t>Gasto efectivo real por beneficiario 1S 2024</t>
  </si>
  <si>
    <t>Programados 3T 2024</t>
  </si>
  <si>
    <t>Efectivos 3T 2024</t>
  </si>
  <si>
    <t>En transferencias 3T 2024</t>
  </si>
  <si>
    <t>IPC (3T 2024)</t>
  </si>
  <si>
    <t>Gasto efectivo real 3T 2024</t>
  </si>
  <si>
    <t>Gasto efectivo real por beneficiario 3T 2024</t>
  </si>
  <si>
    <t>Programados 3 TA 2024</t>
  </si>
  <si>
    <t>Efectivos 3 TA 2024</t>
  </si>
  <si>
    <t>En transferencias 3 TA 2024</t>
  </si>
  <si>
    <t>IPC (3 TA 2024)</t>
  </si>
  <si>
    <t>Gasto efectivo real 3 TA 2024</t>
  </si>
  <si>
    <t>Gasto efectivo real por beneficiario 3 TA 2024</t>
  </si>
  <si>
    <t>Programados 4T 2024</t>
  </si>
  <si>
    <t>Efectivos 4T 2024</t>
  </si>
  <si>
    <t>En transferencias 4T 2024</t>
  </si>
  <si>
    <t>IPC (4T 2024)</t>
  </si>
  <si>
    <t>Gasto efectivo real 4T 2024</t>
  </si>
  <si>
    <t>Gasto efectivo real por beneficiario 4T 2024</t>
  </si>
  <si>
    <t>Programados 2024</t>
  </si>
  <si>
    <t>Efectivos 2024</t>
  </si>
  <si>
    <t>En transferencias 2024</t>
  </si>
  <si>
    <t>IPC (2024)</t>
  </si>
  <si>
    <t>Gasto efectivo real 2024</t>
  </si>
  <si>
    <t>Gasto efectivo real por beneficiario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</si>
</sst>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____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164" fontId="0" fillId="0" borderId="0" xfId="1" applyFont="1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/>
    <xf numFmtId="2" fontId="0" fillId="0" borderId="0" xfId="0" applyNumberFormat="1" applyFont="1" applyFill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/>
    <xf numFmtId="0" fontId="4" fillId="0" borderId="3" xfId="0" applyFont="1" applyFill="1" applyBorder="1"/>
    <xf numFmtId="166" fontId="5" fillId="0" borderId="0" xfId="1" applyNumberFormat="1" applyFont="1" applyFill="1" applyAlignment="1">
      <alignment horizontal="center"/>
    </xf>
    <xf numFmtId="166" fontId="4" fillId="0" borderId="0" xfId="1" applyNumberFormat="1" applyFont="1" applyFill="1" applyAlignment="1">
      <alignment horizontal="center"/>
    </xf>
    <xf numFmtId="1" fontId="4" fillId="0" borderId="3" xfId="0" applyNumberFormat="1" applyFont="1" applyFill="1" applyBorder="1"/>
    <xf numFmtId="0" fontId="4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164" fontId="4" fillId="0" borderId="0" xfId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</cellXfs>
  <cellStyles count="3">
    <cellStyle name="Millares" xfId="1" builtinId="3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2BFE6"/>
      <color rgb="FF0035A0"/>
      <color rgb="FF192952"/>
      <color rgb="FFC1C5C8"/>
      <color rgb="FF4071B9"/>
      <color rgb="FF102D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cobertura potencial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Anual!$A$45</c:f>
              <c:strCache>
                <c:ptCount val="1"/>
                <c:pt idx="0">
                  <c:v>Cobertura Programada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(Anual!$B$45,Anual!$C$45,Anual!$F$45)</c:f>
              <c:numCache>
                <c:formatCode>#,##0.00</c:formatCode>
                <c:ptCount val="3"/>
                <c:pt idx="0">
                  <c:v>90.15229668827017</c:v>
                </c:pt>
                <c:pt idx="1">
                  <c:v>97.11591697456582</c:v>
                </c:pt>
                <c:pt idx="2">
                  <c:v>30.719975312927922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AF-4D9D-908D-1B7850383094}"/>
            </c:ext>
          </c:extLst>
        </c:ser>
        <c:ser>
          <c:idx val="1"/>
          <c:order val="1"/>
          <c:tx>
            <c:strRef>
              <c:f>Anual!$A$46</c:f>
              <c:strCache>
                <c:ptCount val="1"/>
                <c:pt idx="0">
                  <c:v>Cobertura Efectiva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(Anual!$B$46,Anual!$C$46,Anual!$F$46)</c:f>
              <c:numCache>
                <c:formatCode>#,##0.00</c:formatCode>
                <c:ptCount val="3"/>
                <c:pt idx="0">
                  <c:v>90.933805859649979</c:v>
                </c:pt>
                <c:pt idx="1">
                  <c:v>97.879695226903792</c:v>
                </c:pt>
                <c:pt idx="2">
                  <c:v>31.652812333249752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AF-4D9D-908D-1B785038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987968"/>
        <c:axId val="53875072"/>
        <c:axId val="0"/>
      </c:bar3DChart>
      <c:catAx>
        <c:axId val="5398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875072"/>
        <c:crosses val="autoZero"/>
        <c:auto val="1"/>
        <c:lblAlgn val="ctr"/>
        <c:lblOffset val="100"/>
        <c:noMultiLvlLbl val="0"/>
      </c:catAx>
      <c:valAx>
        <c:axId val="53875072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87968"/>
        <c:crosses val="autoZero"/>
        <c:crossBetween val="between"/>
        <c:majorUnit val="3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resultado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Anual!$A$49</c:f>
              <c:strCache>
                <c:ptCount val="1"/>
                <c:pt idx="0">
                  <c:v>Índice efectividad en beneficiarios (IEB)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Anual!$B$49:$F$49</c:f>
              <c:numCache>
                <c:formatCode>#,##0.00</c:formatCode>
                <c:ptCount val="5"/>
                <c:pt idx="0">
                  <c:v>100.86687660779417</c:v>
                </c:pt>
                <c:pt idx="1">
                  <c:v>100.78646042392619</c:v>
                </c:pt>
                <c:pt idx="2">
                  <c:v>101.56078804660844</c:v>
                </c:pt>
                <c:pt idx="3">
                  <c:v>99.339093937234225</c:v>
                </c:pt>
                <c:pt idx="4">
                  <c:v>103.03658128243762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4-4A96-9D6B-3CE9D5C43B09}"/>
            </c:ext>
          </c:extLst>
        </c:ser>
        <c:ser>
          <c:idx val="1"/>
          <c:order val="1"/>
          <c:tx>
            <c:strRef>
              <c:f>Anual!$A$50</c:f>
              <c:strCache>
                <c:ptCount val="1"/>
                <c:pt idx="0">
                  <c:v>Índice efectividad en gasto (IEG)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1.0334580833876983E-3"/>
                  <c:y val="-4.15338442230894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DB6-9976-C2FFC46B4C18}"/>
                </c:ext>
              </c:extLst>
            </c:dLbl>
            <c:dLbl>
              <c:idx val="1"/>
              <c:layout>
                <c:manualLayout>
                  <c:x val="2.066916166775359E-3"/>
                  <c:y val="-4.1489379189987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DB6-9976-C2FFC46B4C18}"/>
                </c:ext>
              </c:extLst>
            </c:dLbl>
            <c:dLbl>
              <c:idx val="2"/>
              <c:layout>
                <c:manualLayout>
                  <c:x val="4.1338323335507934E-3"/>
                  <c:y val="-3.800062574428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DB6-9976-C2FFC46B4C18}"/>
                </c:ext>
              </c:extLst>
            </c:dLbl>
            <c:dLbl>
              <c:idx val="4"/>
              <c:layout>
                <c:manualLayout>
                  <c:x val="2.0669161667754726E-3"/>
                  <c:y val="-4.488974153958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DB6-9976-C2FFC46B4C18}"/>
                </c:ext>
              </c:extLst>
            </c:dLbl>
            <c:dLbl>
              <c:idx val="5"/>
              <c:layout>
                <c:manualLayout>
                  <c:x val="-1.0334580833876984E-2"/>
                  <c:y val="-6.27443774380297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30-4C39-AEAE-F6DFB10EC3FE}"/>
                </c:ext>
              </c:extLst>
            </c:dLbl>
            <c:dLbl>
              <c:idx val="6"/>
              <c:layout>
                <c:manualLayout>
                  <c:x val="-1.5501871250815476E-2"/>
                  <c:y val="3.4224601236235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30-4C39-AEAE-F6DFB10EC3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Anual!$B$50:$H$50</c:f>
              <c:numCache>
                <c:formatCode>#,##0.00</c:formatCode>
                <c:ptCount val="7"/>
                <c:pt idx="0">
                  <c:v>100.00000000027514</c:v>
                </c:pt>
                <c:pt idx="1">
                  <c:v>108.11083517631029</c:v>
                </c:pt>
                <c:pt idx="2">
                  <c:v>108.7175119784095</c:v>
                </c:pt>
                <c:pt idx="3">
                  <c:v>106.97556784811728</c:v>
                </c:pt>
                <c:pt idx="4">
                  <c:v>99.290274330538082</c:v>
                </c:pt>
                <c:pt idx="5">
                  <c:v>36.360888472590617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4-4A96-9D6B-3CE9D5C43B09}"/>
            </c:ext>
          </c:extLst>
        </c:ser>
        <c:ser>
          <c:idx val="2"/>
          <c:order val="2"/>
          <c:tx>
            <c:strRef>
              <c:f>Anual!$A$51</c:f>
              <c:strCache>
                <c:ptCount val="1"/>
                <c:pt idx="0">
                  <c:v>Índice efectividad total (IET)</c:v>
                </c:pt>
              </c:strCache>
            </c:strRef>
          </c:tx>
          <c:spPr>
            <a:solidFill>
              <a:srgbClr val="C1C5C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Anual!$B$51:$H$51</c:f>
              <c:numCache>
                <c:formatCode>#,##0.00</c:formatCode>
                <c:ptCount val="7"/>
                <c:pt idx="0">
                  <c:v>100.43343830403465</c:v>
                </c:pt>
                <c:pt idx="1">
                  <c:v>104.44864780011824</c:v>
                </c:pt>
                <c:pt idx="2">
                  <c:v>105.13915001250896</c:v>
                </c:pt>
                <c:pt idx="3">
                  <c:v>103.15733089267576</c:v>
                </c:pt>
                <c:pt idx="4">
                  <c:v>101.16342780648785</c:v>
                </c:pt>
                <c:pt idx="5">
                  <c:v>36.360888472590617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4-4A96-9D6B-3CE9D5C43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3914240"/>
        <c:axId val="53932416"/>
        <c:axId val="0"/>
      </c:bar3DChart>
      <c:catAx>
        <c:axId val="539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32416"/>
        <c:crosses val="autoZero"/>
        <c:auto val="1"/>
        <c:lblAlgn val="ctr"/>
        <c:lblOffset val="100"/>
        <c:noMultiLvlLbl val="0"/>
      </c:catAx>
      <c:valAx>
        <c:axId val="53932416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3914240"/>
        <c:crosses val="autoZero"/>
        <c:crossBetween val="between"/>
        <c:majorUnit val="500"/>
      </c:valAx>
      <c:spPr>
        <a:ln>
          <a:solidFill>
            <a:srgbClr val="C1C5C8"/>
          </a:solidFill>
        </a:ln>
      </c:spPr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avance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5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Anual!$A$54</c:f>
              <c:strCache>
                <c:ptCount val="1"/>
                <c:pt idx="0">
                  <c:v>Índice avance beneficiarios (IAB)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192952"/>
              </a:solidFill>
              <a:ln>
                <a:solidFill>
                  <a:srgbClr val="192952"/>
                </a:solidFill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450-4E04-969F-C2B38EB0DE68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Anual!$B$54:$F$54</c:f>
              <c:numCache>
                <c:formatCode>#,##0.00</c:formatCode>
                <c:ptCount val="5"/>
                <c:pt idx="0">
                  <c:v>100.86687660779417</c:v>
                </c:pt>
                <c:pt idx="1">
                  <c:v>100.78646042392619</c:v>
                </c:pt>
                <c:pt idx="2">
                  <c:v>101.56078804660848</c:v>
                </c:pt>
                <c:pt idx="3">
                  <c:v>99.339093937234225</c:v>
                </c:pt>
                <c:pt idx="4">
                  <c:v>103.03658128243762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1-4319-AE32-F5EE4F6E5E5C}"/>
            </c:ext>
          </c:extLst>
        </c:ser>
        <c:ser>
          <c:idx val="1"/>
          <c:order val="1"/>
          <c:tx>
            <c:strRef>
              <c:f>Anual!$A$55</c:f>
              <c:strCache>
                <c:ptCount val="1"/>
                <c:pt idx="0">
                  <c:v>Índice avance gasto (IAG)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3.76900555449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8-4DB0-BB01-E7DA16E35105}"/>
                </c:ext>
              </c:extLst>
            </c:dLbl>
            <c:dLbl>
              <c:idx val="1"/>
              <c:layout>
                <c:manualLayout>
                  <c:x val="0"/>
                  <c:y val="-4.4542792916751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D8-4DB0-BB01-E7DA16E35105}"/>
                </c:ext>
              </c:extLst>
            </c:dLbl>
            <c:dLbl>
              <c:idx val="2"/>
              <c:layout>
                <c:manualLayout>
                  <c:x val="0"/>
                  <c:y val="-3.426368685903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D8-4DB0-BB01-E7DA16E35105}"/>
                </c:ext>
              </c:extLst>
            </c:dLbl>
            <c:dLbl>
              <c:idx val="3"/>
              <c:layout>
                <c:manualLayout>
                  <c:x val="1.0308613089746272E-3"/>
                  <c:y val="-3.0837318173135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8-4DB0-BB01-E7DA16E35105}"/>
                </c:ext>
              </c:extLst>
            </c:dLbl>
            <c:dLbl>
              <c:idx val="4"/>
              <c:layout>
                <c:manualLayout>
                  <c:x val="1.4010785082056211E-3"/>
                  <c:y val="-4.45427929167516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D8-4DB0-BB01-E7DA16E35105}"/>
                </c:ext>
              </c:extLst>
            </c:dLbl>
            <c:dLbl>
              <c:idx val="5"/>
              <c:layout>
                <c:manualLayout>
                  <c:x val="-8.406304728546410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D8-4DB0-BB01-E7DA16E35105}"/>
                </c:ext>
              </c:extLst>
            </c:dLbl>
            <c:dLbl>
              <c:idx val="6"/>
              <c:layout>
                <c:manualLayout>
                  <c:x val="-1.1208406304728444E-2"/>
                  <c:y val="-3.4263686859039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D8-4DB0-BB01-E7DA16E35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Anual!$B$55:$H$55</c:f>
              <c:numCache>
                <c:formatCode>#,##0.00</c:formatCode>
                <c:ptCount val="7"/>
                <c:pt idx="0">
                  <c:v>100.00000000027514</c:v>
                </c:pt>
                <c:pt idx="1">
                  <c:v>108.11083517631029</c:v>
                </c:pt>
                <c:pt idx="2">
                  <c:v>108.7175119784095</c:v>
                </c:pt>
                <c:pt idx="3">
                  <c:v>106.97556784811728</c:v>
                </c:pt>
                <c:pt idx="4">
                  <c:v>99.290274330538082</c:v>
                </c:pt>
                <c:pt idx="5">
                  <c:v>36.360888472590617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71-4319-AE32-F5EE4F6E5E5C}"/>
            </c:ext>
          </c:extLst>
        </c:ser>
        <c:ser>
          <c:idx val="2"/>
          <c:order val="2"/>
          <c:tx>
            <c:strRef>
              <c:f>Anual!$A$56</c:f>
              <c:strCache>
                <c:ptCount val="1"/>
                <c:pt idx="0">
                  <c:v>Índice avance total (IAT)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5"/>
              <c:layout>
                <c:manualLayout>
                  <c:x val="1.1208406304728444E-2"/>
                  <c:y val="-3.4263686859040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D8-4DB0-BB01-E7DA16E35105}"/>
                </c:ext>
              </c:extLst>
            </c:dLbl>
            <c:dLbl>
              <c:idx val="6"/>
              <c:layout>
                <c:manualLayout>
                  <c:x val="1.4010507880910683E-2"/>
                  <c:y val="-3.42636868590397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D8-4DB0-BB01-E7DA16E3510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(Anual!$B$9,Anual!$C$10,Anual!$D$10,Anual!$E$10,Anual!$F$10,Anual!$G$10,Anual!$H$10)</c:f>
              <c:strCache>
                <c:ptCount val="7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  <c:pt idx="5">
                  <c:v>Servicios Médicos </c:v>
                </c:pt>
                <c:pt idx="6">
                  <c:v>Gastos Administrativos </c:v>
                </c:pt>
              </c:strCache>
            </c:strRef>
          </c:cat>
          <c:val>
            <c:numRef>
              <c:f>Anual!$B$56:$H$56</c:f>
              <c:numCache>
                <c:formatCode>#,##0.00</c:formatCode>
                <c:ptCount val="7"/>
                <c:pt idx="0">
                  <c:v>100.43343830403465</c:v>
                </c:pt>
                <c:pt idx="1">
                  <c:v>104.44864780011824</c:v>
                </c:pt>
                <c:pt idx="2">
                  <c:v>105.13915001250899</c:v>
                </c:pt>
                <c:pt idx="3">
                  <c:v>103.15733089267576</c:v>
                </c:pt>
                <c:pt idx="4">
                  <c:v>101.16342780648785</c:v>
                </c:pt>
                <c:pt idx="5">
                  <c:v>36.360888472590617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71-4319-AE32-F5EE4F6E5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278208"/>
        <c:axId val="55296384"/>
        <c:axId val="0"/>
      </c:bar3DChart>
      <c:catAx>
        <c:axId val="552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296384"/>
        <c:crosses val="autoZero"/>
        <c:auto val="1"/>
        <c:lblAlgn val="ctr"/>
        <c:lblOffset val="100"/>
        <c:noMultiLvlLbl val="0"/>
      </c:catAx>
      <c:valAx>
        <c:axId val="55296384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278208"/>
        <c:crosses val="autoZero"/>
        <c:crossBetween val="between"/>
        <c:majorUnit val="500"/>
      </c:valAx>
    </c:plotArea>
    <c:legend>
      <c:legendPos val="b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RNC: Índice transferencia efectiva del gasto (ITG)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Anual!$A$59</c:f>
              <c:strCache>
                <c:ptCount val="1"/>
                <c:pt idx="0">
                  <c:v>Índice transferencia efectiva del gasto (ITG)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Anual!$B$59</c:f>
              <c:numCache>
                <c:formatCode>#,##0.00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27-42D0-A671-9A15E62B7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5333248"/>
        <c:axId val="55334784"/>
        <c:axId val="0"/>
      </c:bar3DChart>
      <c:catAx>
        <c:axId val="5533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334784"/>
        <c:crosses val="autoZero"/>
        <c:auto val="1"/>
        <c:lblAlgn val="ctr"/>
        <c:lblOffset val="100"/>
        <c:noMultiLvlLbl val="0"/>
      </c:catAx>
      <c:valAx>
        <c:axId val="55334784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5333248"/>
        <c:crosses val="autoZero"/>
        <c:crossBetween val="between"/>
        <c:majorUnit val="3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expansión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4.1876799477992381E-2"/>
          <c:y val="0.17171296296296296"/>
          <c:w val="0.93733989453030098"/>
          <c:h val="0.628972829761086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Anual!$A$62</c:f>
              <c:strCache>
                <c:ptCount val="1"/>
                <c:pt idx="0">
                  <c:v>Índice de crecimiento beneficiarios (ICB) </c:v>
                </c:pt>
              </c:strCache>
            </c:strRef>
          </c:tx>
          <c:spPr>
            <a:solidFill>
              <a:srgbClr val="102D7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(Anual!$B$62,Anual!$C$62,Anual!$F$62)</c:f>
              <c:numCache>
                <c:formatCode>#,##0.00</c:formatCode>
                <c:ptCount val="3"/>
                <c:pt idx="0">
                  <c:v>3.8372720841935104</c:v>
                </c:pt>
                <c:pt idx="1">
                  <c:v>3.6858472760757932</c:v>
                </c:pt>
                <c:pt idx="2">
                  <c:v>7.9999122576116521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B-4856-931B-E8FFA52A35FF}"/>
            </c:ext>
          </c:extLst>
        </c:ser>
        <c:ser>
          <c:idx val="1"/>
          <c:order val="1"/>
          <c:tx>
            <c:strRef>
              <c:f>Anual!$A$63</c:f>
              <c:strCache>
                <c:ptCount val="1"/>
                <c:pt idx="0">
                  <c:v>Índice de crecimiento del gasto real (ICGR)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(Anual!$B$63,Anual!$C$63,Anual!$F$63)</c:f>
              <c:numCache>
                <c:formatCode>#,##0.00</c:formatCode>
                <c:ptCount val="3"/>
                <c:pt idx="0">
                  <c:v>-3.1195127440240111</c:v>
                </c:pt>
                <c:pt idx="1">
                  <c:v>1.6419762782845293</c:v>
                </c:pt>
                <c:pt idx="2">
                  <c:v>140.88638565107931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B-4856-931B-E8FFA52A35FF}"/>
            </c:ext>
          </c:extLst>
        </c:ser>
        <c:ser>
          <c:idx val="2"/>
          <c:order val="2"/>
          <c:tx>
            <c:strRef>
              <c:f>Anual!$A$64</c:f>
              <c:strCache>
                <c:ptCount val="1"/>
                <c:pt idx="0">
                  <c:v>Índice de crecimiento del gasto real por beneficiario (ICGRB) </c:v>
                </c:pt>
              </c:strCache>
            </c:strRef>
          </c:tx>
          <c:spPr>
            <a:solidFill>
              <a:srgbClr val="C1C5C8"/>
            </a:solidFill>
            <a:ln>
              <a:solidFill>
                <a:srgbClr val="C1C5C8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(Anual!$B$9,Anual!$C$10,Anual!$F$10)</c:f>
              <c:strCache>
                <c:ptCount val="3"/>
                <c:pt idx="0">
                  <c:v>Total Programa</c:v>
                </c:pt>
                <c:pt idx="1">
                  <c:v>Total Pensión Ordinaria</c:v>
                </c:pt>
                <c:pt idx="2">
                  <c:v>Pensión Especial</c:v>
                </c:pt>
              </c:strCache>
            </c:strRef>
          </c:cat>
          <c:val>
            <c:numRef>
              <c:f>(Anual!$B$64,Anual!$C$64,Anual!$F$64)</c:f>
              <c:numCache>
                <c:formatCode>#,##0.00</c:formatCode>
                <c:ptCount val="3"/>
                <c:pt idx="0">
                  <c:v>-6.6996991432679565</c:v>
                </c:pt>
                <c:pt idx="1">
                  <c:v>-1.9712150225760561</c:v>
                </c:pt>
                <c:pt idx="2">
                  <c:v>123.04313088374946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CB-4856-931B-E8FFA52A3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6446976"/>
        <c:axId val="56448512"/>
        <c:axId val="0"/>
      </c:bar3DChart>
      <c:catAx>
        <c:axId val="5644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48512"/>
        <c:crosses val="autoZero"/>
        <c:auto val="1"/>
        <c:lblAlgn val="ctr"/>
        <c:lblOffset val="100"/>
        <c:noMultiLvlLbl val="0"/>
      </c:catAx>
      <c:valAx>
        <c:axId val="56448512"/>
        <c:scaling>
          <c:orientation val="minMax"/>
          <c:max val="60"/>
          <c:min val="-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46976"/>
        <c:crosses val="autoZero"/>
        <c:crossBetween val="between"/>
        <c:majorUnit val="30"/>
      </c:valAx>
    </c:plotArea>
    <c:legend>
      <c:legendPos val="b"/>
      <c:layout>
        <c:manualLayout>
          <c:xMode val="edge"/>
          <c:yMode val="edge"/>
          <c:x val="8.8739415060753914E-3"/>
          <c:y val="0.88951754830127838"/>
          <c:w val="0.98653874556341559"/>
          <c:h val="0.1104824516987215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gasto medio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Anual!$A$70</c:f>
              <c:strCache>
                <c:ptCount val="1"/>
                <c:pt idx="0">
                  <c:v>Gasto programado anual por beneficiario (GPB)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Anual!$B$70:$F$70</c:f>
              <c:numCache>
                <c:formatCode>#,##0.00</c:formatCode>
                <c:ptCount val="5"/>
                <c:pt idx="0">
                  <c:v>1200336.2589961377</c:v>
                </c:pt>
                <c:pt idx="1">
                  <c:v>958969.42420579295</c:v>
                </c:pt>
                <c:pt idx="2">
                  <c:v>959344.14474369201</c:v>
                </c:pt>
                <c:pt idx="3">
                  <c:v>958268.99982140667</c:v>
                </c:pt>
                <c:pt idx="4">
                  <c:v>4674450.5313670896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A-4B27-8DB5-23B200490592}"/>
            </c:ext>
          </c:extLst>
        </c:ser>
        <c:ser>
          <c:idx val="1"/>
          <c:order val="1"/>
          <c:tx>
            <c:strRef>
              <c:f>Anual!$A$71</c:f>
              <c:strCache>
                <c:ptCount val="1"/>
                <c:pt idx="0">
                  <c:v>Gasto efectivo anual por beneficiario (GEB) 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Anual!$B$71:$F$71</c:f>
              <c:numCache>
                <c:formatCode>#,##0.00</c:formatCode>
                <c:ptCount val="5"/>
                <c:pt idx="0">
                  <c:v>1190020.2518084992</c:v>
                </c:pt>
                <c:pt idx="1">
                  <c:v>1028659.8509696422</c:v>
                </c:pt>
                <c:pt idx="2">
                  <c:v>1026946.6253031136</c:v>
                </c:pt>
                <c:pt idx="3">
                  <c:v>1031933.8172332487</c:v>
                </c:pt>
                <c:pt idx="4">
                  <c:v>4504492.1893490413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0A-4B27-8DB5-23B200490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6478336"/>
        <c:axId val="57549184"/>
        <c:axId val="0"/>
      </c:bar3DChart>
      <c:catAx>
        <c:axId val="5647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49184"/>
        <c:crosses val="autoZero"/>
        <c:auto val="1"/>
        <c:lblAlgn val="ctr"/>
        <c:lblOffset val="100"/>
        <c:noMultiLvlLbl val="0"/>
      </c:catAx>
      <c:valAx>
        <c:axId val="57549184"/>
        <c:scaling>
          <c:orientation val="minMax"/>
          <c:max val="5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6478336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RNC: Índice de eficiencia (IE) 2023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Anual!$A$69</c:f>
              <c:strCache>
                <c:ptCount val="1"/>
                <c:pt idx="0">
                  <c:v>Índice de eficiencia (IE)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(Anual!$B$9,Anual!$C$10,Anual!$D$10,Anual!$E$10,Anual!$F$10)</c:f>
              <c:strCache>
                <c:ptCount val="5"/>
                <c:pt idx="0">
                  <c:v>Total Programa</c:v>
                </c:pt>
                <c:pt idx="1">
                  <c:v>Total Pensión Ordinaria</c:v>
                </c:pt>
                <c:pt idx="2">
                  <c:v>Pensiones ordinarias para adultos mayores (65 o más años)</c:v>
                </c:pt>
                <c:pt idx="3">
                  <c:v>Pensiones ordinarias para otros beneficiarios</c:v>
                </c:pt>
                <c:pt idx="4">
                  <c:v>Pensión Especial</c:v>
                </c:pt>
              </c:strCache>
            </c:strRef>
          </c:cat>
          <c:val>
            <c:numRef>
              <c:f>Anual!$B$69:$F$69</c:f>
              <c:numCache>
                <c:formatCode>#,##0.00</c:formatCode>
                <c:ptCount val="5"/>
                <c:pt idx="0">
                  <c:v>99.57028677990246</c:v>
                </c:pt>
                <c:pt idx="1">
                  <c:v>112.03916180021336</c:v>
                </c:pt>
                <c:pt idx="2">
                  <c:v>112.54803178209932</c:v>
                </c:pt>
                <c:pt idx="3">
                  <c:v>111.08732335441476</c:v>
                </c:pt>
                <c:pt idx="4">
                  <c:v>97.485226839876091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D-4632-8D7A-06D02F0B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shape val="box"/>
        <c:axId val="57582720"/>
        <c:axId val="57584256"/>
        <c:axId val="0"/>
      </c:bar3DChart>
      <c:catAx>
        <c:axId val="5758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84256"/>
        <c:crosses val="autoZero"/>
        <c:auto val="1"/>
        <c:lblAlgn val="ctr"/>
        <c:lblOffset val="100"/>
        <c:noMultiLvlLbl val="0"/>
      </c:catAx>
      <c:valAx>
        <c:axId val="575842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582720"/>
        <c:crosses val="autoZero"/>
        <c:crossBetween val="between"/>
        <c:majorUnit val="50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s-CR"/>
              <a:t>RNC: Indicadores de giro de recursos 2023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Anual!$A$74</c:f>
              <c:strCache>
                <c:ptCount val="1"/>
                <c:pt idx="0">
                  <c:v>Índice de giro efectivo (IGE)</c:v>
                </c:pt>
              </c:strCache>
            </c:strRef>
          </c:tx>
          <c:spPr>
            <a:solidFill>
              <a:srgbClr val="0035A0"/>
            </a:solidFill>
            <a:ln>
              <a:solidFill>
                <a:srgbClr val="0035A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865-4593-A5F9-599DE244620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Anual!$B$74</c:f>
              <c:numCache>
                <c:formatCode>#,##0.00</c:formatCode>
                <c:ptCount val="1"/>
                <c:pt idx="0">
                  <c:v>100.00000000027514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5-4593-A5F9-599DE2446203}"/>
            </c:ext>
          </c:extLst>
        </c:ser>
        <c:ser>
          <c:idx val="1"/>
          <c:order val="1"/>
          <c:tx>
            <c:strRef>
              <c:f>Anual!$A$75</c:f>
              <c:strCache>
                <c:ptCount val="1"/>
                <c:pt idx="0">
                  <c:v>Índice de uso de recursos (IUR) </c:v>
                </c:pt>
              </c:strCache>
            </c:strRef>
          </c:tx>
          <c:spPr>
            <a:solidFill>
              <a:srgbClr val="192952"/>
            </a:solidFill>
            <a:ln>
              <a:solidFill>
                <a:srgbClr val="192952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Anual!$B$9</c:f>
              <c:strCache>
                <c:ptCount val="1"/>
                <c:pt idx="0">
                  <c:v>Total Programa</c:v>
                </c:pt>
              </c:strCache>
            </c:strRef>
          </c:cat>
          <c:val>
            <c:numRef>
              <c:f>Anual!$B$75</c:f>
              <c:numCache>
                <c:formatCode>#,##0.00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F-45A9-AB90-DFFD7EBF4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57637504"/>
        <c:axId val="57651584"/>
      </c:barChart>
      <c:catAx>
        <c:axId val="5763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51584"/>
        <c:crosses val="autoZero"/>
        <c:auto val="1"/>
        <c:lblAlgn val="ctr"/>
        <c:lblOffset val="100"/>
        <c:noMultiLvlLbl val="0"/>
      </c:catAx>
      <c:valAx>
        <c:axId val="576515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CR"/>
          </a:p>
        </c:txPr>
        <c:crossAx val="576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Palatino Linotype" panose="02040502050505030304" pitchFamily="18" charset="0"/>
        </a:defRPr>
      </a:pPr>
      <a:endParaRPr lang="es-CR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4028F68-3071-4EF8-95FB-18D4CA342460}"/>
            </a:ext>
          </a:extLst>
        </xdr:cNvPr>
        <xdr:cNvSpPr/>
      </xdr:nvSpPr>
      <xdr:spPr>
        <a:xfrm>
          <a:off x="0" y="0"/>
          <a:ext cx="15819120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B1213B-B9B2-4445-A94B-922698161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890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C64A87D3-DEBD-4449-88F4-3CC1EFFB1669}"/>
            </a:ext>
          </a:extLst>
        </xdr:cNvPr>
        <xdr:cNvSpPr/>
      </xdr:nvSpPr>
      <xdr:spPr>
        <a:xfrm>
          <a:off x="0" y="1097281"/>
          <a:ext cx="15819120" cy="36147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27781</xdr:rowOff>
    </xdr:from>
    <xdr:to>
      <xdr:col>7</xdr:col>
      <xdr:colOff>1591467</xdr:colOff>
      <xdr:row>7</xdr:row>
      <xdr:rowOff>130968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AE1E6D5-3409-45B7-9488-B851A87957F7}"/>
            </a:ext>
          </a:extLst>
        </xdr:cNvPr>
        <xdr:cNvSpPr txBox="1"/>
      </xdr:nvSpPr>
      <xdr:spPr>
        <a:xfrm>
          <a:off x="0" y="1125061"/>
          <a:ext cx="15764667" cy="286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12-06-2024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3536156</xdr:colOff>
      <xdr:row>0</xdr:row>
      <xdr:rowOff>130969</xdr:rowOff>
    </xdr:from>
    <xdr:to>
      <xdr:col>1</xdr:col>
      <xdr:colOff>1500187</xdr:colOff>
      <xdr:row>5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33E5A5F-89E8-4643-89F6-05E6C592C8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536156" y="130969"/>
          <a:ext cx="2261711" cy="783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15F1853-1980-40AC-A3DF-0E9E5E7D4286}"/>
            </a:ext>
          </a:extLst>
        </xdr:cNvPr>
        <xdr:cNvSpPr/>
      </xdr:nvSpPr>
      <xdr:spPr>
        <a:xfrm>
          <a:off x="0" y="0"/>
          <a:ext cx="15819120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DC2C04-3FA1-4FB2-A1EE-7A3FF9E14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890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D53D7B-EFA7-41F9-ADE3-658AFB70B6E5}"/>
            </a:ext>
          </a:extLst>
        </xdr:cNvPr>
        <xdr:cNvSpPr/>
      </xdr:nvSpPr>
      <xdr:spPr>
        <a:xfrm>
          <a:off x="0" y="1097281"/>
          <a:ext cx="15819120" cy="36147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27781</xdr:rowOff>
    </xdr:from>
    <xdr:to>
      <xdr:col>7</xdr:col>
      <xdr:colOff>1591467</xdr:colOff>
      <xdr:row>7</xdr:row>
      <xdr:rowOff>130968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329F19C-7D4A-4AAF-A403-E8E0768E1730}"/>
            </a:ext>
          </a:extLst>
        </xdr:cNvPr>
        <xdr:cNvSpPr txBox="1"/>
      </xdr:nvSpPr>
      <xdr:spPr>
        <a:xfrm>
          <a:off x="0" y="1125061"/>
          <a:ext cx="15764667" cy="286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II Trimestre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17-09-2024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3536156</xdr:colOff>
      <xdr:row>0</xdr:row>
      <xdr:rowOff>130969</xdr:rowOff>
    </xdr:from>
    <xdr:to>
      <xdr:col>1</xdr:col>
      <xdr:colOff>1500187</xdr:colOff>
      <xdr:row>5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1E7C226-2A67-488C-B5EB-757059B0F6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536156" y="130969"/>
          <a:ext cx="2261711" cy="7834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87300E0-CB26-4636-AF60-1CD8AA7D1451}"/>
            </a:ext>
          </a:extLst>
        </xdr:cNvPr>
        <xdr:cNvSpPr/>
      </xdr:nvSpPr>
      <xdr:spPr>
        <a:xfrm>
          <a:off x="0" y="0"/>
          <a:ext cx="15819120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0F4439-8108-4284-975D-DC3C62A34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890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D148A77-7F16-4B1C-ABF4-0743E8541C55}"/>
            </a:ext>
          </a:extLst>
        </xdr:cNvPr>
        <xdr:cNvSpPr/>
      </xdr:nvSpPr>
      <xdr:spPr>
        <a:xfrm>
          <a:off x="0" y="1097281"/>
          <a:ext cx="15819120" cy="36147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27781</xdr:rowOff>
    </xdr:from>
    <xdr:to>
      <xdr:col>7</xdr:col>
      <xdr:colOff>1591467</xdr:colOff>
      <xdr:row>7</xdr:row>
      <xdr:rowOff>130968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BF6DA70-6C76-4733-A147-568D5AFED509}"/>
            </a:ext>
          </a:extLst>
        </xdr:cNvPr>
        <xdr:cNvSpPr txBox="1"/>
      </xdr:nvSpPr>
      <xdr:spPr>
        <a:xfrm>
          <a:off x="0" y="1125061"/>
          <a:ext cx="15764667" cy="286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 Semestre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17-09-2024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3536156</xdr:colOff>
      <xdr:row>0</xdr:row>
      <xdr:rowOff>130969</xdr:rowOff>
    </xdr:from>
    <xdr:to>
      <xdr:col>1</xdr:col>
      <xdr:colOff>1500187</xdr:colOff>
      <xdr:row>5</xdr:row>
      <xdr:rowOff>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B4A50E8-C3A9-4E0D-9E50-2426D803B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388" r="1826" b="1724"/>
        <a:stretch/>
      </xdr:blipFill>
      <xdr:spPr>
        <a:xfrm>
          <a:off x="3536156" y="130969"/>
          <a:ext cx="2261711" cy="7834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B9EF807-8D75-4550-88A6-0FA4D5B44AD7}"/>
            </a:ext>
          </a:extLst>
        </xdr:cNvPr>
        <xdr:cNvSpPr/>
      </xdr:nvSpPr>
      <xdr:spPr>
        <a:xfrm>
          <a:off x="0" y="0"/>
          <a:ext cx="15819120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B9344C-EDD7-4B18-B1CD-4CB3F4A3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890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CA8AE7F-7DD0-4F0D-B4C0-F1CF1505A5E0}"/>
            </a:ext>
          </a:extLst>
        </xdr:cNvPr>
        <xdr:cNvSpPr/>
      </xdr:nvSpPr>
      <xdr:spPr>
        <a:xfrm>
          <a:off x="0" y="1097281"/>
          <a:ext cx="15819120" cy="36147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7</xdr:col>
      <xdr:colOff>1539875</xdr:colOff>
      <xdr:row>7</xdr:row>
      <xdr:rowOff>166687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B9125E0-7FDF-4684-9176-7D5F691C8AEF}"/>
            </a:ext>
          </a:extLst>
        </xdr:cNvPr>
        <xdr:cNvSpPr txBox="1"/>
      </xdr:nvSpPr>
      <xdr:spPr>
        <a:xfrm>
          <a:off x="0" y="1121093"/>
          <a:ext cx="15713075" cy="325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III Trimestre 2024     Fecha Actualización: 09-12-2024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2E020F5-3DD2-46AF-BA4A-56FBEC3B1F56}"/>
            </a:ext>
          </a:extLst>
        </xdr:cNvPr>
        <xdr:cNvSpPr/>
      </xdr:nvSpPr>
      <xdr:spPr>
        <a:xfrm>
          <a:off x="0" y="0"/>
          <a:ext cx="15819120" cy="10929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B17DAF-BC15-4AA7-8DD0-767912A3A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8905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AA1C6E77-2BC7-43EB-AADB-811751F51603}"/>
            </a:ext>
          </a:extLst>
        </xdr:cNvPr>
        <xdr:cNvSpPr/>
      </xdr:nvSpPr>
      <xdr:spPr>
        <a:xfrm>
          <a:off x="0" y="1097281"/>
          <a:ext cx="15819120" cy="36147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0</xdr:colOff>
      <xdr:row>6</xdr:row>
      <xdr:rowOff>23813</xdr:rowOff>
    </xdr:from>
    <xdr:to>
      <xdr:col>7</xdr:col>
      <xdr:colOff>1539875</xdr:colOff>
      <xdr:row>7</xdr:row>
      <xdr:rowOff>166687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A52D59-6120-4B52-9474-73AE90D87F5C}"/>
            </a:ext>
          </a:extLst>
        </xdr:cNvPr>
        <xdr:cNvSpPr txBox="1"/>
      </xdr:nvSpPr>
      <xdr:spPr>
        <a:xfrm>
          <a:off x="0" y="1121093"/>
          <a:ext cx="15713075" cy="325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        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 III Trimestre Acumulado 2024     Fecha Actualización: 09-12-2024</a:t>
          </a: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4106ED2E-61B6-4D01-94BF-1BBEF3BB1B04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42A4D9B-0599-4C27-8CC3-AD524EA9C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202406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7489F3A1-5C2F-4997-B28C-CB0D62175F18}"/>
            </a:ext>
          </a:extLst>
        </xdr:cNvPr>
        <xdr:cNvSpPr/>
      </xdr:nvSpPr>
      <xdr:spPr>
        <a:xfrm>
          <a:off x="0" y="1143001"/>
          <a:ext cx="15347156" cy="392905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702468</xdr:colOff>
      <xdr:row>6</xdr:row>
      <xdr:rowOff>67469</xdr:rowOff>
    </xdr:from>
    <xdr:to>
      <xdr:col>7</xdr:col>
      <xdr:colOff>1071562</xdr:colOff>
      <xdr:row>7</xdr:row>
      <xdr:rowOff>174624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702468" y="1210469"/>
          <a:ext cx="1412081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IV Trimestre 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 05-05-2025</a:t>
          </a:r>
          <a:endParaRPr lang="es-CR">
            <a:solidFill>
              <a:schemeClr val="bg1"/>
            </a:solidFill>
            <a:effectLst/>
            <a:latin typeface="Palatino Linotype" panose="02040502050505030304" pitchFamily="18" charset="0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695853</xdr:colOff>
      <xdr:row>13</xdr:row>
      <xdr:rowOff>3968</xdr:rowOff>
    </xdr:from>
    <xdr:to>
      <xdr:col>19</xdr:col>
      <xdr:colOff>23812</xdr:colOff>
      <xdr:row>30</xdr:row>
      <xdr:rowOff>83342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150810</xdr:colOff>
      <xdr:row>13</xdr:row>
      <xdr:rowOff>15874</xdr:rowOff>
    </xdr:from>
    <xdr:to>
      <xdr:col>35</xdr:col>
      <xdr:colOff>247649</xdr:colOff>
      <xdr:row>30</xdr:row>
      <xdr:rowOff>83342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138905</xdr:colOff>
      <xdr:row>31</xdr:row>
      <xdr:rowOff>8202</xdr:rowOff>
    </xdr:from>
    <xdr:to>
      <xdr:col>35</xdr:col>
      <xdr:colOff>266700</xdr:colOff>
      <xdr:row>48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673365</xdr:colOff>
      <xdr:row>31</xdr:row>
      <xdr:rowOff>10846</xdr:rowOff>
    </xdr:from>
    <xdr:to>
      <xdr:col>19</xdr:col>
      <xdr:colOff>11906</xdr:colOff>
      <xdr:row>48</xdr:row>
      <xdr:rowOff>59531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132291</xdr:colOff>
      <xdr:row>48</xdr:row>
      <xdr:rowOff>192088</xdr:rowOff>
    </xdr:from>
    <xdr:to>
      <xdr:col>35</xdr:col>
      <xdr:colOff>228601</xdr:colOff>
      <xdr:row>65</xdr:row>
      <xdr:rowOff>202406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138906</xdr:colOff>
      <xdr:row>66</xdr:row>
      <xdr:rowOff>102126</xdr:rowOff>
    </xdr:from>
    <xdr:to>
      <xdr:col>35</xdr:col>
      <xdr:colOff>247650</xdr:colOff>
      <xdr:row>87</xdr:row>
      <xdr:rowOff>178592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695853</xdr:colOff>
      <xdr:row>48</xdr:row>
      <xdr:rowOff>173565</xdr:rowOff>
    </xdr:from>
    <xdr:to>
      <xdr:col>19</xdr:col>
      <xdr:colOff>11906</xdr:colOff>
      <xdr:row>65</xdr:row>
      <xdr:rowOff>202406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705114</xdr:colOff>
      <xdr:row>66</xdr:row>
      <xdr:rowOff>95512</xdr:rowOff>
    </xdr:from>
    <xdr:to>
      <xdr:col>19</xdr:col>
      <xdr:colOff>0</xdr:colOff>
      <xdr:row>82</xdr:row>
      <xdr:rowOff>178593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0</xdr:colOff>
      <xdr:row>5</xdr:row>
      <xdr:rowOff>178592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20EFDC3A-501C-4750-9171-63BB5AC54D2D}"/>
            </a:ext>
          </a:extLst>
        </xdr:cNvPr>
        <xdr:cNvSpPr/>
      </xdr:nvSpPr>
      <xdr:spPr>
        <a:xfrm>
          <a:off x="0" y="0"/>
          <a:ext cx="15347156" cy="1131092"/>
        </a:xfrm>
        <a:prstGeom prst="rect">
          <a:avLst/>
        </a:prstGeom>
        <a:solidFill>
          <a:srgbClr val="0035A0"/>
        </a:solidFill>
        <a:ln>
          <a:solidFill>
            <a:srgbClr val="0035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 editAs="oneCell">
    <xdr:from>
      <xdr:col>0</xdr:col>
      <xdr:colOff>214068</xdr:colOff>
      <xdr:row>0</xdr:row>
      <xdr:rowOff>130969</xdr:rowOff>
    </xdr:from>
    <xdr:to>
      <xdr:col>0</xdr:col>
      <xdr:colOff>3512343</xdr:colOff>
      <xdr:row>5</xdr:row>
      <xdr:rowOff>107156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6EBD43B-344E-4A01-BB8D-886E8DF8F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068" y="130969"/>
          <a:ext cx="3298275" cy="92868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8</xdr:col>
      <xdr:colOff>0</xdr:colOff>
      <xdr:row>7</xdr:row>
      <xdr:rowOff>178594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84FBB0ED-F2CC-4A8F-A2EB-020AF15A9112}"/>
            </a:ext>
          </a:extLst>
        </xdr:cNvPr>
        <xdr:cNvSpPr/>
      </xdr:nvSpPr>
      <xdr:spPr>
        <a:xfrm>
          <a:off x="0" y="1143001"/>
          <a:ext cx="15347156" cy="369093"/>
        </a:xfrm>
        <a:prstGeom prst="rect">
          <a:avLst/>
        </a:prstGeom>
        <a:solidFill>
          <a:srgbClr val="192952"/>
        </a:solidFill>
        <a:ln>
          <a:solidFill>
            <a:srgbClr val="19295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R" sz="1100"/>
        </a:p>
      </xdr:txBody>
    </xdr:sp>
    <xdr:clientData/>
  </xdr:twoCellAnchor>
  <xdr:twoCellAnchor>
    <xdr:from>
      <xdr:col>0</xdr:col>
      <xdr:colOff>607219</xdr:colOff>
      <xdr:row>6</xdr:row>
      <xdr:rowOff>31750</xdr:rowOff>
    </xdr:from>
    <xdr:to>
      <xdr:col>7</xdr:col>
      <xdr:colOff>976313</xdr:colOff>
      <xdr:row>7</xdr:row>
      <xdr:rowOff>138905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 txBox="1"/>
      </xdr:nvSpPr>
      <xdr:spPr>
        <a:xfrm>
          <a:off x="607219" y="1174750"/>
          <a:ext cx="14120813" cy="297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Caja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Costarricense del Seguro Social               Programa  Régimen No Contributivo de Pensiones 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</a:t>
          </a:r>
          <a:r>
            <a:rPr lang="es-CR" sz="1100" b="1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Período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:  Anual 2024</a:t>
          </a:r>
          <a:r>
            <a:rPr lang="es-CR" sz="1100" b="1" baseline="0">
              <a:solidFill>
                <a:schemeClr val="dk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               </a:t>
          </a:r>
          <a:r>
            <a:rPr lang="es-CR" sz="1100" b="1" baseline="0">
              <a:solidFill>
                <a:schemeClr val="bg1"/>
              </a:solidFill>
              <a:effectLst/>
              <a:latin typeface="Palatino Linotype" panose="02040502050505030304" pitchFamily="18" charset="0"/>
              <a:ea typeface="+mn-ea"/>
              <a:cs typeface="+mn-cs"/>
            </a:rPr>
            <a:t>Fecha Actualización: 05-05-2025</a:t>
          </a:r>
          <a:endParaRPr lang="es-CR">
            <a:solidFill>
              <a:schemeClr val="bg1"/>
            </a:solidFill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 sz="1100" b="1" baseline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R">
            <a:solidFill>
              <a:schemeClr val="bg1"/>
            </a:solidFill>
            <a:effectLst/>
          </a:endParaRPr>
        </a:p>
        <a:p>
          <a:endParaRPr lang="es-CR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I124"/>
  <sheetViews>
    <sheetView showGridLines="0" tabSelected="1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7" spans="1:8" x14ac:dyDescent="0.3">
      <c r="G7" s="1"/>
    </row>
    <row r="9" spans="1:8" s="2" customFormat="1" ht="20.25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50</v>
      </c>
      <c r="B15" s="8">
        <f>C15+F15</f>
        <v>142383.66666666666</v>
      </c>
      <c r="C15" s="8">
        <f>+SUM(D15:E15)</f>
        <v>137395.66666666666</v>
      </c>
      <c r="D15" s="8">
        <v>105274.33333333333</v>
      </c>
      <c r="E15" s="8">
        <v>32121.333333333332</v>
      </c>
      <c r="F15" s="8">
        <v>4988</v>
      </c>
      <c r="G15" s="8"/>
      <c r="H15" s="8"/>
    </row>
    <row r="16" spans="1:8" ht="15.6" x14ac:dyDescent="0.35">
      <c r="A16" s="7" t="s">
        <v>78</v>
      </c>
      <c r="B16" s="8">
        <f>C16+F16</f>
        <v>146351</v>
      </c>
      <c r="C16" s="8">
        <f>+SUM(D16:E16)</f>
        <v>141188</v>
      </c>
      <c r="D16" s="8">
        <v>91289</v>
      </c>
      <c r="E16" s="8">
        <v>49899</v>
      </c>
      <c r="F16" s="8">
        <v>5163</v>
      </c>
      <c r="G16" s="8"/>
      <c r="H16" s="8"/>
    </row>
    <row r="17" spans="1:9" ht="15.6" x14ac:dyDescent="0.35">
      <c r="A17" s="7" t="s">
        <v>79</v>
      </c>
      <c r="B17" s="8">
        <f t="shared" ref="B17:B18" si="0">C17+F17</f>
        <v>0</v>
      </c>
      <c r="C17" s="8">
        <f t="shared" ref="C17:C18" si="1">+SUM(D17:E17)</f>
        <v>0</v>
      </c>
      <c r="D17" s="8">
        <v>0</v>
      </c>
      <c r="E17" s="8">
        <v>0</v>
      </c>
      <c r="F17" s="8">
        <v>0</v>
      </c>
      <c r="G17" s="8"/>
      <c r="H17" s="8"/>
    </row>
    <row r="18" spans="1:9" ht="15.6" x14ac:dyDescent="0.35">
      <c r="A18" s="7" t="s">
        <v>80</v>
      </c>
      <c r="B18" s="8">
        <f t="shared" si="0"/>
        <v>146351</v>
      </c>
      <c r="C18" s="8">
        <f t="shared" si="1"/>
        <v>141188</v>
      </c>
      <c r="D18" s="8">
        <v>91289</v>
      </c>
      <c r="E18" s="8">
        <v>49899</v>
      </c>
      <c r="F18" s="8">
        <v>5163</v>
      </c>
      <c r="G18" s="8"/>
      <c r="H18" s="8"/>
    </row>
    <row r="19" spans="1:9" ht="15.6" x14ac:dyDescent="0.35">
      <c r="A19" s="5"/>
      <c r="B19" s="8"/>
      <c r="C19" s="8"/>
      <c r="D19" s="8"/>
      <c r="E19" s="8"/>
      <c r="F19" s="8"/>
      <c r="G19" s="8"/>
      <c r="H19" s="8"/>
    </row>
    <row r="20" spans="1:9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9" ht="15.6" x14ac:dyDescent="0.35">
      <c r="A21" s="7" t="s">
        <v>50</v>
      </c>
      <c r="B21" s="8">
        <f>C21+F21+G21+H21</f>
        <v>40365960357.330002</v>
      </c>
      <c r="C21" s="8">
        <f>+SUM(D21:E21)</f>
        <v>33781579113.360001</v>
      </c>
      <c r="D21" s="8">
        <v>26680838399.220001</v>
      </c>
      <c r="E21" s="8">
        <v>7100740714.1399994</v>
      </c>
      <c r="F21" s="8">
        <v>944170117.02999997</v>
      </c>
      <c r="G21" s="8">
        <v>4486323647.6899996</v>
      </c>
      <c r="H21" s="8">
        <v>1153887479.25</v>
      </c>
    </row>
    <row r="22" spans="1:9" ht="15.6" x14ac:dyDescent="0.35">
      <c r="A22" s="7" t="s">
        <v>78</v>
      </c>
      <c r="B22" s="8">
        <f t="shared" ref="B22:B25" si="2">C22+F22+G22+H22</f>
        <v>40492083585.201126</v>
      </c>
      <c r="C22" s="8">
        <f>+SUM(D22:E22)</f>
        <v>28998885696</v>
      </c>
      <c r="D22" s="8">
        <v>18750030288</v>
      </c>
      <c r="E22" s="8">
        <v>10248855408</v>
      </c>
      <c r="F22" s="8">
        <v>5454682290.9899998</v>
      </c>
      <c r="G22" s="8">
        <v>4737365598.2111254</v>
      </c>
      <c r="H22" s="8">
        <v>1301150000</v>
      </c>
    </row>
    <row r="23" spans="1:9" ht="15.6" x14ac:dyDescent="0.35">
      <c r="A23" s="7" t="s">
        <v>79</v>
      </c>
      <c r="B23" s="8">
        <f t="shared" si="2"/>
        <v>0</v>
      </c>
      <c r="C23" s="8">
        <f t="shared" ref="C23:C24" si="3">+SUM(D23:E23)</f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</row>
    <row r="24" spans="1:9" ht="15.6" x14ac:dyDescent="0.35">
      <c r="A24" s="7" t="s">
        <v>80</v>
      </c>
      <c r="B24" s="8">
        <f t="shared" si="2"/>
        <v>170174754692.51001</v>
      </c>
      <c r="C24" s="8">
        <f t="shared" si="3"/>
        <v>125661838016</v>
      </c>
      <c r="D24" s="8">
        <v>81250131248</v>
      </c>
      <c r="E24" s="8">
        <v>44411706768</v>
      </c>
      <c r="F24" s="8">
        <v>23636956594.289997</v>
      </c>
      <c r="G24" s="8">
        <v>18949462392.844501</v>
      </c>
      <c r="H24" s="8">
        <v>1926497689.3754783</v>
      </c>
    </row>
    <row r="25" spans="1:9" ht="15.6" x14ac:dyDescent="0.35">
      <c r="A25" s="7" t="s">
        <v>81</v>
      </c>
      <c r="B25" s="8">
        <f t="shared" si="2"/>
        <v>0</v>
      </c>
      <c r="C25" s="8">
        <f>C23</f>
        <v>0</v>
      </c>
      <c r="D25" s="8">
        <f>+D23</f>
        <v>0</v>
      </c>
      <c r="E25" s="8">
        <f>+E23</f>
        <v>0</v>
      </c>
      <c r="F25" s="8">
        <f t="shared" ref="F25:G25" si="4">F23</f>
        <v>0</v>
      </c>
      <c r="G25" s="8">
        <f t="shared" si="4"/>
        <v>0</v>
      </c>
      <c r="H25" s="8"/>
    </row>
    <row r="26" spans="1:9" ht="15.6" x14ac:dyDescent="0.35">
      <c r="A26" s="5"/>
      <c r="B26" s="8"/>
      <c r="C26" s="8"/>
      <c r="D26" s="8"/>
      <c r="E26" s="8"/>
      <c r="F26" s="8"/>
      <c r="G26" s="8"/>
      <c r="H26" s="8"/>
    </row>
    <row r="27" spans="1:9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9" ht="15.6" x14ac:dyDescent="0.35">
      <c r="A28" s="7" t="s">
        <v>78</v>
      </c>
      <c r="B28" s="8">
        <f>+B22</f>
        <v>40492083585.201126</v>
      </c>
      <c r="C28" s="8"/>
      <c r="D28" s="8"/>
      <c r="E28" s="8"/>
      <c r="F28" s="8"/>
      <c r="G28" s="8"/>
      <c r="H28" s="8"/>
    </row>
    <row r="29" spans="1:9" ht="15.6" x14ac:dyDescent="0.35">
      <c r="A29" s="7" t="s">
        <v>79</v>
      </c>
      <c r="B29" s="8">
        <v>0</v>
      </c>
      <c r="C29" s="8"/>
      <c r="D29" s="8"/>
      <c r="E29" s="8"/>
      <c r="F29" s="8"/>
      <c r="G29" s="8"/>
      <c r="H29" s="8"/>
    </row>
    <row r="30" spans="1:9" ht="15.6" x14ac:dyDescent="0.35">
      <c r="A30" s="5"/>
      <c r="B30" s="18"/>
      <c r="C30" s="18"/>
      <c r="D30" s="18"/>
      <c r="E30" s="18"/>
      <c r="F30" s="18"/>
      <c r="G30" s="18"/>
      <c r="H30" s="18"/>
    </row>
    <row r="31" spans="1:9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9" ht="15.6" x14ac:dyDescent="0.35">
      <c r="A32" s="7" t="s">
        <v>51</v>
      </c>
      <c r="B32" s="20">
        <v>1.1041000000000001</v>
      </c>
      <c r="C32" s="20">
        <v>1.1041000000000001</v>
      </c>
      <c r="D32" s="20">
        <v>1.1041000000000001</v>
      </c>
      <c r="E32" s="20">
        <v>1.1041000000000001</v>
      </c>
      <c r="F32" s="20">
        <v>1.1041000000000001</v>
      </c>
      <c r="G32" s="20">
        <v>1.1041000000000001</v>
      </c>
      <c r="H32" s="20">
        <v>1.1041000000000001</v>
      </c>
      <c r="I32" s="20"/>
    </row>
    <row r="33" spans="1:9" ht="15.6" x14ac:dyDescent="0.35">
      <c r="A33" s="7" t="s">
        <v>82</v>
      </c>
      <c r="B33" s="20">
        <v>1.091</v>
      </c>
      <c r="C33" s="20">
        <v>1.091</v>
      </c>
      <c r="D33" s="20">
        <v>1.091</v>
      </c>
      <c r="E33" s="20">
        <v>1.091</v>
      </c>
      <c r="F33" s="20">
        <v>1.091</v>
      </c>
      <c r="G33" s="20">
        <v>1.091</v>
      </c>
      <c r="H33" s="20">
        <v>1.091</v>
      </c>
      <c r="I33" s="20"/>
    </row>
    <row r="34" spans="1:9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9" ht="15.6" x14ac:dyDescent="0.35">
      <c r="A35" s="5"/>
      <c r="B35" s="8"/>
      <c r="C35" s="8"/>
      <c r="D35" s="8"/>
      <c r="E35" s="8"/>
      <c r="F35" s="8"/>
      <c r="G35" s="8"/>
      <c r="H35" s="8"/>
    </row>
    <row r="36" spans="1:9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9" ht="15.6" x14ac:dyDescent="0.35">
      <c r="A37" s="5" t="s">
        <v>52</v>
      </c>
      <c r="B37" s="8">
        <f>B21/B32</f>
        <v>36560058289.40313</v>
      </c>
      <c r="C37" s="8">
        <f t="shared" ref="C37:H37" si="5">C21/C32</f>
        <v>30596485022.516075</v>
      </c>
      <c r="D37" s="8">
        <f t="shared" si="5"/>
        <v>24165237206.068291</v>
      </c>
      <c r="E37" s="8">
        <f t="shared" si="5"/>
        <v>6431247816.4477844</v>
      </c>
      <c r="F37" s="8">
        <f t="shared" si="5"/>
        <v>855149096.12353945</v>
      </c>
      <c r="G37" s="8">
        <f t="shared" si="5"/>
        <v>4063330900.9057145</v>
      </c>
      <c r="H37" s="8">
        <f t="shared" si="5"/>
        <v>1045093269.8578026</v>
      </c>
    </row>
    <row r="38" spans="1:9" ht="15.6" x14ac:dyDescent="0.35">
      <c r="A38" s="5" t="s">
        <v>83</v>
      </c>
      <c r="B38" s="8">
        <f>B23/B33</f>
        <v>0</v>
      </c>
      <c r="C38" s="8">
        <f t="shared" ref="C38:H38" si="6">C23/C33</f>
        <v>0</v>
      </c>
      <c r="D38" s="8">
        <f t="shared" si="6"/>
        <v>0</v>
      </c>
      <c r="E38" s="8">
        <f t="shared" si="6"/>
        <v>0</v>
      </c>
      <c r="F38" s="8">
        <f t="shared" si="6"/>
        <v>0</v>
      </c>
      <c r="G38" s="8">
        <f t="shared" si="6"/>
        <v>0</v>
      </c>
      <c r="H38" s="8">
        <f t="shared" si="6"/>
        <v>0</v>
      </c>
    </row>
    <row r="39" spans="1:9" ht="15.6" x14ac:dyDescent="0.35">
      <c r="A39" s="5" t="s">
        <v>53</v>
      </c>
      <c r="B39" s="8">
        <f>B37/B15</f>
        <v>256771.43414907</v>
      </c>
      <c r="C39" s="8">
        <f t="shared" ref="C39:F39" si="7">C37/C15</f>
        <v>222688.86468410754</v>
      </c>
      <c r="D39" s="8">
        <f t="shared" si="7"/>
        <v>229545.3833894456</v>
      </c>
      <c r="E39" s="8">
        <f t="shared" si="7"/>
        <v>200217.3368617259</v>
      </c>
      <c r="F39" s="8">
        <f t="shared" si="7"/>
        <v>171441.27829261016</v>
      </c>
      <c r="G39" s="8"/>
      <c r="H39" s="8"/>
    </row>
    <row r="40" spans="1:9" ht="15.6" x14ac:dyDescent="0.35">
      <c r="A40" s="5" t="s">
        <v>84</v>
      </c>
      <c r="B40" s="8" t="s">
        <v>49</v>
      </c>
      <c r="C40" s="8" t="s">
        <v>49</v>
      </c>
      <c r="D40" s="8" t="s">
        <v>49</v>
      </c>
      <c r="E40" s="8" t="s">
        <v>49</v>
      </c>
      <c r="F40" s="8" t="s">
        <v>49</v>
      </c>
      <c r="G40" s="8"/>
      <c r="H40" s="8"/>
    </row>
    <row r="41" spans="1:9" ht="15.6" x14ac:dyDescent="0.35">
      <c r="A41" s="5"/>
      <c r="B41" s="18"/>
      <c r="C41" s="18"/>
      <c r="D41" s="18"/>
      <c r="E41" s="18"/>
      <c r="F41" s="18"/>
      <c r="G41" s="18"/>
      <c r="H41" s="18"/>
    </row>
    <row r="42" spans="1:9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9" ht="15.6" x14ac:dyDescent="0.35">
      <c r="A43" s="5"/>
      <c r="B43" s="18"/>
      <c r="C43" s="18"/>
      <c r="D43" s="18"/>
      <c r="E43" s="18"/>
      <c r="F43" s="18"/>
      <c r="G43" s="18"/>
      <c r="H43" s="18"/>
    </row>
    <row r="44" spans="1:9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9" ht="15.6" x14ac:dyDescent="0.35">
      <c r="A45" s="5" t="s">
        <v>9</v>
      </c>
      <c r="B45" s="12">
        <f>(B16/B34)*100</f>
        <v>88.81168531689201</v>
      </c>
      <c r="C45" s="12">
        <f>(C16/C34)*100</f>
        <v>95.717433307345516</v>
      </c>
      <c r="D45" s="12"/>
      <c r="E45" s="12"/>
      <c r="F45" s="12">
        <f>(F16/F34)*100</f>
        <v>29.87328588786669</v>
      </c>
      <c r="G45" s="12"/>
      <c r="H45" s="12"/>
    </row>
    <row r="46" spans="1:9" ht="15.6" x14ac:dyDescent="0.35">
      <c r="A46" s="5" t="s">
        <v>10</v>
      </c>
      <c r="B46" s="12">
        <f>(B17/B34)*100</f>
        <v>0</v>
      </c>
      <c r="C46" s="12">
        <f>(C17/C34)*100</f>
        <v>0</v>
      </c>
      <c r="D46" s="12"/>
      <c r="E46" s="12"/>
      <c r="F46" s="12">
        <f>(F17/F34)*100</f>
        <v>0</v>
      </c>
      <c r="G46" s="12"/>
      <c r="H46" s="12"/>
    </row>
    <row r="47" spans="1:9" ht="15.6" x14ac:dyDescent="0.35">
      <c r="A47" s="5"/>
      <c r="B47" s="12"/>
      <c r="C47" s="12"/>
      <c r="D47" s="12"/>
      <c r="E47" s="12"/>
      <c r="F47" s="12"/>
      <c r="G47" s="12"/>
      <c r="H47" s="12"/>
    </row>
    <row r="48" spans="1:9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0</v>
      </c>
      <c r="C49" s="12">
        <f t="shared" ref="C49:F49" si="8">C17/C16*100</f>
        <v>0</v>
      </c>
      <c r="D49" s="12">
        <f t="shared" si="8"/>
        <v>0</v>
      </c>
      <c r="E49" s="12">
        <f t="shared" si="8"/>
        <v>0</v>
      </c>
      <c r="F49" s="12">
        <f t="shared" si="8"/>
        <v>0</v>
      </c>
      <c r="G49" s="12"/>
      <c r="H49" s="12"/>
    </row>
    <row r="50" spans="1:8" ht="15.6" x14ac:dyDescent="0.35">
      <c r="A50" s="5" t="s">
        <v>13</v>
      </c>
      <c r="B50" s="12">
        <f>B23/B22*100</f>
        <v>0</v>
      </c>
      <c r="C50" s="12">
        <f t="shared" ref="C50:H50" si="9">C23/C22*100</f>
        <v>0</v>
      </c>
      <c r="D50" s="12">
        <f t="shared" si="9"/>
        <v>0</v>
      </c>
      <c r="E50" s="12">
        <f t="shared" si="9"/>
        <v>0</v>
      </c>
      <c r="F50" s="12">
        <f t="shared" si="9"/>
        <v>0</v>
      </c>
      <c r="G50" s="12">
        <f t="shared" si="9"/>
        <v>0</v>
      </c>
      <c r="H50" s="12">
        <f t="shared" si="9"/>
        <v>0</v>
      </c>
    </row>
    <row r="51" spans="1:8" ht="15.6" x14ac:dyDescent="0.35">
      <c r="A51" s="5" t="s">
        <v>14</v>
      </c>
      <c r="B51" s="12">
        <f>AVERAGE(B49:B50)</f>
        <v>0</v>
      </c>
      <c r="C51" s="12">
        <f t="shared" ref="C51:H51" si="10">AVERAGE(C49:C50)</f>
        <v>0</v>
      </c>
      <c r="D51" s="12">
        <f t="shared" si="10"/>
        <v>0</v>
      </c>
      <c r="E51" s="12">
        <f t="shared" si="10"/>
        <v>0</v>
      </c>
      <c r="F51" s="12">
        <f t="shared" si="10"/>
        <v>0</v>
      </c>
      <c r="G51" s="12">
        <f t="shared" si="10"/>
        <v>0</v>
      </c>
      <c r="H51" s="12">
        <f t="shared" si="10"/>
        <v>0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0</v>
      </c>
      <c r="C54" s="12">
        <f t="shared" ref="C54:F54" si="11">C17/C18*100</f>
        <v>0</v>
      </c>
      <c r="D54" s="12">
        <f t="shared" si="11"/>
        <v>0</v>
      </c>
      <c r="E54" s="12">
        <f t="shared" si="11"/>
        <v>0</v>
      </c>
      <c r="F54" s="12">
        <f t="shared" si="11"/>
        <v>0</v>
      </c>
      <c r="G54" s="12"/>
      <c r="H54" s="12"/>
    </row>
    <row r="55" spans="1:8" ht="15.6" x14ac:dyDescent="0.35">
      <c r="A55" s="5" t="s">
        <v>17</v>
      </c>
      <c r="B55" s="12">
        <f>B23/B24*100</f>
        <v>0</v>
      </c>
      <c r="C55" s="12">
        <f t="shared" ref="C55:H55" si="12">C23/C24*100</f>
        <v>0</v>
      </c>
      <c r="D55" s="12">
        <f t="shared" si="12"/>
        <v>0</v>
      </c>
      <c r="E55" s="12">
        <f t="shared" si="12"/>
        <v>0</v>
      </c>
      <c r="F55" s="12">
        <f t="shared" si="12"/>
        <v>0</v>
      </c>
      <c r="G55" s="12">
        <f t="shared" si="12"/>
        <v>0</v>
      </c>
      <c r="H55" s="12">
        <f t="shared" si="12"/>
        <v>0</v>
      </c>
    </row>
    <row r="56" spans="1:8" ht="15.6" x14ac:dyDescent="0.35">
      <c r="A56" s="5" t="s">
        <v>18</v>
      </c>
      <c r="B56" s="12">
        <f>AVERAGE(B54:B55)</f>
        <v>0</v>
      </c>
      <c r="C56" s="12">
        <f t="shared" ref="C56:H56" si="13">AVERAGE(C54:C55)</f>
        <v>0</v>
      </c>
      <c r="D56" s="12">
        <f t="shared" si="13"/>
        <v>0</v>
      </c>
      <c r="E56" s="12">
        <f t="shared" si="13"/>
        <v>0</v>
      </c>
      <c r="F56" s="12">
        <f t="shared" si="13"/>
        <v>0</v>
      </c>
      <c r="G56" s="12">
        <f t="shared" si="13"/>
        <v>0</v>
      </c>
      <c r="H56" s="12">
        <f t="shared" si="13"/>
        <v>0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 t="s">
        <v>49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-100</v>
      </c>
      <c r="C62" s="12">
        <f t="shared" ref="C62:F62" si="14">((C17/C15)-1)*100</f>
        <v>-100</v>
      </c>
      <c r="D62" s="12"/>
      <c r="E62" s="12"/>
      <c r="F62" s="12">
        <f t="shared" si="14"/>
        <v>-100</v>
      </c>
      <c r="G62" s="12"/>
      <c r="H62" s="12"/>
    </row>
    <row r="63" spans="1:8" ht="15.6" x14ac:dyDescent="0.35">
      <c r="A63" s="5" t="s">
        <v>22</v>
      </c>
      <c r="B63" s="12">
        <f>((B38/B37)-1)*100</f>
        <v>-100</v>
      </c>
      <c r="C63" s="12">
        <f t="shared" ref="C63:H63" si="15">((C38/C37)-1)*100</f>
        <v>-100</v>
      </c>
      <c r="D63" s="12"/>
      <c r="E63" s="12"/>
      <c r="F63" s="12">
        <f t="shared" si="15"/>
        <v>-100</v>
      </c>
      <c r="G63" s="12">
        <f t="shared" si="15"/>
        <v>-100</v>
      </c>
      <c r="H63" s="12">
        <f t="shared" si="15"/>
        <v>-100</v>
      </c>
    </row>
    <row r="64" spans="1:8" ht="15.6" x14ac:dyDescent="0.35">
      <c r="A64" s="5" t="s">
        <v>23</v>
      </c>
      <c r="B64" s="12" t="s">
        <v>49</v>
      </c>
      <c r="C64" s="12" t="s">
        <v>49</v>
      </c>
      <c r="D64" s="12"/>
      <c r="E64" s="12"/>
      <c r="F64" s="12" t="s">
        <v>49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B22/(B16*3)</f>
        <v>92225.958108021412</v>
      </c>
      <c r="C67" s="12">
        <f t="shared" ref="C67:F67" si="16">C22/(C16*3)</f>
        <v>68464</v>
      </c>
      <c r="D67" s="12">
        <f t="shared" si="16"/>
        <v>68464</v>
      </c>
      <c r="E67" s="12">
        <f t="shared" si="16"/>
        <v>68464</v>
      </c>
      <c r="F67" s="12">
        <f t="shared" si="16"/>
        <v>352164.91</v>
      </c>
      <c r="G67" s="12"/>
      <c r="H67" s="12"/>
    </row>
    <row r="68" spans="1:8" ht="15.6" x14ac:dyDescent="0.35">
      <c r="A68" s="5" t="s">
        <v>31</v>
      </c>
      <c r="B68" s="12" t="s">
        <v>49</v>
      </c>
      <c r="C68" s="12" t="s">
        <v>49</v>
      </c>
      <c r="D68" s="12" t="s">
        <v>49</v>
      </c>
      <c r="E68" s="12" t="s">
        <v>49</v>
      </c>
      <c r="F68" s="12" t="s">
        <v>49</v>
      </c>
      <c r="G68" s="12"/>
      <c r="H68" s="12"/>
    </row>
    <row r="69" spans="1:8" ht="15.6" x14ac:dyDescent="0.35">
      <c r="A69" s="5" t="s">
        <v>25</v>
      </c>
      <c r="B69" s="12" t="s">
        <v>49</v>
      </c>
      <c r="C69" s="12" t="s">
        <v>49</v>
      </c>
      <c r="D69" s="12" t="s">
        <v>49</v>
      </c>
      <c r="E69" s="12" t="s">
        <v>49</v>
      </c>
      <c r="F69" s="12" t="s">
        <v>49</v>
      </c>
      <c r="G69" s="12"/>
      <c r="H69" s="12"/>
    </row>
    <row r="70" spans="1:8" ht="15.6" x14ac:dyDescent="0.35">
      <c r="A70" s="13" t="s">
        <v>32</v>
      </c>
      <c r="B70" s="12">
        <f>B22/B16</f>
        <v>276677.87432406424</v>
      </c>
      <c r="C70" s="12">
        <f t="shared" ref="C70:F70" si="17">C22/C16</f>
        <v>205392</v>
      </c>
      <c r="D70" s="12">
        <f t="shared" si="17"/>
        <v>205392</v>
      </c>
      <c r="E70" s="12">
        <f t="shared" si="17"/>
        <v>205392</v>
      </c>
      <c r="F70" s="12">
        <f t="shared" si="17"/>
        <v>1056494.73</v>
      </c>
      <c r="G70" s="12"/>
      <c r="H70" s="12"/>
    </row>
    <row r="71" spans="1:8" ht="15.6" x14ac:dyDescent="0.35">
      <c r="A71" s="13" t="s">
        <v>33</v>
      </c>
      <c r="B71" s="12" t="s">
        <v>49</v>
      </c>
      <c r="C71" s="12" t="s">
        <v>49</v>
      </c>
      <c r="D71" s="12" t="s">
        <v>49</v>
      </c>
      <c r="E71" s="12" t="s">
        <v>49</v>
      </c>
      <c r="F71" s="12" t="s">
        <v>49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0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 t="s">
        <v>49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5"/>
      <c r="H76" s="5"/>
    </row>
    <row r="77" spans="1:8" ht="16.2" thickTop="1" x14ac:dyDescent="0.3">
      <c r="A77" s="25" t="s">
        <v>85</v>
      </c>
      <c r="B77" s="25"/>
      <c r="C77" s="25"/>
      <c r="D77" s="25"/>
      <c r="E77" s="25"/>
      <c r="F77" s="25"/>
      <c r="G77" s="25"/>
      <c r="H77" s="25"/>
    </row>
    <row r="78" spans="1:8" ht="15.6" x14ac:dyDescent="0.35">
      <c r="A78" s="5"/>
      <c r="B78" s="5"/>
      <c r="C78" s="5"/>
      <c r="D78" s="5"/>
      <c r="E78" s="5"/>
      <c r="F78" s="5"/>
      <c r="G78" s="5"/>
      <c r="H78" s="5"/>
    </row>
    <row r="79" spans="1:8" ht="15.6" x14ac:dyDescent="0.35">
      <c r="A79" s="5"/>
      <c r="B79" s="5"/>
      <c r="C79" s="5"/>
      <c r="D79" s="5"/>
      <c r="E79" s="5"/>
      <c r="F79" s="5"/>
      <c r="G79" s="5"/>
      <c r="H79" s="5"/>
    </row>
    <row r="80" spans="1:8" ht="15.6" x14ac:dyDescent="0.35">
      <c r="A80" s="5"/>
      <c r="B80" s="5"/>
      <c r="C80" s="5"/>
      <c r="D80" s="5"/>
      <c r="E80" s="5"/>
      <c r="F80" s="5"/>
      <c r="G80" s="5"/>
      <c r="H80" s="5"/>
    </row>
    <row r="81" spans="1:8" ht="15.6" x14ac:dyDescent="0.35">
      <c r="A81" s="5"/>
      <c r="B81" s="5"/>
      <c r="C81" s="5"/>
      <c r="D81" s="5"/>
      <c r="E81" s="5"/>
      <c r="F81" s="5"/>
      <c r="G81" s="5"/>
      <c r="H81" s="5"/>
    </row>
    <row r="82" spans="1:8" ht="15.6" x14ac:dyDescent="0.35">
      <c r="A82" s="5"/>
      <c r="B82" s="5"/>
      <c r="C82" s="5"/>
      <c r="D82" s="5"/>
      <c r="E82" s="5"/>
      <c r="F82" s="5"/>
      <c r="G82" s="5"/>
      <c r="H82" s="5"/>
    </row>
    <row r="83" spans="1:8" ht="15.6" x14ac:dyDescent="0.35">
      <c r="A83" s="5"/>
      <c r="B83" s="5"/>
      <c r="C83" s="5"/>
      <c r="D83" s="5"/>
      <c r="E83" s="5"/>
      <c r="F83" s="5"/>
      <c r="G83" s="5"/>
      <c r="H83" s="5"/>
    </row>
    <row r="84" spans="1:8" ht="15.6" x14ac:dyDescent="0.35">
      <c r="A84" s="5"/>
      <c r="B84" s="5"/>
      <c r="C84" s="5"/>
      <c r="D84" s="5"/>
      <c r="E84" s="5"/>
      <c r="F84" s="5"/>
      <c r="G84" s="5"/>
      <c r="H84" s="5"/>
    </row>
    <row r="85" spans="1:8" ht="15.6" x14ac:dyDescent="0.35">
      <c r="A85" s="5"/>
      <c r="B85" s="5"/>
      <c r="C85" s="5"/>
      <c r="D85" s="5"/>
      <c r="E85" s="5"/>
      <c r="F85" s="5"/>
      <c r="G85" s="5"/>
      <c r="H85" s="5"/>
    </row>
    <row r="86" spans="1:8" ht="15.6" x14ac:dyDescent="0.35">
      <c r="A86" s="5"/>
      <c r="B86" s="5"/>
      <c r="C86" s="5"/>
      <c r="D86" s="5"/>
      <c r="E86" s="5"/>
      <c r="F86" s="5"/>
      <c r="G86" s="5"/>
      <c r="H86" s="5"/>
    </row>
    <row r="87" spans="1:8" ht="15.6" x14ac:dyDescent="0.35">
      <c r="A87" s="5"/>
      <c r="B87" s="5"/>
      <c r="C87" s="5"/>
      <c r="D87" s="5"/>
      <c r="E87" s="5"/>
      <c r="F87" s="5"/>
      <c r="G87" s="5"/>
      <c r="H87" s="5"/>
    </row>
    <row r="88" spans="1:8" ht="15.6" x14ac:dyDescent="0.35">
      <c r="A88" s="5"/>
      <c r="B88" s="5"/>
      <c r="C88" s="5"/>
      <c r="D88" s="5"/>
      <c r="E88" s="5"/>
      <c r="F88" s="5"/>
      <c r="G88" s="5"/>
      <c r="H88" s="5"/>
    </row>
    <row r="89" spans="1:8" ht="15.6" x14ac:dyDescent="0.35">
      <c r="A89" s="5"/>
      <c r="B89" s="5"/>
      <c r="C89" s="5"/>
      <c r="D89" s="5"/>
      <c r="E89" s="5"/>
      <c r="F89" s="5"/>
      <c r="G89" s="5"/>
      <c r="H89" s="5"/>
    </row>
    <row r="90" spans="1:8" ht="15.6" x14ac:dyDescent="0.35">
      <c r="A90" s="5"/>
      <c r="B90" s="5"/>
      <c r="C90" s="5"/>
      <c r="D90" s="5"/>
      <c r="E90" s="5"/>
      <c r="F90" s="5"/>
      <c r="G90" s="5"/>
      <c r="H90" s="5"/>
    </row>
    <row r="91" spans="1:8" ht="15.6" x14ac:dyDescent="0.35">
      <c r="A91" s="5"/>
      <c r="B91" s="5"/>
      <c r="C91" s="5"/>
      <c r="D91" s="5"/>
      <c r="E91" s="5"/>
      <c r="F91" s="5"/>
      <c r="G91" s="5"/>
      <c r="H91" s="5"/>
    </row>
    <row r="92" spans="1:8" ht="15.6" x14ac:dyDescent="0.35">
      <c r="A92" s="5"/>
      <c r="B92" s="5"/>
      <c r="C92" s="5"/>
      <c r="D92" s="5"/>
      <c r="E92" s="5"/>
      <c r="F92" s="5"/>
      <c r="G92" s="5"/>
      <c r="H92" s="5"/>
    </row>
    <row r="93" spans="1:8" ht="15.6" x14ac:dyDescent="0.35">
      <c r="A93" s="5"/>
      <c r="B93" s="5"/>
      <c r="C93" s="5"/>
      <c r="D93" s="5"/>
      <c r="E93" s="5"/>
      <c r="F93" s="5"/>
      <c r="G93" s="5"/>
      <c r="H93" s="5"/>
    </row>
    <row r="94" spans="1:8" ht="15.6" x14ac:dyDescent="0.35">
      <c r="A94" s="5"/>
      <c r="B94" s="5"/>
      <c r="C94" s="5"/>
      <c r="D94" s="5"/>
      <c r="E94" s="5"/>
      <c r="F94" s="5"/>
      <c r="G94" s="5"/>
      <c r="H94" s="5"/>
    </row>
    <row r="95" spans="1:8" ht="15.6" x14ac:dyDescent="0.35">
      <c r="A95" s="5"/>
      <c r="B95" s="5"/>
      <c r="C95" s="5"/>
      <c r="D95" s="5"/>
      <c r="E95" s="5"/>
      <c r="F95" s="5"/>
      <c r="G95" s="5"/>
      <c r="H95" s="5"/>
    </row>
    <row r="96" spans="1:8" ht="15.6" x14ac:dyDescent="0.35">
      <c r="A96" s="5"/>
      <c r="B96" s="5"/>
      <c r="C96" s="5"/>
      <c r="D96" s="5"/>
      <c r="E96" s="5"/>
      <c r="F96" s="5"/>
      <c r="G96" s="5"/>
      <c r="H96" s="5"/>
    </row>
    <row r="97" spans="1:8" ht="15.6" x14ac:dyDescent="0.35">
      <c r="A97" s="5"/>
      <c r="B97" s="5"/>
      <c r="C97" s="5"/>
      <c r="D97" s="5"/>
      <c r="E97" s="5"/>
      <c r="F97" s="5"/>
      <c r="G97" s="5"/>
      <c r="H97" s="5"/>
    </row>
    <row r="98" spans="1:8" ht="15.6" x14ac:dyDescent="0.35">
      <c r="A98" s="5"/>
      <c r="B98" s="5"/>
      <c r="C98" s="5"/>
      <c r="D98" s="5"/>
      <c r="E98" s="5"/>
      <c r="F98" s="5"/>
      <c r="G98" s="5"/>
      <c r="H98" s="5"/>
    </row>
    <row r="99" spans="1:8" ht="15.6" x14ac:dyDescent="0.35">
      <c r="A99" s="5"/>
      <c r="B99" s="5"/>
      <c r="C99" s="5"/>
      <c r="D99" s="5"/>
      <c r="E99" s="5"/>
      <c r="F99" s="5"/>
      <c r="G99" s="5"/>
      <c r="H99" s="5"/>
    </row>
    <row r="100" spans="1:8" ht="15.6" x14ac:dyDescent="0.35">
      <c r="A100" s="5"/>
      <c r="B100" s="5"/>
      <c r="C100" s="5"/>
      <c r="D100" s="5"/>
      <c r="E100" s="5"/>
      <c r="F100" s="5"/>
      <c r="G100" s="5"/>
      <c r="H100" s="5"/>
    </row>
    <row r="101" spans="1:8" ht="15.6" x14ac:dyDescent="0.35">
      <c r="A101" s="5"/>
      <c r="B101" s="5"/>
      <c r="C101" s="5"/>
      <c r="D101" s="5"/>
      <c r="E101" s="5"/>
      <c r="F101" s="5"/>
      <c r="G101" s="5"/>
      <c r="H101" s="5"/>
    </row>
    <row r="102" spans="1:8" ht="15.6" x14ac:dyDescent="0.35">
      <c r="A102" s="5"/>
      <c r="B102" s="5"/>
      <c r="C102" s="5"/>
      <c r="D102" s="5"/>
      <c r="E102" s="5"/>
      <c r="F102" s="5"/>
      <c r="G102" s="5"/>
      <c r="H102" s="5"/>
    </row>
    <row r="103" spans="1:8" ht="15.6" x14ac:dyDescent="0.35">
      <c r="A103" s="5"/>
      <c r="B103" s="5"/>
      <c r="C103" s="5"/>
      <c r="D103" s="5"/>
      <c r="E103" s="5"/>
      <c r="F103" s="5"/>
      <c r="G103" s="5"/>
      <c r="H103" s="5"/>
    </row>
    <row r="104" spans="1:8" ht="15.6" x14ac:dyDescent="0.35">
      <c r="A104" s="5"/>
      <c r="B104" s="5"/>
      <c r="C104" s="5"/>
      <c r="D104" s="5"/>
      <c r="E104" s="5"/>
      <c r="F104" s="5"/>
      <c r="G104" s="5"/>
      <c r="H104" s="5"/>
    </row>
    <row r="105" spans="1:8" ht="15.6" x14ac:dyDescent="0.35">
      <c r="A105" s="5"/>
      <c r="B105" s="5"/>
      <c r="C105" s="5"/>
      <c r="D105" s="5"/>
      <c r="E105" s="5"/>
      <c r="F105" s="5"/>
      <c r="G105" s="5"/>
      <c r="H105" s="5"/>
    </row>
    <row r="106" spans="1:8" ht="15.6" x14ac:dyDescent="0.35">
      <c r="A106" s="5"/>
      <c r="B106" s="5"/>
      <c r="C106" s="5"/>
      <c r="D106" s="5"/>
      <c r="E106" s="5"/>
      <c r="F106" s="5"/>
      <c r="G106" s="5"/>
      <c r="H106" s="5"/>
    </row>
    <row r="107" spans="1:8" ht="15.6" x14ac:dyDescent="0.35">
      <c r="A107" s="5"/>
      <c r="B107" s="5"/>
      <c r="C107" s="5"/>
      <c r="D107" s="5"/>
      <c r="E107" s="5"/>
      <c r="F107" s="5"/>
      <c r="G107" s="5"/>
      <c r="H107" s="5"/>
    </row>
    <row r="108" spans="1:8" ht="15.6" x14ac:dyDescent="0.35">
      <c r="A108" s="5"/>
      <c r="B108" s="5"/>
      <c r="C108" s="5"/>
      <c r="D108" s="5"/>
      <c r="E108" s="5"/>
      <c r="F108" s="5"/>
      <c r="G108" s="5"/>
      <c r="H108" s="5"/>
    </row>
    <row r="109" spans="1:8" ht="15.6" x14ac:dyDescent="0.35">
      <c r="A109" s="5"/>
      <c r="B109" s="5"/>
      <c r="C109" s="5"/>
      <c r="D109" s="5"/>
      <c r="E109" s="5"/>
      <c r="F109" s="5"/>
      <c r="G109" s="5"/>
      <c r="H109" s="5"/>
    </row>
    <row r="110" spans="1:8" ht="15.6" x14ac:dyDescent="0.35">
      <c r="A110" s="5"/>
      <c r="B110" s="5"/>
      <c r="C110" s="5"/>
      <c r="D110" s="5"/>
      <c r="E110" s="5"/>
      <c r="F110" s="5"/>
      <c r="G110" s="5"/>
      <c r="H110" s="5"/>
    </row>
    <row r="111" spans="1:8" ht="15.6" x14ac:dyDescent="0.35">
      <c r="A111" s="5"/>
      <c r="B111" s="5"/>
      <c r="C111" s="5"/>
      <c r="D111" s="5"/>
      <c r="E111" s="5"/>
      <c r="F111" s="5"/>
      <c r="G111" s="5"/>
      <c r="H111" s="5"/>
    </row>
    <row r="112" spans="1:8" ht="15.6" x14ac:dyDescent="0.35">
      <c r="A112" s="5"/>
      <c r="B112" s="5"/>
      <c r="C112" s="5"/>
      <c r="D112" s="5"/>
      <c r="E112" s="5"/>
      <c r="F112" s="5"/>
      <c r="G112" s="5"/>
      <c r="H112" s="5"/>
    </row>
    <row r="113" spans="1:8" ht="15.6" x14ac:dyDescent="0.35">
      <c r="A113" s="5"/>
      <c r="B113" s="5"/>
      <c r="C113" s="5"/>
      <c r="D113" s="5"/>
      <c r="E113" s="5"/>
      <c r="F113" s="5"/>
      <c r="G113" s="5"/>
      <c r="H113" s="5"/>
    </row>
    <row r="114" spans="1:8" ht="15.6" x14ac:dyDescent="0.35">
      <c r="A114" s="5"/>
      <c r="B114" s="5"/>
      <c r="C114" s="5"/>
      <c r="D114" s="5"/>
      <c r="E114" s="5"/>
      <c r="F114" s="5"/>
      <c r="G114" s="5"/>
      <c r="H114" s="5"/>
    </row>
    <row r="115" spans="1:8" ht="15.6" x14ac:dyDescent="0.35">
      <c r="A115" s="5"/>
      <c r="B115" s="5"/>
      <c r="C115" s="5"/>
      <c r="D115" s="5"/>
      <c r="E115" s="5"/>
      <c r="F115" s="5"/>
      <c r="G115" s="5"/>
      <c r="H115" s="5"/>
    </row>
    <row r="116" spans="1:8" ht="15.6" x14ac:dyDescent="0.35">
      <c r="A116" s="5"/>
      <c r="B116" s="5"/>
      <c r="C116" s="5"/>
      <c r="D116" s="5"/>
      <c r="E116" s="5"/>
      <c r="F116" s="5"/>
      <c r="G116" s="5"/>
      <c r="H116" s="5"/>
    </row>
    <row r="117" spans="1:8" ht="15.6" x14ac:dyDescent="0.35">
      <c r="A117" s="5"/>
      <c r="B117" s="5"/>
      <c r="C117" s="5"/>
      <c r="D117" s="5"/>
      <c r="E117" s="5"/>
      <c r="F117" s="5"/>
      <c r="G117" s="5"/>
      <c r="H117" s="5"/>
    </row>
    <row r="118" spans="1:8" ht="15.6" x14ac:dyDescent="0.35">
      <c r="A118" s="5"/>
      <c r="B118" s="5"/>
      <c r="C118" s="5"/>
      <c r="D118" s="5"/>
      <c r="E118" s="5"/>
      <c r="F118" s="5"/>
      <c r="G118" s="5"/>
      <c r="H118" s="5"/>
    </row>
    <row r="119" spans="1:8" ht="15.6" x14ac:dyDescent="0.35">
      <c r="A119" s="5"/>
      <c r="B119" s="5"/>
      <c r="C119" s="5"/>
      <c r="D119" s="5"/>
      <c r="E119" s="5"/>
      <c r="F119" s="5"/>
      <c r="G119" s="5"/>
      <c r="H119" s="5"/>
    </row>
    <row r="120" spans="1:8" ht="15.6" x14ac:dyDescent="0.35">
      <c r="A120" s="5"/>
      <c r="B120" s="5"/>
      <c r="C120" s="5"/>
      <c r="D120" s="5"/>
      <c r="E120" s="5"/>
      <c r="F120" s="5"/>
      <c r="G120" s="5"/>
      <c r="H120" s="5"/>
    </row>
    <row r="121" spans="1:8" ht="15.6" x14ac:dyDescent="0.35">
      <c r="A121" s="5"/>
      <c r="B121" s="5"/>
      <c r="C121" s="5"/>
      <c r="D121" s="5"/>
      <c r="E121" s="5"/>
      <c r="F121" s="5"/>
      <c r="G121" s="5"/>
      <c r="H121" s="5"/>
    </row>
    <row r="122" spans="1:8" ht="15.6" x14ac:dyDescent="0.35">
      <c r="A122" s="5"/>
      <c r="B122" s="5"/>
      <c r="C122" s="5"/>
      <c r="D122" s="5"/>
      <c r="E122" s="5"/>
      <c r="F122" s="5"/>
      <c r="G122" s="5"/>
      <c r="H122" s="5"/>
    </row>
    <row r="123" spans="1:8" ht="15.6" x14ac:dyDescent="0.35">
      <c r="A123" s="5"/>
      <c r="B123" s="5"/>
      <c r="C123" s="5"/>
      <c r="D123" s="5"/>
      <c r="E123" s="5"/>
      <c r="F123" s="5"/>
      <c r="G123" s="5"/>
      <c r="H123" s="5"/>
    </row>
    <row r="124" spans="1:8" ht="15.6" x14ac:dyDescent="0.35">
      <c r="A124" s="5"/>
      <c r="B124" s="5"/>
      <c r="C124" s="5"/>
      <c r="D124" s="5"/>
      <c r="E124" s="5"/>
      <c r="F124" s="5"/>
      <c r="G124" s="5"/>
      <c r="H124" s="5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ignoredErrors>
    <ignoredError sqref="C15:C16 C17:C18 C21:C2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L84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0" width="13.5546875" style="3" bestFit="1" customWidth="1"/>
    <col min="11" max="12" width="11.5546875" style="3" bestFit="1" customWidth="1"/>
    <col min="13" max="16384" width="11.44140625" style="3"/>
  </cols>
  <sheetData>
    <row r="7" spans="1:8" x14ac:dyDescent="0.3">
      <c r="G7" s="1"/>
    </row>
    <row r="9" spans="1:8" s="2" customFormat="1" ht="20.25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54</v>
      </c>
      <c r="B15" s="8">
        <f>+SUM(C15+F15)</f>
        <v>143715.66666666669</v>
      </c>
      <c r="C15" s="8">
        <f>+SUM(D15:E15)</f>
        <v>138681.33333333334</v>
      </c>
      <c r="D15" s="8">
        <v>106452.66666666667</v>
      </c>
      <c r="E15" s="8">
        <v>32228.666666666668</v>
      </c>
      <c r="F15" s="8">
        <v>5034.333333333333</v>
      </c>
      <c r="G15" s="8"/>
      <c r="H15" s="8"/>
    </row>
    <row r="16" spans="1:8" ht="15.6" x14ac:dyDescent="0.35">
      <c r="A16" s="7" t="s">
        <v>86</v>
      </c>
      <c r="B16" s="8">
        <f t="shared" ref="B16:B18" si="0">+SUM(C16+F16)</f>
        <v>146351</v>
      </c>
      <c r="C16" s="8">
        <f>+SUM(D16:E16)</f>
        <v>141188</v>
      </c>
      <c r="D16" s="8">
        <v>91289</v>
      </c>
      <c r="E16" s="8">
        <v>49899</v>
      </c>
      <c r="F16" s="8">
        <v>5163</v>
      </c>
      <c r="G16" s="8"/>
      <c r="H16" s="8"/>
    </row>
    <row r="17" spans="1:8" ht="15.6" x14ac:dyDescent="0.35">
      <c r="A17" s="7" t="s">
        <v>87</v>
      </c>
      <c r="B17" s="8">
        <f t="shared" si="0"/>
        <v>147832</v>
      </c>
      <c r="C17" s="8">
        <f t="shared" ref="C17:C18" si="1">+SUM(D17:E17)</f>
        <v>142490</v>
      </c>
      <c r="D17" s="8">
        <v>93215.5</v>
      </c>
      <c r="E17" s="8">
        <v>49274.5</v>
      </c>
      <c r="F17" s="8">
        <v>5342</v>
      </c>
      <c r="G17" s="8"/>
      <c r="H17" s="8"/>
    </row>
    <row r="18" spans="1:8" ht="15.6" x14ac:dyDescent="0.35">
      <c r="A18" s="7" t="s">
        <v>80</v>
      </c>
      <c r="B18" s="8">
        <f t="shared" si="0"/>
        <v>146351</v>
      </c>
      <c r="C18" s="8">
        <f t="shared" si="1"/>
        <v>141188</v>
      </c>
      <c r="D18" s="8">
        <v>91289</v>
      </c>
      <c r="E18" s="8">
        <v>49899</v>
      </c>
      <c r="F18" s="8">
        <v>5163</v>
      </c>
      <c r="G18" s="8"/>
      <c r="H18" s="8"/>
    </row>
    <row r="19" spans="1:8" ht="15.6" x14ac:dyDescent="0.35">
      <c r="A19" s="5"/>
      <c r="B19" s="8"/>
      <c r="C19" s="8"/>
      <c r="D19" s="8"/>
      <c r="E19" s="19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54</v>
      </c>
      <c r="B21" s="8">
        <f>+C21+F21+G21+H21</f>
        <v>41019635451.189995</v>
      </c>
      <c r="C21" s="8">
        <f>+SUM(D21:E21)</f>
        <v>33535977970.459999</v>
      </c>
      <c r="D21" s="8">
        <v>26185406182.309998</v>
      </c>
      <c r="E21" s="8">
        <v>7350571788.1499996</v>
      </c>
      <c r="F21" s="11">
        <v>577485500</v>
      </c>
      <c r="G21" s="8">
        <v>5350516521.3800001</v>
      </c>
      <c r="H21" s="8">
        <v>1555655459.3499999</v>
      </c>
    </row>
    <row r="22" spans="1:8" ht="15.6" x14ac:dyDescent="0.35">
      <c r="A22" s="7" t="s">
        <v>86</v>
      </c>
      <c r="B22" s="8">
        <f t="shared" ref="B22:B25" si="2">+C22+F22+G22+H22</f>
        <v>39816281274.576607</v>
      </c>
      <c r="C22" s="8">
        <f>+SUM(D22:E22)</f>
        <v>28998885696</v>
      </c>
      <c r="D22" s="8">
        <v>18750030288</v>
      </c>
      <c r="E22" s="8">
        <v>10248855408</v>
      </c>
      <c r="F22" s="8">
        <v>5454682290.9899998</v>
      </c>
      <c r="G22" s="8">
        <v>4737365598.2111254</v>
      </c>
      <c r="H22" s="8">
        <v>625347689.37547815</v>
      </c>
    </row>
    <row r="23" spans="1:8" ht="15.6" x14ac:dyDescent="0.35">
      <c r="A23" s="7" t="s">
        <v>87</v>
      </c>
      <c r="B23" s="8">
        <f t="shared" si="2"/>
        <v>85087377346</v>
      </c>
      <c r="C23" s="8">
        <f t="shared" ref="C23:C24" si="3">+SUM(D23:E23)</f>
        <v>69804685100</v>
      </c>
      <c r="D23" s="8">
        <v>45582459370.300003</v>
      </c>
      <c r="E23" s="8">
        <v>24222225729.700001</v>
      </c>
      <c r="F23" s="11">
        <v>11211232700</v>
      </c>
      <c r="G23" s="8">
        <v>4071459546</v>
      </c>
      <c r="H23" s="8">
        <v>0</v>
      </c>
    </row>
    <row r="24" spans="1:8" ht="15.6" x14ac:dyDescent="0.35">
      <c r="A24" s="7" t="s">
        <v>80</v>
      </c>
      <c r="B24" s="8">
        <f t="shared" si="2"/>
        <v>170174754692.51001</v>
      </c>
      <c r="C24" s="8">
        <f t="shared" si="3"/>
        <v>125661838016</v>
      </c>
      <c r="D24" s="8">
        <v>81250131248</v>
      </c>
      <c r="E24" s="8">
        <v>44411706768</v>
      </c>
      <c r="F24" s="8">
        <v>23636956594.289997</v>
      </c>
      <c r="G24" s="8">
        <v>18949462392.844501</v>
      </c>
      <c r="H24" s="8">
        <v>1926497689.3754783</v>
      </c>
    </row>
    <row r="25" spans="1:8" ht="15.6" x14ac:dyDescent="0.35">
      <c r="A25" s="7" t="s">
        <v>88</v>
      </c>
      <c r="B25" s="8">
        <f t="shared" si="2"/>
        <v>85087377346</v>
      </c>
      <c r="C25" s="8">
        <f>+C23</f>
        <v>69804685100</v>
      </c>
      <c r="D25" s="8">
        <f>+D23</f>
        <v>45582459370.300003</v>
      </c>
      <c r="E25" s="8">
        <f>+E23</f>
        <v>24222225729.700001</v>
      </c>
      <c r="F25" s="8">
        <f t="shared" ref="F25:G25" si="4">F23</f>
        <v>11211232700</v>
      </c>
      <c r="G25" s="8">
        <f t="shared" si="4"/>
        <v>4071459546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86</v>
      </c>
      <c r="B28" s="8">
        <f>B22</f>
        <v>39816281274.576607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87</v>
      </c>
      <c r="B29" s="8">
        <v>85087377346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55</v>
      </c>
      <c r="B32" s="20">
        <v>1.0973999999999999</v>
      </c>
      <c r="C32" s="20">
        <v>1.0973999999999999</v>
      </c>
      <c r="D32" s="20">
        <v>1.0973999999999999</v>
      </c>
      <c r="E32" s="20">
        <v>1.0973999999999999</v>
      </c>
      <c r="F32" s="20">
        <v>1.0973999999999999</v>
      </c>
      <c r="G32" s="20">
        <v>1.0973999999999999</v>
      </c>
      <c r="H32" s="20">
        <v>1.0973999999999999</v>
      </c>
    </row>
    <row r="33" spans="1:12" ht="15.6" x14ac:dyDescent="0.35">
      <c r="A33" s="7" t="s">
        <v>89</v>
      </c>
      <c r="B33" s="20">
        <v>1.0971</v>
      </c>
      <c r="C33" s="20">
        <v>1.0971</v>
      </c>
      <c r="D33" s="20">
        <v>1.0971</v>
      </c>
      <c r="E33" s="20">
        <v>1.0971</v>
      </c>
      <c r="F33" s="20">
        <v>1.0971</v>
      </c>
      <c r="G33" s="20">
        <v>1.0971</v>
      </c>
      <c r="H33" s="20">
        <v>1.0971</v>
      </c>
    </row>
    <row r="34" spans="1:12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12" ht="15.6" x14ac:dyDescent="0.35">
      <c r="A35" s="5"/>
      <c r="B35" s="8"/>
      <c r="C35" s="8"/>
      <c r="D35" s="8"/>
      <c r="E35" s="8"/>
      <c r="F35" s="8"/>
      <c r="G35" s="8"/>
      <c r="H35" s="8"/>
    </row>
    <row r="36" spans="1:12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12" ht="15.6" x14ac:dyDescent="0.35">
      <c r="A37" s="5" t="s">
        <v>56</v>
      </c>
      <c r="B37" s="8">
        <f>B21/B32</f>
        <v>37378927876.0616</v>
      </c>
      <c r="C37" s="8">
        <f t="shared" ref="C37:H37" si="5">C21/C32</f>
        <v>30559484208.547478</v>
      </c>
      <c r="D37" s="8">
        <f t="shared" si="5"/>
        <v>23861314181.073444</v>
      </c>
      <c r="E37" s="8">
        <f t="shared" si="5"/>
        <v>6698170027.4740295</v>
      </c>
      <c r="F37" s="8">
        <f t="shared" si="5"/>
        <v>526230636.04884273</v>
      </c>
      <c r="G37" s="8">
        <f t="shared" si="5"/>
        <v>4875630145.23419</v>
      </c>
      <c r="H37" s="8">
        <f t="shared" si="5"/>
        <v>1417582886.2310917</v>
      </c>
    </row>
    <row r="38" spans="1:12" ht="15.6" x14ac:dyDescent="0.35">
      <c r="A38" s="5" t="s">
        <v>90</v>
      </c>
      <c r="B38" s="8">
        <f>B23/B33</f>
        <v>77556628699.298157</v>
      </c>
      <c r="C38" s="8">
        <f t="shared" ref="C38:H38" si="6">C23/C33</f>
        <v>63626547352.110107</v>
      </c>
      <c r="D38" s="8">
        <f t="shared" si="6"/>
        <v>41548135420.927902</v>
      </c>
      <c r="E38" s="8">
        <f t="shared" si="6"/>
        <v>22078411931.182209</v>
      </c>
      <c r="F38" s="8">
        <f t="shared" si="6"/>
        <v>10218970649.895178</v>
      </c>
      <c r="G38" s="8">
        <f t="shared" si="6"/>
        <v>3711110697.2928629</v>
      </c>
      <c r="H38" s="8">
        <f t="shared" si="6"/>
        <v>0</v>
      </c>
    </row>
    <row r="39" spans="1:12" ht="15.6" x14ac:dyDescent="0.35">
      <c r="A39" s="5" t="s">
        <v>57</v>
      </c>
      <c r="B39" s="8">
        <f>B37/B15</f>
        <v>260089.44426885675</v>
      </c>
      <c r="C39" s="8">
        <f t="shared" ref="C39:F39" si="7">C37/C15</f>
        <v>220357.58868206831</v>
      </c>
      <c r="D39" s="8">
        <f t="shared" si="7"/>
        <v>224149.520422912</v>
      </c>
      <c r="E39" s="8">
        <f t="shared" si="7"/>
        <v>207832.67569681327</v>
      </c>
      <c r="F39" s="8">
        <f t="shared" si="7"/>
        <v>104528.36576484992</v>
      </c>
      <c r="G39" s="8"/>
      <c r="H39" s="8"/>
    </row>
    <row r="40" spans="1:12" ht="15.6" x14ac:dyDescent="0.35">
      <c r="A40" s="5" t="s">
        <v>91</v>
      </c>
      <c r="B40" s="8">
        <f>B38/B17</f>
        <v>524626.79730571294</v>
      </c>
      <c r="C40" s="8">
        <f t="shared" ref="C40:F40" si="8">C38/C17</f>
        <v>446533.42236023658</v>
      </c>
      <c r="D40" s="8">
        <f t="shared" si="8"/>
        <v>445721.31695831596</v>
      </c>
      <c r="E40" s="8">
        <f t="shared" si="8"/>
        <v>448069.73041192116</v>
      </c>
      <c r="F40" s="8">
        <f t="shared" si="8"/>
        <v>1912948.4556149715</v>
      </c>
      <c r="G40" s="8"/>
      <c r="H40" s="8"/>
    </row>
    <row r="41" spans="1:12" ht="15.6" x14ac:dyDescent="0.35">
      <c r="A41" s="5"/>
      <c r="B41" s="18"/>
      <c r="C41" s="18"/>
      <c r="D41" s="18"/>
      <c r="E41" s="18"/>
      <c r="F41" s="18"/>
      <c r="G41" s="18"/>
      <c r="H41" s="18"/>
    </row>
    <row r="42" spans="1:12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12" ht="15.6" x14ac:dyDescent="0.35">
      <c r="A43" s="5"/>
      <c r="B43" s="18"/>
      <c r="C43" s="18"/>
      <c r="D43" s="18"/>
      <c r="E43" s="18"/>
      <c r="F43" s="18"/>
      <c r="G43" s="18"/>
      <c r="H43" s="18"/>
    </row>
    <row r="44" spans="1:12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12" ht="15.6" x14ac:dyDescent="0.35">
      <c r="A45" s="5" t="s">
        <v>9</v>
      </c>
      <c r="B45" s="12">
        <f>(B16/B34)*100</f>
        <v>88.81168531689201</v>
      </c>
      <c r="C45" s="12">
        <f>(C16/C34)*100</f>
        <v>95.717433307345516</v>
      </c>
      <c r="D45" s="12"/>
      <c r="E45" s="12"/>
      <c r="F45" s="12">
        <f>(F16/F34)*100</f>
        <v>29.87328588786669</v>
      </c>
      <c r="G45" s="12"/>
      <c r="H45" s="12"/>
      <c r="I45" s="4"/>
      <c r="J45" s="4"/>
      <c r="K45" s="4"/>
      <c r="L45" s="4"/>
    </row>
    <row r="46" spans="1:12" ht="15.6" x14ac:dyDescent="0.35">
      <c r="A46" s="5" t="s">
        <v>10</v>
      </c>
      <c r="B46" s="12">
        <f>(B17/B34)*100</f>
        <v>89.710415806976243</v>
      </c>
      <c r="C46" s="12">
        <f>(C17/C34)*100</f>
        <v>96.600115250330504</v>
      </c>
      <c r="D46" s="12"/>
      <c r="E46" s="12"/>
      <c r="F46" s="12">
        <f>(F17/F34)*100</f>
        <v>30.908985708499682</v>
      </c>
      <c r="G46" s="12"/>
      <c r="H46" s="12"/>
      <c r="I46" s="4"/>
      <c r="J46" s="4"/>
      <c r="K46" s="4"/>
      <c r="L46" s="4"/>
    </row>
    <row r="47" spans="1:12" ht="15.6" x14ac:dyDescent="0.35">
      <c r="A47" s="5"/>
      <c r="B47" s="12"/>
      <c r="C47" s="12"/>
      <c r="D47" s="12"/>
      <c r="E47" s="12"/>
      <c r="F47" s="12"/>
      <c r="G47" s="12"/>
      <c r="H47" s="12"/>
      <c r="I47" s="4"/>
      <c r="J47" s="4"/>
      <c r="K47" s="4"/>
      <c r="L47" s="4"/>
    </row>
    <row r="48" spans="1:12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  <c r="I48" s="4"/>
      <c r="J48" s="4"/>
      <c r="K48" s="4"/>
      <c r="L48" s="4"/>
    </row>
    <row r="49" spans="1:12" ht="15.6" x14ac:dyDescent="0.35">
      <c r="A49" s="5" t="s">
        <v>12</v>
      </c>
      <c r="B49" s="12">
        <f>B17/B16*100</f>
        <v>101.01195072121133</v>
      </c>
      <c r="C49" s="12">
        <f t="shared" ref="C49:F49" si="9">C17/C16*100</f>
        <v>100.92217468906706</v>
      </c>
      <c r="D49" s="12">
        <f t="shared" si="9"/>
        <v>102.11033092705584</v>
      </c>
      <c r="E49" s="12">
        <f t="shared" si="9"/>
        <v>98.748471913264794</v>
      </c>
      <c r="F49" s="12">
        <f t="shared" si="9"/>
        <v>103.46697656401318</v>
      </c>
      <c r="G49" s="12"/>
      <c r="H49" s="12"/>
      <c r="I49" s="4"/>
      <c r="J49" s="4"/>
      <c r="K49" s="4"/>
      <c r="L49" s="4"/>
    </row>
    <row r="50" spans="1:12" ht="15.6" x14ac:dyDescent="0.35">
      <c r="A50" s="5" t="s">
        <v>13</v>
      </c>
      <c r="B50" s="12">
        <f>B23/B22*100</f>
        <v>213.69996047403296</v>
      </c>
      <c r="C50" s="12">
        <f t="shared" ref="C50:H50" si="10">C23/C22*100</f>
        <v>240.71505999152441</v>
      </c>
      <c r="D50" s="12">
        <f t="shared" si="10"/>
        <v>243.10605727113267</v>
      </c>
      <c r="E50" s="12">
        <f t="shared" si="10"/>
        <v>236.34078895085921</v>
      </c>
      <c r="F50" s="12">
        <f t="shared" si="10"/>
        <v>205.53410999791177</v>
      </c>
      <c r="G50" s="12">
        <f t="shared" si="10"/>
        <v>85.943536794741405</v>
      </c>
      <c r="H50" s="12">
        <f t="shared" si="10"/>
        <v>0</v>
      </c>
      <c r="I50" s="4"/>
      <c r="J50" s="4"/>
      <c r="K50" s="4"/>
      <c r="L50" s="4"/>
    </row>
    <row r="51" spans="1:12" ht="15.6" x14ac:dyDescent="0.35">
      <c r="A51" s="5" t="s">
        <v>14</v>
      </c>
      <c r="B51" s="12">
        <f>AVERAGE(B49:B50)</f>
        <v>157.35595559762214</v>
      </c>
      <c r="C51" s="12">
        <f t="shared" ref="C51:H51" si="11">AVERAGE(C49:C50)</f>
        <v>170.81861734029573</v>
      </c>
      <c r="D51" s="12">
        <f t="shared" si="11"/>
        <v>172.60819409909425</v>
      </c>
      <c r="E51" s="12">
        <f t="shared" si="11"/>
        <v>167.54463043206201</v>
      </c>
      <c r="F51" s="12">
        <f t="shared" si="11"/>
        <v>154.50054328096246</v>
      </c>
      <c r="G51" s="12">
        <f t="shared" si="11"/>
        <v>85.943536794741405</v>
      </c>
      <c r="H51" s="12">
        <f t="shared" si="11"/>
        <v>0</v>
      </c>
      <c r="I51" s="4"/>
      <c r="J51" s="4"/>
      <c r="K51" s="4"/>
      <c r="L51" s="4"/>
    </row>
    <row r="52" spans="1:12" ht="15.6" x14ac:dyDescent="0.35">
      <c r="A52" s="5"/>
      <c r="B52" s="12"/>
      <c r="C52" s="12"/>
      <c r="D52" s="12"/>
      <c r="E52" s="12"/>
      <c r="F52" s="12"/>
      <c r="G52" s="12"/>
      <c r="H52" s="12"/>
      <c r="I52" s="4"/>
      <c r="J52" s="4"/>
      <c r="K52" s="4"/>
      <c r="L52" s="4"/>
    </row>
    <row r="53" spans="1:12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  <c r="I53" s="4"/>
      <c r="J53" s="4"/>
      <c r="K53" s="4"/>
      <c r="L53" s="4"/>
    </row>
    <row r="54" spans="1:12" ht="15.6" x14ac:dyDescent="0.35">
      <c r="A54" s="5" t="s">
        <v>16</v>
      </c>
      <c r="B54" s="12">
        <f>B17/B18*100</f>
        <v>101.01195072121133</v>
      </c>
      <c r="C54" s="12">
        <f t="shared" ref="C54:F54" si="12">C17/C18*100</f>
        <v>100.92217468906706</v>
      </c>
      <c r="D54" s="12">
        <f t="shared" si="12"/>
        <v>102.11033092705584</v>
      </c>
      <c r="E54" s="12">
        <f t="shared" si="12"/>
        <v>98.748471913264794</v>
      </c>
      <c r="F54" s="12">
        <f t="shared" si="12"/>
        <v>103.46697656401318</v>
      </c>
      <c r="G54" s="12"/>
      <c r="H54" s="12"/>
      <c r="I54" s="4"/>
      <c r="J54" s="4"/>
      <c r="K54" s="4"/>
      <c r="L54" s="4"/>
    </row>
    <row r="55" spans="1:12" ht="15.6" x14ac:dyDescent="0.35">
      <c r="A55" s="5" t="s">
        <v>17</v>
      </c>
      <c r="B55" s="12">
        <f>B23/B24*100</f>
        <v>49.999999999850154</v>
      </c>
      <c r="C55" s="12">
        <f t="shared" ref="C55:H55" si="13">C23/C24*100</f>
        <v>55.549629228813338</v>
      </c>
      <c r="D55" s="12">
        <f t="shared" si="13"/>
        <v>56.101397831799851</v>
      </c>
      <c r="E55" s="12">
        <f t="shared" si="13"/>
        <v>54.540182065582897</v>
      </c>
      <c r="F55" s="12">
        <f t="shared" si="13"/>
        <v>47.430948461056566</v>
      </c>
      <c r="G55" s="12">
        <f t="shared" si="13"/>
        <v>21.485884198685351</v>
      </c>
      <c r="H55" s="12">
        <f t="shared" si="13"/>
        <v>0</v>
      </c>
      <c r="I55" s="4"/>
      <c r="J55" s="4"/>
      <c r="K55" s="4"/>
      <c r="L55" s="4"/>
    </row>
    <row r="56" spans="1:12" ht="15.6" x14ac:dyDescent="0.35">
      <c r="A56" s="5" t="s">
        <v>18</v>
      </c>
      <c r="B56" s="12">
        <f>AVERAGE(B54:B55)</f>
        <v>75.505975360530741</v>
      </c>
      <c r="C56" s="12">
        <f t="shared" ref="C56:H56" si="14">AVERAGE(C54:C55)</f>
        <v>78.235901958940204</v>
      </c>
      <c r="D56" s="12">
        <f t="shared" si="14"/>
        <v>79.105864379427842</v>
      </c>
      <c r="E56" s="12">
        <f t="shared" si="14"/>
        <v>76.644326989423845</v>
      </c>
      <c r="F56" s="12">
        <f t="shared" si="14"/>
        <v>75.448962512534877</v>
      </c>
      <c r="G56" s="12">
        <f t="shared" si="14"/>
        <v>21.485884198685351</v>
      </c>
      <c r="H56" s="12">
        <f t="shared" si="14"/>
        <v>0</v>
      </c>
      <c r="I56" s="4"/>
      <c r="J56" s="4"/>
      <c r="K56" s="4"/>
      <c r="L56" s="4"/>
    </row>
    <row r="57" spans="1:12" ht="15.6" x14ac:dyDescent="0.35">
      <c r="A57" s="5"/>
      <c r="B57" s="12"/>
      <c r="C57" s="12"/>
      <c r="D57" s="12"/>
      <c r="E57" s="12"/>
      <c r="F57" s="12"/>
      <c r="G57" s="12"/>
      <c r="H57" s="12"/>
      <c r="I57" s="4"/>
      <c r="J57" s="4"/>
      <c r="K57" s="4"/>
      <c r="L57" s="4"/>
    </row>
    <row r="58" spans="1:12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  <c r="I58" s="4"/>
      <c r="J58" s="4"/>
      <c r="K58" s="4"/>
      <c r="L58" s="4"/>
    </row>
    <row r="59" spans="1:12" ht="15.6" x14ac:dyDescent="0.35">
      <c r="A59" s="5" t="s">
        <v>19</v>
      </c>
      <c r="B59" s="12">
        <f>(B25/B23)*100</f>
        <v>100</v>
      </c>
      <c r="C59" s="12"/>
      <c r="D59" s="12"/>
      <c r="E59" s="12"/>
      <c r="F59" s="12"/>
      <c r="G59" s="12"/>
      <c r="H59" s="12"/>
      <c r="I59" s="4"/>
      <c r="J59" s="4"/>
      <c r="K59" s="4"/>
      <c r="L59" s="4"/>
    </row>
    <row r="60" spans="1:12" ht="15.6" x14ac:dyDescent="0.35">
      <c r="A60" s="5"/>
      <c r="B60" s="12"/>
      <c r="C60" s="12"/>
      <c r="D60" s="12"/>
      <c r="E60" s="12"/>
      <c r="F60" s="12"/>
      <c r="G60" s="12"/>
      <c r="H60" s="12"/>
      <c r="I60" s="4"/>
      <c r="J60" s="4"/>
      <c r="K60" s="4"/>
      <c r="L60" s="4"/>
    </row>
    <row r="61" spans="1:12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  <c r="I61" s="4"/>
      <c r="J61" s="4"/>
      <c r="K61" s="4"/>
      <c r="L61" s="4"/>
    </row>
    <row r="62" spans="1:12" ht="15.6" x14ac:dyDescent="0.35">
      <c r="A62" s="5" t="s">
        <v>21</v>
      </c>
      <c r="B62" s="12">
        <f>((B17/B15)-1)*100</f>
        <v>2.8642203239266362</v>
      </c>
      <c r="C62" s="12">
        <f t="shared" ref="C62:F62" si="15">((C17/C15)-1)*100</f>
        <v>2.7463441366778474</v>
      </c>
      <c r="D62" s="12"/>
      <c r="E62" s="12"/>
      <c r="F62" s="12">
        <f t="shared" si="15"/>
        <v>6.1113686022644664</v>
      </c>
      <c r="G62" s="12"/>
      <c r="H62" s="12"/>
      <c r="I62" s="4"/>
      <c r="J62" s="4"/>
      <c r="K62" s="4"/>
      <c r="L62" s="4"/>
    </row>
    <row r="63" spans="1:12" ht="15.6" x14ac:dyDescent="0.35">
      <c r="A63" s="5" t="s">
        <v>22</v>
      </c>
      <c r="B63" s="12">
        <f>((B38/B37)-1)*100</f>
        <v>107.48756881538961</v>
      </c>
      <c r="C63" s="12">
        <f t="shared" ref="C63:H63" si="16">((C38/C37)-1)*100</f>
        <v>108.20556694577252</v>
      </c>
      <c r="D63" s="12"/>
      <c r="E63" s="12"/>
      <c r="F63" s="12">
        <f t="shared" si="16"/>
        <v>1841.9186094187592</v>
      </c>
      <c r="G63" s="12">
        <f t="shared" si="16"/>
        <v>-23.884491096594285</v>
      </c>
      <c r="H63" s="12">
        <f t="shared" si="16"/>
        <v>-100</v>
      </c>
      <c r="I63" s="4"/>
      <c r="J63" s="4"/>
      <c r="K63" s="4"/>
      <c r="L63" s="4"/>
    </row>
    <row r="64" spans="1:12" ht="15.6" x14ac:dyDescent="0.35">
      <c r="A64" s="5" t="s">
        <v>23</v>
      </c>
      <c r="B64" s="12">
        <f>((B40/B39)-1)*100</f>
        <v>101.7101458232967</v>
      </c>
      <c r="C64" s="12">
        <f t="shared" ref="C64:F64" si="17">((C40/C39)-1)*100</f>
        <v>102.64036515869419</v>
      </c>
      <c r="D64" s="12"/>
      <c r="E64" s="12"/>
      <c r="F64" s="12">
        <f t="shared" si="17"/>
        <v>1730.0759240017169</v>
      </c>
      <c r="G64" s="12"/>
      <c r="H64" s="12"/>
      <c r="I64" s="4"/>
      <c r="J64" s="4"/>
      <c r="K64" s="4"/>
      <c r="L64" s="4"/>
    </row>
    <row r="65" spans="1:12" ht="15.6" x14ac:dyDescent="0.35">
      <c r="A65" s="5"/>
      <c r="B65" s="12"/>
      <c r="C65" s="12"/>
      <c r="D65" s="12"/>
      <c r="E65" s="12"/>
      <c r="F65" s="12"/>
      <c r="G65" s="12"/>
      <c r="H65" s="12"/>
      <c r="I65" s="4"/>
      <c r="J65" s="4"/>
      <c r="K65" s="4"/>
      <c r="L65" s="4"/>
    </row>
    <row r="66" spans="1:12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  <c r="I66" s="4"/>
      <c r="J66" s="4"/>
      <c r="K66" s="4"/>
      <c r="L66" s="4"/>
    </row>
    <row r="67" spans="1:12" ht="15.6" x14ac:dyDescent="0.35">
      <c r="A67" s="5" t="s">
        <v>30</v>
      </c>
      <c r="B67" s="12">
        <f>B22/(B16*3)</f>
        <v>90686.730929014506</v>
      </c>
      <c r="C67" s="12">
        <f t="shared" ref="C67:F68" si="18">C22/(C16*3)</f>
        <v>68464</v>
      </c>
      <c r="D67" s="12">
        <f t="shared" si="18"/>
        <v>68464</v>
      </c>
      <c r="E67" s="12">
        <f t="shared" si="18"/>
        <v>68464</v>
      </c>
      <c r="F67" s="12">
        <f t="shared" si="18"/>
        <v>352164.91</v>
      </c>
      <c r="G67" s="12"/>
      <c r="H67" s="12"/>
      <c r="I67" s="4"/>
      <c r="J67" s="4"/>
      <c r="K67" s="4"/>
      <c r="L67" s="4"/>
    </row>
    <row r="68" spans="1:12" ht="15.6" x14ac:dyDescent="0.35">
      <c r="A68" s="5" t="s">
        <v>31</v>
      </c>
      <c r="B68" s="12">
        <f>B23/(B17*3)</f>
        <v>191856.01977469921</v>
      </c>
      <c r="C68" s="12">
        <f t="shared" si="18"/>
        <v>163297.27255713852</v>
      </c>
      <c r="D68" s="12">
        <f t="shared" si="18"/>
        <v>163000.28561165615</v>
      </c>
      <c r="E68" s="12">
        <f t="shared" si="18"/>
        <v>163859.10041163955</v>
      </c>
      <c r="F68" s="12">
        <f t="shared" si="18"/>
        <v>699565.25021839514</v>
      </c>
      <c r="G68" s="12"/>
      <c r="H68" s="12"/>
      <c r="I68" s="4"/>
      <c r="J68" s="4"/>
      <c r="K68" s="4"/>
      <c r="L68" s="4"/>
    </row>
    <row r="69" spans="1:12" ht="15.6" x14ac:dyDescent="0.35">
      <c r="A69" s="5" t="s">
        <v>25</v>
      </c>
      <c r="B69" s="12">
        <f>(B68/B67)*B51</f>
        <v>332.90082264003115</v>
      </c>
      <c r="C69" s="12">
        <f t="shared" ref="C69:F69" si="19">(C68/C67)*C51</f>
        <v>407.42893073223621</v>
      </c>
      <c r="D69" s="12">
        <f t="shared" si="19"/>
        <v>410.94859980521943</v>
      </c>
      <c r="E69" s="12">
        <f t="shared" si="19"/>
        <v>400.99486476685979</v>
      </c>
      <c r="F69" s="12">
        <f t="shared" si="19"/>
        <v>306.91079136539895</v>
      </c>
      <c r="G69" s="12"/>
      <c r="H69" s="12"/>
      <c r="I69" s="4"/>
      <c r="J69" s="4"/>
      <c r="K69" s="4"/>
      <c r="L69" s="4"/>
    </row>
    <row r="70" spans="1:12" ht="15.6" x14ac:dyDescent="0.35">
      <c r="A70" s="13" t="s">
        <v>32</v>
      </c>
      <c r="B70" s="12">
        <f>B22/B16</f>
        <v>272060.19278704352</v>
      </c>
      <c r="C70" s="12">
        <f t="shared" ref="C70:F71" si="20">C22/C16</f>
        <v>205392</v>
      </c>
      <c r="D70" s="12">
        <f t="shared" si="20"/>
        <v>205392</v>
      </c>
      <c r="E70" s="12">
        <f t="shared" si="20"/>
        <v>205392</v>
      </c>
      <c r="F70" s="12">
        <f t="shared" si="20"/>
        <v>1056494.73</v>
      </c>
      <c r="G70" s="12"/>
      <c r="H70" s="12"/>
      <c r="I70" s="4"/>
      <c r="J70" s="4"/>
      <c r="K70" s="4"/>
      <c r="L70" s="4"/>
    </row>
    <row r="71" spans="1:12" ht="15.6" x14ac:dyDescent="0.35">
      <c r="A71" s="13" t="s">
        <v>33</v>
      </c>
      <c r="B71" s="12">
        <f>B23/B17</f>
        <v>575568.05932409759</v>
      </c>
      <c r="C71" s="12">
        <f t="shared" si="20"/>
        <v>489891.81767141551</v>
      </c>
      <c r="D71" s="12">
        <f t="shared" si="20"/>
        <v>489000.85683496849</v>
      </c>
      <c r="E71" s="12">
        <f t="shared" si="20"/>
        <v>491577.3012349187</v>
      </c>
      <c r="F71" s="12">
        <f t="shared" si="20"/>
        <v>2098695.7506551854</v>
      </c>
      <c r="G71" s="12"/>
      <c r="H71" s="12"/>
      <c r="I71" s="4"/>
      <c r="J71" s="4"/>
      <c r="K71" s="4"/>
      <c r="L71" s="4"/>
    </row>
    <row r="72" spans="1:12" ht="15.6" x14ac:dyDescent="0.35">
      <c r="A72" s="5"/>
      <c r="B72" s="12"/>
      <c r="C72" s="12"/>
      <c r="D72" s="12"/>
      <c r="E72" s="12"/>
      <c r="F72" s="12"/>
      <c r="G72" s="12"/>
      <c r="H72" s="12"/>
      <c r="I72" s="4"/>
      <c r="J72" s="4"/>
      <c r="K72" s="4"/>
      <c r="L72" s="4"/>
    </row>
    <row r="73" spans="1:12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  <c r="I73" s="4"/>
      <c r="J73" s="4"/>
      <c r="K73" s="4"/>
      <c r="L73" s="4"/>
    </row>
    <row r="74" spans="1:12" ht="15.6" x14ac:dyDescent="0.35">
      <c r="A74" s="5" t="s">
        <v>27</v>
      </c>
      <c r="B74" s="12">
        <f>(B29/B28)*100</f>
        <v>213.69996047403296</v>
      </c>
      <c r="C74" s="12"/>
      <c r="D74" s="12"/>
      <c r="E74" s="12"/>
      <c r="F74" s="12"/>
      <c r="G74" s="12"/>
      <c r="H74" s="12"/>
      <c r="I74" s="4"/>
      <c r="J74" s="4"/>
      <c r="K74" s="4"/>
      <c r="L74" s="4"/>
    </row>
    <row r="75" spans="1:12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  <c r="I75" s="4"/>
      <c r="J75" s="4"/>
      <c r="K75" s="4"/>
      <c r="L75" s="4"/>
    </row>
    <row r="76" spans="1:12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12" ht="16.2" thickTop="1" x14ac:dyDescent="0.3">
      <c r="A77" s="25" t="s">
        <v>85</v>
      </c>
      <c r="B77" s="25"/>
      <c r="C77" s="25"/>
      <c r="D77" s="25"/>
      <c r="E77" s="25"/>
      <c r="F77" s="25"/>
      <c r="G77" s="25"/>
      <c r="H77" s="25"/>
    </row>
    <row r="81" s="3" customFormat="1" x14ac:dyDescent="0.3"/>
    <row r="82" s="3" customFormat="1" x14ac:dyDescent="0.3"/>
    <row r="83" s="3" customFormat="1" x14ac:dyDescent="0.3"/>
    <row r="84" s="3" customFormat="1" x14ac:dyDescent="0.3"/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scale="32" orientation="portrait" r:id="rId1"/>
  <ignoredErrors>
    <ignoredError sqref="C15:C18 C21:C24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77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7" spans="1:8" x14ac:dyDescent="0.3">
      <c r="G7" s="1"/>
    </row>
    <row r="9" spans="1:8" s="2" customFormat="1" ht="20.25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58</v>
      </c>
      <c r="B15" s="8">
        <f>+C15+F15</f>
        <v>143049.66666666666</v>
      </c>
      <c r="C15" s="8">
        <f>+D15+E15</f>
        <v>138038.5</v>
      </c>
      <c r="D15" s="8">
        <f>(+'I Trimestre'!D15+'II Trimestre'!D15)/2</f>
        <v>105863.5</v>
      </c>
      <c r="E15" s="8">
        <f>(+'I Trimestre'!E15+'II Trimestre'!E15)/2</f>
        <v>32175</v>
      </c>
      <c r="F15" s="8">
        <f>(+'I Trimestre'!F15+'II Trimestre'!F15)/2</f>
        <v>5011.1666666666661</v>
      </c>
      <c r="G15" s="8"/>
      <c r="H15" s="8"/>
    </row>
    <row r="16" spans="1:8" ht="15.6" x14ac:dyDescent="0.35">
      <c r="A16" s="7" t="s">
        <v>92</v>
      </c>
      <c r="B16" s="8">
        <f t="shared" ref="B16:B18" si="0">+C16+F16</f>
        <v>146351</v>
      </c>
      <c r="C16" s="8">
        <f>+D16+E16</f>
        <v>141188</v>
      </c>
      <c r="D16" s="8">
        <f>(+'I Trimestre'!D16+'II Trimestre'!D16)/2</f>
        <v>91289</v>
      </c>
      <c r="E16" s="8">
        <f>(+'I Trimestre'!E16+'II Trimestre'!E16)/2</f>
        <v>49899</v>
      </c>
      <c r="F16" s="8">
        <f>(+'I Trimestre'!F16+'II Trimestre'!F16)/2</f>
        <v>5163</v>
      </c>
      <c r="G16" s="8"/>
      <c r="H16" s="8"/>
    </row>
    <row r="17" spans="1:8" ht="15.6" x14ac:dyDescent="0.35">
      <c r="A17" s="7" t="s">
        <v>93</v>
      </c>
      <c r="B17" s="8">
        <f>+C17+F17</f>
        <v>147832</v>
      </c>
      <c r="C17" s="8">
        <f>+D17+E17</f>
        <v>142490</v>
      </c>
      <c r="D17" s="8">
        <f>'II Trimestre'!D17</f>
        <v>93215.5</v>
      </c>
      <c r="E17" s="8">
        <f>'II Trimestre'!E17</f>
        <v>49274.5</v>
      </c>
      <c r="F17" s="8">
        <f>'II Trimestre'!F17</f>
        <v>5342</v>
      </c>
      <c r="G17" s="8"/>
      <c r="H17" s="8"/>
    </row>
    <row r="18" spans="1:8" ht="15.6" x14ac:dyDescent="0.35">
      <c r="A18" s="7" t="s">
        <v>80</v>
      </c>
      <c r="B18" s="8">
        <f t="shared" si="0"/>
        <v>146351</v>
      </c>
      <c r="C18" s="8">
        <f t="shared" ref="C18" si="1">+D18+E18</f>
        <v>141188</v>
      </c>
      <c r="D18" s="8">
        <f>'II Trimestre'!D18</f>
        <v>91289</v>
      </c>
      <c r="E18" s="8">
        <f>'II Trimestre'!E18</f>
        <v>49899</v>
      </c>
      <c r="F18" s="8">
        <f>'II Trimestre'!F18</f>
        <v>5163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58</v>
      </c>
      <c r="B21" s="8">
        <f>+C21+F21+G21+H21</f>
        <v>81385595808.52002</v>
      </c>
      <c r="C21" s="8">
        <f>+SUM(D21:E21)</f>
        <v>67317557083.82</v>
      </c>
      <c r="D21" s="8">
        <f>+'I Trimestre'!D21+'II Trimestre'!D21</f>
        <v>52866244581.529999</v>
      </c>
      <c r="E21" s="8">
        <f>+'I Trimestre'!E21+'II Trimestre'!E21</f>
        <v>14451312502.289999</v>
      </c>
      <c r="F21" s="8">
        <f>+'I Trimestre'!F21+'II Trimestre'!F21</f>
        <v>1521655617.03</v>
      </c>
      <c r="G21" s="8">
        <f>+'I Trimestre'!G21+'II Trimestre'!G21</f>
        <v>9836840169.0699997</v>
      </c>
      <c r="H21" s="8">
        <f>+'I Trimestre'!H21+'II Trimestre'!H21</f>
        <v>2709542938.5999999</v>
      </c>
    </row>
    <row r="22" spans="1:8" ht="15.6" x14ac:dyDescent="0.35">
      <c r="A22" s="7" t="s">
        <v>92</v>
      </c>
      <c r="B22" s="8">
        <f t="shared" ref="B22:B23" si="2">+C22+F22+G22+H22</f>
        <v>80308364859.777725</v>
      </c>
      <c r="C22" s="8">
        <f>+SUM(D22:E22)</f>
        <v>57997771392</v>
      </c>
      <c r="D22" s="8">
        <f>+'I Trimestre'!D22+'II Trimestre'!D22</f>
        <v>37500060576</v>
      </c>
      <c r="E22" s="8">
        <f>+'I Trimestre'!E22+'II Trimestre'!E22</f>
        <v>20497710816</v>
      </c>
      <c r="F22" s="8">
        <f>+'I Trimestre'!F22+'II Trimestre'!F22</f>
        <v>10909364581.98</v>
      </c>
      <c r="G22" s="8">
        <f>+'I Trimestre'!G22+'II Trimestre'!G22</f>
        <v>9474731196.4222507</v>
      </c>
      <c r="H22" s="8">
        <f>+'I Trimestre'!H22+'II Trimestre'!H22</f>
        <v>1926497689.3754783</v>
      </c>
    </row>
    <row r="23" spans="1:8" ht="15.6" x14ac:dyDescent="0.35">
      <c r="A23" s="7" t="s">
        <v>93</v>
      </c>
      <c r="B23" s="8">
        <f t="shared" si="2"/>
        <v>85087377346</v>
      </c>
      <c r="C23" s="8">
        <f t="shared" ref="C23:C24" si="3">+SUM(D23:E23)</f>
        <v>69804685100</v>
      </c>
      <c r="D23" s="8">
        <f>+'I Trimestre'!D23+'II Trimestre'!D23</f>
        <v>45582459370.300003</v>
      </c>
      <c r="E23" s="8">
        <f>+'I Trimestre'!E23+'II Trimestre'!E23</f>
        <v>24222225729.700001</v>
      </c>
      <c r="F23" s="8">
        <f>+'I Trimestre'!F23+'II Trimestre'!F23</f>
        <v>11211232700</v>
      </c>
      <c r="G23" s="8">
        <f>+'I Trimestre'!G23+'II Trimestre'!G23</f>
        <v>4071459546</v>
      </c>
      <c r="H23" s="8">
        <f>+'I Trimestre'!H23+'II Trimestre'!H23</f>
        <v>0</v>
      </c>
    </row>
    <row r="24" spans="1:8" ht="15.6" x14ac:dyDescent="0.35">
      <c r="A24" s="7" t="s">
        <v>80</v>
      </c>
      <c r="B24" s="8">
        <f>+C24+F24+G24+H24</f>
        <v>170174754692.51001</v>
      </c>
      <c r="C24" s="8">
        <f t="shared" si="3"/>
        <v>125661838016</v>
      </c>
      <c r="D24" s="8">
        <f>+'II Trimestre'!D24</f>
        <v>81250131248</v>
      </c>
      <c r="E24" s="8">
        <f>+'II Trimestre'!E24</f>
        <v>44411706768</v>
      </c>
      <c r="F24" s="8">
        <f>+'II Trimestre'!F24</f>
        <v>23636956594.289997</v>
      </c>
      <c r="G24" s="8">
        <f>+'II Trimestre'!G24</f>
        <v>18949462392.844501</v>
      </c>
      <c r="H24" s="8">
        <f>+'II Trimestre'!H24</f>
        <v>1926497689.3754783</v>
      </c>
    </row>
    <row r="25" spans="1:8" ht="15.6" x14ac:dyDescent="0.35">
      <c r="A25" s="7" t="s">
        <v>94</v>
      </c>
      <c r="B25" s="8">
        <f>+C25+F25+G25</f>
        <v>85087377346</v>
      </c>
      <c r="C25" s="8">
        <f>+C23</f>
        <v>69804685100</v>
      </c>
      <c r="D25" s="8">
        <f t="shared" ref="D25" si="4">+D23</f>
        <v>45582459370.300003</v>
      </c>
      <c r="E25" s="8">
        <f t="shared" ref="E25:G25" si="5">+E23</f>
        <v>24222225729.700001</v>
      </c>
      <c r="F25" s="8">
        <f t="shared" si="5"/>
        <v>11211232700</v>
      </c>
      <c r="G25" s="8">
        <f t="shared" si="5"/>
        <v>4071459546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92</v>
      </c>
      <c r="B28" s="8">
        <f>B22</f>
        <v>80308364859.777725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93</v>
      </c>
      <c r="B29" s="8">
        <f>+'I Trimestre'!B29+'II Trimestre'!B29</f>
        <v>85087377346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59</v>
      </c>
      <c r="B32" s="20">
        <v>1.0973999999999999</v>
      </c>
      <c r="C32" s="20">
        <v>1.0973999999999999</v>
      </c>
      <c r="D32" s="20">
        <v>1.0973999999999999</v>
      </c>
      <c r="E32" s="20">
        <v>1.0973999999999999</v>
      </c>
      <c r="F32" s="20">
        <v>1.0973999999999999</v>
      </c>
      <c r="G32" s="20">
        <v>1.0973999999999999</v>
      </c>
      <c r="H32" s="20">
        <v>1.0973999999999999</v>
      </c>
    </row>
    <row r="33" spans="1:8" ht="15.6" x14ac:dyDescent="0.35">
      <c r="A33" s="7" t="s">
        <v>95</v>
      </c>
      <c r="B33" s="20">
        <v>1.0971</v>
      </c>
      <c r="C33" s="20">
        <v>1.0971</v>
      </c>
      <c r="D33" s="20">
        <v>1.0971</v>
      </c>
      <c r="E33" s="20">
        <v>1.0971</v>
      </c>
      <c r="F33" s="20">
        <v>1.0971</v>
      </c>
      <c r="G33" s="20">
        <v>1.0971</v>
      </c>
      <c r="H33" s="20">
        <v>1.0971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60</v>
      </c>
      <c r="B37" s="8">
        <f>B21/B32</f>
        <v>74162197747.876816</v>
      </c>
      <c r="C37" s="8">
        <f t="shared" ref="C37:H37" si="6">C21/C32</f>
        <v>61342771171.696739</v>
      </c>
      <c r="D37" s="8">
        <f t="shared" si="6"/>
        <v>48174088373.911064</v>
      </c>
      <c r="E37" s="8">
        <f t="shared" si="6"/>
        <v>13168682797.785675</v>
      </c>
      <c r="F37" s="8">
        <f t="shared" si="6"/>
        <v>1386600708.0645163</v>
      </c>
      <c r="G37" s="8">
        <f t="shared" si="6"/>
        <v>8963769062.3929291</v>
      </c>
      <c r="H37" s="8">
        <f t="shared" si="6"/>
        <v>2469056805.7226171</v>
      </c>
    </row>
    <row r="38" spans="1:8" ht="15.6" x14ac:dyDescent="0.35">
      <c r="A38" s="5" t="s">
        <v>96</v>
      </c>
      <c r="B38" s="8">
        <f>B23/B33</f>
        <v>77556628699.298157</v>
      </c>
      <c r="C38" s="8">
        <f t="shared" ref="C38:H38" si="7">C23/C33</f>
        <v>63626547352.110107</v>
      </c>
      <c r="D38" s="8">
        <f t="shared" si="7"/>
        <v>41548135420.927902</v>
      </c>
      <c r="E38" s="8">
        <f t="shared" si="7"/>
        <v>22078411931.182209</v>
      </c>
      <c r="F38" s="8">
        <f t="shared" si="7"/>
        <v>10218970649.895178</v>
      </c>
      <c r="G38" s="8">
        <f t="shared" si="7"/>
        <v>3711110697.2928629</v>
      </c>
      <c r="H38" s="8">
        <f t="shared" si="7"/>
        <v>0</v>
      </c>
    </row>
    <row r="39" spans="1:8" ht="15.6" x14ac:dyDescent="0.35">
      <c r="A39" s="5" t="s">
        <v>61</v>
      </c>
      <c r="B39" s="8">
        <f>B37/B15</f>
        <v>518436.70436988195</v>
      </c>
      <c r="C39" s="8">
        <f t="shared" ref="C39:F39" si="8">C37/C15</f>
        <v>444388.8565269598</v>
      </c>
      <c r="D39" s="8">
        <f t="shared" si="8"/>
        <v>455058.52700799674</v>
      </c>
      <c r="E39" s="8">
        <f t="shared" si="8"/>
        <v>409283.0706382494</v>
      </c>
      <c r="F39" s="8">
        <f t="shared" si="8"/>
        <v>276702.17342558614</v>
      </c>
      <c r="G39" s="8"/>
      <c r="H39" s="8"/>
    </row>
    <row r="40" spans="1:8" ht="15.6" x14ac:dyDescent="0.35">
      <c r="A40" s="5" t="s">
        <v>97</v>
      </c>
      <c r="B40" s="8">
        <f>B38/B17</f>
        <v>524626.79730571294</v>
      </c>
      <c r="C40" s="8">
        <f t="shared" ref="C40:F40" si="9">C38/C17</f>
        <v>446533.42236023658</v>
      </c>
      <c r="D40" s="8">
        <f t="shared" si="9"/>
        <v>445721.31695831596</v>
      </c>
      <c r="E40" s="8">
        <f t="shared" si="9"/>
        <v>448069.73041192116</v>
      </c>
      <c r="F40" s="8">
        <f t="shared" si="9"/>
        <v>1912948.4556149715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88.81168531689201</v>
      </c>
      <c r="C45" s="12">
        <f>(C16/C34)*100</f>
        <v>95.717433307345516</v>
      </c>
      <c r="D45" s="12"/>
      <c r="E45" s="12"/>
      <c r="F45" s="12">
        <f>(F16/F34)*100</f>
        <v>29.87328588786669</v>
      </c>
      <c r="G45" s="12"/>
      <c r="H45" s="12"/>
    </row>
    <row r="46" spans="1:8" ht="15.6" x14ac:dyDescent="0.35">
      <c r="A46" s="5" t="s">
        <v>10</v>
      </c>
      <c r="B46" s="12">
        <f>(B17/B34)*100</f>
        <v>89.710415806976243</v>
      </c>
      <c r="C46" s="12">
        <f>(C17/C34)*100</f>
        <v>96.600115250330504</v>
      </c>
      <c r="D46" s="12"/>
      <c r="E46" s="12"/>
      <c r="F46" s="12">
        <f>(F17/F34)*100</f>
        <v>30.908985708499682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101.01195072121133</v>
      </c>
      <c r="C49" s="12">
        <f t="shared" ref="C49:F49" si="10">C17/C16*100</f>
        <v>100.92217468906706</v>
      </c>
      <c r="D49" s="12">
        <f t="shared" si="10"/>
        <v>102.11033092705584</v>
      </c>
      <c r="E49" s="12">
        <f t="shared" si="10"/>
        <v>98.748471913264794</v>
      </c>
      <c r="F49" s="12">
        <f t="shared" si="10"/>
        <v>103.46697656401318</v>
      </c>
      <c r="G49" s="12"/>
      <c r="H49" s="12"/>
    </row>
    <row r="50" spans="1:8" ht="15.6" x14ac:dyDescent="0.35">
      <c r="A50" s="5" t="s">
        <v>13</v>
      </c>
      <c r="B50" s="12">
        <f>B23/B22*100</f>
        <v>105.95082778060126</v>
      </c>
      <c r="C50" s="12">
        <f t="shared" ref="C50:F50" si="11">C23/C22*100</f>
        <v>120.35752999576221</v>
      </c>
      <c r="D50" s="12">
        <f t="shared" si="11"/>
        <v>121.55302863556633</v>
      </c>
      <c r="E50" s="12">
        <f t="shared" si="11"/>
        <v>118.1703944754296</v>
      </c>
      <c r="F50" s="12">
        <f t="shared" si="11"/>
        <v>102.76705499895589</v>
      </c>
      <c r="G50" s="12">
        <f t="shared" ref="G50:H50" si="12">G23/G22*100</f>
        <v>42.971768397370703</v>
      </c>
      <c r="H50" s="12">
        <f t="shared" si="12"/>
        <v>0</v>
      </c>
    </row>
    <row r="51" spans="1:8" ht="15.6" x14ac:dyDescent="0.35">
      <c r="A51" s="5" t="s">
        <v>14</v>
      </c>
      <c r="B51" s="12">
        <f>AVERAGE(B49:B50)</f>
        <v>103.48138925090629</v>
      </c>
      <c r="C51" s="12">
        <f t="shared" ref="C51:F51" si="13">AVERAGE(C49:C50)</f>
        <v>110.63985234241463</v>
      </c>
      <c r="D51" s="12">
        <f t="shared" si="13"/>
        <v>111.8316797813111</v>
      </c>
      <c r="E51" s="12">
        <f t="shared" si="13"/>
        <v>108.4594331943472</v>
      </c>
      <c r="F51" s="12">
        <f t="shared" si="13"/>
        <v>103.11701578148453</v>
      </c>
      <c r="G51" s="12">
        <f t="shared" ref="G51:H51" si="14">AVERAGE(G49:G50)</f>
        <v>42.971768397370703</v>
      </c>
      <c r="H51" s="12">
        <f t="shared" si="14"/>
        <v>0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101.01195072121133</v>
      </c>
      <c r="C54" s="12">
        <f t="shared" ref="C54:F54" si="15">C17/C18*100</f>
        <v>100.92217468906706</v>
      </c>
      <c r="D54" s="12">
        <f t="shared" si="15"/>
        <v>102.11033092705584</v>
      </c>
      <c r="E54" s="12">
        <f t="shared" si="15"/>
        <v>98.748471913264794</v>
      </c>
      <c r="F54" s="12">
        <f t="shared" si="15"/>
        <v>103.46697656401318</v>
      </c>
      <c r="G54" s="12"/>
      <c r="H54" s="12"/>
    </row>
    <row r="55" spans="1:8" ht="15.6" x14ac:dyDescent="0.35">
      <c r="A55" s="5" t="s">
        <v>17</v>
      </c>
      <c r="B55" s="12">
        <f>B23/B24*100</f>
        <v>49.999999999850154</v>
      </c>
      <c r="C55" s="12">
        <f t="shared" ref="C55:H55" si="16">C23/C24*100</f>
        <v>55.549629228813338</v>
      </c>
      <c r="D55" s="12">
        <f t="shared" si="16"/>
        <v>56.101397831799851</v>
      </c>
      <c r="E55" s="12">
        <f t="shared" si="16"/>
        <v>54.540182065582897</v>
      </c>
      <c r="F55" s="12">
        <f t="shared" si="16"/>
        <v>47.430948461056566</v>
      </c>
      <c r="G55" s="12">
        <f t="shared" si="16"/>
        <v>21.485884198685351</v>
      </c>
      <c r="H55" s="12">
        <f t="shared" si="16"/>
        <v>0</v>
      </c>
    </row>
    <row r="56" spans="1:8" ht="15.6" x14ac:dyDescent="0.35">
      <c r="A56" s="5" t="s">
        <v>18</v>
      </c>
      <c r="B56" s="12">
        <f>AVERAGE(B54:B55)</f>
        <v>75.505975360530741</v>
      </c>
      <c r="C56" s="12">
        <f t="shared" ref="C56:H56" si="17">AVERAGE(C54:C55)</f>
        <v>78.235901958940204</v>
      </c>
      <c r="D56" s="12">
        <f t="shared" si="17"/>
        <v>79.105864379427842</v>
      </c>
      <c r="E56" s="12">
        <f t="shared" si="17"/>
        <v>76.644326989423845</v>
      </c>
      <c r="F56" s="12">
        <f t="shared" si="17"/>
        <v>75.448962512534877</v>
      </c>
      <c r="G56" s="12">
        <f t="shared" si="17"/>
        <v>21.485884198685351</v>
      </c>
      <c r="H56" s="12">
        <f t="shared" si="17"/>
        <v>0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100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3.3431279112849044</v>
      </c>
      <c r="C62" s="12">
        <f t="shared" ref="C62:F62" si="18">((C17/C15)-1)*100</f>
        <v>3.224824958254402</v>
      </c>
      <c r="D62" s="12"/>
      <c r="E62" s="12"/>
      <c r="F62" s="12">
        <f t="shared" si="18"/>
        <v>6.6019223733661647</v>
      </c>
      <c r="G62" s="12"/>
      <c r="H62" s="12"/>
    </row>
    <row r="63" spans="1:8" ht="15.6" x14ac:dyDescent="0.35">
      <c r="A63" s="5" t="s">
        <v>22</v>
      </c>
      <c r="B63" s="12">
        <f>((B38/B37)-1)*100</f>
        <v>4.5770366231069781</v>
      </c>
      <c r="C63" s="12">
        <f t="shared" ref="C63:H63" si="19">((C38/C37)-1)*100</f>
        <v>3.7229752370024904</v>
      </c>
      <c r="D63" s="12"/>
      <c r="E63" s="12"/>
      <c r="F63" s="12">
        <f t="shared" si="19"/>
        <v>636.98005420459549</v>
      </c>
      <c r="G63" s="12">
        <f t="shared" si="19"/>
        <v>-58.598769429896926</v>
      </c>
      <c r="H63" s="12">
        <f t="shared" si="19"/>
        <v>-100</v>
      </c>
    </row>
    <row r="64" spans="1:8" ht="15.6" x14ac:dyDescent="0.35">
      <c r="A64" s="5" t="s">
        <v>23</v>
      </c>
      <c r="B64" s="12">
        <f>((B40/B39)-1)*100</f>
        <v>1.1939920309760099</v>
      </c>
      <c r="C64" s="12">
        <f t="shared" ref="C64:F64" si="20">((C40/C39)-1)*100</f>
        <v>0.48258767108546596</v>
      </c>
      <c r="D64" s="12"/>
      <c r="E64" s="12"/>
      <c r="F64" s="12">
        <f t="shared" si="20"/>
        <v>591.33842786002663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B22/(B16*6)</f>
        <v>91456.344518517959</v>
      </c>
      <c r="C67" s="12">
        <f t="shared" ref="C67:F67" si="21">C22/(C16*6)</f>
        <v>68464</v>
      </c>
      <c r="D67" s="12">
        <f t="shared" si="21"/>
        <v>68464</v>
      </c>
      <c r="E67" s="12">
        <f t="shared" si="21"/>
        <v>68464</v>
      </c>
      <c r="F67" s="12">
        <f t="shared" si="21"/>
        <v>352164.91</v>
      </c>
      <c r="G67" s="12"/>
      <c r="H67" s="12"/>
    </row>
    <row r="68" spans="1:8" ht="15.6" x14ac:dyDescent="0.35">
      <c r="A68" s="5" t="s">
        <v>31</v>
      </c>
      <c r="B68" s="12">
        <f>B23/(B17*6)</f>
        <v>95928.009887349603</v>
      </c>
      <c r="C68" s="12">
        <f t="shared" ref="C68:F68" si="22">C23/(C17*6)</f>
        <v>81648.636278569262</v>
      </c>
      <c r="D68" s="12">
        <f t="shared" si="22"/>
        <v>81500.142805828073</v>
      </c>
      <c r="E68" s="12">
        <f t="shared" si="22"/>
        <v>81929.550205819774</v>
      </c>
      <c r="F68" s="12">
        <f t="shared" si="22"/>
        <v>349782.62510919757</v>
      </c>
      <c r="G68" s="12"/>
      <c r="H68" s="12"/>
    </row>
    <row r="69" spans="1:8" ht="15.6" x14ac:dyDescent="0.35">
      <c r="A69" s="5" t="s">
        <v>25</v>
      </c>
      <c r="B69" s="12">
        <f>(B68/B67)*B51</f>
        <v>108.54100700698412</v>
      </c>
      <c r="C69" s="12">
        <f t="shared" ref="C69:F69" si="23">(C68/C67)*C51</f>
        <v>131.94661518199962</v>
      </c>
      <c r="D69" s="12">
        <f t="shared" si="23"/>
        <v>133.12540711019645</v>
      </c>
      <c r="E69" s="12">
        <f t="shared" si="23"/>
        <v>129.79131481057235</v>
      </c>
      <c r="F69" s="12">
        <f t="shared" si="23"/>
        <v>102.41946159108871</v>
      </c>
      <c r="G69" s="12"/>
      <c r="H69" s="12"/>
    </row>
    <row r="70" spans="1:8" ht="15.6" x14ac:dyDescent="0.35">
      <c r="A70" s="13" t="s">
        <v>35</v>
      </c>
      <c r="B70" s="12">
        <f>B22/B16</f>
        <v>548738.06711110775</v>
      </c>
      <c r="C70" s="12">
        <f t="shared" ref="C70:F70" si="24">C22/C16</f>
        <v>410784</v>
      </c>
      <c r="D70" s="12">
        <f t="shared" si="24"/>
        <v>410784</v>
      </c>
      <c r="E70" s="12">
        <f t="shared" si="24"/>
        <v>410784</v>
      </c>
      <c r="F70" s="12">
        <f t="shared" si="24"/>
        <v>2112989.46</v>
      </c>
      <c r="G70" s="12"/>
      <c r="H70" s="12"/>
    </row>
    <row r="71" spans="1:8" ht="15.6" x14ac:dyDescent="0.35">
      <c r="A71" s="13" t="s">
        <v>36</v>
      </c>
      <c r="B71" s="12">
        <f>B23/B17</f>
        <v>575568.05932409759</v>
      </c>
      <c r="C71" s="12">
        <f t="shared" ref="C71:F71" si="25">C23/C17</f>
        <v>489891.81767141551</v>
      </c>
      <c r="D71" s="12">
        <f t="shared" si="25"/>
        <v>489000.85683496849</v>
      </c>
      <c r="E71" s="12">
        <f t="shared" si="25"/>
        <v>491577.3012349187</v>
      </c>
      <c r="F71" s="12">
        <f t="shared" si="25"/>
        <v>2098695.7506551854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105.95082778060126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5" t="s">
        <v>85</v>
      </c>
      <c r="B77" s="25"/>
      <c r="C77" s="25"/>
      <c r="D77" s="25"/>
      <c r="E77" s="25"/>
      <c r="F77" s="25"/>
      <c r="G77" s="25"/>
      <c r="H77" s="25"/>
    </row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H91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16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62</v>
      </c>
      <c r="B15" s="8">
        <f>+C15+F15</f>
        <v>144965</v>
      </c>
      <c r="C15" s="8">
        <f>+D15+E15</f>
        <v>139891</v>
      </c>
      <c r="D15" s="8">
        <v>107685.33333333333</v>
      </c>
      <c r="E15" s="8">
        <v>32205.666666666668</v>
      </c>
      <c r="F15" s="8">
        <v>5074</v>
      </c>
      <c r="G15" s="8"/>
      <c r="H15" s="8"/>
    </row>
    <row r="16" spans="1:8" ht="15.6" x14ac:dyDescent="0.35">
      <c r="A16" s="7" t="s">
        <v>98</v>
      </c>
      <c r="B16" s="8">
        <f t="shared" ref="B16:B18" si="0">+C16+F16</f>
        <v>149462.66666666666</v>
      </c>
      <c r="C16" s="8">
        <f>+D16+E16</f>
        <v>144178.33333333331</v>
      </c>
      <c r="D16" s="8">
        <v>94279.333333333328</v>
      </c>
      <c r="E16" s="8">
        <v>49899</v>
      </c>
      <c r="F16" s="8">
        <v>5284.333333333333</v>
      </c>
      <c r="G16" s="8"/>
      <c r="H16" s="8"/>
    </row>
    <row r="17" spans="1:8" ht="15.6" x14ac:dyDescent="0.35">
      <c r="A17" s="7" t="s">
        <v>99</v>
      </c>
      <c r="B17" s="8">
        <f t="shared" si="0"/>
        <v>149961.33333333334</v>
      </c>
      <c r="C17" s="8">
        <f t="shared" ref="C17:C18" si="1">+D17+E17</f>
        <v>144486</v>
      </c>
      <c r="D17" s="8">
        <v>94924.333333333328</v>
      </c>
      <c r="E17" s="8">
        <v>49561.666666666664</v>
      </c>
      <c r="F17" s="8">
        <v>5475.333333333333</v>
      </c>
      <c r="G17" s="8"/>
      <c r="H17" s="8"/>
    </row>
    <row r="18" spans="1:8" ht="15.6" x14ac:dyDescent="0.35">
      <c r="A18" s="7" t="s">
        <v>80</v>
      </c>
      <c r="B18" s="8">
        <f t="shared" si="0"/>
        <v>148560.16666666666</v>
      </c>
      <c r="C18" s="8">
        <f t="shared" si="1"/>
        <v>143250.83333333331</v>
      </c>
      <c r="D18" s="8">
        <v>93323.583333333299</v>
      </c>
      <c r="E18" s="8">
        <v>49927.25</v>
      </c>
      <c r="F18" s="8">
        <v>5309.3333333333303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62</v>
      </c>
      <c r="B21" s="8">
        <f>+C21+F21+G21+H21</f>
        <v>40192797903.749992</v>
      </c>
      <c r="C21" s="8">
        <f>+D21+E21</f>
        <v>32985869831.939995</v>
      </c>
      <c r="D21" s="8">
        <v>25860911936.069996</v>
      </c>
      <c r="E21" s="8">
        <v>7124957895.8699989</v>
      </c>
      <c r="F21" s="11">
        <v>599730085.01999998</v>
      </c>
      <c r="G21" s="8">
        <v>5397563017.4700003</v>
      </c>
      <c r="H21" s="8">
        <v>1209634969.3199999</v>
      </c>
    </row>
    <row r="22" spans="1:8" ht="15.6" x14ac:dyDescent="0.35">
      <c r="A22" s="7" t="s">
        <v>98</v>
      </c>
      <c r="B22" s="8">
        <f t="shared" ref="B22:B24" si="2">+C22+F22+G22+H22</f>
        <v>42256625139.190002</v>
      </c>
      <c r="C22" s="8">
        <f>+D22+E22</f>
        <v>31581007600</v>
      </c>
      <c r="D22" s="8">
        <v>20656719328</v>
      </c>
      <c r="E22" s="8">
        <v>10924288272</v>
      </c>
      <c r="F22" s="8">
        <v>5946076912.3500004</v>
      </c>
      <c r="G22" s="8">
        <v>4729540626.8400002</v>
      </c>
      <c r="H22" s="8">
        <v>0</v>
      </c>
    </row>
    <row r="23" spans="1:8" ht="15.6" x14ac:dyDescent="0.35">
      <c r="A23" s="7" t="s">
        <v>99</v>
      </c>
      <c r="B23" s="8">
        <f t="shared" si="2"/>
        <v>42543688673.989998</v>
      </c>
      <c r="C23" s="8">
        <f t="shared" ref="C23:C24" si="3">+D23+E23</f>
        <v>35592723700</v>
      </c>
      <c r="D23" s="8">
        <v>23382114076.700001</v>
      </c>
      <c r="E23" s="8">
        <v>12210609623.299999</v>
      </c>
      <c r="F23" s="11">
        <v>6141543100</v>
      </c>
      <c r="G23" s="8">
        <v>809421873.99000001</v>
      </c>
      <c r="H23" s="8">
        <v>0</v>
      </c>
    </row>
    <row r="24" spans="1:8" ht="15.6" x14ac:dyDescent="0.35">
      <c r="A24" s="7" t="s">
        <v>80</v>
      </c>
      <c r="B24" s="8">
        <f t="shared" si="2"/>
        <v>178322154692.50937</v>
      </c>
      <c r="C24" s="8">
        <f t="shared" si="3"/>
        <v>137373169158.66666</v>
      </c>
      <c r="D24" s="8">
        <v>89529433237.333328</v>
      </c>
      <c r="E24" s="8">
        <v>47843735921.333336</v>
      </c>
      <c r="F24" s="8">
        <v>24818216021.205002</v>
      </c>
      <c r="G24" s="8">
        <v>14204271823.262251</v>
      </c>
      <c r="H24" s="8">
        <v>1926497689.3754783</v>
      </c>
    </row>
    <row r="25" spans="1:8" ht="15.6" x14ac:dyDescent="0.35">
      <c r="A25" s="7" t="s">
        <v>100</v>
      </c>
      <c r="B25" s="8">
        <f>+C25+F25+G25</f>
        <v>42543688673.989998</v>
      </c>
      <c r="C25" s="8">
        <f>+C23</f>
        <v>35592723700</v>
      </c>
      <c r="D25" s="8">
        <f>+D23</f>
        <v>23382114076.700001</v>
      </c>
      <c r="E25" s="8">
        <f>+E23</f>
        <v>12210609623.299999</v>
      </c>
      <c r="F25" s="8">
        <f t="shared" ref="F25:G25" si="4">F23</f>
        <v>6141543100</v>
      </c>
      <c r="G25" s="8">
        <f t="shared" si="4"/>
        <v>809421873.99000001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98</v>
      </c>
      <c r="B28" s="8">
        <f>B22</f>
        <v>42256625139.190002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99</v>
      </c>
      <c r="B29" s="8">
        <v>42543688673.989998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63</v>
      </c>
      <c r="B32" s="20">
        <v>1.0948</v>
      </c>
      <c r="C32" s="20">
        <v>1.0948</v>
      </c>
      <c r="D32" s="20">
        <v>1.0948</v>
      </c>
      <c r="E32" s="20">
        <v>1.0948</v>
      </c>
      <c r="F32" s="20">
        <v>1.0948</v>
      </c>
      <c r="G32" s="20">
        <v>1.0948</v>
      </c>
      <c r="H32" s="20">
        <v>1.0948</v>
      </c>
    </row>
    <row r="33" spans="1:8" ht="15.6" x14ac:dyDescent="0.35">
      <c r="A33" s="7" t="s">
        <v>101</v>
      </c>
      <c r="B33" s="20">
        <v>1.0932999999999999</v>
      </c>
      <c r="C33" s="20">
        <v>1.0932999999999999</v>
      </c>
      <c r="D33" s="20">
        <v>1.0932999999999999</v>
      </c>
      <c r="E33" s="20">
        <v>1.0932999999999999</v>
      </c>
      <c r="F33" s="20">
        <v>1.0932999999999999</v>
      </c>
      <c r="G33" s="20">
        <v>1.0932999999999999</v>
      </c>
      <c r="H33" s="20">
        <v>1.0932999999999999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64</v>
      </c>
      <c r="B37" s="8">
        <f>B21/B32</f>
        <v>36712456981.868828</v>
      </c>
      <c r="C37" s="8">
        <f t="shared" ref="C37:H37" si="5">C21/C32</f>
        <v>30129585158.87833</v>
      </c>
      <c r="D37" s="8">
        <f t="shared" si="5"/>
        <v>23621585619.355129</v>
      </c>
      <c r="E37" s="8">
        <f t="shared" si="5"/>
        <v>6507999539.5232</v>
      </c>
      <c r="F37" s="8">
        <f t="shared" si="5"/>
        <v>547798762.34928751</v>
      </c>
      <c r="G37" s="8">
        <f t="shared" si="5"/>
        <v>4930181784.3167706</v>
      </c>
      <c r="H37" s="8">
        <f t="shared" si="5"/>
        <v>1104891276.3244429</v>
      </c>
    </row>
    <row r="38" spans="1:8" ht="15.6" x14ac:dyDescent="0.35">
      <c r="A38" s="5" t="s">
        <v>102</v>
      </c>
      <c r="B38" s="8">
        <f>B23/B33</f>
        <v>38913096747.452667</v>
      </c>
      <c r="C38" s="8">
        <f t="shared" ref="C38:H38" si="6">C23/C33</f>
        <v>32555312997.347481</v>
      </c>
      <c r="D38" s="8">
        <f t="shared" si="6"/>
        <v>21386731982.712891</v>
      </c>
      <c r="E38" s="8">
        <f t="shared" si="6"/>
        <v>11168581014.634592</v>
      </c>
      <c r="F38" s="8">
        <f t="shared" si="6"/>
        <v>5617436293.7894449</v>
      </c>
      <c r="G38" s="8">
        <f t="shared" si="6"/>
        <v>740347456.31574142</v>
      </c>
      <c r="H38" s="8">
        <f t="shared" si="6"/>
        <v>0</v>
      </c>
    </row>
    <row r="39" spans="1:8" ht="15.6" x14ac:dyDescent="0.35">
      <c r="A39" s="5" t="s">
        <v>65</v>
      </c>
      <c r="B39" s="8">
        <f>B37/B15</f>
        <v>253250.48792376663</v>
      </c>
      <c r="C39" s="8">
        <f t="shared" ref="C39:F39" si="7">C37/C15</f>
        <v>215379.01050731161</v>
      </c>
      <c r="D39" s="8">
        <f t="shared" si="7"/>
        <v>219357.50104646065</v>
      </c>
      <c r="E39" s="8">
        <f t="shared" si="7"/>
        <v>202076.22487315483</v>
      </c>
      <c r="F39" s="8">
        <f t="shared" si="7"/>
        <v>107961.91611140866</v>
      </c>
      <c r="G39" s="8"/>
      <c r="H39" s="8"/>
    </row>
    <row r="40" spans="1:8" ht="15.6" x14ac:dyDescent="0.35">
      <c r="A40" s="5" t="s">
        <v>103</v>
      </c>
      <c r="B40" s="8">
        <f>B38/B17</f>
        <v>259487.53510317768</v>
      </c>
      <c r="C40" s="8">
        <f t="shared" ref="C40:F40" si="8">C38/C17</f>
        <v>225318.11384734494</v>
      </c>
      <c r="D40" s="8">
        <f t="shared" si="8"/>
        <v>225302.94637531886</v>
      </c>
      <c r="E40" s="8">
        <f t="shared" si="8"/>
        <v>225347.16376166916</v>
      </c>
      <c r="F40" s="8">
        <f t="shared" si="8"/>
        <v>1025953.2985126224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90.699970062544992</v>
      </c>
      <c r="C45" s="12">
        <f>(C16/C34)*100</f>
        <v>97.744709218896517</v>
      </c>
      <c r="D45" s="12"/>
      <c r="E45" s="12"/>
      <c r="F45" s="12">
        <f>(F16/F34)*100</f>
        <v>30.575324499990352</v>
      </c>
      <c r="G45" s="12"/>
      <c r="H45" s="12"/>
    </row>
    <row r="46" spans="1:8" ht="15.6" x14ac:dyDescent="0.35">
      <c r="A46" s="5" t="s">
        <v>10</v>
      </c>
      <c r="B46" s="12">
        <f>(B17/B34)*100</f>
        <v>91.002581094092619</v>
      </c>
      <c r="C46" s="12">
        <f>(C17/C34)*100</f>
        <v>97.953289718992579</v>
      </c>
      <c r="D46" s="12"/>
      <c r="E46" s="12"/>
      <c r="F46" s="12">
        <f>(F17/F34)*100</f>
        <v>31.680456710833383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100.33363961568999</v>
      </c>
      <c r="C49" s="12">
        <f t="shared" ref="C49:F49" si="9">C17/C16*100</f>
        <v>100.21339313581561</v>
      </c>
      <c r="D49" s="12">
        <f t="shared" si="9"/>
        <v>100.68413720928588</v>
      </c>
      <c r="E49" s="12">
        <f t="shared" si="9"/>
        <v>99.323967748184657</v>
      </c>
      <c r="F49" s="12">
        <f t="shared" si="9"/>
        <v>103.6144578313253</v>
      </c>
      <c r="G49" s="12"/>
      <c r="H49" s="12"/>
    </row>
    <row r="50" spans="1:8" ht="15.6" x14ac:dyDescent="0.35">
      <c r="A50" s="5" t="s">
        <v>13</v>
      </c>
      <c r="B50" s="12">
        <f>B23/B22*100</f>
        <v>100.67933379406054</v>
      </c>
      <c r="C50" s="12">
        <f t="shared" ref="C50:F50" si="10">C23/C22*100</f>
        <v>112.70293890179741</v>
      </c>
      <c r="D50" s="12">
        <f t="shared" si="10"/>
        <v>113.19374439582839</v>
      </c>
      <c r="E50" s="12">
        <f t="shared" si="10"/>
        <v>111.77487557333107</v>
      </c>
      <c r="F50" s="12">
        <f t="shared" si="10"/>
        <v>103.28731347628579</v>
      </c>
      <c r="G50" s="12">
        <f t="shared" ref="G50" si="11">G23/G22*100</f>
        <v>17.114175304818303</v>
      </c>
      <c r="H50" s="12" t="s">
        <v>49</v>
      </c>
    </row>
    <row r="51" spans="1:8" ht="15.6" x14ac:dyDescent="0.35">
      <c r="A51" s="5" t="s">
        <v>14</v>
      </c>
      <c r="B51" s="12">
        <f>AVERAGE(B49:B50)</f>
        <v>100.50648670487527</v>
      </c>
      <c r="C51" s="12">
        <f t="shared" ref="C51:F51" si="12">AVERAGE(C49:C50)</f>
        <v>106.45816601880651</v>
      </c>
      <c r="D51" s="12">
        <f t="shared" si="12"/>
        <v>106.93894080255714</v>
      </c>
      <c r="E51" s="12">
        <f t="shared" si="12"/>
        <v>105.54942166075787</v>
      </c>
      <c r="F51" s="12">
        <f t="shared" si="12"/>
        <v>103.45088565380554</v>
      </c>
      <c r="G51" s="12">
        <f t="shared" ref="G51" si="13">AVERAGE(G49:G50)</f>
        <v>17.114175304818303</v>
      </c>
      <c r="H51" s="12" t="s">
        <v>49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100.94316444179184</v>
      </c>
      <c r="C54" s="12">
        <f t="shared" ref="C54:F54" si="14">C17/C18*100</f>
        <v>100.8622404756226</v>
      </c>
      <c r="D54" s="12">
        <f t="shared" si="14"/>
        <v>101.71526847000985</v>
      </c>
      <c r="E54" s="12">
        <f t="shared" si="14"/>
        <v>99.267767935679743</v>
      </c>
      <c r="F54" s="12">
        <f t="shared" si="14"/>
        <v>103.1265695630337</v>
      </c>
      <c r="G54" s="12"/>
      <c r="H54" s="12"/>
    </row>
    <row r="55" spans="1:8" ht="15.6" x14ac:dyDescent="0.35">
      <c r="A55" s="5" t="s">
        <v>17</v>
      </c>
      <c r="B55" s="12">
        <f>B23/B24*100</f>
        <v>23.857769522441227</v>
      </c>
      <c r="C55" s="12">
        <f t="shared" ref="C55:H55" si="15">C23/C24*100</f>
        <v>25.909516332763815</v>
      </c>
      <c r="D55" s="12">
        <f t="shared" si="15"/>
        <v>26.116678315963888</v>
      </c>
      <c r="E55" s="12">
        <f t="shared" si="15"/>
        <v>25.521856494185975</v>
      </c>
      <c r="F55" s="12">
        <f t="shared" si="15"/>
        <v>24.74611025527615</v>
      </c>
      <c r="G55" s="12">
        <f t="shared" si="15"/>
        <v>5.6984397655951264</v>
      </c>
      <c r="H55" s="12">
        <f t="shared" si="15"/>
        <v>0</v>
      </c>
    </row>
    <row r="56" spans="1:8" ht="15.6" x14ac:dyDescent="0.35">
      <c r="A56" s="5" t="s">
        <v>18</v>
      </c>
      <c r="B56" s="12">
        <f>AVERAGE(B54:B55)</f>
        <v>62.400466982116534</v>
      </c>
      <c r="C56" s="12">
        <f t="shared" ref="C56:H56" si="16">AVERAGE(C54:C55)</f>
        <v>63.385878404193207</v>
      </c>
      <c r="D56" s="12">
        <f t="shared" si="16"/>
        <v>63.915973392986871</v>
      </c>
      <c r="E56" s="12">
        <f t="shared" si="16"/>
        <v>62.394812214932855</v>
      </c>
      <c r="F56" s="12">
        <f t="shared" si="16"/>
        <v>63.936339909154924</v>
      </c>
      <c r="G56" s="12">
        <f t="shared" si="16"/>
        <v>5.6984397655951264</v>
      </c>
      <c r="H56" s="12">
        <f t="shared" si="16"/>
        <v>0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100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3.4465790593131818</v>
      </c>
      <c r="C62" s="12">
        <f t="shared" ref="C62:F62" si="17">((C17/C15)-1)*100</f>
        <v>3.2847002308940443</v>
      </c>
      <c r="D62" s="12"/>
      <c r="E62" s="12"/>
      <c r="F62" s="12">
        <f t="shared" si="17"/>
        <v>7.909604519774005</v>
      </c>
      <c r="G62" s="12"/>
      <c r="H62" s="12"/>
    </row>
    <row r="63" spans="1:8" ht="15.6" x14ac:dyDescent="0.35">
      <c r="A63" s="5" t="s">
        <v>22</v>
      </c>
      <c r="B63" s="12">
        <f>((B38/B37)-1)*100</f>
        <v>5.9942590240437132</v>
      </c>
      <c r="C63" s="12">
        <f t="shared" ref="C63:H63" si="18">((C38/C37)-1)*100</f>
        <v>8.0509831970068113</v>
      </c>
      <c r="D63" s="12"/>
      <c r="E63" s="12"/>
      <c r="F63" s="12">
        <f t="shared" si="18"/>
        <v>925.45618571654506</v>
      </c>
      <c r="G63" s="12">
        <f t="shared" si="18"/>
        <v>-84.983363926441115</v>
      </c>
      <c r="H63" s="12">
        <f t="shared" si="18"/>
        <v>-100</v>
      </c>
    </row>
    <row r="64" spans="1:8" ht="15.6" x14ac:dyDescent="0.35">
      <c r="A64" s="5" t="s">
        <v>23</v>
      </c>
      <c r="B64" s="12">
        <f>((B40/B39)-1)*100</f>
        <v>2.462797695098029</v>
      </c>
      <c r="C64" s="12">
        <f t="shared" ref="C64:F64" si="19">((C40/C39)-1)*100</f>
        <v>4.6147037803834223</v>
      </c>
      <c r="D64" s="12"/>
      <c r="E64" s="12"/>
      <c r="F64" s="12">
        <f t="shared" si="19"/>
        <v>850.29185796768832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 t="shared" ref="B67:B68" si="20">B22/(B16*3)</f>
        <v>94241.204356918563</v>
      </c>
      <c r="C67" s="12">
        <f t="shared" ref="C67:F67" si="21">C22/(C16*3)</f>
        <v>73013.762123296387</v>
      </c>
      <c r="D67" s="12">
        <f t="shared" si="21"/>
        <v>73033.748393073067</v>
      </c>
      <c r="E67" s="12">
        <f t="shared" si="21"/>
        <v>72976</v>
      </c>
      <c r="F67" s="12">
        <f t="shared" si="21"/>
        <v>375075.8160821296</v>
      </c>
      <c r="G67" s="12"/>
      <c r="H67" s="12"/>
    </row>
    <row r="68" spans="1:8" ht="15.6" x14ac:dyDescent="0.35">
      <c r="A68" s="5" t="s">
        <v>31</v>
      </c>
      <c r="B68" s="12">
        <f t="shared" si="20"/>
        <v>94565.907376101386</v>
      </c>
      <c r="C68" s="12">
        <f t="shared" ref="C68:F68" si="22">C23/(C17*3)</f>
        <v>82113.43128976741</v>
      </c>
      <c r="D68" s="12">
        <f t="shared" si="22"/>
        <v>82107.903757378692</v>
      </c>
      <c r="E68" s="12">
        <f t="shared" si="22"/>
        <v>82124.018046877623</v>
      </c>
      <c r="F68" s="12">
        <f t="shared" si="22"/>
        <v>373891.58042128332</v>
      </c>
      <c r="G68" s="12"/>
      <c r="H68" s="12"/>
    </row>
    <row r="69" spans="1:8" ht="15.6" x14ac:dyDescent="0.35">
      <c r="A69" s="5" t="s">
        <v>25</v>
      </c>
      <c r="B69" s="12">
        <f>(B68/B67)*B51</f>
        <v>100.85277641862866</v>
      </c>
      <c r="C69" s="12">
        <f t="shared" ref="C69:F69" si="23">(C68/C67)*C51</f>
        <v>119.72599474956704</v>
      </c>
      <c r="D69" s="12">
        <f t="shared" si="23"/>
        <v>120.22568268131195</v>
      </c>
      <c r="E69" s="12">
        <f t="shared" si="23"/>
        <v>118.78073077868855</v>
      </c>
      <c r="F69" s="12">
        <f t="shared" si="23"/>
        <v>103.12425774903404</v>
      </c>
      <c r="G69" s="12"/>
      <c r="H69" s="12"/>
    </row>
    <row r="70" spans="1:8" ht="15.6" x14ac:dyDescent="0.35">
      <c r="A70" s="13" t="s">
        <v>32</v>
      </c>
      <c r="B70" s="12">
        <f t="shared" ref="B70:B71" si="24">B22/B16</f>
        <v>282723.61307075573</v>
      </c>
      <c r="C70" s="12">
        <f t="shared" ref="C70:F70" si="25">C22/C16</f>
        <v>219041.28636988916</v>
      </c>
      <c r="D70" s="12">
        <f t="shared" si="25"/>
        <v>219101.2451792192</v>
      </c>
      <c r="E70" s="12">
        <f t="shared" si="25"/>
        <v>218928</v>
      </c>
      <c r="F70" s="12">
        <f t="shared" si="25"/>
        <v>1125227.4482463889</v>
      </c>
      <c r="G70" s="12"/>
      <c r="H70" s="12"/>
    </row>
    <row r="71" spans="1:8" ht="15.6" x14ac:dyDescent="0.35">
      <c r="A71" s="13" t="s">
        <v>33</v>
      </c>
      <c r="B71" s="12">
        <f t="shared" si="24"/>
        <v>283697.72212830413</v>
      </c>
      <c r="C71" s="12">
        <f t="shared" ref="C71:F71" si="26">C23/C17</f>
        <v>246340.29386930223</v>
      </c>
      <c r="D71" s="12">
        <f t="shared" si="26"/>
        <v>246323.71127213608</v>
      </c>
      <c r="E71" s="12">
        <f t="shared" si="26"/>
        <v>246372.05414063288</v>
      </c>
      <c r="F71" s="12">
        <f t="shared" si="26"/>
        <v>1121674.7412638501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100.67933379406054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5" t="s">
        <v>85</v>
      </c>
      <c r="B77" s="25"/>
      <c r="C77" s="25"/>
      <c r="D77" s="25"/>
      <c r="E77" s="25"/>
      <c r="F77" s="25"/>
      <c r="G77" s="25"/>
      <c r="H77" s="25"/>
    </row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H100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21" customHeight="1" x14ac:dyDescent="0.35">
      <c r="A9" s="22" t="s">
        <v>0</v>
      </c>
      <c r="B9" s="22" t="s">
        <v>34</v>
      </c>
      <c r="C9" s="24" t="s">
        <v>45</v>
      </c>
      <c r="D9" s="24"/>
      <c r="E9" s="24"/>
      <c r="F9" s="24"/>
      <c r="G9" s="24"/>
      <c r="H9" s="24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66</v>
      </c>
      <c r="B15" s="8">
        <f>+C15+F15</f>
        <v>143688.11111111112</v>
      </c>
      <c r="C15" s="8">
        <f>+SUM(D15:E15)</f>
        <v>138656</v>
      </c>
      <c r="D15" s="8">
        <f>(+'I Trimestre'!D15+'II Trimestre'!D15+'III Trimestre'!D15)/3</f>
        <v>106470.77777777777</v>
      </c>
      <c r="E15" s="8">
        <f>(+'I Trimestre'!E15+'II Trimestre'!E15+'III Trimestre'!E15)/3</f>
        <v>32185.222222222223</v>
      </c>
      <c r="F15" s="8">
        <f>(+'I Trimestre'!F15+'II Trimestre'!F15+'III Trimestre'!F15)/3</f>
        <v>5032.1111111111104</v>
      </c>
      <c r="G15" s="8"/>
      <c r="H15" s="8"/>
    </row>
    <row r="16" spans="1:8" ht="15.6" x14ac:dyDescent="0.35">
      <c r="A16" s="7" t="s">
        <v>104</v>
      </c>
      <c r="B16" s="8">
        <f t="shared" ref="B16:B18" si="0">+C16+F16</f>
        <v>147388.22222222219</v>
      </c>
      <c r="C16" s="8">
        <f t="shared" ref="C16:C18" si="1">+SUM(D16:E16)</f>
        <v>142184.77777777775</v>
      </c>
      <c r="D16" s="8">
        <f>(+'I Trimestre'!D16+'II Trimestre'!D16+'III Trimestre'!D16)/3</f>
        <v>92285.777777777766</v>
      </c>
      <c r="E16" s="8">
        <f>(+'I Trimestre'!E16+'II Trimestre'!E16+'III Trimestre'!E16)/3</f>
        <v>49899</v>
      </c>
      <c r="F16" s="8">
        <f>(+'I Trimestre'!F16+'II Trimestre'!F16+'III Trimestre'!F16)/3</f>
        <v>5203.4444444444443</v>
      </c>
      <c r="G16" s="8"/>
      <c r="H16" s="8"/>
    </row>
    <row r="17" spans="1:8" ht="15.6" x14ac:dyDescent="0.35">
      <c r="A17" s="7" t="s">
        <v>105</v>
      </c>
      <c r="B17" s="8">
        <f t="shared" si="0"/>
        <v>148896.66666666666</v>
      </c>
      <c r="C17" s="8">
        <f>+SUM(D17:E17)</f>
        <v>143488</v>
      </c>
      <c r="D17" s="8">
        <f>(+'II Trimestre'!D17+'III Trimestre'!D17)/2</f>
        <v>94069.916666666657</v>
      </c>
      <c r="E17" s="8">
        <f>(+'II Trimestre'!E17+'III Trimestre'!E17)/2</f>
        <v>49418.083333333328</v>
      </c>
      <c r="F17" s="8">
        <f>(+'II Trimestre'!F17+'III Trimestre'!F17)/2</f>
        <v>5408.6666666666661</v>
      </c>
      <c r="G17" s="8"/>
      <c r="H17" s="8"/>
    </row>
    <row r="18" spans="1:8" ht="15.6" x14ac:dyDescent="0.35">
      <c r="A18" s="7" t="s">
        <v>80</v>
      </c>
      <c r="B18" s="8">
        <f t="shared" si="0"/>
        <v>147087.38888888888</v>
      </c>
      <c r="C18" s="8">
        <f t="shared" si="1"/>
        <v>141875.61111111109</v>
      </c>
      <c r="D18" s="8">
        <f>(+'I Trimestre'!D18+'II Trimestre'!D18+'III Trimestre'!D18)/3</f>
        <v>91967.194444444438</v>
      </c>
      <c r="E18" s="8">
        <f>(+'I Trimestre'!E18+'II Trimestre'!E18+'III Trimestre'!E18)/3</f>
        <v>49908.416666666664</v>
      </c>
      <c r="F18" s="8">
        <f>(+'I Trimestre'!F18+'II Trimestre'!F18+'III Trimestre'!F18)/3</f>
        <v>5211.7777777777765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66</v>
      </c>
      <c r="B21" s="8">
        <f>+C21+F21+G21+H21</f>
        <v>121578393712.26997</v>
      </c>
      <c r="C21" s="8">
        <f>+SUM(D21:E21)</f>
        <v>100303426915.75998</v>
      </c>
      <c r="D21" s="8">
        <f>+'I Trimestre'!D21+'II Trimestre'!D21+'III Trimestre'!D21</f>
        <v>78727156517.599991</v>
      </c>
      <c r="E21" s="8">
        <f>+'I Trimestre'!E21+'II Trimestre'!E21+'III Trimestre'!E21</f>
        <v>21576270398.159996</v>
      </c>
      <c r="F21" s="8">
        <f>+'I Trimestre'!F21+'II Trimestre'!F21+'III Trimestre'!F21</f>
        <v>2121385702.05</v>
      </c>
      <c r="G21" s="8">
        <f>+'I Trimestre'!G21+'II Trimestre'!G21+'III Trimestre'!G21</f>
        <v>15234403186.540001</v>
      </c>
      <c r="H21" s="8">
        <f>+'I Trimestre'!H21+'II Trimestre'!H21+'III Trimestre'!H21</f>
        <v>3919177907.9200001</v>
      </c>
    </row>
    <row r="22" spans="1:8" ht="15.6" x14ac:dyDescent="0.35">
      <c r="A22" s="7" t="s">
        <v>104</v>
      </c>
      <c r="B22" s="8">
        <f t="shared" ref="B22:B24" si="2">+C22+F22+G22+H22</f>
        <v>122564989998.96773</v>
      </c>
      <c r="C22" s="8">
        <f t="shared" ref="C22:C24" si="3">+SUM(D22:E22)</f>
        <v>89578778992</v>
      </c>
      <c r="D22" s="8">
        <f>+'I Trimestre'!D22+'II Trimestre'!D22+'III Trimestre'!D22</f>
        <v>58156779904</v>
      </c>
      <c r="E22" s="8">
        <f>+'I Trimestre'!E22+'II Trimestre'!E22+'III Trimestre'!E22</f>
        <v>31421999088</v>
      </c>
      <c r="F22" s="8">
        <f>+'I Trimestre'!F22+'II Trimestre'!F22+'III Trimestre'!F22</f>
        <v>16855441494.33</v>
      </c>
      <c r="G22" s="8">
        <f>+'I Trimestre'!G22+'II Trimestre'!G22+'III Trimestre'!G22</f>
        <v>14204271823.262251</v>
      </c>
      <c r="H22" s="8">
        <f>+'I Trimestre'!H22+'II Trimestre'!H22+'III Trimestre'!H22</f>
        <v>1926497689.3754783</v>
      </c>
    </row>
    <row r="23" spans="1:8" ht="15.6" x14ac:dyDescent="0.35">
      <c r="A23" s="7" t="s">
        <v>105</v>
      </c>
      <c r="B23" s="8">
        <f t="shared" si="2"/>
        <v>127631066019.99001</v>
      </c>
      <c r="C23" s="8">
        <f t="shared" si="3"/>
        <v>105397408800</v>
      </c>
      <c r="D23" s="8">
        <f>+'I Trimestre'!D23+'II Trimestre'!D23+'III Trimestre'!D23</f>
        <v>68964573447</v>
      </c>
      <c r="E23" s="8">
        <f>+'I Trimestre'!E23+'II Trimestre'!E23+'III Trimestre'!E23</f>
        <v>36432835353</v>
      </c>
      <c r="F23" s="8">
        <f>+'I Trimestre'!F23+'II Trimestre'!F23+'III Trimestre'!F23</f>
        <v>17352775800</v>
      </c>
      <c r="G23" s="8">
        <f>+'I Trimestre'!G23+'II Trimestre'!G23+'III Trimestre'!G23</f>
        <v>4880881419.9899998</v>
      </c>
      <c r="H23" s="8">
        <f>+'I Trimestre'!H23+'II Trimestre'!H23+'III Trimestre'!H23</f>
        <v>0</v>
      </c>
    </row>
    <row r="24" spans="1:8" ht="15.6" x14ac:dyDescent="0.35">
      <c r="A24" s="7" t="s">
        <v>80</v>
      </c>
      <c r="B24" s="8">
        <f t="shared" si="2"/>
        <v>178322154692.50937</v>
      </c>
      <c r="C24" s="8">
        <f t="shared" si="3"/>
        <v>137373169158.66666</v>
      </c>
      <c r="D24" s="8">
        <f>+'III Trimestre'!D24</f>
        <v>89529433237.333328</v>
      </c>
      <c r="E24" s="8">
        <f>+'III Trimestre'!E24</f>
        <v>47843735921.333336</v>
      </c>
      <c r="F24" s="8">
        <f>+'III Trimestre'!F24</f>
        <v>24818216021.205002</v>
      </c>
      <c r="G24" s="8">
        <f>+'III Trimestre'!G24</f>
        <v>14204271823.262251</v>
      </c>
      <c r="H24" s="8">
        <f>+'III Trimestre'!H24</f>
        <v>1926497689.3754783</v>
      </c>
    </row>
    <row r="25" spans="1:8" ht="15.6" x14ac:dyDescent="0.35">
      <c r="A25" s="7" t="s">
        <v>106</v>
      </c>
      <c r="B25" s="8">
        <f>+C25+F25+G25</f>
        <v>127631066019.99001</v>
      </c>
      <c r="C25" s="8">
        <f>+C23</f>
        <v>105397408800</v>
      </c>
      <c r="D25" s="8">
        <f>+D23</f>
        <v>68964573447</v>
      </c>
      <c r="E25" s="8">
        <f>+E23</f>
        <v>36432835353</v>
      </c>
      <c r="F25" s="8">
        <f t="shared" ref="F25:G25" si="4">F23</f>
        <v>17352775800</v>
      </c>
      <c r="G25" s="8">
        <f t="shared" si="4"/>
        <v>4880881419.9899998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104</v>
      </c>
      <c r="B28" s="8">
        <f>B22</f>
        <v>122564989998.96773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105</v>
      </c>
      <c r="B29" s="8">
        <f>+'I Trimestre'!B29+'II Trimestre'!B29+'III Trimestre'!B29</f>
        <v>127631066019.98999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67</v>
      </c>
      <c r="B32" s="20">
        <v>1.0948</v>
      </c>
      <c r="C32" s="20">
        <v>1.0948</v>
      </c>
      <c r="D32" s="20">
        <v>1.0948</v>
      </c>
      <c r="E32" s="20">
        <v>1.0948</v>
      </c>
      <c r="F32" s="20">
        <v>1.0948</v>
      </c>
      <c r="G32" s="20">
        <v>1.0948</v>
      </c>
      <c r="H32" s="20">
        <v>1.0948</v>
      </c>
    </row>
    <row r="33" spans="1:8" ht="15.6" x14ac:dyDescent="0.35">
      <c r="A33" s="7" t="s">
        <v>107</v>
      </c>
      <c r="B33" s="20">
        <v>1.0932999999999999</v>
      </c>
      <c r="C33" s="20">
        <v>1.0932999999999999</v>
      </c>
      <c r="D33" s="20">
        <v>1.0932999999999999</v>
      </c>
      <c r="E33" s="20">
        <v>1.0932999999999999</v>
      </c>
      <c r="F33" s="20">
        <v>1.0932999999999999</v>
      </c>
      <c r="G33" s="20">
        <v>1.0932999999999999</v>
      </c>
      <c r="H33" s="20">
        <v>1.0932999999999999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68</v>
      </c>
      <c r="B37" s="8">
        <f>B21/B32</f>
        <v>111050779788.33574</v>
      </c>
      <c r="C37" s="8">
        <f t="shared" ref="C37:H37" si="5">C21/C32</f>
        <v>91618037007.4534</v>
      </c>
      <c r="D37" s="8">
        <f t="shared" si="5"/>
        <v>71910080852.758484</v>
      </c>
      <c r="E37" s="8">
        <f t="shared" si="5"/>
        <v>19707956154.69492</v>
      </c>
      <c r="F37" s="8">
        <f t="shared" si="5"/>
        <v>1937692457.1154549</v>
      </c>
      <c r="G37" s="8">
        <f t="shared" si="5"/>
        <v>13915238570.094995</v>
      </c>
      <c r="H37" s="8">
        <f t="shared" si="5"/>
        <v>3579811753.6719036</v>
      </c>
    </row>
    <row r="38" spans="1:8" ht="15.6" x14ac:dyDescent="0.35">
      <c r="A38" s="5" t="s">
        <v>108</v>
      </c>
      <c r="B38" s="8">
        <f>B23/B33</f>
        <v>116739290240.54698</v>
      </c>
      <c r="C38" s="8">
        <f t="shared" ref="C38:H38" si="6">C23/C33</f>
        <v>96403008140.492096</v>
      </c>
      <c r="D38" s="8">
        <f t="shared" si="6"/>
        <v>63079276911.186317</v>
      </c>
      <c r="E38" s="8">
        <f t="shared" si="6"/>
        <v>33323731229.305775</v>
      </c>
      <c r="F38" s="8">
        <f t="shared" si="6"/>
        <v>15871925180.645752</v>
      </c>
      <c r="G38" s="8">
        <f t="shared" si="6"/>
        <v>4464356919.4091282</v>
      </c>
      <c r="H38" s="8">
        <f t="shared" si="6"/>
        <v>0</v>
      </c>
    </row>
    <row r="39" spans="1:8" ht="15.6" x14ac:dyDescent="0.35">
      <c r="A39" s="5" t="s">
        <v>69</v>
      </c>
      <c r="B39" s="8">
        <f>B37/B15</f>
        <v>772859.904202251</v>
      </c>
      <c r="C39" s="8">
        <f t="shared" ref="C39:F39" si="7">C37/C15</f>
        <v>660757.82517491782</v>
      </c>
      <c r="D39" s="8">
        <f t="shared" si="7"/>
        <v>675397.3470809689</v>
      </c>
      <c r="E39" s="8">
        <f t="shared" si="7"/>
        <v>612329.34850105213</v>
      </c>
      <c r="F39" s="8">
        <f t="shared" si="7"/>
        <v>385065.51511490863</v>
      </c>
      <c r="G39" s="8"/>
      <c r="H39" s="8"/>
    </row>
    <row r="40" spans="1:8" ht="15.6" x14ac:dyDescent="0.35">
      <c r="A40" s="5" t="s">
        <v>109</v>
      </c>
      <c r="B40" s="8">
        <f>B38/B17</f>
        <v>784028.90309082577</v>
      </c>
      <c r="C40" s="8">
        <f t="shared" ref="C40:F40" si="8">C38/C17</f>
        <v>671854.14906119043</v>
      </c>
      <c r="D40" s="8">
        <f t="shared" si="8"/>
        <v>670557.38057795295</v>
      </c>
      <c r="E40" s="8">
        <f t="shared" si="8"/>
        <v>674322.61596492061</v>
      </c>
      <c r="F40" s="8">
        <f t="shared" si="8"/>
        <v>2934535.6552408026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89.44111356544299</v>
      </c>
      <c r="C45" s="12">
        <f>(C16/C34)*100</f>
        <v>96.393191944529164</v>
      </c>
      <c r="D45" s="12"/>
      <c r="E45" s="12"/>
      <c r="F45" s="12">
        <f>(F16/F34)*100</f>
        <v>30.107298758574579</v>
      </c>
      <c r="G45" s="12"/>
      <c r="H45" s="12"/>
    </row>
    <row r="46" spans="1:8" ht="15.6" x14ac:dyDescent="0.35">
      <c r="A46" s="5" t="s">
        <v>10</v>
      </c>
      <c r="B46" s="12">
        <f>(B17/B34)*100</f>
        <v>90.356498450534417</v>
      </c>
      <c r="C46" s="12">
        <f>(C17/C34)*100</f>
        <v>97.276702484661541</v>
      </c>
      <c r="D46" s="12"/>
      <c r="E46" s="12"/>
      <c r="F46" s="12">
        <f>(F17/F34)*100</f>
        <v>31.294721209666527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101.02344978567564</v>
      </c>
      <c r="C49" s="12">
        <f t="shared" ref="C49:F49" si="9">C17/C16*100</f>
        <v>100.91656944054803</v>
      </c>
      <c r="D49" s="12">
        <f t="shared" si="9"/>
        <v>101.93327610369722</v>
      </c>
      <c r="E49" s="12">
        <f t="shared" si="9"/>
        <v>99.036219830724718</v>
      </c>
      <c r="F49" s="12">
        <f t="shared" si="9"/>
        <v>103.94396873865601</v>
      </c>
      <c r="G49" s="12"/>
      <c r="H49" s="12"/>
    </row>
    <row r="50" spans="1:8" ht="15.6" x14ac:dyDescent="0.35">
      <c r="A50" s="5" t="s">
        <v>13</v>
      </c>
      <c r="B50" s="12">
        <f>B23/B22*100</f>
        <v>104.13337937780189</v>
      </c>
      <c r="C50" s="12">
        <f t="shared" ref="C50:F50" si="10">C23/C22*100</f>
        <v>117.65890313085504</v>
      </c>
      <c r="D50" s="12">
        <f t="shared" si="10"/>
        <v>118.58389264474501</v>
      </c>
      <c r="E50" s="12">
        <f t="shared" si="10"/>
        <v>115.94690474965239</v>
      </c>
      <c r="F50" s="12">
        <f t="shared" si="10"/>
        <v>102.95058605161603</v>
      </c>
      <c r="G50" s="12">
        <f t="shared" ref="G50:H50" si="11">G23/G22*100</f>
        <v>34.362067135300869</v>
      </c>
      <c r="H50" s="12">
        <f t="shared" si="11"/>
        <v>0</v>
      </c>
    </row>
    <row r="51" spans="1:8" ht="15.6" x14ac:dyDescent="0.35">
      <c r="A51" s="5" t="s">
        <v>14</v>
      </c>
      <c r="B51" s="12">
        <f>AVERAGE(B49:B50)</f>
        <v>102.57841458173877</v>
      </c>
      <c r="C51" s="12">
        <f t="shared" ref="C51:F51" si="12">AVERAGE(C49:C50)</f>
        <v>109.28773628570153</v>
      </c>
      <c r="D51" s="12">
        <f t="shared" si="12"/>
        <v>110.25858437422112</v>
      </c>
      <c r="E51" s="12">
        <f t="shared" si="12"/>
        <v>107.49156229018855</v>
      </c>
      <c r="F51" s="12">
        <f t="shared" si="12"/>
        <v>103.44727739513601</v>
      </c>
      <c r="G51" s="12">
        <f t="shared" ref="G51:H51" si="13">AVERAGE(G49:G50)</f>
        <v>34.362067135300869</v>
      </c>
      <c r="H51" s="12">
        <f t="shared" si="13"/>
        <v>0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101.23006995463393</v>
      </c>
      <c r="C54" s="12">
        <f t="shared" ref="C54:F54" si="14">C17/C18*100</f>
        <v>101.13648066518364</v>
      </c>
      <c r="D54" s="12">
        <f t="shared" si="14"/>
        <v>102.28638291613041</v>
      </c>
      <c r="E54" s="12">
        <f t="shared" si="14"/>
        <v>99.017533782711993</v>
      </c>
      <c r="F54" s="12">
        <f t="shared" si="14"/>
        <v>103.77776830256258</v>
      </c>
      <c r="G54" s="12"/>
      <c r="H54" s="12"/>
    </row>
    <row r="55" spans="1:8" ht="15.6" x14ac:dyDescent="0.35">
      <c r="A55" s="5" t="s">
        <v>17</v>
      </c>
      <c r="B55" s="12">
        <f>B23/B24*100</f>
        <v>71.573308566213328</v>
      </c>
      <c r="C55" s="12">
        <f t="shared" ref="C55:H55" si="15">C23/C24*100</f>
        <v>76.72343110776275</v>
      </c>
      <c r="D55" s="12">
        <f t="shared" si="15"/>
        <v>77.030056991628669</v>
      </c>
      <c r="E55" s="12">
        <f t="shared" si="15"/>
        <v>76.149645614849945</v>
      </c>
      <c r="F55" s="12">
        <f t="shared" si="15"/>
        <v>69.9195130914066</v>
      </c>
      <c r="G55" s="12">
        <f t="shared" si="15"/>
        <v>34.362067135300869</v>
      </c>
      <c r="H55" s="12">
        <f t="shared" si="15"/>
        <v>0</v>
      </c>
    </row>
    <row r="56" spans="1:8" ht="15.6" x14ac:dyDescent="0.35">
      <c r="A56" s="5" t="s">
        <v>18</v>
      </c>
      <c r="B56" s="12">
        <f>AVERAGE(B54:B55)</f>
        <v>86.401689260423638</v>
      </c>
      <c r="C56" s="12">
        <f t="shared" ref="C56:H56" si="16">AVERAGE(C54:C55)</f>
        <v>88.929955886473195</v>
      </c>
      <c r="D56" s="12">
        <f t="shared" si="16"/>
        <v>89.658219953879538</v>
      </c>
      <c r="E56" s="12">
        <f t="shared" si="16"/>
        <v>87.583589698780969</v>
      </c>
      <c r="F56" s="12">
        <f t="shared" si="16"/>
        <v>86.848640696984589</v>
      </c>
      <c r="G56" s="12">
        <f t="shared" si="16"/>
        <v>34.362067135300869</v>
      </c>
      <c r="H56" s="12">
        <f t="shared" si="16"/>
        <v>0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100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3.6249036300072701</v>
      </c>
      <c r="C62" s="12">
        <f t="shared" ref="C62:F62" si="17">((C17/C15)-1)*100</f>
        <v>3.484883452573273</v>
      </c>
      <c r="D62" s="12"/>
      <c r="E62" s="12"/>
      <c r="F62" s="12">
        <f t="shared" si="17"/>
        <v>7.483053280045926</v>
      </c>
      <c r="G62" s="12"/>
      <c r="H62" s="12"/>
    </row>
    <row r="63" spans="1:8" ht="15.6" x14ac:dyDescent="0.35">
      <c r="A63" s="5" t="s">
        <v>22</v>
      </c>
      <c r="B63" s="12">
        <f>((B38/B37)-1)*100</f>
        <v>5.1224407996536492</v>
      </c>
      <c r="C63" s="12">
        <f t="shared" ref="C63:H63" si="18">((C38/C37)-1)*100</f>
        <v>5.2227391999780881</v>
      </c>
      <c r="D63" s="12"/>
      <c r="E63" s="12"/>
      <c r="F63" s="12">
        <f t="shared" si="18"/>
        <v>719.11477346995957</v>
      </c>
      <c r="G63" s="12">
        <f t="shared" si="18"/>
        <v>-67.917496369746743</v>
      </c>
      <c r="H63" s="12">
        <f t="shared" si="18"/>
        <v>-100</v>
      </c>
    </row>
    <row r="64" spans="1:8" ht="15.6" x14ac:dyDescent="0.35">
      <c r="A64" s="5" t="s">
        <v>23</v>
      </c>
      <c r="B64" s="12">
        <f>((B40/B39)-1)*100</f>
        <v>1.445151809253642</v>
      </c>
      <c r="C64" s="12">
        <f t="shared" ref="C64:F64" si="19">((C40/C39)-1)*100</f>
        <v>1.6793329512722943</v>
      </c>
      <c r="D64" s="12"/>
      <c r="E64" s="12"/>
      <c r="F64" s="12">
        <f t="shared" si="19"/>
        <v>662.08736956491634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B22/(B16*9)</f>
        <v>92397.696483337088</v>
      </c>
      <c r="C67" s="12">
        <f t="shared" ref="C67:F67" si="20">C22/(C16*9)</f>
        <v>70001.851262402692</v>
      </c>
      <c r="D67" s="12">
        <f t="shared" si="20"/>
        <v>70020.154669312236</v>
      </c>
      <c r="E67" s="12">
        <f t="shared" si="20"/>
        <v>69968</v>
      </c>
      <c r="F67" s="12">
        <f t="shared" si="20"/>
        <v>359920.59734641586</v>
      </c>
      <c r="G67" s="12"/>
      <c r="H67" s="12"/>
    </row>
    <row r="68" spans="1:8" ht="15.6" x14ac:dyDescent="0.35">
      <c r="A68" s="5" t="s">
        <v>31</v>
      </c>
      <c r="B68" s="12">
        <f>B23/(B17*9)</f>
        <v>95242.088861022188</v>
      </c>
      <c r="C68" s="12">
        <f t="shared" ref="C68:F68" si="21">C23/(C17*9)</f>
        <v>81615.349018733279</v>
      </c>
      <c r="D68" s="12">
        <f t="shared" si="21"/>
        <v>81457.820465097335</v>
      </c>
      <c r="E68" s="12">
        <f t="shared" si="21"/>
        <v>81915.212892716401</v>
      </c>
      <c r="F68" s="12">
        <f t="shared" si="21"/>
        <v>356480.87020830769</v>
      </c>
      <c r="G68" s="12"/>
      <c r="H68" s="12"/>
    </row>
    <row r="69" spans="1:8" ht="15.6" x14ac:dyDescent="0.35">
      <c r="A69" s="5" t="s">
        <v>25</v>
      </c>
      <c r="B69" s="12">
        <f>(B68/B67)*B51</f>
        <v>105.73621257515452</v>
      </c>
      <c r="C69" s="12">
        <f t="shared" ref="C69:F69" si="22">(C68/C67)*C51</f>
        <v>127.41886935232267</v>
      </c>
      <c r="D69" s="12">
        <f t="shared" si="22"/>
        <v>128.26912498420091</v>
      </c>
      <c r="E69" s="12">
        <f t="shared" si="22"/>
        <v>125.84601831082041</v>
      </c>
      <c r="F69" s="12">
        <f t="shared" si="22"/>
        <v>102.45864154033114</v>
      </c>
      <c r="G69" s="12"/>
      <c r="H69" s="12"/>
    </row>
    <row r="70" spans="1:8" ht="15.6" x14ac:dyDescent="0.35">
      <c r="A70" s="13" t="s">
        <v>37</v>
      </c>
      <c r="B70" s="12">
        <f>B22/B16</f>
        <v>831579.26835003379</v>
      </c>
      <c r="C70" s="12">
        <f t="shared" ref="C70:F70" si="23">C22/C16</f>
        <v>630016.66136162425</v>
      </c>
      <c r="D70" s="12">
        <f t="shared" si="23"/>
        <v>630181.39202381019</v>
      </c>
      <c r="E70" s="12">
        <f t="shared" si="23"/>
        <v>629712</v>
      </c>
      <c r="F70" s="12">
        <f t="shared" si="23"/>
        <v>3239285.3761177426</v>
      </c>
      <c r="G70" s="12"/>
      <c r="H70" s="12"/>
    </row>
    <row r="71" spans="1:8" ht="15.6" x14ac:dyDescent="0.35">
      <c r="A71" s="13" t="s">
        <v>38</v>
      </c>
      <c r="B71" s="12">
        <f>B23/B17</f>
        <v>857178.79974919977</v>
      </c>
      <c r="C71" s="12">
        <f t="shared" ref="C71:F71" si="24">C23/C17</f>
        <v>734538.14116859948</v>
      </c>
      <c r="D71" s="12">
        <f t="shared" si="24"/>
        <v>733120.384185876</v>
      </c>
      <c r="E71" s="12">
        <f t="shared" si="24"/>
        <v>737236.91603444761</v>
      </c>
      <c r="F71" s="12">
        <f t="shared" si="24"/>
        <v>3208327.8318747692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104.13337937780187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100.00000000000003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16.2" thickTop="1" x14ac:dyDescent="0.3">
      <c r="A77" s="25" t="s">
        <v>85</v>
      </c>
      <c r="B77" s="25"/>
      <c r="C77" s="25"/>
      <c r="D77" s="25"/>
      <c r="E77" s="25"/>
      <c r="F77" s="25"/>
      <c r="G77" s="25"/>
      <c r="H77" s="25"/>
    </row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</sheetData>
  <mergeCells count="4"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8:H77"/>
  <sheetViews>
    <sheetView showGridLines="0" zoomScale="80" zoomScaleNormal="80" workbookViewId="0">
      <pane ySplit="10" topLeftCell="A11" activePane="bottomLeft" state="frozen"/>
      <selection pane="bottomLeft" activeCell="D37" sqref="D37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8" spans="1:8" ht="17.25" customHeight="1" x14ac:dyDescent="0.3"/>
    <row r="9" spans="1:8" s="2" customFormat="1" ht="15.6" x14ac:dyDescent="0.3">
      <c r="A9" s="22" t="s">
        <v>0</v>
      </c>
      <c r="B9" s="22" t="s">
        <v>34</v>
      </c>
      <c r="C9" s="26" t="s">
        <v>45</v>
      </c>
      <c r="D9" s="26"/>
      <c r="E9" s="26"/>
      <c r="F9" s="26"/>
      <c r="G9" s="26"/>
      <c r="H9" s="26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70</v>
      </c>
      <c r="B15" s="8">
        <f>+C15+F15</f>
        <v>146177.33333333334</v>
      </c>
      <c r="C15" s="8">
        <f>+SUM(D15:E15)</f>
        <v>141012.33333333334</v>
      </c>
      <c r="D15" s="8">
        <v>108401</v>
      </c>
      <c r="E15" s="8">
        <v>32611.333333333332</v>
      </c>
      <c r="F15" s="8">
        <v>5165</v>
      </c>
      <c r="G15" s="8"/>
      <c r="H15" s="8"/>
    </row>
    <row r="16" spans="1:8" ht="15.6" x14ac:dyDescent="0.35">
      <c r="A16" s="7" t="s">
        <v>110</v>
      </c>
      <c r="B16" s="8">
        <f t="shared" ref="B16:B18" si="0">+C16+F16</f>
        <v>152076</v>
      </c>
      <c r="C16" s="8">
        <f t="shared" ref="C16:C18" si="1">+SUM(D16:E16)</f>
        <v>146449</v>
      </c>
      <c r="D16" s="8">
        <v>96437</v>
      </c>
      <c r="E16" s="8">
        <v>50012</v>
      </c>
      <c r="F16" s="8">
        <v>5627</v>
      </c>
      <c r="G16" s="8"/>
      <c r="H16" s="8"/>
    </row>
    <row r="17" spans="1:8" ht="15.6" x14ac:dyDescent="0.35">
      <c r="A17" s="7" t="s">
        <v>111</v>
      </c>
      <c r="B17" s="8">
        <f t="shared" si="0"/>
        <v>151750.66666666669</v>
      </c>
      <c r="C17" s="8">
        <f t="shared" si="1"/>
        <v>146156.33333333334</v>
      </c>
      <c r="D17" s="8">
        <v>96200.666666666672</v>
      </c>
      <c r="E17" s="8">
        <v>49955.666666666664</v>
      </c>
      <c r="F17" s="8">
        <v>5594.333333333333</v>
      </c>
      <c r="G17" s="8"/>
      <c r="H17" s="8"/>
    </row>
    <row r="18" spans="1:8" ht="15.6" x14ac:dyDescent="0.35">
      <c r="A18" s="7" t="s">
        <v>80</v>
      </c>
      <c r="B18" s="8">
        <f t="shared" si="0"/>
        <v>148560.16666666666</v>
      </c>
      <c r="C18" s="8">
        <f t="shared" si="1"/>
        <v>143250.83333333331</v>
      </c>
      <c r="D18" s="8">
        <v>93323.583333333299</v>
      </c>
      <c r="E18" s="8">
        <v>49927.25</v>
      </c>
      <c r="F18" s="8">
        <v>5309.333333333333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70</v>
      </c>
      <c r="B21" s="8">
        <f>+C21+F21+G21+H21</f>
        <v>65798042242.930008</v>
      </c>
      <c r="C21" s="8">
        <f>+SUM(D21:E21)</f>
        <v>48442137662.420006</v>
      </c>
      <c r="D21" s="8">
        <v>37222778334.410004</v>
      </c>
      <c r="E21" s="8">
        <v>11219359328.01</v>
      </c>
      <c r="F21" s="11">
        <v>8292456700</v>
      </c>
      <c r="G21" s="8">
        <v>6336636012.21</v>
      </c>
      <c r="H21" s="8">
        <v>2726811868.3000002</v>
      </c>
    </row>
    <row r="22" spans="1:8" ht="15.6" x14ac:dyDescent="0.35">
      <c r="A22" s="7" t="s">
        <v>110</v>
      </c>
      <c r="B22" s="8">
        <f>+C22+F22+G22+H22</f>
        <v>55757164693.541656</v>
      </c>
      <c r="C22" s="8">
        <f>+SUM(D22:E22)</f>
        <v>47794390166.666656</v>
      </c>
      <c r="D22" s="8">
        <v>31372653333.333328</v>
      </c>
      <c r="E22" s="8">
        <v>16421736833.333332</v>
      </c>
      <c r="F22" s="11">
        <v>7962774526.875</v>
      </c>
      <c r="G22" s="8">
        <v>0</v>
      </c>
      <c r="H22" s="8">
        <v>0</v>
      </c>
    </row>
    <row r="23" spans="1:8" ht="15.6" x14ac:dyDescent="0.35">
      <c r="A23" s="7" t="s">
        <v>111</v>
      </c>
      <c r="B23" s="8">
        <f>+C23+F23+G23+H23</f>
        <v>50691088673.010002</v>
      </c>
      <c r="C23" s="8">
        <f>+SUM(D23:E23)</f>
        <v>43117871685.599998</v>
      </c>
      <c r="D23" s="8">
        <v>28369598857</v>
      </c>
      <c r="E23" s="8">
        <v>14748272828.599998</v>
      </c>
      <c r="F23" s="11">
        <v>7289298971.3999996</v>
      </c>
      <c r="G23" s="8">
        <v>283918016.00999999</v>
      </c>
      <c r="H23" s="8">
        <v>0</v>
      </c>
    </row>
    <row r="24" spans="1:8" ht="15.6" x14ac:dyDescent="0.35">
      <c r="A24" s="7" t="s">
        <v>80</v>
      </c>
      <c r="B24" s="8">
        <f t="shared" ref="B24" si="2">+C24+F24+G24+H24</f>
        <v>178322154692.50937</v>
      </c>
      <c r="C24" s="8">
        <f>+SUM(D24:E24)</f>
        <v>137373169158.66666</v>
      </c>
      <c r="D24" s="8">
        <v>89529433237.333328</v>
      </c>
      <c r="E24" s="8">
        <v>47843735921.333336</v>
      </c>
      <c r="F24" s="8">
        <v>24818216021.205002</v>
      </c>
      <c r="G24" s="8">
        <v>14204271823.262251</v>
      </c>
      <c r="H24" s="8">
        <v>1926497689.3754783</v>
      </c>
    </row>
    <row r="25" spans="1:8" ht="15.6" x14ac:dyDescent="0.35">
      <c r="A25" s="7" t="s">
        <v>112</v>
      </c>
      <c r="B25" s="8">
        <f>+C25+F25+G25</f>
        <v>50691088673.010002</v>
      </c>
      <c r="C25" s="8">
        <f>+C23</f>
        <v>43117871685.599998</v>
      </c>
      <c r="D25" s="8">
        <f t="shared" ref="D25:G25" si="3">+D23</f>
        <v>28369598857</v>
      </c>
      <c r="E25" s="8">
        <f t="shared" si="3"/>
        <v>14748272828.599998</v>
      </c>
      <c r="F25" s="8">
        <f t="shared" si="3"/>
        <v>7289298971.3999996</v>
      </c>
      <c r="G25" s="8">
        <f t="shared" si="3"/>
        <v>283918016.00999999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110</v>
      </c>
      <c r="B28" s="8">
        <f>B22</f>
        <v>55757164693.541656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111</v>
      </c>
      <c r="B29" s="8">
        <v>50691088673.010002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71</v>
      </c>
      <c r="B32" s="10">
        <v>1.1144000000000001</v>
      </c>
      <c r="C32" s="10">
        <v>1.1144000000000001</v>
      </c>
      <c r="D32" s="10">
        <v>1.1144000000000001</v>
      </c>
      <c r="E32" s="10">
        <v>1.1144000000000001</v>
      </c>
      <c r="F32" s="10">
        <v>1.1144000000000001</v>
      </c>
      <c r="G32" s="10">
        <v>1.1144000000000001</v>
      </c>
      <c r="H32" s="10">
        <v>1.1144000000000001</v>
      </c>
    </row>
    <row r="33" spans="1:8" ht="15.6" x14ac:dyDescent="0.35">
      <c r="A33" s="7" t="s">
        <v>113</v>
      </c>
      <c r="B33" s="10">
        <v>1.0947</v>
      </c>
      <c r="C33" s="10">
        <v>1.0947</v>
      </c>
      <c r="D33" s="10">
        <v>1.0947</v>
      </c>
      <c r="E33" s="10">
        <v>1.0947</v>
      </c>
      <c r="F33" s="10">
        <v>1.0947</v>
      </c>
      <c r="G33" s="10">
        <v>1.0947</v>
      </c>
      <c r="H33" s="10">
        <v>1.0947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72</v>
      </c>
      <c r="B37" s="8">
        <f>B21/B32</f>
        <v>59043469349.362892</v>
      </c>
      <c r="C37" s="8">
        <f t="shared" ref="C37:H37" si="4">C21/C32</f>
        <v>43469254901.66906</v>
      </c>
      <c r="D37" s="8">
        <f t="shared" si="4"/>
        <v>33401631671.222183</v>
      </c>
      <c r="E37" s="8">
        <f t="shared" si="4"/>
        <v>10067623230.446877</v>
      </c>
      <c r="F37" s="8">
        <f t="shared" si="4"/>
        <v>7441185122.038765</v>
      </c>
      <c r="G37" s="8">
        <f t="shared" si="4"/>
        <v>5686141432.349246</v>
      </c>
      <c r="H37" s="8">
        <f t="shared" si="4"/>
        <v>2446887893.3058147</v>
      </c>
    </row>
    <row r="38" spans="1:8" ht="15.6" x14ac:dyDescent="0.35">
      <c r="A38" s="5" t="s">
        <v>114</v>
      </c>
      <c r="B38" s="8">
        <f>B23/B33</f>
        <v>46305918217.785698</v>
      </c>
      <c r="C38" s="8">
        <f t="shared" ref="C38:H38" si="5">C23/C33</f>
        <v>39387842957.522606</v>
      </c>
      <c r="D38" s="8">
        <f t="shared" si="5"/>
        <v>25915409570.658627</v>
      </c>
      <c r="E38" s="8">
        <f t="shared" si="5"/>
        <v>13472433386.863979</v>
      </c>
      <c r="F38" s="8">
        <f t="shared" si="5"/>
        <v>6658718344.2038908</v>
      </c>
      <c r="G38" s="8">
        <f t="shared" si="5"/>
        <v>259356916.0591943</v>
      </c>
      <c r="H38" s="8">
        <f t="shared" si="5"/>
        <v>0</v>
      </c>
    </row>
    <row r="39" spans="1:8" ht="15.6" x14ac:dyDescent="0.35">
      <c r="A39" s="5" t="s">
        <v>73</v>
      </c>
      <c r="B39" s="8">
        <f>B37/B15</f>
        <v>403916.72226448392</v>
      </c>
      <c r="C39" s="8">
        <f t="shared" ref="C39:F39" si="6">C37/C15</f>
        <v>308265.6238225195</v>
      </c>
      <c r="D39" s="8">
        <f t="shared" si="6"/>
        <v>308130.29096800013</v>
      </c>
      <c r="E39" s="8">
        <f t="shared" si="6"/>
        <v>308715.47408202291</v>
      </c>
      <c r="F39" s="8">
        <f t="shared" si="6"/>
        <v>1440694.1184973407</v>
      </c>
      <c r="G39" s="8"/>
      <c r="H39" s="8"/>
    </row>
    <row r="40" spans="1:8" ht="15.6" x14ac:dyDescent="0.35">
      <c r="A40" s="5" t="s">
        <v>115</v>
      </c>
      <c r="B40" s="8">
        <f>B38/B17</f>
        <v>305144.74324848014</v>
      </c>
      <c r="C40" s="8">
        <f t="shared" ref="C40:F40" si="7">C38/C17</f>
        <v>269491.18152610061</v>
      </c>
      <c r="D40" s="8">
        <f t="shared" si="7"/>
        <v>269389.08500972233</v>
      </c>
      <c r="E40" s="8">
        <f t="shared" si="7"/>
        <v>269687.79091188812</v>
      </c>
      <c r="F40" s="8">
        <f t="shared" si="7"/>
        <v>1190261.2782346227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92.285846056751708</v>
      </c>
      <c r="C45" s="12">
        <f>(C16/C34)*100</f>
        <v>99.284092064675775</v>
      </c>
      <c r="D45" s="12"/>
      <c r="E45" s="12"/>
      <c r="F45" s="12">
        <f>(F16/F34)*100</f>
        <v>32.558004975987963</v>
      </c>
      <c r="G45" s="12"/>
      <c r="H45" s="12"/>
    </row>
    <row r="46" spans="1:8" ht="15.6" x14ac:dyDescent="0.35">
      <c r="A46" s="5" t="s">
        <v>10</v>
      </c>
      <c r="B46" s="12">
        <f>(B17/B34)*100</f>
        <v>92.088420677881089</v>
      </c>
      <c r="C46" s="12">
        <f>(C17/C34)*100</f>
        <v>99.085680711388321</v>
      </c>
      <c r="D46" s="12"/>
      <c r="E46" s="12"/>
      <c r="F46" s="12">
        <f>(F17/F34)*100</f>
        <v>32.368994580416206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99.786071876342547</v>
      </c>
      <c r="C49" s="12">
        <f t="shared" ref="C49:F49" si="8">C17/C16*100</f>
        <v>99.800157961702268</v>
      </c>
      <c r="D49" s="12">
        <f t="shared" si="8"/>
        <v>99.754935000743146</v>
      </c>
      <c r="E49" s="12">
        <f t="shared" si="8"/>
        <v>99.887360366845286</v>
      </c>
      <c r="F49" s="12">
        <f t="shared" si="8"/>
        <v>99.419465671464962</v>
      </c>
      <c r="G49" s="12"/>
      <c r="H49" s="12"/>
    </row>
    <row r="50" spans="1:8" ht="15.6" x14ac:dyDescent="0.35">
      <c r="A50" s="5" t="s">
        <v>13</v>
      </c>
      <c r="B50" s="12">
        <f>B23/B22*100</f>
        <v>90.914035804409437</v>
      </c>
      <c r="C50" s="12">
        <f t="shared" ref="C50:H50" si="9">C23/C22*100</f>
        <v>90.215340200473548</v>
      </c>
      <c r="D50" s="12">
        <f t="shared" si="9"/>
        <v>90.427795684266869</v>
      </c>
      <c r="E50" s="12">
        <f t="shared" si="9"/>
        <v>89.809457904985507</v>
      </c>
      <c r="F50" s="12">
        <f t="shared" si="9"/>
        <v>91.542199855063501</v>
      </c>
      <c r="G50" s="12" t="e">
        <f t="shared" ref="G50" si="10">G23/G22*100</f>
        <v>#DIV/0!</v>
      </c>
      <c r="H50" s="12" t="e">
        <f t="shared" si="9"/>
        <v>#DIV/0!</v>
      </c>
    </row>
    <row r="51" spans="1:8" ht="15.6" x14ac:dyDescent="0.35">
      <c r="A51" s="5" t="s">
        <v>14</v>
      </c>
      <c r="B51" s="12">
        <f>AVERAGE(B49:B50)</f>
        <v>95.350053840375992</v>
      </c>
      <c r="C51" s="12">
        <f t="shared" ref="C51:H51" si="11">AVERAGE(C49:C50)</f>
        <v>95.007749081087908</v>
      </c>
      <c r="D51" s="12">
        <f t="shared" si="11"/>
        <v>95.091365342505014</v>
      </c>
      <c r="E51" s="12">
        <f t="shared" si="11"/>
        <v>94.848409135915404</v>
      </c>
      <c r="F51" s="12">
        <f t="shared" si="11"/>
        <v>95.480832763264232</v>
      </c>
      <c r="G51" s="12" t="e">
        <f t="shared" ref="G51" si="12">AVERAGE(G49:G50)</f>
        <v>#DIV/0!</v>
      </c>
      <c r="H51" s="12" t="e">
        <f t="shared" si="11"/>
        <v>#DIV/0!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102.1476147150257</v>
      </c>
      <c r="C54" s="12">
        <f t="shared" ref="C54:F54" si="13">C17/C18*100</f>
        <v>102.02826045223708</v>
      </c>
      <c r="D54" s="12">
        <f t="shared" si="13"/>
        <v>103.08291133984537</v>
      </c>
      <c r="E54" s="12">
        <f t="shared" si="13"/>
        <v>100.05691614632623</v>
      </c>
      <c r="F54" s="12">
        <f t="shared" si="13"/>
        <v>105.3679055750879</v>
      </c>
      <c r="G54" s="12"/>
      <c r="H54" s="12"/>
    </row>
    <row r="55" spans="1:8" ht="15.6" x14ac:dyDescent="0.35">
      <c r="A55" s="5" t="s">
        <v>17</v>
      </c>
      <c r="B55" s="12">
        <f>B23/B24*100</f>
        <v>28.426691434061809</v>
      </c>
      <c r="C55" s="12">
        <f t="shared" ref="C55:H55" si="14">C23/C24*100</f>
        <v>31.387404068547514</v>
      </c>
      <c r="D55" s="12">
        <f t="shared" si="14"/>
        <v>31.687454986780839</v>
      </c>
      <c r="E55" s="12">
        <f t="shared" si="14"/>
        <v>30.825922233267327</v>
      </c>
      <c r="F55" s="12">
        <f t="shared" si="14"/>
        <v>29.370761239131486</v>
      </c>
      <c r="G55" s="12">
        <f t="shared" si="14"/>
        <v>1.9988213372897381</v>
      </c>
      <c r="H55" s="12">
        <f t="shared" si="14"/>
        <v>0</v>
      </c>
    </row>
    <row r="56" spans="1:8" ht="15.6" x14ac:dyDescent="0.35">
      <c r="A56" s="5" t="s">
        <v>18</v>
      </c>
      <c r="B56" s="12">
        <f>AVERAGE(B54:B55)</f>
        <v>65.287153074543752</v>
      </c>
      <c r="C56" s="12">
        <f t="shared" ref="C56:H56" si="15">AVERAGE(C54:C55)</f>
        <v>66.707832260392294</v>
      </c>
      <c r="D56" s="12">
        <f t="shared" si="15"/>
        <v>67.385183163313101</v>
      </c>
      <c r="E56" s="12">
        <f t="shared" si="15"/>
        <v>65.441419189796775</v>
      </c>
      <c r="F56" s="12">
        <f t="shared" si="15"/>
        <v>67.369333407109693</v>
      </c>
      <c r="G56" s="12">
        <f t="shared" si="15"/>
        <v>1.9988213372897381</v>
      </c>
      <c r="H56" s="12">
        <f t="shared" si="15"/>
        <v>0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100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3.8127206224403354</v>
      </c>
      <c r="C62" s="12">
        <f t="shared" ref="C62:F62" si="16">((C17/C15)-1)*100</f>
        <v>3.6479078662150055</v>
      </c>
      <c r="D62" s="12"/>
      <c r="E62" s="12"/>
      <c r="F62" s="12">
        <f t="shared" si="16"/>
        <v>8.3123588254275571</v>
      </c>
      <c r="G62" s="12"/>
      <c r="H62" s="12"/>
    </row>
    <row r="63" spans="1:8" ht="15.6" x14ac:dyDescent="0.35">
      <c r="A63" s="5" t="s">
        <v>22</v>
      </c>
      <c r="B63" s="12">
        <f>((B38/B37)-1)*100</f>
        <v>-21.573175275674483</v>
      </c>
      <c r="C63" s="12">
        <f t="shared" ref="C63:H63" si="17">((C38/C37)-1)*100</f>
        <v>-9.389192323123396</v>
      </c>
      <c r="D63" s="12"/>
      <c r="E63" s="12"/>
      <c r="F63" s="12">
        <f t="shared" si="17"/>
        <v>-10.515351587174205</v>
      </c>
      <c r="G63" s="12">
        <f t="shared" si="17"/>
        <v>-95.438788866846039</v>
      </c>
      <c r="H63" s="12">
        <f t="shared" si="17"/>
        <v>-100</v>
      </c>
    </row>
    <row r="64" spans="1:8" ht="15.6" x14ac:dyDescent="0.35">
      <c r="A64" s="5" t="s">
        <v>23</v>
      </c>
      <c r="B64" s="12">
        <f>((B40/B39)-1)*100</f>
        <v>-24.453550341332008</v>
      </c>
      <c r="C64" s="12">
        <f t="shared" ref="C64" si="18">((C40/C39)-1)*100</f>
        <v>-12.578256964111844</v>
      </c>
      <c r="D64" s="12"/>
      <c r="E64" s="12"/>
      <c r="F64" s="12">
        <f>((F40/F39)-1)*100</f>
        <v>-17.382790492955035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B22/(B16*3)</f>
        <v>122213.37728842083</v>
      </c>
      <c r="C67" s="12">
        <f>C22/(C16*3)</f>
        <v>108785.06093513023</v>
      </c>
      <c r="D67" s="12">
        <f t="shared" ref="D67:E67" si="19">D22/(D16*3)</f>
        <v>108439.19979998455</v>
      </c>
      <c r="E67" s="12">
        <f t="shared" si="19"/>
        <v>109451.97708105609</v>
      </c>
      <c r="F67" s="12">
        <f>F22/(F16*3)</f>
        <v>471700.4044117647</v>
      </c>
      <c r="G67" s="12"/>
      <c r="H67" s="12"/>
    </row>
    <row r="68" spans="1:8" ht="15.6" x14ac:dyDescent="0.35">
      <c r="A68" s="5" t="s">
        <v>31</v>
      </c>
      <c r="B68" s="12">
        <f>B23/(B17*3)</f>
        <v>111347.3168113704</v>
      </c>
      <c r="C68" s="12">
        <f>C23/(C17*3)</f>
        <v>98337.332138874131</v>
      </c>
      <c r="D68" s="12">
        <f t="shared" ref="D68:F68" si="20">D23/(D17*3)</f>
        <v>98300.077120047674</v>
      </c>
      <c r="E68" s="12">
        <f t="shared" si="20"/>
        <v>98409.074903747984</v>
      </c>
      <c r="F68" s="12">
        <f t="shared" si="20"/>
        <v>434326.34042781382</v>
      </c>
      <c r="G68" s="12"/>
      <c r="H68" s="12"/>
    </row>
    <row r="69" spans="1:8" ht="15.6" x14ac:dyDescent="0.35">
      <c r="A69" s="5" t="s">
        <v>25</v>
      </c>
      <c r="B69" s="12">
        <f>(B68/B67)*B51</f>
        <v>86.872426640250296</v>
      </c>
      <c r="C69" s="12">
        <f t="shared" ref="C69:F69" si="21">(C68/C67)*C51</f>
        <v>85.883194777313946</v>
      </c>
      <c r="D69" s="12">
        <f t="shared" si="21"/>
        <v>86.200272261878155</v>
      </c>
      <c r="E69" s="12">
        <f t="shared" si="21"/>
        <v>85.278899916492691</v>
      </c>
      <c r="F69" s="12">
        <f t="shared" si="21"/>
        <v>87.915635193876383</v>
      </c>
      <c r="G69" s="12"/>
      <c r="H69" s="12"/>
    </row>
    <row r="70" spans="1:8" ht="15.6" x14ac:dyDescent="0.35">
      <c r="A70" s="13" t="s">
        <v>32</v>
      </c>
      <c r="B70" s="12">
        <f>B22/B16</f>
        <v>366640.13186526246</v>
      </c>
      <c r="C70" s="12">
        <f>C22/C16</f>
        <v>326355.18280539068</v>
      </c>
      <c r="D70" s="12">
        <f t="shared" ref="D70:F70" si="22">D22/D16</f>
        <v>325317.59939995361</v>
      </c>
      <c r="E70" s="12">
        <f t="shared" si="22"/>
        <v>328355.93124316831</v>
      </c>
      <c r="F70" s="12">
        <f t="shared" si="22"/>
        <v>1415101.2132352942</v>
      </c>
      <c r="G70" s="12"/>
      <c r="H70" s="12"/>
    </row>
    <row r="71" spans="1:8" ht="15.6" x14ac:dyDescent="0.35">
      <c r="A71" s="13" t="s">
        <v>33</v>
      </c>
      <c r="B71" s="12">
        <f>B23/B17</f>
        <v>334041.95043411118</v>
      </c>
      <c r="C71" s="12">
        <f t="shared" ref="C71:F71" si="23">C23/C17</f>
        <v>295011.99641662237</v>
      </c>
      <c r="D71" s="12">
        <f t="shared" si="23"/>
        <v>294900.23136014299</v>
      </c>
      <c r="E71" s="12">
        <f t="shared" si="23"/>
        <v>295227.22471124394</v>
      </c>
      <c r="F71" s="12">
        <f t="shared" si="23"/>
        <v>1302979.0212834417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90.914035804409437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7"/>
      <c r="C76" s="17"/>
      <c r="D76" s="17"/>
      <c r="E76" s="17"/>
      <c r="F76" s="17"/>
      <c r="G76" s="17"/>
      <c r="H76" s="17"/>
    </row>
    <row r="77" spans="1:8" ht="15" thickTop="1" x14ac:dyDescent="0.3"/>
  </sheetData>
  <mergeCells count="3">
    <mergeCell ref="A9:A10"/>
    <mergeCell ref="B9:B10"/>
    <mergeCell ref="C9:H9"/>
  </mergeCells>
  <pageMargins left="0.7" right="0.7" top="0.75" bottom="0.75" header="0.3" footer="0.3"/>
  <pageSetup orientation="portrait" horizontalDpi="300" verticalDpi="300" r:id="rId1"/>
  <ignoredErrors>
    <ignoredError sqref="C15:C18 C21:C22 C23:C2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H79"/>
  <sheetViews>
    <sheetView showGridLines="0" zoomScale="80" zoomScaleNormal="80" workbookViewId="0">
      <pane ySplit="10" topLeftCell="A11" activePane="bottomLeft" state="frozen"/>
      <selection pane="bottomLeft" activeCell="A9" sqref="A9:A10"/>
    </sheetView>
  </sheetViews>
  <sheetFormatPr baseColWidth="10" defaultColWidth="11.44140625" defaultRowHeight="14.4" x14ac:dyDescent="0.3"/>
  <cols>
    <col min="1" max="1" width="62.6640625" style="3" customWidth="1"/>
    <col min="2" max="8" width="24" style="3" customWidth="1"/>
    <col min="9" max="16384" width="11.44140625" style="3"/>
  </cols>
  <sheetData>
    <row r="9" spans="1:8" s="2" customFormat="1" ht="15.6" x14ac:dyDescent="0.3">
      <c r="A9" s="22" t="s">
        <v>0</v>
      </c>
      <c r="B9" s="22" t="s">
        <v>34</v>
      </c>
      <c r="C9" s="26" t="s">
        <v>45</v>
      </c>
      <c r="D9" s="26"/>
      <c r="E9" s="26"/>
      <c r="F9" s="26"/>
      <c r="G9" s="26"/>
      <c r="H9" s="26"/>
    </row>
    <row r="10" spans="1:8" s="2" customFormat="1" ht="47.4" thickBot="1" x14ac:dyDescent="0.35">
      <c r="A10" s="23"/>
      <c r="B10" s="23"/>
      <c r="C10" s="21" t="s">
        <v>46</v>
      </c>
      <c r="D10" s="21" t="s">
        <v>47</v>
      </c>
      <c r="E10" s="21" t="s">
        <v>48</v>
      </c>
      <c r="F10" s="21" t="s">
        <v>42</v>
      </c>
      <c r="G10" s="21" t="s">
        <v>43</v>
      </c>
      <c r="H10" s="21" t="s">
        <v>44</v>
      </c>
    </row>
    <row r="11" spans="1:8" ht="16.2" thickTop="1" x14ac:dyDescent="0.35">
      <c r="A11" s="5"/>
      <c r="B11" s="5"/>
      <c r="C11" s="15"/>
      <c r="D11" s="5"/>
      <c r="E11" s="5"/>
      <c r="F11" s="5"/>
      <c r="G11" s="5"/>
      <c r="H11" s="5"/>
    </row>
    <row r="12" spans="1:8" ht="15.6" x14ac:dyDescent="0.35">
      <c r="A12" s="6" t="s">
        <v>1</v>
      </c>
      <c r="B12" s="5"/>
      <c r="C12" s="5"/>
      <c r="D12" s="5"/>
      <c r="E12" s="5"/>
      <c r="F12" s="5"/>
      <c r="G12" s="5"/>
      <c r="H12" s="5"/>
    </row>
    <row r="13" spans="1:8" ht="15.6" x14ac:dyDescent="0.35">
      <c r="A13" s="5"/>
      <c r="B13" s="5"/>
      <c r="C13" s="5"/>
      <c r="D13" s="5"/>
      <c r="E13" s="5"/>
      <c r="F13" s="5"/>
      <c r="G13" s="5"/>
      <c r="H13" s="5"/>
    </row>
    <row r="14" spans="1:8" ht="15.6" x14ac:dyDescent="0.35">
      <c r="A14" s="6" t="s">
        <v>41</v>
      </c>
      <c r="B14" s="5"/>
      <c r="C14" s="5"/>
      <c r="D14" s="5"/>
      <c r="E14" s="5"/>
      <c r="F14" s="5"/>
      <c r="G14" s="5"/>
      <c r="H14" s="5"/>
    </row>
    <row r="15" spans="1:8" ht="15.6" x14ac:dyDescent="0.35">
      <c r="A15" s="7" t="s">
        <v>74</v>
      </c>
      <c r="B15" s="8">
        <f>+C15+F15</f>
        <v>144310.41666666666</v>
      </c>
      <c r="C15" s="8">
        <f>+SUM(D15:E15)</f>
        <v>139245.08333333331</v>
      </c>
      <c r="D15" s="8">
        <f>(+'I Trimestre'!D15+'II Trimestre'!D15+'III Trimestre'!D15+'IV Trimestre'!D15)/4</f>
        <v>106953.33333333333</v>
      </c>
      <c r="E15" s="8">
        <f>(+'I Trimestre'!E15+'II Trimestre'!E15+'III Trimestre'!E15+'IV Trimestre'!E15)/4</f>
        <v>32291.75</v>
      </c>
      <c r="F15" s="8">
        <f>(+'I Trimestre'!F15+'II Trimestre'!F15+'III Trimestre'!F15+'IV Trimestre'!F15)/4</f>
        <v>5065.333333333333</v>
      </c>
      <c r="G15" s="8"/>
      <c r="H15" s="8"/>
    </row>
    <row r="16" spans="1:8" ht="15.6" x14ac:dyDescent="0.35">
      <c r="A16" s="7" t="s">
        <v>116</v>
      </c>
      <c r="B16" s="8">
        <f>+C16+F16</f>
        <v>148560.16666666666</v>
      </c>
      <c r="C16" s="8">
        <f>+SUM(D16:E16)</f>
        <v>143250.83333333331</v>
      </c>
      <c r="D16" s="8">
        <f>(+'I Trimestre'!D16+'II Trimestre'!D16+'III Trimestre'!D16+'IV Trimestre'!D16)/4</f>
        <v>93323.583333333328</v>
      </c>
      <c r="E16" s="8">
        <f>(+'I Trimestre'!E16+'II Trimestre'!E16+'III Trimestre'!E16+'IV Trimestre'!E16)/4</f>
        <v>49927.25</v>
      </c>
      <c r="F16" s="8">
        <f>(+'I Trimestre'!F16+'II Trimestre'!F16+'III Trimestre'!F16+'IV Trimestre'!F16)/4</f>
        <v>5309.333333333333</v>
      </c>
      <c r="G16" s="8"/>
      <c r="H16" s="8"/>
    </row>
    <row r="17" spans="1:8" ht="15.6" x14ac:dyDescent="0.35">
      <c r="A17" s="7" t="s">
        <v>117</v>
      </c>
      <c r="B17" s="8">
        <f>+C17+F17</f>
        <v>149848</v>
      </c>
      <c r="C17" s="8">
        <f>+SUM(D17:E17)</f>
        <v>144377.44444444444</v>
      </c>
      <c r="D17" s="8">
        <f>(+'II Trimestre'!D17+'III Trimestre'!D17+'IV Trimestre'!D17)/3</f>
        <v>94780.166666666672</v>
      </c>
      <c r="E17" s="8">
        <f>('II Trimestre'!E17+'III Trimestre'!E17+'IV Trimestre'!E17)/3</f>
        <v>49597.277777777774</v>
      </c>
      <c r="F17" s="8">
        <f>(+'II Trimestre'!F17+'III Trimestre'!F17+'IV Trimestre'!F17)/3</f>
        <v>5470.5555555555547</v>
      </c>
      <c r="G17" s="8"/>
      <c r="H17" s="8"/>
    </row>
    <row r="18" spans="1:8" ht="15.6" x14ac:dyDescent="0.35">
      <c r="A18" s="7" t="s">
        <v>80</v>
      </c>
      <c r="B18" s="8">
        <f t="shared" ref="B18" si="0">+C18+F18</f>
        <v>148560.16666666666</v>
      </c>
      <c r="C18" s="8">
        <f>+SUM(D18:E18)</f>
        <v>143250.83333333331</v>
      </c>
      <c r="D18" s="8">
        <f>'IV Trimestre'!D18</f>
        <v>93323.583333333299</v>
      </c>
      <c r="E18" s="8">
        <f>'IV Trimestre'!E18</f>
        <v>49927.25</v>
      </c>
      <c r="F18" s="8">
        <f>'IV Trimestre'!F18</f>
        <v>5309.333333333333</v>
      </c>
      <c r="G18" s="8"/>
      <c r="H18" s="8"/>
    </row>
    <row r="19" spans="1:8" ht="15.6" x14ac:dyDescent="0.35">
      <c r="A19" s="5"/>
      <c r="B19" s="8"/>
      <c r="C19" s="8"/>
      <c r="D19" s="8"/>
      <c r="E19" s="8"/>
      <c r="F19" s="8"/>
      <c r="G19" s="8"/>
      <c r="H19" s="8"/>
    </row>
    <row r="20" spans="1:8" ht="15.6" x14ac:dyDescent="0.35">
      <c r="A20" s="9" t="s">
        <v>2</v>
      </c>
      <c r="B20" s="8"/>
      <c r="C20" s="8"/>
      <c r="D20" s="8"/>
      <c r="E20" s="8"/>
      <c r="F20" s="8"/>
      <c r="G20" s="8"/>
      <c r="H20" s="8"/>
    </row>
    <row r="21" spans="1:8" ht="15.6" x14ac:dyDescent="0.35">
      <c r="A21" s="7" t="s">
        <v>74</v>
      </c>
      <c r="B21" s="8">
        <f>+C21+F21+G21+H21</f>
        <v>187376435955.19998</v>
      </c>
      <c r="C21" s="8">
        <f>+SUM(D21:E21)</f>
        <v>148745564578.17999</v>
      </c>
      <c r="D21" s="8">
        <f>+'I Trimestre'!D21+'II Trimestre'!D21+'III Trimestre'!D21+'IV Trimestre'!D21</f>
        <v>115949934852.00999</v>
      </c>
      <c r="E21" s="8">
        <f>+'I Trimestre'!E21+'II Trimestre'!E21+'III Trimestre'!E21+'IV Trimestre'!E21</f>
        <v>32795629726.169998</v>
      </c>
      <c r="F21" s="8">
        <f>+'I Trimestre'!F21+'II Trimestre'!F21+'III Trimestre'!F21+'IV Trimestre'!F21</f>
        <v>10413842402.049999</v>
      </c>
      <c r="G21" s="8">
        <f>+'I Trimestre'!G21+'II Trimestre'!G21+'III Trimestre'!G21+'IV Trimestre'!G21</f>
        <v>21571039198.75</v>
      </c>
      <c r="H21" s="8">
        <f>+'I Trimestre'!H21+'II Trimestre'!H21+'III Trimestre'!H21+'IV Trimestre'!H21</f>
        <v>6645989776.2200003</v>
      </c>
    </row>
    <row r="22" spans="1:8" ht="15.6" x14ac:dyDescent="0.35">
      <c r="A22" s="7" t="s">
        <v>116</v>
      </c>
      <c r="B22" s="8">
        <f>+C22+F22+G22+H22</f>
        <v>178322154692.50937</v>
      </c>
      <c r="C22" s="8">
        <f>+SUM(D22:E22)</f>
        <v>137373169158.66666</v>
      </c>
      <c r="D22" s="8">
        <f>+'I Trimestre'!D22+'II Trimestre'!D22+'III Trimestre'!D22+'IV Trimestre'!D22</f>
        <v>89529433237.333328</v>
      </c>
      <c r="E22" s="8">
        <f>+'I Trimestre'!E22+'II Trimestre'!E22+'III Trimestre'!E22+'IV Trimestre'!E22</f>
        <v>47843735921.333328</v>
      </c>
      <c r="F22" s="8">
        <f>+'I Trimestre'!F22+'II Trimestre'!F22+'III Trimestre'!F22+'IV Trimestre'!F22</f>
        <v>24818216021.205002</v>
      </c>
      <c r="G22" s="8">
        <f>+'I Trimestre'!G22+'II Trimestre'!G22+'III Trimestre'!G22+'IV Trimestre'!G22</f>
        <v>14204271823.262251</v>
      </c>
      <c r="H22" s="8">
        <f>+'I Trimestre'!H22+'II Trimestre'!H22+'III Trimestre'!H22+'IV Trimestre'!H22</f>
        <v>1926497689.3754783</v>
      </c>
    </row>
    <row r="23" spans="1:8" ht="15.6" x14ac:dyDescent="0.35">
      <c r="A23" s="7" t="s">
        <v>117</v>
      </c>
      <c r="B23" s="8">
        <f>+C23+F23+G23+H23</f>
        <v>178322154693</v>
      </c>
      <c r="C23" s="8">
        <f>+SUM(D23:E23)</f>
        <v>148515280485.60001</v>
      </c>
      <c r="D23" s="8">
        <f>+'I Trimestre'!D23+'II Trimestre'!D23+'III Trimestre'!D23+'IV Trimestre'!D23</f>
        <v>97334172304</v>
      </c>
      <c r="E23" s="8">
        <f>+'I Trimestre'!E23+'II Trimestre'!E23+'III Trimestre'!E23+'IV Trimestre'!E23</f>
        <v>51181108181.599998</v>
      </c>
      <c r="F23" s="8">
        <f>+'I Trimestre'!F23+'II Trimestre'!F23+'III Trimestre'!F23+'IV Trimestre'!F23</f>
        <v>24642074771.400002</v>
      </c>
      <c r="G23" s="8">
        <f>+'I Trimestre'!G23+'II Trimestre'!G23+'III Trimestre'!G23+'IV Trimestre'!G23</f>
        <v>5164799436</v>
      </c>
      <c r="H23" s="8">
        <f>+'I Trimestre'!H23+'II Trimestre'!H23+'III Trimestre'!H23+'IV Trimestre'!H23</f>
        <v>0</v>
      </c>
    </row>
    <row r="24" spans="1:8" ht="15.6" x14ac:dyDescent="0.35">
      <c r="A24" s="7" t="s">
        <v>80</v>
      </c>
      <c r="B24" s="8">
        <f>+C24+F24+G24+H24</f>
        <v>178322154692.50937</v>
      </c>
      <c r="C24" s="8">
        <f>+SUM(D24:E24)</f>
        <v>137373169158.66666</v>
      </c>
      <c r="D24" s="8">
        <f>+'IV Trimestre'!D24</f>
        <v>89529433237.333328</v>
      </c>
      <c r="E24" s="8">
        <f>+'IV Trimestre'!E24</f>
        <v>47843735921.333336</v>
      </c>
      <c r="F24" s="8">
        <f>+'IV Trimestre'!F24</f>
        <v>24818216021.205002</v>
      </c>
      <c r="G24" s="8">
        <f>+'IV Trimestre'!G24</f>
        <v>14204271823.262251</v>
      </c>
      <c r="H24" s="8">
        <f>+'IV Trimestre'!H24</f>
        <v>1926497689.3754783</v>
      </c>
    </row>
    <row r="25" spans="1:8" ht="15.6" x14ac:dyDescent="0.35">
      <c r="A25" s="7" t="s">
        <v>118</v>
      </c>
      <c r="B25" s="8">
        <f>+C25+F25+G25</f>
        <v>178322154693</v>
      </c>
      <c r="C25" s="8">
        <f>+SUM(D25:E25)</f>
        <v>148515280485.60001</v>
      </c>
      <c r="D25" s="8">
        <f t="shared" ref="D25" si="1">+D23</f>
        <v>97334172304</v>
      </c>
      <c r="E25" s="8">
        <f t="shared" ref="E25" si="2">+E23</f>
        <v>51181108181.599998</v>
      </c>
      <c r="F25" s="8">
        <f t="shared" ref="F25:G25" si="3">+F23</f>
        <v>24642074771.400002</v>
      </c>
      <c r="G25" s="8">
        <f t="shared" si="3"/>
        <v>5164799436</v>
      </c>
      <c r="H25" s="8"/>
    </row>
    <row r="26" spans="1:8" ht="15.6" x14ac:dyDescent="0.35">
      <c r="A26" s="5"/>
      <c r="B26" s="8"/>
      <c r="C26" s="8"/>
      <c r="D26" s="8"/>
      <c r="E26" s="8"/>
      <c r="F26" s="8"/>
      <c r="G26" s="8"/>
      <c r="H26" s="8"/>
    </row>
    <row r="27" spans="1:8" ht="15.6" x14ac:dyDescent="0.35">
      <c r="A27" s="9" t="s">
        <v>3</v>
      </c>
      <c r="B27" s="8"/>
      <c r="C27" s="8"/>
      <c r="D27" s="8"/>
      <c r="E27" s="8"/>
      <c r="F27" s="8"/>
      <c r="G27" s="8"/>
      <c r="H27" s="8"/>
    </row>
    <row r="28" spans="1:8" ht="15.6" x14ac:dyDescent="0.35">
      <c r="A28" s="7" t="s">
        <v>116</v>
      </c>
      <c r="B28" s="8">
        <f>B22</f>
        <v>178322154692.50937</v>
      </c>
      <c r="C28" s="8"/>
      <c r="D28" s="8"/>
      <c r="E28" s="8"/>
      <c r="F28" s="8"/>
      <c r="G28" s="8"/>
      <c r="H28" s="8"/>
    </row>
    <row r="29" spans="1:8" ht="15.6" x14ac:dyDescent="0.35">
      <c r="A29" s="7" t="s">
        <v>117</v>
      </c>
      <c r="B29" s="8">
        <f>+'I Trimestre'!B29+'II Trimestre'!B29+'III Trimestre'!B29+'IV Trimestre'!B29</f>
        <v>178322154693</v>
      </c>
      <c r="C29" s="8"/>
      <c r="D29" s="8"/>
      <c r="E29" s="8"/>
      <c r="F29" s="8"/>
      <c r="G29" s="8"/>
      <c r="H29" s="8"/>
    </row>
    <row r="30" spans="1:8" ht="15.6" x14ac:dyDescent="0.35">
      <c r="A30" s="5"/>
      <c r="B30" s="18"/>
      <c r="C30" s="18"/>
      <c r="D30" s="18"/>
      <c r="E30" s="18"/>
      <c r="F30" s="18"/>
      <c r="G30" s="18"/>
      <c r="H30" s="18"/>
    </row>
    <row r="31" spans="1:8" ht="15.6" x14ac:dyDescent="0.35">
      <c r="A31" s="6" t="s">
        <v>4</v>
      </c>
      <c r="B31" s="18"/>
      <c r="C31" s="18"/>
      <c r="D31" s="18"/>
      <c r="E31" s="18"/>
      <c r="F31" s="18"/>
      <c r="G31" s="18"/>
      <c r="H31" s="18"/>
    </row>
    <row r="32" spans="1:8" ht="15.6" x14ac:dyDescent="0.35">
      <c r="A32" s="7" t="s">
        <v>75</v>
      </c>
      <c r="B32" s="10">
        <v>1.1144000000000001</v>
      </c>
      <c r="C32" s="10">
        <v>1.1144000000000001</v>
      </c>
      <c r="D32" s="10">
        <v>1.1144000000000001</v>
      </c>
      <c r="E32" s="10">
        <v>1.1144000000000001</v>
      </c>
      <c r="F32" s="10">
        <v>1.1144000000000001</v>
      </c>
      <c r="G32" s="10">
        <v>1.1144000000000001</v>
      </c>
      <c r="H32" s="10">
        <v>1.1144000000000001</v>
      </c>
    </row>
    <row r="33" spans="1:8" ht="15.6" x14ac:dyDescent="0.35">
      <c r="A33" s="7" t="s">
        <v>119</v>
      </c>
      <c r="B33" s="10">
        <v>1.0947</v>
      </c>
      <c r="C33" s="10">
        <v>1.0947</v>
      </c>
      <c r="D33" s="10">
        <v>1.0947</v>
      </c>
      <c r="E33" s="10">
        <v>1.0947</v>
      </c>
      <c r="F33" s="10">
        <v>1.0947</v>
      </c>
      <c r="G33" s="10">
        <v>1.0947</v>
      </c>
      <c r="H33" s="10">
        <v>1.0947</v>
      </c>
    </row>
    <row r="34" spans="1:8" ht="15.6" x14ac:dyDescent="0.35">
      <c r="A34" s="7" t="s">
        <v>5</v>
      </c>
      <c r="B34" s="11">
        <f>+C34+F34</f>
        <v>164788</v>
      </c>
      <c r="C34" s="11">
        <v>147505</v>
      </c>
      <c r="D34" s="11"/>
      <c r="E34" s="11"/>
      <c r="F34" s="11">
        <v>17283</v>
      </c>
      <c r="G34" s="8"/>
      <c r="H34" s="8"/>
    </row>
    <row r="35" spans="1:8" ht="15.6" x14ac:dyDescent="0.35">
      <c r="A35" s="5"/>
      <c r="B35" s="8"/>
      <c r="C35" s="8"/>
      <c r="D35" s="8"/>
      <c r="E35" s="8"/>
      <c r="F35" s="8"/>
      <c r="G35" s="8"/>
      <c r="H35" s="8"/>
    </row>
    <row r="36" spans="1:8" ht="15.6" x14ac:dyDescent="0.35">
      <c r="A36" s="6" t="s">
        <v>6</v>
      </c>
      <c r="B36" s="8"/>
      <c r="C36" s="8"/>
      <c r="D36" s="8"/>
      <c r="E36" s="8"/>
      <c r="F36" s="8"/>
      <c r="G36" s="8"/>
      <c r="H36" s="8"/>
    </row>
    <row r="37" spans="1:8" ht="15.6" x14ac:dyDescent="0.35">
      <c r="A37" s="5" t="s">
        <v>76</v>
      </c>
      <c r="B37" s="8">
        <f>B21/B32</f>
        <v>168141094719.31082</v>
      </c>
      <c r="C37" s="8">
        <f t="shared" ref="C37:H37" si="4">C21/C32</f>
        <v>133475919398.94112</v>
      </c>
      <c r="D37" s="8">
        <f t="shared" si="4"/>
        <v>104046962358.22864</v>
      </c>
      <c r="E37" s="8">
        <f t="shared" si="4"/>
        <v>29428957040.712486</v>
      </c>
      <c r="F37" s="8">
        <f t="shared" si="4"/>
        <v>9344797561.064249</v>
      </c>
      <c r="G37" s="8">
        <f t="shared" si="4"/>
        <v>19356639625.583271</v>
      </c>
      <c r="H37" s="8">
        <f t="shared" si="4"/>
        <v>5963738133.7221823</v>
      </c>
    </row>
    <row r="38" spans="1:8" ht="15.6" x14ac:dyDescent="0.35">
      <c r="A38" s="5" t="s">
        <v>120</v>
      </c>
      <c r="B38" s="8">
        <f>B23/B33</f>
        <v>162895911841.60043</v>
      </c>
      <c r="C38" s="8">
        <f t="shared" ref="C38:H38" si="5">C23/C33</f>
        <v>135667562332.69389</v>
      </c>
      <c r="D38" s="8">
        <f t="shared" si="5"/>
        <v>88914015076.276611</v>
      </c>
      <c r="E38" s="8">
        <f t="shared" si="5"/>
        <v>46753547256.417282</v>
      </c>
      <c r="F38" s="8">
        <f t="shared" si="5"/>
        <v>22510345091.257881</v>
      </c>
      <c r="G38" s="8">
        <f t="shared" si="5"/>
        <v>4718004417.6486712</v>
      </c>
      <c r="H38" s="8">
        <f t="shared" si="5"/>
        <v>0</v>
      </c>
    </row>
    <row r="39" spans="1:8" ht="15.6" x14ac:dyDescent="0.35">
      <c r="A39" s="5" t="s">
        <v>77</v>
      </c>
      <c r="B39" s="8">
        <f>B37/B15</f>
        <v>1165134.8433681617</v>
      </c>
      <c r="C39" s="8">
        <f t="shared" ref="C39:F39" si="6">C37/C15</f>
        <v>958568.27547309792</v>
      </c>
      <c r="D39" s="8">
        <f t="shared" si="6"/>
        <v>972825.80276346672</v>
      </c>
      <c r="E39" s="8">
        <f t="shared" si="6"/>
        <v>911345.9952065926</v>
      </c>
      <c r="F39" s="8">
        <f t="shared" si="6"/>
        <v>1844853.4274277934</v>
      </c>
      <c r="G39" s="8"/>
      <c r="H39" s="8"/>
    </row>
    <row r="40" spans="1:8" ht="15.6" x14ac:dyDescent="0.35">
      <c r="A40" s="5" t="s">
        <v>121</v>
      </c>
      <c r="B40" s="8">
        <f>B38/B17</f>
        <v>1087074.3142491085</v>
      </c>
      <c r="C40" s="8">
        <f t="shared" ref="C40:F40" si="7">C38/C17</f>
        <v>939672.83362532395</v>
      </c>
      <c r="D40" s="8">
        <f t="shared" si="7"/>
        <v>938107.81520335586</v>
      </c>
      <c r="E40" s="8">
        <f t="shared" si="7"/>
        <v>942663.57653535099</v>
      </c>
      <c r="F40" s="8">
        <f t="shared" si="7"/>
        <v>4114818.8447511112</v>
      </c>
      <c r="G40" s="8"/>
      <c r="H40" s="8"/>
    </row>
    <row r="41" spans="1:8" ht="15.6" x14ac:dyDescent="0.35">
      <c r="A41" s="5"/>
      <c r="B41" s="18"/>
      <c r="C41" s="18"/>
      <c r="D41" s="18"/>
      <c r="E41" s="18"/>
      <c r="F41" s="18"/>
      <c r="G41" s="18"/>
      <c r="H41" s="18"/>
    </row>
    <row r="42" spans="1:8" ht="15.6" x14ac:dyDescent="0.35">
      <c r="A42" s="6" t="s">
        <v>7</v>
      </c>
      <c r="B42" s="18"/>
      <c r="C42" s="18"/>
      <c r="D42" s="18"/>
      <c r="E42" s="18"/>
      <c r="F42" s="18"/>
      <c r="G42" s="18"/>
      <c r="H42" s="18"/>
    </row>
    <row r="43" spans="1:8" ht="15.6" x14ac:dyDescent="0.35">
      <c r="A43" s="5"/>
      <c r="B43" s="18"/>
      <c r="C43" s="18"/>
      <c r="D43" s="18"/>
      <c r="E43" s="18"/>
      <c r="F43" s="18"/>
      <c r="G43" s="18"/>
      <c r="H43" s="18"/>
    </row>
    <row r="44" spans="1:8" ht="15.6" x14ac:dyDescent="0.35">
      <c r="A44" s="6" t="s">
        <v>8</v>
      </c>
      <c r="B44" s="18"/>
      <c r="C44" s="18"/>
      <c r="D44" s="18"/>
      <c r="E44" s="18"/>
      <c r="F44" s="18"/>
      <c r="G44" s="18"/>
      <c r="H44" s="18"/>
    </row>
    <row r="45" spans="1:8" ht="15.6" x14ac:dyDescent="0.35">
      <c r="A45" s="5" t="s">
        <v>9</v>
      </c>
      <c r="B45" s="12">
        <f>(B16/B34)*100</f>
        <v>90.15229668827017</v>
      </c>
      <c r="C45" s="12">
        <f>(C16/C34)*100</f>
        <v>97.11591697456582</v>
      </c>
      <c r="D45" s="12"/>
      <c r="E45" s="12"/>
      <c r="F45" s="12">
        <f>(F16/F34)*100</f>
        <v>30.719975312927922</v>
      </c>
      <c r="G45" s="12"/>
      <c r="H45" s="12"/>
    </row>
    <row r="46" spans="1:8" ht="15.6" x14ac:dyDescent="0.35">
      <c r="A46" s="5" t="s">
        <v>10</v>
      </c>
      <c r="B46" s="12">
        <f>(B17/B34)*100</f>
        <v>90.933805859649979</v>
      </c>
      <c r="C46" s="12">
        <f>(C17/C34)*100</f>
        <v>97.879695226903792</v>
      </c>
      <c r="D46" s="12"/>
      <c r="E46" s="12"/>
      <c r="F46" s="12">
        <f>(F17/F34)*100</f>
        <v>31.652812333249752</v>
      </c>
      <c r="G46" s="12"/>
      <c r="H46" s="12"/>
    </row>
    <row r="47" spans="1:8" ht="15.6" x14ac:dyDescent="0.35">
      <c r="A47" s="5"/>
      <c r="B47" s="12"/>
      <c r="C47" s="12"/>
      <c r="D47" s="12"/>
      <c r="E47" s="12"/>
      <c r="F47" s="12"/>
      <c r="G47" s="12"/>
      <c r="H47" s="12"/>
    </row>
    <row r="48" spans="1:8" ht="15.6" x14ac:dyDescent="0.35">
      <c r="A48" s="6" t="s">
        <v>11</v>
      </c>
      <c r="B48" s="12"/>
      <c r="C48" s="12"/>
      <c r="D48" s="12"/>
      <c r="E48" s="12"/>
      <c r="F48" s="12"/>
      <c r="G48" s="12"/>
      <c r="H48" s="12"/>
    </row>
    <row r="49" spans="1:8" ht="15.6" x14ac:dyDescent="0.35">
      <c r="A49" s="5" t="s">
        <v>12</v>
      </c>
      <c r="B49" s="12">
        <f>B17/B16*100</f>
        <v>100.86687660779417</v>
      </c>
      <c r="C49" s="12">
        <f t="shared" ref="C49:F49" si="8">C17/C16*100</f>
        <v>100.78646042392619</v>
      </c>
      <c r="D49" s="12">
        <f t="shared" si="8"/>
        <v>101.56078804660844</v>
      </c>
      <c r="E49" s="12">
        <f t="shared" si="8"/>
        <v>99.339093937234225</v>
      </c>
      <c r="F49" s="12">
        <f t="shared" si="8"/>
        <v>103.03658128243762</v>
      </c>
      <c r="G49" s="12"/>
      <c r="H49" s="12"/>
    </row>
    <row r="50" spans="1:8" ht="15.6" x14ac:dyDescent="0.35">
      <c r="A50" s="5" t="s">
        <v>13</v>
      </c>
      <c r="B50" s="12">
        <f>B23/B22*100</f>
        <v>100.00000000027514</v>
      </c>
      <c r="C50" s="12">
        <f t="shared" ref="C50:G50" si="9">C23/C22*100</f>
        <v>108.11083517631029</v>
      </c>
      <c r="D50" s="12">
        <f t="shared" si="9"/>
        <v>108.7175119784095</v>
      </c>
      <c r="E50" s="12">
        <f t="shared" si="9"/>
        <v>106.97556784811728</v>
      </c>
      <c r="F50" s="12">
        <f t="shared" si="9"/>
        <v>99.290274330538082</v>
      </c>
      <c r="G50" s="12">
        <f t="shared" si="9"/>
        <v>36.360888472590617</v>
      </c>
      <c r="H50" s="12">
        <f>H23/H22*100</f>
        <v>0</v>
      </c>
    </row>
    <row r="51" spans="1:8" ht="15.6" x14ac:dyDescent="0.35">
      <c r="A51" s="5" t="s">
        <v>14</v>
      </c>
      <c r="B51" s="12">
        <f>AVERAGE(B49:B50)</f>
        <v>100.43343830403465</v>
      </c>
      <c r="C51" s="12">
        <f t="shared" ref="C51:F51" si="10">AVERAGE(C49:C50)</f>
        <v>104.44864780011824</v>
      </c>
      <c r="D51" s="12">
        <f t="shared" si="10"/>
        <v>105.13915001250896</v>
      </c>
      <c r="E51" s="12">
        <f t="shared" si="10"/>
        <v>103.15733089267576</v>
      </c>
      <c r="F51" s="12">
        <f t="shared" si="10"/>
        <v>101.16342780648785</v>
      </c>
      <c r="G51" s="12">
        <f t="shared" ref="G51" si="11">AVERAGE(G49:G50)</f>
        <v>36.360888472590617</v>
      </c>
      <c r="H51" s="12">
        <f>AVERAGE(H49:H50)</f>
        <v>0</v>
      </c>
    </row>
    <row r="52" spans="1:8" ht="15.6" x14ac:dyDescent="0.35">
      <c r="A52" s="5"/>
      <c r="B52" s="12"/>
      <c r="C52" s="12"/>
      <c r="D52" s="12"/>
      <c r="E52" s="12"/>
      <c r="F52" s="12"/>
      <c r="G52" s="12"/>
      <c r="H52" s="12"/>
    </row>
    <row r="53" spans="1:8" ht="15.6" x14ac:dyDescent="0.35">
      <c r="A53" s="6" t="s">
        <v>15</v>
      </c>
      <c r="B53" s="12"/>
      <c r="C53" s="12"/>
      <c r="D53" s="12"/>
      <c r="E53" s="12"/>
      <c r="F53" s="12"/>
      <c r="G53" s="12"/>
      <c r="H53" s="12"/>
    </row>
    <row r="54" spans="1:8" ht="15.6" x14ac:dyDescent="0.35">
      <c r="A54" s="5" t="s">
        <v>16</v>
      </c>
      <c r="B54" s="12">
        <f>B17/B18*100</f>
        <v>100.86687660779417</v>
      </c>
      <c r="C54" s="12">
        <f t="shared" ref="C54:F54" si="12">C17/C18*100</f>
        <v>100.78646042392619</v>
      </c>
      <c r="D54" s="12">
        <f t="shared" si="12"/>
        <v>101.56078804660848</v>
      </c>
      <c r="E54" s="12">
        <f t="shared" si="12"/>
        <v>99.339093937234225</v>
      </c>
      <c r="F54" s="12">
        <f t="shared" si="12"/>
        <v>103.03658128243762</v>
      </c>
      <c r="G54" s="12"/>
      <c r="H54" s="12"/>
    </row>
    <row r="55" spans="1:8" ht="15.6" x14ac:dyDescent="0.35">
      <c r="A55" s="5" t="s">
        <v>17</v>
      </c>
      <c r="B55" s="12">
        <f>B23/B24*100</f>
        <v>100.00000000027514</v>
      </c>
      <c r="C55" s="12">
        <f t="shared" ref="C55:G55" si="13">C23/C24*100</f>
        <v>108.11083517631029</v>
      </c>
      <c r="D55" s="12">
        <f t="shared" si="13"/>
        <v>108.7175119784095</v>
      </c>
      <c r="E55" s="12">
        <f t="shared" si="13"/>
        <v>106.97556784811728</v>
      </c>
      <c r="F55" s="12">
        <f t="shared" si="13"/>
        <v>99.290274330538082</v>
      </c>
      <c r="G55" s="12">
        <f t="shared" si="13"/>
        <v>36.360888472590617</v>
      </c>
      <c r="H55" s="12">
        <f>H23/H24*100</f>
        <v>0</v>
      </c>
    </row>
    <row r="56" spans="1:8" ht="15.6" x14ac:dyDescent="0.35">
      <c r="A56" s="5" t="s">
        <v>18</v>
      </c>
      <c r="B56" s="12">
        <f>AVERAGE(B54:B55)</f>
        <v>100.43343830403465</v>
      </c>
      <c r="C56" s="12">
        <f t="shared" ref="C56:F56" si="14">AVERAGE(C54:C55)</f>
        <v>104.44864780011824</v>
      </c>
      <c r="D56" s="12">
        <f t="shared" si="14"/>
        <v>105.13915001250899</v>
      </c>
      <c r="E56" s="12">
        <f t="shared" si="14"/>
        <v>103.15733089267576</v>
      </c>
      <c r="F56" s="12">
        <f t="shared" si="14"/>
        <v>101.16342780648785</v>
      </c>
      <c r="G56" s="12">
        <f t="shared" ref="G56" si="15">AVERAGE(G54:G55)</f>
        <v>36.360888472590617</v>
      </c>
      <c r="H56" s="12">
        <f>AVERAGE(H54:H55)</f>
        <v>0</v>
      </c>
    </row>
    <row r="57" spans="1:8" ht="15.6" x14ac:dyDescent="0.35">
      <c r="A57" s="5"/>
      <c r="B57" s="12"/>
      <c r="C57" s="12"/>
      <c r="D57" s="12"/>
      <c r="E57" s="12"/>
      <c r="F57" s="12"/>
      <c r="G57" s="12"/>
      <c r="H57" s="12"/>
    </row>
    <row r="58" spans="1:8" ht="15.6" x14ac:dyDescent="0.35">
      <c r="A58" s="6" t="s">
        <v>29</v>
      </c>
      <c r="B58" s="12"/>
      <c r="C58" s="12"/>
      <c r="D58" s="12"/>
      <c r="E58" s="12"/>
      <c r="F58" s="12"/>
      <c r="G58" s="12"/>
      <c r="H58" s="12"/>
    </row>
    <row r="59" spans="1:8" ht="15.6" x14ac:dyDescent="0.35">
      <c r="A59" s="5" t="s">
        <v>19</v>
      </c>
      <c r="B59" s="12">
        <f>(B25/B23)*100</f>
        <v>100</v>
      </c>
      <c r="C59" s="12"/>
      <c r="D59" s="12"/>
      <c r="E59" s="12"/>
      <c r="F59" s="12"/>
      <c r="G59" s="12"/>
      <c r="H59" s="12"/>
    </row>
    <row r="60" spans="1:8" ht="15.6" x14ac:dyDescent="0.35">
      <c r="A60" s="5"/>
      <c r="B60" s="12"/>
      <c r="C60" s="12"/>
      <c r="D60" s="12"/>
      <c r="E60" s="12"/>
      <c r="F60" s="12"/>
      <c r="G60" s="12"/>
      <c r="H60" s="12"/>
    </row>
    <row r="61" spans="1:8" ht="15.6" x14ac:dyDescent="0.35">
      <c r="A61" s="6" t="s">
        <v>20</v>
      </c>
      <c r="B61" s="12"/>
      <c r="C61" s="12"/>
      <c r="D61" s="12"/>
      <c r="E61" s="12"/>
      <c r="F61" s="12"/>
      <c r="G61" s="12"/>
      <c r="H61" s="12"/>
    </row>
    <row r="62" spans="1:8" ht="15.6" x14ac:dyDescent="0.35">
      <c r="A62" s="5" t="s">
        <v>21</v>
      </c>
      <c r="B62" s="12">
        <f>((B17/B15)-1)*100</f>
        <v>3.8372720841935104</v>
      </c>
      <c r="C62" s="12">
        <f t="shared" ref="C62:F62" si="16">((C17/C15)-1)*100</f>
        <v>3.6858472760757932</v>
      </c>
      <c r="D62" s="12"/>
      <c r="E62" s="12"/>
      <c r="F62" s="12">
        <f t="shared" si="16"/>
        <v>7.9999122576116521</v>
      </c>
      <c r="G62" s="12"/>
      <c r="H62" s="12"/>
    </row>
    <row r="63" spans="1:8" ht="15.6" x14ac:dyDescent="0.35">
      <c r="A63" s="5" t="s">
        <v>22</v>
      </c>
      <c r="B63" s="12">
        <f>((B38/B37)-1)*100</f>
        <v>-3.1195127440240111</v>
      </c>
      <c r="C63" s="12">
        <f t="shared" ref="C63:H63" si="17">((C38/C37)-1)*100</f>
        <v>1.6419762782845293</v>
      </c>
      <c r="D63" s="12"/>
      <c r="E63" s="12"/>
      <c r="F63" s="12">
        <f t="shared" si="17"/>
        <v>140.88638565107931</v>
      </c>
      <c r="G63" s="12">
        <f t="shared" si="17"/>
        <v>-75.625911785778243</v>
      </c>
      <c r="H63" s="12">
        <f t="shared" si="17"/>
        <v>-100</v>
      </c>
    </row>
    <row r="64" spans="1:8" ht="15.6" x14ac:dyDescent="0.35">
      <c r="A64" s="5" t="s">
        <v>23</v>
      </c>
      <c r="B64" s="12">
        <f>((B40/B39)-1)*100</f>
        <v>-6.6996991432679565</v>
      </c>
      <c r="C64" s="12">
        <f>((C40/C39)-1)*100</f>
        <v>-1.9712150225760561</v>
      </c>
      <c r="D64" s="12"/>
      <c r="E64" s="12"/>
      <c r="F64" s="12">
        <f t="shared" ref="F64" si="18">((F40/F39)-1)*100</f>
        <v>123.04313088374946</v>
      </c>
      <c r="G64" s="12"/>
      <c r="H64" s="12"/>
    </row>
    <row r="65" spans="1:8" ht="15.6" x14ac:dyDescent="0.35">
      <c r="A65" s="5"/>
      <c r="B65" s="12"/>
      <c r="C65" s="12"/>
      <c r="D65" s="12"/>
      <c r="E65" s="12"/>
      <c r="F65" s="12"/>
      <c r="G65" s="12"/>
      <c r="H65" s="12"/>
    </row>
    <row r="66" spans="1:8" ht="15.6" x14ac:dyDescent="0.35">
      <c r="A66" s="6" t="s">
        <v>24</v>
      </c>
      <c r="B66" s="12"/>
      <c r="C66" s="12"/>
      <c r="D66" s="12"/>
      <c r="E66" s="12"/>
      <c r="F66" s="12"/>
      <c r="G66" s="12"/>
      <c r="H66" s="12"/>
    </row>
    <row r="67" spans="1:8" ht="15.6" x14ac:dyDescent="0.35">
      <c r="A67" s="5" t="s">
        <v>30</v>
      </c>
      <c r="B67" s="12">
        <f>B22/(B16*12)</f>
        <v>100028.02158301146</v>
      </c>
      <c r="C67" s="12">
        <f>C22/(C16*12)</f>
        <v>79914.118683816079</v>
      </c>
      <c r="D67" s="12">
        <f>D22/(D16*12)</f>
        <v>79945.345395307653</v>
      </c>
      <c r="E67" s="12">
        <f>E22/(E16*12)</f>
        <v>79855.749985117232</v>
      </c>
      <c r="F67" s="12">
        <f>F22/(F16*12)</f>
        <v>389537.54428059084</v>
      </c>
      <c r="G67" s="12"/>
      <c r="H67" s="12"/>
    </row>
    <row r="68" spans="1:8" ht="15.6" x14ac:dyDescent="0.35">
      <c r="A68" s="5" t="s">
        <v>31</v>
      </c>
      <c r="B68" s="12">
        <f>B23/(B17*12)</f>
        <v>99168.354317374935</v>
      </c>
      <c r="C68" s="12">
        <f t="shared" ref="C68:E68" si="19">C23/(C17*12)</f>
        <v>85721.654247470186</v>
      </c>
      <c r="D68" s="12">
        <f t="shared" si="19"/>
        <v>85578.885441926148</v>
      </c>
      <c r="E68" s="12">
        <f t="shared" si="19"/>
        <v>85994.484769437404</v>
      </c>
      <c r="F68" s="12">
        <f>F23/(F17*12)</f>
        <v>375374.34911242011</v>
      </c>
      <c r="G68" s="12"/>
      <c r="H68" s="12"/>
    </row>
    <row r="69" spans="1:8" ht="15.6" x14ac:dyDescent="0.35">
      <c r="A69" s="5" t="s">
        <v>25</v>
      </c>
      <c r="B69" s="12">
        <f>(B68/B67)*B51</f>
        <v>99.57028677990246</v>
      </c>
      <c r="C69" s="12">
        <f t="shared" ref="C69:F69" si="20">(C68/C67)*C51</f>
        <v>112.03916180021336</v>
      </c>
      <c r="D69" s="12">
        <f t="shared" si="20"/>
        <v>112.54803178209932</v>
      </c>
      <c r="E69" s="12">
        <f t="shared" si="20"/>
        <v>111.08732335441476</v>
      </c>
      <c r="F69" s="12">
        <f t="shared" si="20"/>
        <v>97.485226839876091</v>
      </c>
      <c r="G69" s="12"/>
      <c r="H69" s="12"/>
    </row>
    <row r="70" spans="1:8" ht="15.6" x14ac:dyDescent="0.35">
      <c r="A70" s="13" t="s">
        <v>39</v>
      </c>
      <c r="B70" s="12">
        <f>B22/B16</f>
        <v>1200336.2589961377</v>
      </c>
      <c r="C70" s="12">
        <f t="shared" ref="C70:F70" si="21">C22/C16</f>
        <v>958969.42420579295</v>
      </c>
      <c r="D70" s="12">
        <f t="shared" si="21"/>
        <v>959344.14474369201</v>
      </c>
      <c r="E70" s="12">
        <f t="shared" si="21"/>
        <v>958268.99982140667</v>
      </c>
      <c r="F70" s="12">
        <f t="shared" si="21"/>
        <v>4674450.5313670896</v>
      </c>
      <c r="G70" s="12"/>
      <c r="H70" s="12"/>
    </row>
    <row r="71" spans="1:8" ht="15.6" x14ac:dyDescent="0.35">
      <c r="A71" s="13" t="s">
        <v>40</v>
      </c>
      <c r="B71" s="12">
        <f>B23/B17</f>
        <v>1190020.2518084992</v>
      </c>
      <c r="C71" s="12">
        <f t="shared" ref="C71:F71" si="22">C23/C17</f>
        <v>1028659.8509696422</v>
      </c>
      <c r="D71" s="12">
        <f t="shared" si="22"/>
        <v>1026946.6253031136</v>
      </c>
      <c r="E71" s="12">
        <f t="shared" si="22"/>
        <v>1031933.8172332487</v>
      </c>
      <c r="F71" s="12">
        <f t="shared" si="22"/>
        <v>4504492.1893490413</v>
      </c>
      <c r="G71" s="12"/>
      <c r="H71" s="12"/>
    </row>
    <row r="72" spans="1:8" ht="15.6" x14ac:dyDescent="0.35">
      <c r="A72" s="5"/>
      <c r="B72" s="12"/>
      <c r="C72" s="12"/>
      <c r="D72" s="12"/>
      <c r="E72" s="12"/>
      <c r="F72" s="12"/>
      <c r="G72" s="12"/>
      <c r="H72" s="12"/>
    </row>
    <row r="73" spans="1:8" ht="15.6" x14ac:dyDescent="0.35">
      <c r="A73" s="6" t="s">
        <v>26</v>
      </c>
      <c r="B73" s="12"/>
      <c r="C73" s="12"/>
      <c r="D73" s="12"/>
      <c r="E73" s="12"/>
      <c r="F73" s="12"/>
      <c r="G73" s="12"/>
      <c r="H73" s="12"/>
    </row>
    <row r="74" spans="1:8" ht="15.6" x14ac:dyDescent="0.35">
      <c r="A74" s="5" t="s">
        <v>27</v>
      </c>
      <c r="B74" s="12">
        <f>(B29/B28)*100</f>
        <v>100.00000000027514</v>
      </c>
      <c r="C74" s="12"/>
      <c r="D74" s="12"/>
      <c r="E74" s="12"/>
      <c r="F74" s="12"/>
      <c r="G74" s="12"/>
      <c r="H74" s="12"/>
    </row>
    <row r="75" spans="1:8" ht="15.6" x14ac:dyDescent="0.35">
      <c r="A75" s="5" t="s">
        <v>28</v>
      </c>
      <c r="B75" s="12">
        <f>(B23/B29)*100</f>
        <v>100</v>
      </c>
      <c r="C75" s="12"/>
      <c r="D75" s="12"/>
      <c r="E75" s="12"/>
      <c r="F75" s="12"/>
      <c r="G75" s="12"/>
      <c r="H75" s="12"/>
    </row>
    <row r="76" spans="1:8" ht="16.2" thickBot="1" x14ac:dyDescent="0.4">
      <c r="A76" s="14"/>
      <c r="B76" s="14"/>
      <c r="C76" s="14"/>
      <c r="D76" s="14"/>
      <c r="E76" s="14"/>
      <c r="F76" s="14"/>
      <c r="G76" s="14"/>
      <c r="H76" s="14"/>
    </row>
    <row r="77" spans="1:8" ht="20.25" customHeight="1" thickTop="1" x14ac:dyDescent="0.3">
      <c r="A77" s="25"/>
      <c r="B77" s="25"/>
      <c r="C77" s="25"/>
      <c r="D77" s="25"/>
      <c r="E77" s="25"/>
      <c r="F77" s="25"/>
      <c r="G77" s="25"/>
      <c r="H77" s="25"/>
    </row>
    <row r="79" spans="1:8" ht="38.25" customHeight="1" x14ac:dyDescent="0.35">
      <c r="A79" s="27"/>
      <c r="B79" s="27"/>
      <c r="C79" s="27"/>
      <c r="D79" s="27"/>
      <c r="E79" s="27"/>
      <c r="F79" s="27"/>
      <c r="G79" s="27"/>
      <c r="H79" s="27"/>
    </row>
  </sheetData>
  <mergeCells count="5">
    <mergeCell ref="A79:H79"/>
    <mergeCell ref="A9:A10"/>
    <mergeCell ref="B9:B10"/>
    <mergeCell ref="C9:H9"/>
    <mergeCell ref="A77:H7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 Trimestre</vt:lpstr>
      <vt:lpstr>II Trimestre</vt:lpstr>
      <vt:lpstr>I Semestre</vt:lpstr>
      <vt:lpstr>III Trimestre</vt:lpstr>
      <vt:lpstr>III T Acumulado</vt:lpstr>
      <vt:lpstr>IV Trimestre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Rodríguez C.</dc:creator>
  <cp:lastModifiedBy>Stephanie Tatiana Salas Soto</cp:lastModifiedBy>
  <dcterms:created xsi:type="dcterms:W3CDTF">2012-04-23T14:39:07Z</dcterms:created>
  <dcterms:modified xsi:type="dcterms:W3CDTF">2026-01-03T12:42:16Z</dcterms:modified>
</cp:coreProperties>
</file>