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F09994E3-783A-46CD-BF0D-58E5F98A25D4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9" i="5" l="1"/>
  <c r="G17" i="5" l="1"/>
  <c r="G67" i="5"/>
  <c r="C67" i="5"/>
  <c r="G22" i="5"/>
  <c r="B22" i="5" s="1"/>
  <c r="G24" i="5"/>
  <c r="B24" i="5" s="1"/>
  <c r="C24" i="5"/>
  <c r="F24" i="5"/>
  <c r="E24" i="5"/>
  <c r="B15" i="7" l="1"/>
  <c r="B21" i="3"/>
  <c r="B15" i="3"/>
  <c r="B29" i="5"/>
  <c r="G16" i="5"/>
  <c r="G21" i="5" l="1"/>
  <c r="G15" i="5"/>
  <c r="F15" i="5"/>
  <c r="G21" i="7"/>
  <c r="G15" i="7"/>
  <c r="D15" i="5"/>
  <c r="E62" i="5" l="1"/>
  <c r="G62" i="5"/>
  <c r="E63" i="5"/>
  <c r="F63" i="5"/>
  <c r="E64" i="5"/>
  <c r="E37" i="5"/>
  <c r="E39" i="5" s="1"/>
  <c r="F37" i="5"/>
  <c r="G37" i="5"/>
  <c r="G63" i="5" s="1"/>
  <c r="E38" i="5"/>
  <c r="E40" i="5" s="1"/>
  <c r="F38" i="5"/>
  <c r="F40" i="5" s="1"/>
  <c r="G38" i="5"/>
  <c r="G40" i="5"/>
  <c r="G68" i="5"/>
  <c r="F68" i="5"/>
  <c r="F67" i="5"/>
  <c r="F68" i="4"/>
  <c r="F67" i="4"/>
  <c r="E68" i="5"/>
  <c r="D68" i="5"/>
  <c r="D67" i="5"/>
  <c r="G39" i="5" l="1"/>
  <c r="G64" i="5" s="1"/>
  <c r="D62" i="4"/>
  <c r="E62" i="4"/>
  <c r="F62" i="4"/>
  <c r="G62" i="4"/>
  <c r="G63" i="4"/>
  <c r="D37" i="4"/>
  <c r="E37" i="4"/>
  <c r="F37" i="4"/>
  <c r="F39" i="4" s="1"/>
  <c r="G37" i="4"/>
  <c r="G39" i="4" s="1"/>
  <c r="G64" i="4" s="1"/>
  <c r="D38" i="4"/>
  <c r="D40" i="4" s="1"/>
  <c r="D64" i="4" s="1"/>
  <c r="E38" i="4"/>
  <c r="E63" i="4" s="1"/>
  <c r="F38" i="4"/>
  <c r="F63" i="4" s="1"/>
  <c r="G38" i="4"/>
  <c r="D39" i="4"/>
  <c r="E39" i="4"/>
  <c r="E40" i="4"/>
  <c r="E64" i="4" s="1"/>
  <c r="G40" i="4"/>
  <c r="F17" i="5"/>
  <c r="D63" i="4" l="1"/>
  <c r="F40" i="4"/>
  <c r="F64" i="4"/>
  <c r="G68" i="7"/>
  <c r="D67" i="7"/>
  <c r="D68" i="7"/>
  <c r="D69" i="7"/>
  <c r="D70" i="7"/>
  <c r="D71" i="7"/>
  <c r="E62" i="7"/>
  <c r="F62" i="7"/>
  <c r="E63" i="7"/>
  <c r="F63" i="7"/>
  <c r="E64" i="7"/>
  <c r="F64" i="7"/>
  <c r="E37" i="7"/>
  <c r="F37" i="7"/>
  <c r="G37" i="7"/>
  <c r="G63" i="7" s="1"/>
  <c r="E38" i="7"/>
  <c r="E40" i="7" s="1"/>
  <c r="F38" i="7"/>
  <c r="G38" i="7"/>
  <c r="E39" i="7"/>
  <c r="F39" i="7"/>
  <c r="F40" i="7"/>
  <c r="G40" i="7"/>
  <c r="B21" i="7"/>
  <c r="F17" i="7"/>
  <c r="G17" i="7"/>
  <c r="D62" i="3"/>
  <c r="E62" i="3"/>
  <c r="F62" i="3"/>
  <c r="G62" i="3"/>
  <c r="D63" i="3"/>
  <c r="E63" i="3"/>
  <c r="F63" i="3"/>
  <c r="D64" i="3"/>
  <c r="E64" i="3"/>
  <c r="F64" i="3"/>
  <c r="D37" i="3"/>
  <c r="E37" i="3"/>
  <c r="F37" i="3"/>
  <c r="G37" i="3"/>
  <c r="G39" i="3" s="1"/>
  <c r="G64" i="3" s="1"/>
  <c r="D38" i="3"/>
  <c r="E38" i="3"/>
  <c r="F38" i="3"/>
  <c r="G38" i="3"/>
  <c r="D39" i="3"/>
  <c r="E39" i="3"/>
  <c r="F39" i="3"/>
  <c r="D40" i="3"/>
  <c r="E40" i="3"/>
  <c r="F40" i="3"/>
  <c r="G40" i="3"/>
  <c r="F68" i="2"/>
  <c r="F67" i="2"/>
  <c r="F69" i="2" s="1"/>
  <c r="F68" i="6"/>
  <c r="F67" i="6"/>
  <c r="E62" i="6"/>
  <c r="E63" i="6"/>
  <c r="F63" i="6"/>
  <c r="E64" i="6"/>
  <c r="E68" i="6"/>
  <c r="G68" i="6"/>
  <c r="F70" i="6"/>
  <c r="E71" i="6"/>
  <c r="F71" i="6"/>
  <c r="G71" i="6"/>
  <c r="E49" i="6"/>
  <c r="F49" i="6"/>
  <c r="F51" i="6" s="1"/>
  <c r="G49" i="6"/>
  <c r="F50" i="6"/>
  <c r="E54" i="6"/>
  <c r="F54" i="6"/>
  <c r="F56" i="6" s="1"/>
  <c r="G54" i="6"/>
  <c r="F55" i="6"/>
  <c r="G55" i="6"/>
  <c r="E37" i="6"/>
  <c r="F37" i="6"/>
  <c r="E38" i="6"/>
  <c r="E40" i="6" s="1"/>
  <c r="F38" i="6"/>
  <c r="G38" i="6"/>
  <c r="E39" i="6"/>
  <c r="F40" i="6"/>
  <c r="G40" i="6"/>
  <c r="B23" i="6"/>
  <c r="B25" i="6"/>
  <c r="B17" i="6"/>
  <c r="B18" i="6"/>
  <c r="B16" i="6"/>
  <c r="G22" i="6"/>
  <c r="G67" i="6" s="1"/>
  <c r="G23" i="6"/>
  <c r="G24" i="6"/>
  <c r="G25" i="6"/>
  <c r="G16" i="6"/>
  <c r="G17" i="6"/>
  <c r="G18" i="6"/>
  <c r="E62" i="2"/>
  <c r="E63" i="2"/>
  <c r="F63" i="2"/>
  <c r="E64" i="2"/>
  <c r="E67" i="2"/>
  <c r="G67" i="2"/>
  <c r="E68" i="2"/>
  <c r="G68" i="2"/>
  <c r="E69" i="2"/>
  <c r="E70" i="2"/>
  <c r="F70" i="2"/>
  <c r="G70" i="2"/>
  <c r="E71" i="2"/>
  <c r="F71" i="2"/>
  <c r="G71" i="2"/>
  <c r="C49" i="2"/>
  <c r="D49" i="2"/>
  <c r="D51" i="2" s="1"/>
  <c r="E49" i="2"/>
  <c r="F49" i="2"/>
  <c r="G49" i="2"/>
  <c r="G51" i="2" s="1"/>
  <c r="C50" i="2"/>
  <c r="D50" i="2"/>
  <c r="E50" i="2"/>
  <c r="E51" i="2" s="1"/>
  <c r="F50" i="2"/>
  <c r="G50" i="2"/>
  <c r="F51" i="2"/>
  <c r="C54" i="2"/>
  <c r="D54" i="2"/>
  <c r="D56" i="2" s="1"/>
  <c r="E54" i="2"/>
  <c r="F54" i="2"/>
  <c r="G54" i="2"/>
  <c r="C55" i="2"/>
  <c r="C56" i="2" s="1"/>
  <c r="D55" i="2"/>
  <c r="E55" i="2"/>
  <c r="F55" i="2"/>
  <c r="G55" i="2"/>
  <c r="F56" i="2"/>
  <c r="G56" i="2"/>
  <c r="C37" i="2"/>
  <c r="D37" i="2"/>
  <c r="E37" i="2"/>
  <c r="F37" i="2"/>
  <c r="C38" i="2"/>
  <c r="D38" i="2"/>
  <c r="D40" i="2" s="1"/>
  <c r="E38" i="2"/>
  <c r="E40" i="2" s="1"/>
  <c r="F38" i="2"/>
  <c r="G38" i="2"/>
  <c r="C39" i="2"/>
  <c r="D39" i="2"/>
  <c r="E39" i="2"/>
  <c r="C40" i="2"/>
  <c r="F40" i="2"/>
  <c r="G40" i="2"/>
  <c r="B23" i="2"/>
  <c r="B24" i="2"/>
  <c r="B25" i="2"/>
  <c r="G25" i="2"/>
  <c r="B22" i="2"/>
  <c r="B21" i="2"/>
  <c r="B17" i="2"/>
  <c r="B18" i="2"/>
  <c r="B16" i="2"/>
  <c r="B15" i="2"/>
  <c r="E67" i="1"/>
  <c r="E69" i="1" s="1"/>
  <c r="G67" i="1"/>
  <c r="E68" i="1"/>
  <c r="G68" i="1"/>
  <c r="E70" i="1"/>
  <c r="G70" i="1"/>
  <c r="E71" i="1"/>
  <c r="G71" i="1"/>
  <c r="D62" i="1"/>
  <c r="E62" i="1"/>
  <c r="D63" i="1"/>
  <c r="E63" i="1"/>
  <c r="D64" i="1"/>
  <c r="E64" i="1"/>
  <c r="C62" i="1"/>
  <c r="C63" i="1"/>
  <c r="C64" i="1"/>
  <c r="C49" i="1"/>
  <c r="D49" i="1"/>
  <c r="E49" i="1"/>
  <c r="G49" i="1"/>
  <c r="C50" i="1"/>
  <c r="C51" i="1" s="1"/>
  <c r="D50" i="1"/>
  <c r="D51" i="1" s="1"/>
  <c r="E50" i="1"/>
  <c r="E51" i="1" s="1"/>
  <c r="G50" i="1"/>
  <c r="G51" i="1"/>
  <c r="C54" i="1"/>
  <c r="C56" i="1" s="1"/>
  <c r="D54" i="1"/>
  <c r="E54" i="1"/>
  <c r="F54" i="1"/>
  <c r="G54" i="1"/>
  <c r="C55" i="1"/>
  <c r="D55" i="1"/>
  <c r="D56" i="1" s="1"/>
  <c r="E55" i="1"/>
  <c r="E56" i="1" s="1"/>
  <c r="F55" i="1"/>
  <c r="F56" i="1" s="1"/>
  <c r="G55" i="1"/>
  <c r="G56" i="1"/>
  <c r="D37" i="1"/>
  <c r="E37" i="1"/>
  <c r="F37" i="1"/>
  <c r="D38" i="1"/>
  <c r="E38" i="1"/>
  <c r="F38" i="1"/>
  <c r="G38" i="1"/>
  <c r="D39" i="1"/>
  <c r="E39" i="1"/>
  <c r="D40" i="1"/>
  <c r="E40" i="1"/>
  <c r="G40" i="1"/>
  <c r="C37" i="1"/>
  <c r="C38" i="1"/>
  <c r="C39" i="1"/>
  <c r="C40" i="1"/>
  <c r="B25" i="1"/>
  <c r="G25" i="1"/>
  <c r="B23" i="1"/>
  <c r="B24" i="1"/>
  <c r="B22" i="1"/>
  <c r="B21" i="1"/>
  <c r="B18" i="1"/>
  <c r="B17" i="1"/>
  <c r="B16" i="1"/>
  <c r="B15" i="1"/>
  <c r="G56" i="6" l="1"/>
  <c r="G69" i="2"/>
  <c r="G50" i="6"/>
  <c r="G70" i="6"/>
  <c r="G69" i="1"/>
  <c r="G51" i="6"/>
  <c r="G69" i="6" s="1"/>
  <c r="E56" i="2"/>
  <c r="C51" i="2"/>
  <c r="G63" i="3"/>
  <c r="F69" i="6"/>
  <c r="F16" i="5" l="1"/>
  <c r="C37" i="4" l="1"/>
  <c r="C39" i="4" s="1"/>
  <c r="C38" i="4"/>
  <c r="C40" i="4" s="1"/>
  <c r="B24" i="4" l="1"/>
  <c r="E17" i="5"/>
  <c r="D17" i="5"/>
  <c r="C17" i="5"/>
  <c r="B17" i="5" l="1"/>
  <c r="F22" i="5"/>
  <c r="F23" i="5"/>
  <c r="F25" i="5" s="1"/>
  <c r="G23" i="5"/>
  <c r="E16" i="5"/>
  <c r="F18" i="5"/>
  <c r="E18" i="5"/>
  <c r="D16" i="5"/>
  <c r="D18" i="5"/>
  <c r="E15" i="5"/>
  <c r="F68" i="3"/>
  <c r="F67" i="3"/>
  <c r="D68" i="3"/>
  <c r="D67" i="3"/>
  <c r="E16" i="6"/>
  <c r="F16" i="6"/>
  <c r="F71" i="4"/>
  <c r="F70" i="4"/>
  <c r="C71" i="4"/>
  <c r="C70" i="4"/>
  <c r="C68" i="4"/>
  <c r="C67" i="4"/>
  <c r="F21" i="5"/>
  <c r="E21" i="5"/>
  <c r="D21" i="5"/>
  <c r="D37" i="5" s="1"/>
  <c r="D62" i="5"/>
  <c r="G18" i="5"/>
  <c r="C16" i="5"/>
  <c r="C15" i="5"/>
  <c r="F62" i="5" l="1"/>
  <c r="F39" i="5"/>
  <c r="F64" i="5" s="1"/>
  <c r="G55" i="5"/>
  <c r="G50" i="5"/>
  <c r="F70" i="5"/>
  <c r="F55" i="5"/>
  <c r="G25" i="5"/>
  <c r="F50" i="5"/>
  <c r="G71" i="5"/>
  <c r="G54" i="5"/>
  <c r="G49" i="5"/>
  <c r="G70" i="5"/>
  <c r="F71" i="5"/>
  <c r="F54" i="5"/>
  <c r="F49" i="5"/>
  <c r="E54" i="5"/>
  <c r="E49" i="5"/>
  <c r="C62" i="5"/>
  <c r="C49" i="5"/>
  <c r="D54" i="5"/>
  <c r="B16" i="5"/>
  <c r="D49" i="5"/>
  <c r="B15" i="5"/>
  <c r="D39" i="5"/>
  <c r="G51" i="5" l="1"/>
  <c r="G69" i="5" s="1"/>
  <c r="G56" i="5"/>
  <c r="F56" i="5"/>
  <c r="F51" i="5"/>
  <c r="F69" i="5" s="1"/>
  <c r="F25" i="4" l="1"/>
  <c r="G25" i="4"/>
  <c r="E25" i="4"/>
  <c r="B16" i="4"/>
  <c r="B18" i="4"/>
  <c r="D67" i="4"/>
  <c r="E67" i="4"/>
  <c r="G67" i="4"/>
  <c r="D68" i="4"/>
  <c r="E68" i="4"/>
  <c r="G68" i="4"/>
  <c r="D70" i="4"/>
  <c r="E70" i="4"/>
  <c r="G70" i="4"/>
  <c r="D71" i="4"/>
  <c r="E71" i="4"/>
  <c r="G71" i="4"/>
  <c r="C62" i="4"/>
  <c r="C49" i="4"/>
  <c r="D49" i="4"/>
  <c r="D51" i="4" s="1"/>
  <c r="E49" i="4"/>
  <c r="F49" i="4"/>
  <c r="G49" i="4"/>
  <c r="C50" i="4"/>
  <c r="D50" i="4"/>
  <c r="E50" i="4"/>
  <c r="F50" i="4"/>
  <c r="G50" i="4"/>
  <c r="C54" i="4"/>
  <c r="D54" i="4"/>
  <c r="E54" i="4"/>
  <c r="F54" i="4"/>
  <c r="G54" i="4"/>
  <c r="C55" i="4"/>
  <c r="D55" i="4"/>
  <c r="E55" i="4"/>
  <c r="F55" i="4"/>
  <c r="G55" i="4"/>
  <c r="B22" i="4"/>
  <c r="B23" i="4"/>
  <c r="B21" i="4"/>
  <c r="B17" i="4"/>
  <c r="B15" i="4"/>
  <c r="C56" i="4" l="1"/>
  <c r="C63" i="4"/>
  <c r="C64" i="4"/>
  <c r="E51" i="4"/>
  <c r="E69" i="4" s="1"/>
  <c r="F51" i="4"/>
  <c r="F69" i="4" s="1"/>
  <c r="C51" i="4"/>
  <c r="C69" i="4" s="1"/>
  <c r="G56" i="4"/>
  <c r="G51" i="4"/>
  <c r="G69" i="4" s="1"/>
  <c r="F56" i="4"/>
  <c r="E56" i="4"/>
  <c r="D56" i="4"/>
  <c r="D69" i="4"/>
  <c r="F21" i="7" l="1"/>
  <c r="F22" i="7"/>
  <c r="G22" i="7"/>
  <c r="G67" i="7" s="1"/>
  <c r="F23" i="7"/>
  <c r="F25" i="7" s="1"/>
  <c r="G23" i="7"/>
  <c r="G25" i="7" s="1"/>
  <c r="F24" i="7"/>
  <c r="G24" i="7"/>
  <c r="E21" i="7"/>
  <c r="E22" i="7"/>
  <c r="E23" i="7"/>
  <c r="E24" i="7"/>
  <c r="D21" i="7"/>
  <c r="D37" i="7" s="1"/>
  <c r="D22" i="7"/>
  <c r="D23" i="7"/>
  <c r="D38" i="7" s="1"/>
  <c r="D24" i="7"/>
  <c r="G16" i="7"/>
  <c r="F18" i="7"/>
  <c r="F54" i="7" s="1"/>
  <c r="G18" i="7"/>
  <c r="F15" i="7"/>
  <c r="F16" i="7"/>
  <c r="F49" i="7" s="1"/>
  <c r="G68" i="3"/>
  <c r="G67" i="3"/>
  <c r="F70" i="3"/>
  <c r="G70" i="3"/>
  <c r="F71" i="3"/>
  <c r="G71" i="3"/>
  <c r="D70" i="3"/>
  <c r="D71" i="3"/>
  <c r="C62" i="3"/>
  <c r="C37" i="3"/>
  <c r="C39" i="3" s="1"/>
  <c r="C38" i="3"/>
  <c r="C40" i="3" s="1"/>
  <c r="C64" i="3" s="1"/>
  <c r="C49" i="3"/>
  <c r="D49" i="3"/>
  <c r="E49" i="3"/>
  <c r="F49" i="3"/>
  <c r="G49" i="3"/>
  <c r="C50" i="3"/>
  <c r="D50" i="3"/>
  <c r="E50" i="3"/>
  <c r="F50" i="3"/>
  <c r="G50" i="3"/>
  <c r="C54" i="3"/>
  <c r="D54" i="3"/>
  <c r="D56" i="3" s="1"/>
  <c r="E54" i="3"/>
  <c r="F54" i="3"/>
  <c r="G54" i="3"/>
  <c r="C55" i="3"/>
  <c r="D55" i="3"/>
  <c r="E55" i="3"/>
  <c r="F55" i="3"/>
  <c r="G55" i="3"/>
  <c r="E56" i="3"/>
  <c r="B22" i="3"/>
  <c r="B23" i="3"/>
  <c r="B24" i="3"/>
  <c r="B16" i="3"/>
  <c r="B17" i="3"/>
  <c r="B18" i="3"/>
  <c r="F25" i="3"/>
  <c r="G25" i="3"/>
  <c r="F21" i="6"/>
  <c r="F22" i="6"/>
  <c r="F23" i="6"/>
  <c r="F24" i="6"/>
  <c r="F18" i="6"/>
  <c r="F17" i="6"/>
  <c r="F15" i="6"/>
  <c r="C71" i="2"/>
  <c r="C70" i="2"/>
  <c r="C68" i="2"/>
  <c r="C67" i="2"/>
  <c r="D67" i="2"/>
  <c r="D68" i="2"/>
  <c r="D70" i="2"/>
  <c r="D71" i="2"/>
  <c r="C62" i="2"/>
  <c r="D62" i="2"/>
  <c r="D64" i="2"/>
  <c r="F25" i="2"/>
  <c r="C71" i="1"/>
  <c r="C70" i="1"/>
  <c r="C68" i="1"/>
  <c r="C67" i="1"/>
  <c r="D67" i="1"/>
  <c r="D68" i="1"/>
  <c r="D70" i="1"/>
  <c r="D71" i="1"/>
  <c r="F25" i="1"/>
  <c r="G62" i="7" l="1"/>
  <c r="G39" i="7"/>
  <c r="G64" i="7" s="1"/>
  <c r="C51" i="3"/>
  <c r="C56" i="3"/>
  <c r="E51" i="3"/>
  <c r="F51" i="3"/>
  <c r="F69" i="3" s="1"/>
  <c r="G56" i="3"/>
  <c r="G70" i="7"/>
  <c r="F56" i="3"/>
  <c r="F67" i="7"/>
  <c r="G51" i="3"/>
  <c r="G69" i="3" s="1"/>
  <c r="G49" i="7"/>
  <c r="D63" i="7"/>
  <c r="D51" i="3"/>
  <c r="D69" i="3" s="1"/>
  <c r="G54" i="7"/>
  <c r="C63" i="3"/>
  <c r="E25" i="7"/>
  <c r="C64" i="2"/>
  <c r="G71" i="7"/>
  <c r="D63" i="2"/>
  <c r="C69" i="2"/>
  <c r="C63" i="2"/>
  <c r="D69" i="2"/>
  <c r="D25" i="7"/>
  <c r="G55" i="7"/>
  <c r="F70" i="7"/>
  <c r="F25" i="6"/>
  <c r="G50" i="7"/>
  <c r="G51" i="7" s="1"/>
  <c r="D69" i="1"/>
  <c r="F68" i="7"/>
  <c r="F50" i="7"/>
  <c r="F51" i="7" s="1"/>
  <c r="F55" i="7"/>
  <c r="F56" i="7" s="1"/>
  <c r="E50" i="7"/>
  <c r="E55" i="7"/>
  <c r="D50" i="7"/>
  <c r="C69" i="1"/>
  <c r="D55" i="7"/>
  <c r="F71" i="7"/>
  <c r="E16" i="7"/>
  <c r="E70" i="7" s="1"/>
  <c r="G56" i="7" l="1"/>
  <c r="E67" i="7"/>
  <c r="G69" i="7"/>
  <c r="F69" i="7"/>
  <c r="C71" i="3"/>
  <c r="C70" i="3"/>
  <c r="C68" i="3"/>
  <c r="C67" i="3"/>
  <c r="D25" i="4" l="1"/>
  <c r="C25" i="4"/>
  <c r="B25" i="4" s="1"/>
  <c r="E67" i="3" l="1"/>
  <c r="E68" i="3"/>
  <c r="E70" i="3"/>
  <c r="E71" i="3"/>
  <c r="E69" i="3" l="1"/>
  <c r="C69" i="3"/>
  <c r="D25" i="3"/>
  <c r="E25" i="3"/>
  <c r="C25" i="3"/>
  <c r="B25" i="3" s="1"/>
  <c r="D25" i="2" l="1"/>
  <c r="E25" i="2"/>
  <c r="C25" i="2"/>
  <c r="D25" i="1"/>
  <c r="E25" i="1"/>
  <c r="C25" i="1"/>
  <c r="C17" i="7" l="1"/>
  <c r="C16" i="7"/>
  <c r="C15" i="7"/>
  <c r="C17" i="6"/>
  <c r="C16" i="6"/>
  <c r="C15" i="6"/>
  <c r="C49" i="6" l="1"/>
  <c r="C62" i="6"/>
  <c r="C49" i="7"/>
  <c r="C62" i="7"/>
  <c r="B71" i="4"/>
  <c r="B68" i="4"/>
  <c r="B37" i="4"/>
  <c r="B71" i="2" l="1"/>
  <c r="B68" i="2"/>
  <c r="B71" i="1" l="1"/>
  <c r="B68" i="1"/>
  <c r="B70" i="1"/>
  <c r="B67" i="1"/>
  <c r="B75" i="1"/>
  <c r="B59" i="1"/>
  <c r="B54" i="4" l="1"/>
  <c r="B54" i="2"/>
  <c r="B54" i="3"/>
  <c r="D16" i="7" l="1"/>
  <c r="D15" i="7"/>
  <c r="E15" i="7"/>
  <c r="D39" i="7" l="1"/>
  <c r="B16" i="7"/>
  <c r="B28" i="4"/>
  <c r="B54" i="1"/>
  <c r="B70" i="4" l="1"/>
  <c r="B67" i="4"/>
  <c r="B70" i="2" l="1"/>
  <c r="B67" i="2"/>
  <c r="B71" i="3"/>
  <c r="B68" i="3"/>
  <c r="B70" i="3"/>
  <c r="B67" i="3"/>
  <c r="E18" i="7" l="1"/>
  <c r="D18" i="7"/>
  <c r="C18" i="7"/>
  <c r="D17" i="7"/>
  <c r="E17" i="7"/>
  <c r="B18" i="7" l="1"/>
  <c r="C54" i="7"/>
  <c r="E54" i="7"/>
  <c r="E56" i="7" s="1"/>
  <c r="E71" i="7"/>
  <c r="E49" i="7"/>
  <c r="E51" i="7" s="1"/>
  <c r="E68" i="7"/>
  <c r="E69" i="7" s="1"/>
  <c r="D54" i="7"/>
  <c r="D56" i="7" s="1"/>
  <c r="D49" i="7"/>
  <c r="D51" i="7" s="1"/>
  <c r="D62" i="7"/>
  <c r="D40" i="7"/>
  <c r="D64" i="7" s="1"/>
  <c r="B17" i="7"/>
  <c r="C18" i="5"/>
  <c r="C54" i="5" l="1"/>
  <c r="B18" i="5"/>
  <c r="B54" i="7"/>
  <c r="B28" i="3"/>
  <c r="E17" i="6"/>
  <c r="E15" i="6"/>
  <c r="D17" i="6"/>
  <c r="D16" i="6"/>
  <c r="D15" i="6"/>
  <c r="D18" i="6"/>
  <c r="E18" i="6"/>
  <c r="C18" i="6"/>
  <c r="C54" i="6" l="1"/>
  <c r="D49" i="6"/>
  <c r="D54" i="6"/>
  <c r="D62" i="6"/>
  <c r="B54" i="6"/>
  <c r="B15" i="6"/>
  <c r="C22" i="5" l="1"/>
  <c r="E22" i="5"/>
  <c r="C23" i="5"/>
  <c r="D23" i="5"/>
  <c r="E23" i="5"/>
  <c r="C21" i="5"/>
  <c r="D24" i="5"/>
  <c r="C24" i="7"/>
  <c r="B24" i="7" s="1"/>
  <c r="C24" i="6"/>
  <c r="B24" i="6" s="1"/>
  <c r="D24" i="6"/>
  <c r="E24" i="6"/>
  <c r="E55" i="6" s="1"/>
  <c r="E56" i="6" s="1"/>
  <c r="E67" i="5" l="1"/>
  <c r="D38" i="5"/>
  <c r="D63" i="5" s="1"/>
  <c r="E50" i="5"/>
  <c r="E51" i="5" s="1"/>
  <c r="E71" i="5"/>
  <c r="E55" i="5"/>
  <c r="E56" i="5" s="1"/>
  <c r="C55" i="5"/>
  <c r="C56" i="5" s="1"/>
  <c r="B23" i="5"/>
  <c r="B75" i="5" s="1"/>
  <c r="C50" i="5"/>
  <c r="C51" i="5" s="1"/>
  <c r="C38" i="5"/>
  <c r="C37" i="5"/>
  <c r="C39" i="5" s="1"/>
  <c r="B21" i="5"/>
  <c r="D55" i="5"/>
  <c r="D56" i="5" s="1"/>
  <c r="E70" i="5"/>
  <c r="C71" i="5"/>
  <c r="C68" i="5"/>
  <c r="C70" i="5"/>
  <c r="D71" i="5"/>
  <c r="E25" i="5"/>
  <c r="D25" i="5"/>
  <c r="C25" i="5"/>
  <c r="B25" i="5" s="1"/>
  <c r="C22" i="7"/>
  <c r="B22" i="7" s="1"/>
  <c r="C23" i="7"/>
  <c r="C21" i="7"/>
  <c r="C22" i="6"/>
  <c r="E22" i="6"/>
  <c r="C23" i="6"/>
  <c r="D23" i="6"/>
  <c r="E23" i="6"/>
  <c r="C21" i="6"/>
  <c r="C37" i="6" s="1"/>
  <c r="C39" i="6" s="1"/>
  <c r="D21" i="6"/>
  <c r="D37" i="6" s="1"/>
  <c r="D39" i="6" s="1"/>
  <c r="E21" i="6"/>
  <c r="D22" i="5"/>
  <c r="B22" i="6" l="1"/>
  <c r="E67" i="6"/>
  <c r="E70" i="6"/>
  <c r="E50" i="6"/>
  <c r="E51" i="6" s="1"/>
  <c r="D71" i="6"/>
  <c r="D55" i="6"/>
  <c r="D56" i="6" s="1"/>
  <c r="D50" i="6"/>
  <c r="D51" i="6" s="1"/>
  <c r="D38" i="6"/>
  <c r="D68" i="6"/>
  <c r="C68" i="6"/>
  <c r="C38" i="6"/>
  <c r="C50" i="6"/>
  <c r="C51" i="6" s="1"/>
  <c r="C55" i="6"/>
  <c r="C56" i="6" s="1"/>
  <c r="C71" i="6"/>
  <c r="C67" i="6"/>
  <c r="C70" i="6"/>
  <c r="C37" i="7"/>
  <c r="C39" i="7" s="1"/>
  <c r="C50" i="7"/>
  <c r="C51" i="7" s="1"/>
  <c r="B23" i="7"/>
  <c r="C55" i="7"/>
  <c r="C56" i="7" s="1"/>
  <c r="C38" i="7"/>
  <c r="E69" i="5"/>
  <c r="D50" i="5"/>
  <c r="D51" i="5" s="1"/>
  <c r="D69" i="5" s="1"/>
  <c r="D40" i="5"/>
  <c r="D64" i="5" s="1"/>
  <c r="C63" i="5"/>
  <c r="C40" i="5"/>
  <c r="C64" i="5" s="1"/>
  <c r="B21" i="6"/>
  <c r="D70" i="5"/>
  <c r="C69" i="5"/>
  <c r="C71" i="7"/>
  <c r="C68" i="7"/>
  <c r="C70" i="7"/>
  <c r="C67" i="7"/>
  <c r="B68" i="5"/>
  <c r="B71" i="5"/>
  <c r="D25" i="6"/>
  <c r="E25" i="6"/>
  <c r="C25" i="6"/>
  <c r="C25" i="7"/>
  <c r="B25" i="7" s="1"/>
  <c r="B28" i="2"/>
  <c r="D22" i="6"/>
  <c r="B28" i="1"/>
  <c r="E69" i="6" l="1"/>
  <c r="C63" i="6"/>
  <c r="C40" i="6"/>
  <c r="C64" i="6" s="1"/>
  <c r="C69" i="6"/>
  <c r="D67" i="6"/>
  <c r="D70" i="6"/>
  <c r="D69" i="6"/>
  <c r="C40" i="7"/>
  <c r="C64" i="7" s="1"/>
  <c r="C63" i="7"/>
  <c r="D40" i="6"/>
  <c r="D64" i="6" s="1"/>
  <c r="D63" i="6"/>
  <c r="B28" i="5"/>
  <c r="B74" i="5" s="1"/>
  <c r="B67" i="5"/>
  <c r="B70" i="5"/>
  <c r="B68" i="7"/>
  <c r="B71" i="7"/>
  <c r="B68" i="6"/>
  <c r="B71" i="6"/>
  <c r="B67" i="7" l="1"/>
  <c r="B70" i="7"/>
  <c r="B70" i="6"/>
  <c r="B67" i="6"/>
  <c r="B29" i="7"/>
  <c r="B28" i="7"/>
  <c r="B29" i="6"/>
  <c r="B28" i="6"/>
  <c r="B74" i="1" l="1"/>
  <c r="B37" i="6" l="1"/>
  <c r="B74" i="6"/>
  <c r="B37" i="7" l="1"/>
  <c r="B74" i="7"/>
  <c r="B37" i="5" l="1"/>
  <c r="B74" i="4"/>
  <c r="B37" i="3"/>
  <c r="B74" i="3"/>
  <c r="B37" i="2"/>
  <c r="B74" i="2"/>
  <c r="B37" i="1"/>
  <c r="B62" i="3" l="1"/>
  <c r="B49" i="3"/>
  <c r="B39" i="6"/>
  <c r="B39" i="7"/>
  <c r="B39" i="5"/>
  <c r="B39" i="1"/>
  <c r="B50" i="2"/>
  <c r="B75" i="2"/>
  <c r="B55" i="2"/>
  <c r="B59" i="2"/>
  <c r="B55" i="4"/>
  <c r="B56" i="4" s="1"/>
  <c r="B50" i="4"/>
  <c r="B75" i="4"/>
  <c r="B49" i="2"/>
  <c r="B62" i="2"/>
  <c r="B55" i="3"/>
  <c r="B50" i="3"/>
  <c r="B75" i="3"/>
  <c r="B62" i="4"/>
  <c r="B49" i="4"/>
  <c r="B39" i="4"/>
  <c r="B39" i="3"/>
  <c r="B39" i="2"/>
  <c r="B38" i="5"/>
  <c r="B50" i="5"/>
  <c r="B55" i="5"/>
  <c r="B59" i="4"/>
  <c r="B38" i="4"/>
  <c r="B63" i="4" s="1"/>
  <c r="B59" i="3"/>
  <c r="B38" i="3"/>
  <c r="B63" i="3" s="1"/>
  <c r="B38" i="2"/>
  <c r="B63" i="2" s="1"/>
  <c r="B38" i="1"/>
  <c r="B50" i="1"/>
  <c r="B55" i="1"/>
  <c r="B51" i="4" l="1"/>
  <c r="B69" i="4" s="1"/>
  <c r="B51" i="2"/>
  <c r="B69" i="2" s="1"/>
  <c r="C69" i="7"/>
  <c r="B56" i="3"/>
  <c r="B56" i="2"/>
  <c r="B51" i="3"/>
  <c r="B69" i="3" s="1"/>
  <c r="B75" i="6"/>
  <c r="B59" i="6"/>
  <c r="B50" i="6"/>
  <c r="B55" i="6"/>
  <c r="B38" i="6"/>
  <c r="B75" i="7"/>
  <c r="B55" i="7"/>
  <c r="B38" i="7"/>
  <c r="B50" i="7"/>
  <c r="B59" i="7"/>
  <c r="B63" i="5"/>
  <c r="B40" i="5"/>
  <c r="B64" i="5" s="1"/>
  <c r="B40" i="4"/>
  <c r="B64" i="4" s="1"/>
  <c r="B40" i="3"/>
  <c r="B64" i="3" s="1"/>
  <c r="B40" i="2"/>
  <c r="B64" i="2" s="1"/>
  <c r="B63" i="1"/>
  <c r="B40" i="1"/>
  <c r="B64" i="1" s="1"/>
  <c r="B49" i="1"/>
  <c r="B51" i="1" s="1"/>
  <c r="B69" i="1" s="1"/>
  <c r="B62" i="1"/>
  <c r="B56" i="1"/>
  <c r="B62" i="5" l="1"/>
  <c r="B54" i="5"/>
  <c r="B56" i="5" s="1"/>
  <c r="B49" i="5"/>
  <c r="B51" i="5" s="1"/>
  <c r="B69" i="5" s="1"/>
  <c r="B40" i="7"/>
  <c r="B64" i="7" s="1"/>
  <c r="B63" i="7"/>
  <c r="B49" i="6"/>
  <c r="B51" i="6" s="1"/>
  <c r="B69" i="6" s="1"/>
  <c r="B62" i="6"/>
  <c r="B56" i="6"/>
  <c r="B63" i="6"/>
  <c r="B40" i="6"/>
  <c r="B64" i="6" s="1"/>
  <c r="B49" i="7"/>
  <c r="B51" i="7" s="1"/>
  <c r="B69" i="7" s="1"/>
  <c r="B56" i="7"/>
  <c r="B62" i="7"/>
</calcChain>
</file>

<file path=xl/sharedStrings.xml><?xml version="1.0" encoding="utf-8"?>
<sst xmlns="http://schemas.openxmlformats.org/spreadsheetml/2006/main" count="589" uniqueCount="127">
  <si>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</si>
  <si>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</si>
  <si>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</si>
  <si>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</si>
  <si>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</si>
  <si>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</si>
  <si>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</si>
  <si>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</si>
  <si>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</si>
  <si>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</si>
  <si>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</si>
  <si>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</si>
  <si>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</si>
  <si>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</si>
  <si>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</si>
  <si>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</si>
  <si>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</si>
  <si>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</si>
  <si>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</si>
  <si>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</si>
  <si>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</si>
  <si>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</si>
  <si>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</si>
  <si>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</si>
  <si>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</si>
  <si>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</si>
  <si>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</si>
  <si>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</si>
  <si>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</si>
  <si>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</si>
  <si>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</si>
  <si>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</si>
  <si>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</si>
  <si>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</si>
  <si>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</si>
  <si>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>n.a.</t>
  </si>
  <si>
    <t>n.d.</t>
  </si>
  <si>
    <t xml:space="preserve">Gasto programado anual por beneficiario (GPB) </t>
  </si>
  <si>
    <t xml:space="preserve">Gasto efectivo anual por beneficiario (GEB) </t>
  </si>
  <si>
    <t>Atención de 
denuncias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</si>
  <si>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</si>
  <si>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</si>
  <si>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</si>
  <si>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</si>
  <si>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</si>
  <si>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</si>
  <si>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</si>
  <si>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</si>
  <si>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>Centros de Atención Infantil-
Guarderías</t>
  </si>
  <si>
    <t>Efectivos 1T 2022</t>
  </si>
  <si>
    <t>IPC (1T 2022)</t>
  </si>
  <si>
    <t>Gasto efectivo real 1T 2022</t>
  </si>
  <si>
    <t>Gasto efectivo real por beneficiario 1T 2022</t>
  </si>
  <si>
    <t>Protección y Apoyo  a los niños, niñas y adolescentes en los Albergues PANI</t>
  </si>
  <si>
    <t xml:space="preserve"> Fondo de la Niñez y Adolescencia  "Proyectos Fondo de la Niñez y Adolescencia"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</si>
  <si>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</si>
  <si>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</si>
  <si>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</si>
  <si>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</si>
  <si>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</si>
  <si>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</si>
  <si>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</si>
  <si>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</si>
  <si>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</si>
  <si>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</si>
  <si>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</si>
  <si>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</si>
  <si>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3TA 2022</t>
  </si>
  <si>
    <t>IPC (3TA 2022)</t>
  </si>
  <si>
    <t>Gasto efectivo real 3TA 2022</t>
  </si>
  <si>
    <t>Gasto efectivo real por beneficiario 3TA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</si>
  <si>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</si>
  <si>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</si>
  <si>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</si>
  <si>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</si>
  <si>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</si>
  <si>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</si>
  <si>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 2022</t>
  </si>
  <si>
    <t>Gasto efectivo real por beneficiario  2022</t>
  </si>
  <si>
    <t>Protección y Apoyo  a los niños, niñas y adolescentes en ONG Residenciales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</si>
  <si>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</si>
  <si>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</si>
  <si>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</si>
  <si>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</si>
  <si>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</si>
  <si>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</si>
  <si>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</si>
  <si>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PANI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</si>
  <si>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producto Fondo de la Niñez y Adolescencia  "Proyectos Fondo de la Niñez y Adolescencia" no reporta beneficiarios ya que la ejecución se da a partir del segundo semestre, el gasto reportado corresponde a la preparación para la ejecución de dichos proyectos. 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</si>
  <si>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</si>
  <si>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</si>
  <si>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</si>
  <si>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</si>
  <si>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</si>
  <si>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</si>
  <si>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</si>
  <si>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</si>
  <si>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</si>
  <si>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</si>
  <si>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</si>
  <si>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</si>
  <si>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</si>
  <si>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</si>
  <si>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</si>
  <si>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</si>
  <si>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</si>
  <si>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</si>
  <si>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r>
      <rPr>
        <b/>
        <sz val="11"/>
        <color theme="1"/>
        <rFont val="Palatino Linotype"/>
        <family val="1"/>
      </rPr>
      <t>Nota</t>
    </r>
    <r>
      <rPr>
        <sz val="11"/>
        <color theme="1"/>
        <rFont val="Palatino Linotype"/>
        <family val="1"/>
      </rPr>
      <t xml:space="preserve">: El dato para el total del programa respecto a beneficiarios y gasto efectivo es diferente al del año 2022, esto debido a que en el año 2022 para el III T se tenían 2 productos adicionales que este año no son parte del programa (Centros de Atención Infantil residenciales con ONG y Acogimiento Familiar). </t>
    </r>
  </si>
  <si>
    <t>Programados 3TA 2023</t>
  </si>
  <si>
    <t>Efectivos 3TA 2023</t>
  </si>
  <si>
    <t>En transferencias 3TA 2023</t>
  </si>
  <si>
    <t>IPC (3TA 2023)</t>
  </si>
  <si>
    <t>Gasto efectivo real 3TA 2023</t>
  </si>
  <si>
    <t>Gasto efectivo real por beneficiario 3TA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</si>
  <si>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</si>
  <si>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</si>
  <si>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</si>
  <si>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</si>
  <si>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</si>
  <si>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</si>
  <si>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</si>
  <si>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</si>
  <si>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</si>
  <si>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</si>
  <si>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 2023</t>
  </si>
  <si>
    <t>Gasto efectivo real por beneficiario  2023</t>
  </si>
  <si>
    <r>
      <rPr>
        <b/>
        <sz val="11"/>
        <color theme="1"/>
        <rFont val="Palatino Linotype"/>
        <family val="1"/>
      </rPr>
      <t>Nota</t>
    </r>
    <r>
      <rPr>
        <sz val="11"/>
        <color theme="1"/>
        <rFont val="Palatino Linotype"/>
        <family val="1"/>
      </rPr>
      <t xml:space="preserve">: El dato para el total del programa respecto a beneficiarios y gasto efectivo es diferente al del año 2022, esto debido a que en el año 2022 se tenía 1 producto adicional que este año no es parte del programa (Acogimiento Familiar).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</si>
</sst>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0.0000"/>
    <numFmt numFmtId="167" formatCode="_(* #,##0.0000_);_(* \(#,##0.00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Latino lino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3" xfId="0" applyFont="1" applyFill="1" applyBorder="1"/>
    <xf numFmtId="166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4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164" fontId="6" fillId="0" borderId="0" xfId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3" xfId="0" applyFont="1" applyBorder="1"/>
    <xf numFmtId="164" fontId="6" fillId="0" borderId="0" xfId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7" fillId="0" borderId="0" xfId="0" applyFont="1" applyFill="1"/>
    <xf numFmtId="3" fontId="8" fillId="0" borderId="0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167" fontId="6" fillId="0" borderId="0" xfId="0" applyNumberFormat="1" applyFont="1" applyFill="1" applyAlignment="1">
      <alignment horizontal="right"/>
    </xf>
    <xf numFmtId="4" fontId="6" fillId="0" borderId="0" xfId="0" applyNumberFormat="1" applyFont="1" applyFill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1C5C8"/>
      <color rgb="FF192952"/>
      <color rgb="FF0035A0"/>
      <color rgb="FFA2BFE6"/>
      <color rgb="FF4071B9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>
                <a:latin typeface="Palatino Linotype" panose="02040502050505030304" pitchFamily="18" charset="0"/>
              </a:rPr>
              <a:t>PANI: Indicadores de resultado 2023</a:t>
            </a:r>
          </a:p>
        </c:rich>
      </c:tx>
      <c:layout>
        <c:manualLayout>
          <c:xMode val="edge"/>
          <c:yMode val="edge"/>
          <c:x val="0.29813366983142292"/>
          <c:y val="4.166674350774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Anual!$B$49:$G$49</c:f>
              <c:numCache>
                <c:formatCode>#,##0.00</c:formatCode>
                <c:ptCount val="6"/>
                <c:pt idx="0">
                  <c:v>94.393003959138895</c:v>
                </c:pt>
                <c:pt idx="1">
                  <c:v>97.160553410553405</c:v>
                </c:pt>
                <c:pt idx="2">
                  <c:v>95.440831868775618</c:v>
                </c:pt>
                <c:pt idx="3">
                  <c:v>101.2092534174553</c:v>
                </c:pt>
                <c:pt idx="4">
                  <c:v>27.709948320413435</c:v>
                </c:pt>
                <c:pt idx="5">
                  <c:v>108.40945939984763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F-496E-976F-6D352FFDCED0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Anual!$B$50:$G$50</c:f>
              <c:numCache>
                <c:formatCode>#,##0.00</c:formatCode>
                <c:ptCount val="6"/>
                <c:pt idx="0">
                  <c:v>97.202255886660794</c:v>
                </c:pt>
                <c:pt idx="1">
                  <c:v>97.272674381153152</c:v>
                </c:pt>
                <c:pt idx="2">
                  <c:v>97.534590211638175</c:v>
                </c:pt>
                <c:pt idx="3">
                  <c:v>92.009348668538863</c:v>
                </c:pt>
                <c:pt idx="4">
                  <c:v>89.979221078117263</c:v>
                </c:pt>
                <c:pt idx="5">
                  <c:v>99.047211350662039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F-496E-976F-6D352FFDCED0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Anual!$B$51:$G$51</c:f>
              <c:numCache>
                <c:formatCode>#,##0.00</c:formatCode>
                <c:ptCount val="6"/>
                <c:pt idx="0">
                  <c:v>95.797629922899844</c:v>
                </c:pt>
                <c:pt idx="1">
                  <c:v>97.216613895853271</c:v>
                </c:pt>
                <c:pt idx="2">
                  <c:v>96.487711040206904</c:v>
                </c:pt>
                <c:pt idx="3">
                  <c:v>96.609301042997089</c:v>
                </c:pt>
                <c:pt idx="4">
                  <c:v>58.844584699265347</c:v>
                </c:pt>
                <c:pt idx="5">
                  <c:v>103.72833537525483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F-496E-976F-6D352FFD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6423776"/>
        <c:axId val="246424168"/>
        <c:axId val="0"/>
      </c:bar3DChart>
      <c:catAx>
        <c:axId val="2464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168"/>
        <c:crosses val="autoZero"/>
        <c:auto val="1"/>
        <c:lblAlgn val="ctr"/>
        <c:lblOffset val="100"/>
        <c:noMultiLvlLbl val="0"/>
      </c:catAx>
      <c:valAx>
        <c:axId val="24642416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37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PANI: Indicadores de expansión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(Anual!$B$62,Anual!$C$62,Anual!$D$62,Anual!$E$62,Anual!$F$62,Anual!$G$62)</c:f>
              <c:numCache>
                <c:formatCode>#,##0.00</c:formatCode>
                <c:ptCount val="6"/>
                <c:pt idx="0">
                  <c:v>6.3453273815434086</c:v>
                </c:pt>
                <c:pt idx="1">
                  <c:v>7.4182217018186059</c:v>
                </c:pt>
                <c:pt idx="2">
                  <c:v>22.18430674041436</c:v>
                </c:pt>
                <c:pt idx="3">
                  <c:v>2.4753792919882889</c:v>
                </c:pt>
                <c:pt idx="4">
                  <c:v>-17.147134096286532</c:v>
                </c:pt>
                <c:pt idx="5">
                  <c:v>-46.791402505025523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135-8F0A-F233885B319E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(Anual!$B$63,Anual!$C$63,Anual!$D$63,Anual!$E$63,Anual!$F$63,Anual!$G$63)</c:f>
              <c:numCache>
                <c:formatCode>#,##0.00</c:formatCode>
                <c:ptCount val="6"/>
                <c:pt idx="0">
                  <c:v>31.548465345269783</c:v>
                </c:pt>
                <c:pt idx="1">
                  <c:v>14.206380795995678</c:v>
                </c:pt>
                <c:pt idx="2">
                  <c:v>56.183216289097906</c:v>
                </c:pt>
                <c:pt idx="3">
                  <c:v>13.303949550186033</c:v>
                </c:pt>
                <c:pt idx="4">
                  <c:v>21.955740646645829</c:v>
                </c:pt>
                <c:pt idx="5">
                  <c:v>41.402351317278942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5-4135-8F0A-F233885B319E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(Anual!$B$64,Anual!$C$64,Anual!$D$64,Anual!$E$64,Anual!$F$64,Anual!$G$64)</c:f>
              <c:numCache>
                <c:formatCode>#,##0.00</c:formatCode>
                <c:ptCount val="6"/>
                <c:pt idx="0">
                  <c:v>23.69933741733956</c:v>
                </c:pt>
                <c:pt idx="1">
                  <c:v>6.3193739261670601</c:v>
                </c:pt>
                <c:pt idx="2">
                  <c:v>27.825921720794831</c:v>
                </c:pt>
                <c:pt idx="3">
                  <c:v>10.566997002610123</c:v>
                </c:pt>
                <c:pt idx="4">
                  <c:v>47.1955608492473</c:v>
                </c:pt>
                <c:pt idx="5">
                  <c:v>165.7509462275045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135-8F0A-F233885B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6424952"/>
        <c:axId val="246425344"/>
        <c:axId val="0"/>
      </c:bar3DChart>
      <c:catAx>
        <c:axId val="24642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5344"/>
        <c:crosses val="autoZero"/>
        <c:auto val="1"/>
        <c:lblAlgn val="ctr"/>
        <c:lblOffset val="100"/>
        <c:noMultiLvlLbl val="0"/>
      </c:catAx>
      <c:valAx>
        <c:axId val="246425344"/>
        <c:scaling>
          <c:orientation val="minMax"/>
          <c:max val="3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95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58369572042056E-3"/>
          <c:y val="0.87942290387428113"/>
          <c:w val="0.98401307085931444"/>
          <c:h val="0.10258946368528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PANI: Indicadores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F-4F5A-AC88-8C4483AF6676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EDF-4F5A-AC88-8C4483AF66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</c:v>
                </c:pt>
                <c:pt idx="1">
                  <c:v>97.202255886660794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B-4B03-A2DA-CEF03390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0335600"/>
        <c:axId val="490335928"/>
      </c:barChart>
      <c:valAx>
        <c:axId val="490335928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0335600"/>
        <c:crosses val="autoZero"/>
        <c:crossBetween val="between"/>
        <c:majorUnit val="20"/>
      </c:valAx>
      <c:catAx>
        <c:axId val="49033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0335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PANI: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Anual!$B$69:$G$69</c:f>
              <c:numCache>
                <c:formatCode>#,##0.00</c:formatCode>
                <c:ptCount val="6"/>
                <c:pt idx="0">
                  <c:v>98.648685247184616</c:v>
                </c:pt>
                <c:pt idx="1">
                  <c:v>97.328799558921347</c:v>
                </c:pt>
                <c:pt idx="2">
                  <c:v>98.604435570142996</c:v>
                </c:pt>
                <c:pt idx="3">
                  <c:v>87.827531220143314</c:v>
                </c:pt>
                <c:pt idx="4">
                  <c:v>191.07902456839355</c:v>
                </c:pt>
                <c:pt idx="5">
                  <c:v>94.770349504940526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D-458E-9F88-533C057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gapDepth val="0"/>
        <c:shape val="box"/>
        <c:axId val="248352616"/>
        <c:axId val="248353008"/>
        <c:axId val="0"/>
      </c:bar3DChart>
      <c:catAx>
        <c:axId val="2483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008"/>
        <c:crosses val="autoZero"/>
        <c:auto val="1"/>
        <c:lblAlgn val="ctr"/>
        <c:lblOffset val="100"/>
        <c:noMultiLvlLbl val="0"/>
      </c:catAx>
      <c:valAx>
        <c:axId val="248353008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2616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s-CR"/>
              <a:t>PANI: Indicadores de gasto medio 2023</a:t>
            </a:r>
          </a:p>
        </c:rich>
      </c:tx>
      <c:layout>
        <c:manualLayout>
          <c:xMode val="edge"/>
          <c:yMode val="edge"/>
          <c:x val="0.27473551453679707"/>
          <c:y val="2.3349139965684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Anual!$B$70:$G$70</c:f>
              <c:numCache>
                <c:formatCode>#,##0.00</c:formatCode>
                <c:ptCount val="6"/>
                <c:pt idx="0">
                  <c:v>374029.4008992514</c:v>
                </c:pt>
                <c:pt idx="1">
                  <c:v>1770357.5932995498</c:v>
                </c:pt>
                <c:pt idx="2">
                  <c:v>1766365.2557662562</c:v>
                </c:pt>
                <c:pt idx="3">
                  <c:v>8548319.2416403797</c:v>
                </c:pt>
                <c:pt idx="4">
                  <c:v>157743.4771656977</c:v>
                </c:pt>
                <c:pt idx="5">
                  <c:v>7108686.785472515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D58-8C04-DFDAF3735ACC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Anual!$B$71:$G$71</c:f>
              <c:numCache>
                <c:formatCode>#,##0.00</c:formatCode>
                <c:ptCount val="6"/>
                <c:pt idx="0">
                  <c:v>385160.9760304013</c:v>
                </c:pt>
                <c:pt idx="1">
                  <c:v>1772400.5439076081</c:v>
                </c:pt>
                <c:pt idx="2">
                  <c:v>1805115.3579854835</c:v>
                </c:pt>
                <c:pt idx="3">
                  <c:v>7771278.4066285724</c:v>
                </c:pt>
                <c:pt idx="4">
                  <c:v>512221.6411737965</c:v>
                </c:pt>
                <c:pt idx="5">
                  <c:v>6494780.1267916309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E-4D58-8C04-DFDAF373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353792"/>
        <c:axId val="248354184"/>
        <c:axId val="0"/>
      </c:bar3DChart>
      <c:catAx>
        <c:axId val="2483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4184"/>
        <c:crosses val="autoZero"/>
        <c:auto val="1"/>
        <c:lblAlgn val="ctr"/>
        <c:lblOffset val="100"/>
        <c:noMultiLvlLbl val="0"/>
      </c:catAx>
      <c:valAx>
        <c:axId val="248354184"/>
        <c:scaling>
          <c:orientation val="minMax"/>
          <c:max val="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792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PANI: Indicadores de avance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09831225317887E-2"/>
          <c:y val="0.1258629772405033"/>
          <c:w val="0.93684363131235004"/>
          <c:h val="0.563647477611021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Anual!$B$54:$G$54</c:f>
              <c:numCache>
                <c:formatCode>#,##0.00</c:formatCode>
                <c:ptCount val="6"/>
                <c:pt idx="0">
                  <c:v>94.39303252628045</c:v>
                </c:pt>
                <c:pt idx="1">
                  <c:v>97.160553410553405</c:v>
                </c:pt>
                <c:pt idx="2">
                  <c:v>95.440831868775618</c:v>
                </c:pt>
                <c:pt idx="3">
                  <c:v>101.2092534174553</c:v>
                </c:pt>
                <c:pt idx="4">
                  <c:v>27.709948320413435</c:v>
                </c:pt>
                <c:pt idx="5">
                  <c:v>108.41209829867675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04D-BF2B-FBC3470BF2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Anual!$B$55:$G$55</c:f>
              <c:numCache>
                <c:formatCode>#,##0.00</c:formatCode>
                <c:ptCount val="6"/>
                <c:pt idx="0">
                  <c:v>97.202255886660794</c:v>
                </c:pt>
                <c:pt idx="1">
                  <c:v>97.272674381153152</c:v>
                </c:pt>
                <c:pt idx="2">
                  <c:v>97.534590211638175</c:v>
                </c:pt>
                <c:pt idx="3">
                  <c:v>92.009348668538863</c:v>
                </c:pt>
                <c:pt idx="4">
                  <c:v>89.979221078117263</c:v>
                </c:pt>
                <c:pt idx="5">
                  <c:v>99.047211350662039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4-404D-BF2B-FBC3470BF2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Anual!$B$56:$G$56</c:f>
              <c:numCache>
                <c:formatCode>#,##0.00</c:formatCode>
                <c:ptCount val="6"/>
                <c:pt idx="0">
                  <c:v>95.797644206470622</c:v>
                </c:pt>
                <c:pt idx="1">
                  <c:v>97.216613895853271</c:v>
                </c:pt>
                <c:pt idx="2">
                  <c:v>96.487711040206904</c:v>
                </c:pt>
                <c:pt idx="3">
                  <c:v>96.609301042997089</c:v>
                </c:pt>
                <c:pt idx="4">
                  <c:v>58.844584699265347</c:v>
                </c:pt>
                <c:pt idx="5">
                  <c:v>103.7296548246694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4-404D-BF2B-FBC3470B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48439192"/>
        <c:axId val="548439584"/>
        <c:axId val="0"/>
      </c:bar3DChart>
      <c:catAx>
        <c:axId val="54843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584"/>
        <c:crosses val="autoZero"/>
        <c:auto val="1"/>
        <c:lblAlgn val="ctr"/>
        <c:lblOffset val="100"/>
        <c:noMultiLvlLbl val="0"/>
      </c:catAx>
      <c:valAx>
        <c:axId val="54843958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19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43567941216131"/>
          <c:y val="0.91613635050261599"/>
          <c:w val="0.68336584458248728"/>
          <c:h val="5.6753343669665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3F4C1DE-C393-4B5F-B71B-2645466F9CE9}"/>
            </a:ext>
          </a:extLst>
        </xdr:cNvPr>
        <xdr:cNvSpPr/>
      </xdr:nvSpPr>
      <xdr:spPr>
        <a:xfrm>
          <a:off x="0" y="0"/>
          <a:ext cx="14148047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4002C96-361E-4682-8FAB-FF8C4BF4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0A02E5B-BAFB-4FE0-8E17-9EE544341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1D23F67-3D66-4395-9895-D24B9BF8D30F}"/>
            </a:ext>
          </a:extLst>
        </xdr:cNvPr>
        <xdr:cNvSpPr/>
      </xdr:nvSpPr>
      <xdr:spPr>
        <a:xfrm>
          <a:off x="0" y="1143001"/>
          <a:ext cx="14144625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940593</xdr:colOff>
      <xdr:row>6</xdr:row>
      <xdr:rowOff>47626</xdr:rowOff>
    </xdr:from>
    <xdr:to>
      <xdr:col>6</xdr:col>
      <xdr:colOff>833437</xdr:colOff>
      <xdr:row>7</xdr:row>
      <xdr:rowOff>162719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5DDDAD7-AC07-4B6A-BA33-4C22F88BB7DE}"/>
            </a:ext>
          </a:extLst>
        </xdr:cNvPr>
        <xdr:cNvSpPr txBox="1"/>
      </xdr:nvSpPr>
      <xdr:spPr>
        <a:xfrm>
          <a:off x="940593" y="1190626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15-06-2023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1A83BF3-7725-4639-92CC-846538F1CC75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CD9248-663F-4732-B632-53452B9E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9785FCD-7051-44F2-9ABB-3465979C6C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04343A1-415F-4228-BAFE-E5D2C8147DD4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1023938</xdr:colOff>
      <xdr:row>6</xdr:row>
      <xdr:rowOff>35719</xdr:rowOff>
    </xdr:from>
    <xdr:to>
      <xdr:col>6</xdr:col>
      <xdr:colOff>916782</xdr:colOff>
      <xdr:row>7</xdr:row>
      <xdr:rowOff>150812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D2AE7744-1CDB-4BA5-8B18-511A33890C9B}"/>
            </a:ext>
          </a:extLst>
        </xdr:cNvPr>
        <xdr:cNvSpPr txBox="1"/>
      </xdr:nvSpPr>
      <xdr:spPr>
        <a:xfrm>
          <a:off x="1023938" y="1178719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24-08-2023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3FAB8058-825A-401F-8776-9847322AC856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8D89951-913F-44E6-830D-0511C46A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C94947-30F4-478C-8737-23056790A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43A3ABEE-6C20-40F2-824F-33F8D30E9AF3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1083469</xdr:colOff>
      <xdr:row>6</xdr:row>
      <xdr:rowOff>47625</xdr:rowOff>
    </xdr:from>
    <xdr:to>
      <xdr:col>6</xdr:col>
      <xdr:colOff>976313</xdr:colOff>
      <xdr:row>7</xdr:row>
      <xdr:rowOff>162718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D73D6A0-CFD2-4CB3-85DE-45CD52513D6B}"/>
            </a:ext>
          </a:extLst>
        </xdr:cNvPr>
        <xdr:cNvSpPr txBox="1"/>
      </xdr:nvSpPr>
      <xdr:spPr>
        <a:xfrm>
          <a:off x="1083469" y="1190625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24-08-2023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8DD491B-4528-470A-BD33-B110E35AFCF5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7CC9FC8-613C-4896-9464-F62E5BB5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789F5B-DFE9-4592-87DD-0CA383A32C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105D2CD-3F3B-4A0C-B510-E6E869FC9E79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952499</xdr:colOff>
      <xdr:row>6</xdr:row>
      <xdr:rowOff>35719</xdr:rowOff>
    </xdr:from>
    <xdr:to>
      <xdr:col>6</xdr:col>
      <xdr:colOff>845343</xdr:colOff>
      <xdr:row>7</xdr:row>
      <xdr:rowOff>150812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67F21C34-ECED-4BDC-B309-1B3A96CD7D41}"/>
            </a:ext>
          </a:extLst>
        </xdr:cNvPr>
        <xdr:cNvSpPr txBox="1"/>
      </xdr:nvSpPr>
      <xdr:spPr>
        <a:xfrm>
          <a:off x="952499" y="1178719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29-11-2023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CD941C9-BC5C-45CF-8385-38D7697D90D1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1DB616-0E3F-40AB-B1B9-E1658605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397B81-4E36-4CC5-8D08-54EA03092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4E6FC566-DD8E-4113-A568-CBAF650E77B3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964405</xdr:colOff>
      <xdr:row>6</xdr:row>
      <xdr:rowOff>35719</xdr:rowOff>
    </xdr:from>
    <xdr:to>
      <xdr:col>6</xdr:col>
      <xdr:colOff>857249</xdr:colOff>
      <xdr:row>7</xdr:row>
      <xdr:rowOff>150812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9DCDC2B-49BE-4E50-B57C-9B02EE7E2D19}"/>
            </a:ext>
          </a:extLst>
        </xdr:cNvPr>
        <xdr:cNvSpPr txBox="1"/>
      </xdr:nvSpPr>
      <xdr:spPr>
        <a:xfrm>
          <a:off x="964405" y="1178719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29-11-2023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B92F137-E8D8-4B27-AD05-5E64B394515C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3A9372-C6D7-4543-A044-3CBBFF0A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BCC8C4-1CD0-4A1E-A5FA-4731B9505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133DFF8-947A-4F15-A9A6-A83D80F15E06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988218</xdr:colOff>
      <xdr:row>6</xdr:row>
      <xdr:rowOff>47625</xdr:rowOff>
    </xdr:from>
    <xdr:to>
      <xdr:col>6</xdr:col>
      <xdr:colOff>881062</xdr:colOff>
      <xdr:row>7</xdr:row>
      <xdr:rowOff>162718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3928E70-3D17-41F1-8C6B-428A117FBBCF}"/>
            </a:ext>
          </a:extLst>
        </xdr:cNvPr>
        <xdr:cNvSpPr txBox="1"/>
      </xdr:nvSpPr>
      <xdr:spPr>
        <a:xfrm>
          <a:off x="988218" y="1190625"/>
          <a:ext cx="12394407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07-03-2024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1323</xdr:colOff>
      <xdr:row>12</xdr:row>
      <xdr:rowOff>31749</xdr:rowOff>
    </xdr:from>
    <xdr:to>
      <xdr:col>36</xdr:col>
      <xdr:colOff>52916</xdr:colOff>
      <xdr:row>31</xdr:row>
      <xdr:rowOff>169333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315382</xdr:colOff>
      <xdr:row>12</xdr:row>
      <xdr:rowOff>34131</xdr:rowOff>
    </xdr:from>
    <xdr:to>
      <xdr:col>23</xdr:col>
      <xdr:colOff>549010</xdr:colOff>
      <xdr:row>32</xdr:row>
      <xdr:rowOff>7937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535515</xdr:colOff>
      <xdr:row>54</xdr:row>
      <xdr:rowOff>39158</xdr:rowOff>
    </xdr:from>
    <xdr:to>
      <xdr:col>24</xdr:col>
      <xdr:colOff>2645</xdr:colOff>
      <xdr:row>71</xdr:row>
      <xdr:rowOff>150812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215637</xdr:colOff>
      <xdr:row>54</xdr:row>
      <xdr:rowOff>118000</xdr:rowOff>
    </xdr:from>
    <xdr:to>
      <xdr:col>37</xdr:col>
      <xdr:colOff>613833</xdr:colOff>
      <xdr:row>72</xdr:row>
      <xdr:rowOff>44979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109533</xdr:colOff>
      <xdr:row>33</xdr:row>
      <xdr:rowOff>53974</xdr:rowOff>
    </xdr:from>
    <xdr:to>
      <xdr:col>42</xdr:col>
      <xdr:colOff>243417</xdr:colOff>
      <xdr:row>53</xdr:row>
      <xdr:rowOff>130968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408783</xdr:colOff>
      <xdr:row>33</xdr:row>
      <xdr:rowOff>57147</xdr:rowOff>
    </xdr:from>
    <xdr:to>
      <xdr:col>23</xdr:col>
      <xdr:colOff>677333</xdr:colOff>
      <xdr:row>53</xdr:row>
      <xdr:rowOff>103188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B091D18-C56C-40B7-B179-4A7BF524D9B9}"/>
            </a:ext>
          </a:extLst>
        </xdr:cNvPr>
        <xdr:cNvSpPr/>
      </xdr:nvSpPr>
      <xdr:spPr>
        <a:xfrm>
          <a:off x="0" y="0"/>
          <a:ext cx="1417662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6A00552-1F57-46A5-8087-9FA575FD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E8DCB6D-8C95-4C6B-B6E2-C2FA93223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608FAD8-B8FC-4EA0-9A97-F7BEE4B8077F}"/>
            </a:ext>
          </a:extLst>
        </xdr:cNvPr>
        <xdr:cNvSpPr/>
      </xdr:nvSpPr>
      <xdr:spPr>
        <a:xfrm>
          <a:off x="0" y="1143001"/>
          <a:ext cx="14173200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1107280</xdr:colOff>
      <xdr:row>6</xdr:row>
      <xdr:rowOff>35718</xdr:rowOff>
    </xdr:from>
    <xdr:to>
      <xdr:col>6</xdr:col>
      <xdr:colOff>1000124</xdr:colOff>
      <xdr:row>7</xdr:row>
      <xdr:rowOff>150811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B38E8BE-CF56-4902-8967-63F85B48D624}"/>
            </a:ext>
          </a:extLst>
        </xdr:cNvPr>
        <xdr:cNvSpPr txBox="1"/>
      </xdr:nvSpPr>
      <xdr:spPr>
        <a:xfrm>
          <a:off x="1107280" y="1178718"/>
          <a:ext cx="12406313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07-03-2024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38" t="s">
        <v>0</v>
      </c>
      <c r="B9" s="40" t="s">
        <v>1</v>
      </c>
      <c r="C9" s="43" t="s">
        <v>2</v>
      </c>
      <c r="D9" s="43"/>
      <c r="E9" s="43"/>
      <c r="F9" s="43"/>
      <c r="G9" s="43"/>
    </row>
    <row r="10" spans="1:7" s="27" customFormat="1" ht="63" thickBot="1">
      <c r="A10" s="39"/>
      <c r="B10" s="41"/>
      <c r="C10" s="24" t="s">
        <v>39</v>
      </c>
      <c r="D10" s="24" t="s">
        <v>48</v>
      </c>
      <c r="E10" s="24" t="s">
        <v>53</v>
      </c>
      <c r="F10" s="24" t="s">
        <v>54</v>
      </c>
      <c r="G10" s="24" t="s">
        <v>79</v>
      </c>
    </row>
    <row r="11" spans="1:7" customFormat="1" ht="15" thickTop="1"/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49</v>
      </c>
      <c r="B15" s="8">
        <f>+SUM(C15:F15)</f>
        <v>19405</v>
      </c>
      <c r="C15" s="25">
        <v>15810</v>
      </c>
      <c r="D15" s="25">
        <v>3274</v>
      </c>
      <c r="E15" s="25">
        <v>321</v>
      </c>
      <c r="F15" s="25">
        <v>0</v>
      </c>
      <c r="G15" s="25" t="s">
        <v>36</v>
      </c>
    </row>
    <row r="16" spans="1:7" ht="15.6">
      <c r="A16" s="20" t="s">
        <v>80</v>
      </c>
      <c r="B16" s="8">
        <f>+SUM(C16:G16)</f>
        <v>25713</v>
      </c>
      <c r="C16" s="25">
        <v>18648</v>
      </c>
      <c r="D16" s="25">
        <v>5690</v>
      </c>
      <c r="E16" s="25">
        <v>317</v>
      </c>
      <c r="F16" s="25">
        <v>0</v>
      </c>
      <c r="G16" s="25">
        <v>1058</v>
      </c>
    </row>
    <row r="17" spans="1:7" ht="15.6">
      <c r="A17" s="20" t="s">
        <v>81</v>
      </c>
      <c r="B17" s="8">
        <f>+SUM(C17:G17)</f>
        <v>23555.333333333332</v>
      </c>
      <c r="C17" s="25">
        <v>16520</v>
      </c>
      <c r="D17" s="25">
        <v>5372.333333333333</v>
      </c>
      <c r="E17" s="25">
        <v>249</v>
      </c>
      <c r="F17" s="25">
        <v>0</v>
      </c>
      <c r="G17" s="25">
        <v>1414</v>
      </c>
    </row>
    <row r="18" spans="1:7" ht="15.6">
      <c r="A18" s="20" t="s">
        <v>82</v>
      </c>
      <c r="B18" s="8">
        <f>+SUM(C18:G18)</f>
        <v>85097</v>
      </c>
      <c r="C18" s="25">
        <v>74592</v>
      </c>
      <c r="D18" s="25">
        <v>5690</v>
      </c>
      <c r="E18" s="25">
        <v>317</v>
      </c>
      <c r="F18" s="25">
        <v>3440</v>
      </c>
      <c r="G18" s="25">
        <v>1058</v>
      </c>
    </row>
    <row r="19" spans="1:7" ht="15.6">
      <c r="A19" s="19"/>
      <c r="B19" s="8"/>
      <c r="C19" s="25"/>
      <c r="D19" s="25"/>
      <c r="E19" s="25"/>
      <c r="F19"/>
      <c r="G19"/>
    </row>
    <row r="20" spans="1:7" ht="15.6">
      <c r="A20" s="21" t="s">
        <v>5</v>
      </c>
      <c r="B20" s="8"/>
      <c r="C20" s="25"/>
      <c r="D20" s="25"/>
      <c r="E20" s="25"/>
      <c r="F20"/>
      <c r="G20"/>
    </row>
    <row r="21" spans="1:7" ht="15.6">
      <c r="A21" s="20" t="s">
        <v>49</v>
      </c>
      <c r="B21" s="8">
        <f>SUM(C21:F21)</f>
        <v>4518785698.29</v>
      </c>
      <c r="C21" s="25">
        <v>2638757789.4699998</v>
      </c>
      <c r="D21" s="25">
        <v>1289433000</v>
      </c>
      <c r="E21" s="25">
        <v>590594908.81999993</v>
      </c>
      <c r="F21" s="25">
        <v>0</v>
      </c>
      <c r="G21" s="25" t="s">
        <v>36</v>
      </c>
    </row>
    <row r="22" spans="1:7" ht="15.6">
      <c r="A22" s="20" t="s">
        <v>80</v>
      </c>
      <c r="B22" s="8">
        <f>SUM(C22:G22)</f>
        <v>8938900571.2999992</v>
      </c>
      <c r="C22" s="25">
        <v>3144155085.7000003</v>
      </c>
      <c r="D22" s="25">
        <v>2871605230.0885711</v>
      </c>
      <c r="E22" s="25">
        <v>774233485.60000002</v>
      </c>
      <c r="F22" s="25">
        <v>0</v>
      </c>
      <c r="G22" s="25">
        <v>2148906769.9114285</v>
      </c>
    </row>
    <row r="23" spans="1:7" ht="15.6">
      <c r="A23" s="20" t="s">
        <v>81</v>
      </c>
      <c r="B23" s="8">
        <f t="shared" ref="B23:B24" si="0">SUM(C23:G23)</f>
        <v>8979451414.3299999</v>
      </c>
      <c r="C23" s="25">
        <v>2711496985.2399998</v>
      </c>
      <c r="D23" s="25">
        <v>2141317319.0599999</v>
      </c>
      <c r="E23" s="25">
        <v>621727684.79999995</v>
      </c>
      <c r="F23" s="25">
        <v>7163244.3300000001</v>
      </c>
      <c r="G23" s="25">
        <v>3497746180.9000006</v>
      </c>
    </row>
    <row r="24" spans="1:7" ht="15.6">
      <c r="A24" s="20" t="s">
        <v>82</v>
      </c>
      <c r="B24" s="8">
        <f t="shared" si="0"/>
        <v>31828789561</v>
      </c>
      <c r="C24" s="25">
        <v>11004542799.950001</v>
      </c>
      <c r="D24" s="25">
        <v>10050618305.309998</v>
      </c>
      <c r="E24" s="25">
        <v>2709817199.6000004</v>
      </c>
      <c r="F24" s="25">
        <v>542637561.45000005</v>
      </c>
      <c r="G24" s="25">
        <v>7521173694.6899996</v>
      </c>
    </row>
    <row r="25" spans="1:7" ht="15.6">
      <c r="A25" s="20" t="s">
        <v>83</v>
      </c>
      <c r="B25" s="8">
        <f>SUM(C25:G25)</f>
        <v>8979451414.3299999</v>
      </c>
      <c r="C25" s="14">
        <f>+C23</f>
        <v>2711496985.2399998</v>
      </c>
      <c r="D25" s="14">
        <f t="shared" ref="D25:G25" si="1">+D23</f>
        <v>2141317319.0599999</v>
      </c>
      <c r="E25" s="14">
        <f t="shared" si="1"/>
        <v>621727684.79999995</v>
      </c>
      <c r="F25" s="14">
        <f t="shared" si="1"/>
        <v>7163244.3300000001</v>
      </c>
      <c r="G25" s="14">
        <f t="shared" si="1"/>
        <v>3497746180.9000006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80</v>
      </c>
      <c r="B28" s="8">
        <f>B22</f>
        <v>8938900571.2999992</v>
      </c>
      <c r="C28" s="8"/>
      <c r="D28" s="8"/>
      <c r="E28" s="8"/>
    </row>
    <row r="29" spans="1:7" ht="15.6">
      <c r="A29" s="20" t="s">
        <v>81</v>
      </c>
      <c r="B29" s="25">
        <v>7957197390.2399998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50</v>
      </c>
      <c r="B32" s="26">
        <v>1.0573999999999999</v>
      </c>
      <c r="C32" s="26">
        <v>1.0573999999999999</v>
      </c>
      <c r="D32" s="26">
        <v>1.0573999999999999</v>
      </c>
      <c r="E32" s="26">
        <v>1.0573999999999999</v>
      </c>
      <c r="F32" s="26">
        <v>1.0573999999999999</v>
      </c>
      <c r="G32" s="26">
        <v>1.0573999999999999</v>
      </c>
    </row>
    <row r="33" spans="1:7" ht="15.6">
      <c r="A33" s="20" t="s">
        <v>84</v>
      </c>
      <c r="B33" s="26">
        <v>1.1041000000000001</v>
      </c>
      <c r="C33" s="26">
        <v>1.1041000000000001</v>
      </c>
      <c r="D33" s="26">
        <v>1.1041000000000001</v>
      </c>
      <c r="E33" s="26">
        <v>1.1041000000000001</v>
      </c>
      <c r="F33" s="26">
        <v>1.1041000000000001</v>
      </c>
      <c r="G33" s="26">
        <v>1.1041000000000001</v>
      </c>
    </row>
    <row r="34" spans="1:7" ht="15.6">
      <c r="A34" s="20" t="s">
        <v>8</v>
      </c>
      <c r="B34" s="16" t="s">
        <v>36</v>
      </c>
      <c r="C34" s="16" t="s">
        <v>36</v>
      </c>
      <c r="D34" s="16" t="s">
        <v>36</v>
      </c>
      <c r="E34" s="16" t="s">
        <v>36</v>
      </c>
      <c r="F34" s="16" t="s">
        <v>36</v>
      </c>
      <c r="G34" s="16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51</v>
      </c>
      <c r="B37" s="14">
        <f t="shared" ref="B37:C37" si="2">B21/B32</f>
        <v>4273487514.9328547</v>
      </c>
      <c r="C37" s="14">
        <f t="shared" si="2"/>
        <v>2495515216.0677133</v>
      </c>
      <c r="D37" s="14">
        <f t="shared" ref="D37:F37" si="3">D21/D32</f>
        <v>1219437299.0353699</v>
      </c>
      <c r="E37" s="14">
        <f t="shared" si="3"/>
        <v>558534999.82977116</v>
      </c>
      <c r="F37" s="14">
        <f t="shared" si="3"/>
        <v>0</v>
      </c>
      <c r="G37" s="8" t="s">
        <v>36</v>
      </c>
    </row>
    <row r="38" spans="1:7" ht="15.6">
      <c r="A38" s="20" t="s">
        <v>85</v>
      </c>
      <c r="B38" s="14">
        <f>B23/B33</f>
        <v>8132824394.8283663</v>
      </c>
      <c r="C38" s="14">
        <f>C23/C33</f>
        <v>2455843660.211937</v>
      </c>
      <c r="D38" s="14">
        <f t="shared" ref="D38:G38" si="4">D23/D33</f>
        <v>1939423348.4829271</v>
      </c>
      <c r="E38" s="14">
        <f t="shared" si="4"/>
        <v>563108128.61153877</v>
      </c>
      <c r="F38" s="14">
        <f t="shared" si="4"/>
        <v>6487858.282764242</v>
      </c>
      <c r="G38" s="14">
        <f t="shared" si="4"/>
        <v>3167961399.2391996</v>
      </c>
    </row>
    <row r="39" spans="1:7" ht="15.6">
      <c r="A39" s="20" t="s">
        <v>52</v>
      </c>
      <c r="B39" s="8">
        <f>B37/B15</f>
        <v>220226.10228976319</v>
      </c>
      <c r="C39" s="8">
        <f>C37/C15</f>
        <v>157844.0996880274</v>
      </c>
      <c r="D39" s="8">
        <f t="shared" ref="D39:E39" si="5">D37/D15</f>
        <v>372460.99542925163</v>
      </c>
      <c r="E39" s="8">
        <f t="shared" si="5"/>
        <v>1739984.4231457044</v>
      </c>
      <c r="F39" s="8" t="s">
        <v>36</v>
      </c>
      <c r="G39" s="8" t="s">
        <v>36</v>
      </c>
    </row>
    <row r="40" spans="1:7" ht="15.6">
      <c r="A40" s="20" t="s">
        <v>86</v>
      </c>
      <c r="B40" s="8">
        <f>B38/B17</f>
        <v>345264.67020186654</v>
      </c>
      <c r="C40" s="8">
        <f>C38/C17</f>
        <v>148658.81720411242</v>
      </c>
      <c r="D40" s="8">
        <f t="shared" ref="D40:G40" si="6">D38/D17</f>
        <v>361002.0503473836</v>
      </c>
      <c r="E40" s="8">
        <f t="shared" si="6"/>
        <v>2261478.4281587903</v>
      </c>
      <c r="F40" s="8" t="s">
        <v>36</v>
      </c>
      <c r="G40" s="8">
        <f t="shared" si="6"/>
        <v>2240425.317708062</v>
      </c>
    </row>
    <row r="41" spans="1:7" ht="15.6">
      <c r="A41" s="19"/>
      <c r="B41" s="13"/>
      <c r="C41" s="13"/>
      <c r="D41" s="13"/>
      <c r="E41" s="13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</row>
    <row r="48" spans="1:7" ht="15.6">
      <c r="A48" s="18" t="s">
        <v>14</v>
      </c>
      <c r="B48" s="13"/>
      <c r="C48" s="13"/>
      <c r="D48" s="13"/>
      <c r="E48" s="13"/>
    </row>
    <row r="49" spans="1:7" ht="15.6">
      <c r="A49" s="19" t="s">
        <v>15</v>
      </c>
      <c r="B49" s="10">
        <f>B17/B16*100</f>
        <v>91.608654506799411</v>
      </c>
      <c r="C49" s="10">
        <f t="shared" ref="C49:G49" si="7">C17/C16*100</f>
        <v>88.588588588588593</v>
      </c>
      <c r="D49" s="10">
        <f t="shared" si="7"/>
        <v>94.417106033977731</v>
      </c>
      <c r="E49" s="10">
        <f t="shared" si="7"/>
        <v>78.548895899053633</v>
      </c>
      <c r="F49" s="8" t="s">
        <v>36</v>
      </c>
      <c r="G49" s="10">
        <f t="shared" si="7"/>
        <v>133.64839319470701</v>
      </c>
    </row>
    <row r="50" spans="1:7" ht="15.6">
      <c r="A50" s="19" t="s">
        <v>16</v>
      </c>
      <c r="B50" s="10">
        <f>B23/B22*100</f>
        <v>100.45364463679346</v>
      </c>
      <c r="C50" s="10">
        <f t="shared" ref="C50:G50" si="8">C23/C22*100</f>
        <v>86.239288817915437</v>
      </c>
      <c r="D50" s="10">
        <f t="shared" si="8"/>
        <v>74.568652286301685</v>
      </c>
      <c r="E50" s="10">
        <f t="shared" si="8"/>
        <v>80.302350177761411</v>
      </c>
      <c r="F50" s="8" t="s">
        <v>36</v>
      </c>
      <c r="G50" s="10">
        <f t="shared" si="8"/>
        <v>162.76863332903767</v>
      </c>
    </row>
    <row r="51" spans="1:7" ht="15.6">
      <c r="A51" s="19" t="s">
        <v>17</v>
      </c>
      <c r="B51" s="10">
        <f>AVERAGE(B49:B50)</f>
        <v>96.031149571796433</v>
      </c>
      <c r="C51" s="10">
        <f t="shared" ref="C51:G51" si="9">AVERAGE(C49:C50)</f>
        <v>87.413938703252015</v>
      </c>
      <c r="D51" s="10">
        <f t="shared" si="9"/>
        <v>84.492879160139708</v>
      </c>
      <c r="E51" s="10">
        <f t="shared" si="9"/>
        <v>79.425623038407522</v>
      </c>
      <c r="F51" s="8" t="s">
        <v>36</v>
      </c>
      <c r="G51" s="10">
        <f t="shared" si="9"/>
        <v>148.20851326187233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B17/B18*100</f>
        <v>27.680568449338207</v>
      </c>
      <c r="C54" s="10">
        <f t="shared" ref="C54:G54" si="10">C17/C18*100</f>
        <v>22.147147147147148</v>
      </c>
      <c r="D54" s="10">
        <f t="shared" si="10"/>
        <v>94.417106033977731</v>
      </c>
      <c r="E54" s="10">
        <f t="shared" si="10"/>
        <v>78.548895899053633</v>
      </c>
      <c r="F54" s="10">
        <f t="shared" si="10"/>
        <v>0</v>
      </c>
      <c r="G54" s="10">
        <f t="shared" si="10"/>
        <v>133.64839319470701</v>
      </c>
    </row>
    <row r="55" spans="1:7" ht="15.6">
      <c r="A55" s="19" t="s">
        <v>20</v>
      </c>
      <c r="B55" s="10">
        <f>B23/B24*100</f>
        <v>28.211727615719866</v>
      </c>
      <c r="C55" s="10">
        <f t="shared" ref="C55:G55" si="11">C23/C24*100</f>
        <v>24.639796805118696</v>
      </c>
      <c r="D55" s="10">
        <f t="shared" si="11"/>
        <v>21.305329224657626</v>
      </c>
      <c r="E55" s="10">
        <f t="shared" si="11"/>
        <v>22.943528622217542</v>
      </c>
      <c r="F55" s="10">
        <f t="shared" si="11"/>
        <v>1.3200789696273245</v>
      </c>
      <c r="G55" s="10">
        <f t="shared" si="11"/>
        <v>46.505323808296481</v>
      </c>
    </row>
    <row r="56" spans="1:7" ht="15.6">
      <c r="A56" s="19" t="s">
        <v>21</v>
      </c>
      <c r="B56" s="10">
        <f>(B54+B55)/2</f>
        <v>27.946148032529038</v>
      </c>
      <c r="C56" s="10">
        <f t="shared" ref="C56:G56" si="12">(C54+C55)/2</f>
        <v>23.393471976132922</v>
      </c>
      <c r="D56" s="10">
        <f t="shared" si="12"/>
        <v>57.861217629317679</v>
      </c>
      <c r="E56" s="10">
        <f t="shared" si="12"/>
        <v>50.746212260635588</v>
      </c>
      <c r="F56" s="10">
        <f t="shared" si="12"/>
        <v>0.66003948481366226</v>
      </c>
      <c r="G56" s="10">
        <f t="shared" si="12"/>
        <v>90.076858501501746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21.387958429957909</v>
      </c>
      <c r="C62" s="10">
        <f>((C17/C15)-1)*100</f>
        <v>4.4908285895003175</v>
      </c>
      <c r="D62" s="10">
        <f t="shared" ref="D62:E62" si="13">((D17/D15)-1)*100</f>
        <v>64.090816534310719</v>
      </c>
      <c r="E62" s="10">
        <f t="shared" si="13"/>
        <v>-22.429906542056077</v>
      </c>
      <c r="F62" s="8" t="s">
        <v>36</v>
      </c>
      <c r="G62" s="8" t="s">
        <v>36</v>
      </c>
    </row>
    <row r="63" spans="1:7" ht="15.6">
      <c r="A63" s="19" t="s">
        <v>25</v>
      </c>
      <c r="B63" s="10">
        <f t="shared" ref="B63" si="14">((B38/B37)-1)*100</f>
        <v>90.308837136175654</v>
      </c>
      <c r="C63" s="10">
        <f t="shared" ref="C63:D63" si="15">((C38/C37)-1)*100</f>
        <v>-1.5897140438313362</v>
      </c>
      <c r="D63" s="10">
        <f t="shared" si="15"/>
        <v>59.042482136400018</v>
      </c>
      <c r="E63" s="10">
        <f t="shared" ref="E63" si="16">((E38/E37)-1)*100</f>
        <v>0.818772106163701</v>
      </c>
      <c r="F63" s="8" t="s">
        <v>36</v>
      </c>
      <c r="G63" s="8" t="s">
        <v>36</v>
      </c>
    </row>
    <row r="64" spans="1:7" ht="15.6">
      <c r="A64" s="19" t="s">
        <v>26</v>
      </c>
      <c r="B64" s="10">
        <f>((B40/B39)-1)*100</f>
        <v>56.777360454567493</v>
      </c>
      <c r="C64" s="10">
        <f>((C40/C39)-1)*100</f>
        <v>-5.8192118058700508</v>
      </c>
      <c r="D64" s="10">
        <f t="shared" ref="D64:E64" si="17">((D40/D39)-1)*100</f>
        <v>-3.0765490138536244</v>
      </c>
      <c r="E64" s="10">
        <f t="shared" si="17"/>
        <v>29.971188136861638</v>
      </c>
      <c r="F64" s="8" t="s">
        <v>36</v>
      </c>
      <c r="G64" s="8" t="s">
        <v>36</v>
      </c>
    </row>
    <row r="65" spans="1:7" ht="15.6">
      <c r="A65" s="19"/>
      <c r="B65" s="10"/>
      <c r="C65" s="10"/>
      <c r="D65" s="10"/>
      <c r="E65" s="10"/>
    </row>
    <row r="66" spans="1:7" ht="15.6">
      <c r="A66" s="18" t="s">
        <v>27</v>
      </c>
      <c r="B66" s="10"/>
      <c r="C66" s="10"/>
      <c r="D66" s="10"/>
      <c r="E66" s="10"/>
    </row>
    <row r="67" spans="1:7" ht="15.6">
      <c r="A67" s="19" t="s">
        <v>40</v>
      </c>
      <c r="B67" s="10">
        <f>B22/(B16*3)</f>
        <v>115880.4310569232</v>
      </c>
      <c r="C67" s="10">
        <f>C22/(C16)</f>
        <v>168605.4850761476</v>
      </c>
      <c r="D67" s="10">
        <f t="shared" ref="D67" si="18">D22/(D16*3)</f>
        <v>168225.26245392917</v>
      </c>
      <c r="E67" s="10">
        <f t="shared" ref="E67:G67" si="19">E22/(E16*3)</f>
        <v>814125.64206098847</v>
      </c>
      <c r="F67" s="8" t="s">
        <v>36</v>
      </c>
      <c r="G67" s="10">
        <f t="shared" si="19"/>
        <v>677034.26903321629</v>
      </c>
    </row>
    <row r="68" spans="1:7" ht="15.6">
      <c r="A68" s="19" t="s">
        <v>41</v>
      </c>
      <c r="B68" s="10">
        <f t="shared" ref="B68" si="20">B23/(B17*3)</f>
        <v>127068.90745662694</v>
      </c>
      <c r="C68" s="10">
        <f>C23/(C17)</f>
        <v>164134.20007506051</v>
      </c>
      <c r="D68" s="10">
        <f t="shared" ref="D68" si="21">D23/(D17*3)</f>
        <v>132860.78792951541</v>
      </c>
      <c r="E68" s="10">
        <f t="shared" ref="E68:G68" si="22">E23/(E17*3)</f>
        <v>832299.44417670672</v>
      </c>
      <c r="F68" s="8" t="s">
        <v>36</v>
      </c>
      <c r="G68" s="10">
        <f t="shared" si="22"/>
        <v>824551.19776049047</v>
      </c>
    </row>
    <row r="69" spans="1:7" ht="15.6">
      <c r="A69" s="19" t="s">
        <v>28</v>
      </c>
      <c r="B69" s="10">
        <f>(B68/B67)*B51</f>
        <v>105.30314002627337</v>
      </c>
      <c r="C69" s="10">
        <f t="shared" ref="C69" si="23">(C68/C67)*C51</f>
        <v>85.095789724686611</v>
      </c>
      <c r="D69" s="10">
        <f t="shared" ref="D69" si="24">(D68/D67)*D51</f>
        <v>66.730705816100794</v>
      </c>
      <c r="E69" s="10">
        <f t="shared" ref="E69:G69" si="25">(E68/E67)*E51</f>
        <v>81.198648578253511</v>
      </c>
      <c r="F69" s="8" t="s">
        <v>36</v>
      </c>
      <c r="G69" s="10">
        <f t="shared" si="25"/>
        <v>180.5012134804993</v>
      </c>
    </row>
    <row r="70" spans="1:7" ht="15.6">
      <c r="A70" s="19" t="s">
        <v>42</v>
      </c>
      <c r="B70" s="10">
        <f t="shared" ref="B70:B71" si="26">B22/B16</f>
        <v>347641.29317076964</v>
      </c>
      <c r="C70" s="10">
        <f>(C22/C16)*3</f>
        <v>505816.45522844279</v>
      </c>
      <c r="D70" s="10">
        <f t="shared" ref="D70" si="27">D22/D16</f>
        <v>504675.78736178752</v>
      </c>
      <c r="E70" s="10">
        <f t="shared" ref="E70:G70" si="28">E22/E16</f>
        <v>2442376.9261829653</v>
      </c>
      <c r="F70" s="8" t="s">
        <v>36</v>
      </c>
      <c r="G70" s="10">
        <f t="shared" si="28"/>
        <v>2031102.8070996488</v>
      </c>
    </row>
    <row r="71" spans="1:7" ht="15.6">
      <c r="A71" s="19" t="s">
        <v>43</v>
      </c>
      <c r="B71" s="10">
        <f t="shared" si="26"/>
        <v>381206.72236988088</v>
      </c>
      <c r="C71" s="10">
        <f>(C23/C17)*3</f>
        <v>492402.60022518155</v>
      </c>
      <c r="D71" s="10">
        <f t="shared" ref="D71" si="29">D23/D17</f>
        <v>398582.3637885463</v>
      </c>
      <c r="E71" s="10">
        <f t="shared" ref="E71:G71" si="30">E23/E17</f>
        <v>2496898.3325301204</v>
      </c>
      <c r="F71" s="8" t="s">
        <v>36</v>
      </c>
      <c r="G71" s="10">
        <f t="shared" si="30"/>
        <v>2473653.5932814716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89.017629481057881</v>
      </c>
      <c r="C74" s="10"/>
      <c r="D74" s="10"/>
      <c r="E74" s="10"/>
    </row>
    <row r="75" spans="1:7" ht="15.6">
      <c r="A75" s="19" t="s">
        <v>31</v>
      </c>
      <c r="B75" s="10">
        <f>(B23/B29)*100</f>
        <v>112.84691046302129</v>
      </c>
      <c r="C75" s="10"/>
      <c r="D75" s="10"/>
      <c r="E75" s="10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2" t="s">
        <v>87</v>
      </c>
      <c r="B77" s="42"/>
      <c r="C77" s="42"/>
      <c r="D77" s="42"/>
      <c r="E77" s="42"/>
    </row>
    <row r="78" spans="1:7" customFormat="1">
      <c r="A78" s="23"/>
    </row>
    <row r="79" spans="1:7" customFormat="1" ht="35.25" customHeight="1">
      <c r="A79" s="44" t="s">
        <v>88</v>
      </c>
      <c r="B79" s="44"/>
      <c r="C79" s="44"/>
      <c r="D79" s="44"/>
      <c r="E79" s="44"/>
      <c r="F79" s="44"/>
      <c r="G79" s="44"/>
    </row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</sheetData>
  <mergeCells count="5">
    <mergeCell ref="A9:A10"/>
    <mergeCell ref="B9:B10"/>
    <mergeCell ref="A77:E77"/>
    <mergeCell ref="C9:G9"/>
    <mergeCell ref="A79:G79"/>
  </mergeCells>
  <pageMargins left="0.7" right="0.7" top="0.75" bottom="0.75" header="0.3" footer="0.3"/>
  <pageSetup orientation="portrait" r:id="rId1"/>
  <ignoredErrors>
    <ignoredError sqref="C67:C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38" t="s">
        <v>0</v>
      </c>
      <c r="B9" s="40" t="s">
        <v>1</v>
      </c>
      <c r="C9" s="43" t="s">
        <v>2</v>
      </c>
      <c r="D9" s="43"/>
      <c r="E9" s="43"/>
      <c r="F9" s="43"/>
      <c r="G9" s="43"/>
    </row>
    <row r="10" spans="1:7" s="27" customFormat="1" ht="63" thickBot="1">
      <c r="A10" s="39"/>
      <c r="B10" s="41"/>
      <c r="C10" s="24" t="s">
        <v>39</v>
      </c>
      <c r="D10" s="24" t="s">
        <v>48</v>
      </c>
      <c r="E10" s="24" t="s">
        <v>53</v>
      </c>
      <c r="F10" s="24" t="s">
        <v>54</v>
      </c>
      <c r="G10" s="24" t="s">
        <v>79</v>
      </c>
    </row>
    <row r="11" spans="1:7" customFormat="1" ht="16.2" thickTop="1">
      <c r="A11" s="19"/>
      <c r="B11" s="19"/>
      <c r="C11" s="19"/>
      <c r="D11" s="19"/>
      <c r="E11" s="19"/>
    </row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55</v>
      </c>
      <c r="B15" s="8">
        <f>+SUM(C15:F15)</f>
        <v>25323</v>
      </c>
      <c r="C15" s="25">
        <v>21624</v>
      </c>
      <c r="D15" s="25">
        <v>3393.6666666666665</v>
      </c>
      <c r="E15" s="25">
        <v>305.33333333333331</v>
      </c>
      <c r="F15" s="25">
        <v>0</v>
      </c>
      <c r="G15" s="25" t="s">
        <v>36</v>
      </c>
    </row>
    <row r="16" spans="1:7" ht="15.6">
      <c r="A16" s="20" t="s">
        <v>89</v>
      </c>
      <c r="B16" s="8">
        <f>+SUM(C16:G16)</f>
        <v>29153</v>
      </c>
      <c r="C16" s="25">
        <v>18648</v>
      </c>
      <c r="D16" s="25">
        <v>5690</v>
      </c>
      <c r="E16" s="25">
        <v>317</v>
      </c>
      <c r="F16" s="25">
        <v>3440</v>
      </c>
      <c r="G16" s="25">
        <v>1058</v>
      </c>
    </row>
    <row r="17" spans="1:7" ht="15.6">
      <c r="A17" s="20" t="s">
        <v>90</v>
      </c>
      <c r="B17" s="8">
        <f t="shared" ref="B17:B18" si="0">+SUM(C17:G17)</f>
        <v>24604</v>
      </c>
      <c r="C17" s="25">
        <v>17662</v>
      </c>
      <c r="D17" s="25">
        <v>5379</v>
      </c>
      <c r="E17" s="25">
        <v>338</v>
      </c>
      <c r="F17" s="25">
        <v>167</v>
      </c>
      <c r="G17" s="25">
        <v>1058</v>
      </c>
    </row>
    <row r="18" spans="1:7" ht="15.6">
      <c r="A18" s="20" t="s">
        <v>82</v>
      </c>
      <c r="B18" s="8">
        <f t="shared" si="0"/>
        <v>85097</v>
      </c>
      <c r="C18" s="25">
        <v>74592</v>
      </c>
      <c r="D18" s="25">
        <v>5690</v>
      </c>
      <c r="E18" s="25">
        <v>317</v>
      </c>
      <c r="F18" s="25">
        <v>3440</v>
      </c>
      <c r="G18" s="25">
        <v>1058</v>
      </c>
    </row>
    <row r="19" spans="1:7" ht="15.6">
      <c r="A19" s="19"/>
      <c r="B19" s="8"/>
      <c r="C19" s="25"/>
      <c r="D19" s="25"/>
      <c r="E19" s="25"/>
      <c r="F19"/>
      <c r="G19"/>
    </row>
    <row r="20" spans="1:7" ht="15.6">
      <c r="A20" s="21" t="s">
        <v>5</v>
      </c>
      <c r="B20" s="8"/>
      <c r="C20" s="25"/>
      <c r="D20" s="25"/>
      <c r="E20" s="25"/>
      <c r="F20"/>
      <c r="G20"/>
    </row>
    <row r="21" spans="1:7" ht="15.6">
      <c r="A21" s="20" t="s">
        <v>55</v>
      </c>
      <c r="B21" s="8">
        <f>SUM(C21:F21)</f>
        <v>3585055833.6500006</v>
      </c>
      <c r="C21" s="25">
        <v>1978073857.8</v>
      </c>
      <c r="D21" s="25">
        <v>1126766727.5</v>
      </c>
      <c r="E21" s="25">
        <v>470416350.54999995</v>
      </c>
      <c r="F21" s="25">
        <v>9798897.8000000007</v>
      </c>
      <c r="G21" s="25" t="s">
        <v>36</v>
      </c>
    </row>
    <row r="22" spans="1:7" ht="15.6">
      <c r="A22" s="20" t="s">
        <v>89</v>
      </c>
      <c r="B22" s="8">
        <f>SUM(C22:G22)</f>
        <v>6781695080.110714</v>
      </c>
      <c r="C22" s="25">
        <v>2358116314.2750001</v>
      </c>
      <c r="D22" s="25">
        <v>2153703922.5664282</v>
      </c>
      <c r="E22" s="25">
        <v>580675114.20000005</v>
      </c>
      <c r="F22" s="25">
        <v>77519651.635714293</v>
      </c>
      <c r="G22" s="25">
        <v>1611680077.4335713</v>
      </c>
    </row>
    <row r="23" spans="1:7" ht="15.6">
      <c r="A23" s="20" t="s">
        <v>90</v>
      </c>
      <c r="B23" s="8">
        <f t="shared" ref="B23:B25" si="1">SUM(C23:G23)</f>
        <v>8313785197.8500004</v>
      </c>
      <c r="C23" s="25">
        <v>2194751596.9100003</v>
      </c>
      <c r="D23" s="25">
        <v>2294412864.3699999</v>
      </c>
      <c r="E23" s="25">
        <v>542790141.69000006</v>
      </c>
      <c r="F23" s="25">
        <v>15542603.819999998</v>
      </c>
      <c r="G23" s="25">
        <v>3266287991.0599999</v>
      </c>
    </row>
    <row r="24" spans="1:7" ht="15.6">
      <c r="A24" s="20" t="s">
        <v>82</v>
      </c>
      <c r="B24" s="8">
        <f t="shared" si="1"/>
        <v>31828789561</v>
      </c>
      <c r="C24" s="25">
        <v>11004542799.950001</v>
      </c>
      <c r="D24" s="25">
        <v>10050618305.309998</v>
      </c>
      <c r="E24" s="25">
        <v>2709817199.6000004</v>
      </c>
      <c r="F24" s="25">
        <v>542637561.45000005</v>
      </c>
      <c r="G24" s="25">
        <v>7521173694.6899996</v>
      </c>
    </row>
    <row r="25" spans="1:7" ht="15.6">
      <c r="A25" s="20" t="s">
        <v>91</v>
      </c>
      <c r="B25" s="8">
        <f t="shared" si="1"/>
        <v>8313785197.8500004</v>
      </c>
      <c r="C25" s="8">
        <f>+C23</f>
        <v>2194751596.9100003</v>
      </c>
      <c r="D25" s="8">
        <f t="shared" ref="D25:G25" si="2">+D23</f>
        <v>2294412864.3699999</v>
      </c>
      <c r="E25" s="8">
        <f t="shared" si="2"/>
        <v>542790141.69000006</v>
      </c>
      <c r="F25" s="8">
        <f t="shared" si="2"/>
        <v>15542603.819999998</v>
      </c>
      <c r="G25" s="8">
        <f t="shared" si="2"/>
        <v>3266287991.0599999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89</v>
      </c>
      <c r="B28" s="8">
        <f>B22</f>
        <v>6781695080.110714</v>
      </c>
      <c r="C28" s="8"/>
      <c r="D28" s="8"/>
      <c r="E28" s="8"/>
    </row>
    <row r="29" spans="1:7" ht="15.6">
      <c r="A29" s="20" t="s">
        <v>90</v>
      </c>
      <c r="B29" s="25">
        <v>7957197390.2399998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56</v>
      </c>
      <c r="B32" s="29">
        <v>1.121</v>
      </c>
      <c r="C32" s="29">
        <v>1.121</v>
      </c>
      <c r="D32" s="29">
        <v>1.121</v>
      </c>
      <c r="E32" s="29">
        <v>1.121</v>
      </c>
      <c r="F32" s="29">
        <v>1.121</v>
      </c>
      <c r="G32" s="29">
        <v>1.121</v>
      </c>
    </row>
    <row r="33" spans="1:7" ht="15.6">
      <c r="A33" s="20" t="s">
        <v>92</v>
      </c>
      <c r="B33" s="29">
        <v>1.0973999999999999</v>
      </c>
      <c r="C33" s="29">
        <v>1.0973999999999999</v>
      </c>
      <c r="D33" s="29">
        <v>1.0973999999999999</v>
      </c>
      <c r="E33" s="29">
        <v>1.0973999999999999</v>
      </c>
      <c r="F33" s="29">
        <v>1.0973999999999999</v>
      </c>
      <c r="G33" s="29">
        <v>1.0973999999999999</v>
      </c>
    </row>
    <row r="34" spans="1:7" ht="15.6">
      <c r="A34" s="20" t="s">
        <v>8</v>
      </c>
      <c r="B34" s="30" t="s">
        <v>36</v>
      </c>
      <c r="C34" s="30" t="s">
        <v>36</v>
      </c>
      <c r="D34" s="30" t="s">
        <v>36</v>
      </c>
      <c r="E34" s="30" t="s">
        <v>36</v>
      </c>
      <c r="F34" s="30" t="s">
        <v>36</v>
      </c>
      <c r="G34" s="30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57</v>
      </c>
      <c r="B37" s="14">
        <f t="shared" ref="B37" si="3">B21/B32</f>
        <v>3198087273.5504022</v>
      </c>
      <c r="C37" s="14">
        <f t="shared" ref="C37:F37" si="4">C21/C32</f>
        <v>1764561871.3648527</v>
      </c>
      <c r="D37" s="14">
        <f t="shared" si="4"/>
        <v>1005144270.7404103</v>
      </c>
      <c r="E37" s="14">
        <f t="shared" si="4"/>
        <v>419639920.20517391</v>
      </c>
      <c r="F37" s="14">
        <f t="shared" si="4"/>
        <v>8741211.2399643175</v>
      </c>
      <c r="G37" s="8" t="s">
        <v>36</v>
      </c>
    </row>
    <row r="38" spans="1:7" ht="15.6">
      <c r="A38" s="20" t="s">
        <v>93</v>
      </c>
      <c r="B38" s="14">
        <f t="shared" ref="B38" si="5">B23/B33</f>
        <v>7575893200.154912</v>
      </c>
      <c r="C38" s="14">
        <f t="shared" ref="C38:G38" si="6">C23/C33</f>
        <v>1999955892.9378536</v>
      </c>
      <c r="D38" s="14">
        <f t="shared" si="6"/>
        <v>2090771700.7198834</v>
      </c>
      <c r="E38" s="14">
        <f t="shared" si="6"/>
        <v>494614672.58064526</v>
      </c>
      <c r="F38" s="14">
        <f t="shared" si="6"/>
        <v>14163116.293056315</v>
      </c>
      <c r="G38" s="14">
        <f t="shared" si="6"/>
        <v>2976387817.6234736</v>
      </c>
    </row>
    <row r="39" spans="1:7" ht="15.6">
      <c r="A39" s="20" t="s">
        <v>58</v>
      </c>
      <c r="B39" s="8">
        <f>B37/B15</f>
        <v>126291.80087471477</v>
      </c>
      <c r="C39" s="8">
        <f t="shared" ref="C39:E39" si="7">C37/C15</f>
        <v>81602.010329488199</v>
      </c>
      <c r="D39" s="8">
        <f t="shared" si="7"/>
        <v>296182.38014156086</v>
      </c>
      <c r="E39" s="8">
        <f t="shared" si="7"/>
        <v>1374366.5508903076</v>
      </c>
      <c r="F39" s="8" t="s">
        <v>36</v>
      </c>
      <c r="G39" s="8" t="s">
        <v>36</v>
      </c>
    </row>
    <row r="40" spans="1:7" ht="15.6">
      <c r="A40" s="20" t="s">
        <v>94</v>
      </c>
      <c r="B40" s="8">
        <f t="shared" ref="B40" si="8">B38/B17</f>
        <v>307913.0710516547</v>
      </c>
      <c r="C40" s="8">
        <f t="shared" ref="C40:G40" si="9">C38/C17</f>
        <v>113234.9616656015</v>
      </c>
      <c r="D40" s="8">
        <f t="shared" si="9"/>
        <v>388691.52272167383</v>
      </c>
      <c r="E40" s="8">
        <f t="shared" si="9"/>
        <v>1463357.0194693648</v>
      </c>
      <c r="F40" s="8">
        <f t="shared" si="9"/>
        <v>84809.079599139615</v>
      </c>
      <c r="G40" s="8">
        <f t="shared" si="9"/>
        <v>2813220.9996441151</v>
      </c>
    </row>
    <row r="41" spans="1:7" ht="15.6">
      <c r="A41" s="19"/>
      <c r="B41" s="8"/>
      <c r="C41" s="8"/>
      <c r="D41" s="8"/>
      <c r="E41" s="8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>B17/B16*100</f>
        <v>84.396117037697664</v>
      </c>
      <c r="C49" s="10">
        <f t="shared" ref="C49:G49" si="10">C17/C16*100</f>
        <v>94.712569712569717</v>
      </c>
      <c r="D49" s="10">
        <f t="shared" si="10"/>
        <v>94.534270650263622</v>
      </c>
      <c r="E49" s="10">
        <f t="shared" si="10"/>
        <v>106.62460567823344</v>
      </c>
      <c r="F49" s="10">
        <f t="shared" si="10"/>
        <v>4.8546511627906979</v>
      </c>
      <c r="G49" s="10">
        <f t="shared" si="10"/>
        <v>100</v>
      </c>
    </row>
    <row r="50" spans="1:7" ht="15.6">
      <c r="A50" s="19" t="s">
        <v>16</v>
      </c>
      <c r="B50" s="10">
        <f>B23/B22*100</f>
        <v>122.59155122194427</v>
      </c>
      <c r="C50" s="10">
        <f t="shared" ref="C50:G50" si="11">C23/C22*100</f>
        <v>93.072236667205019</v>
      </c>
      <c r="D50" s="10">
        <f t="shared" si="11"/>
        <v>106.53334659092314</v>
      </c>
      <c r="E50" s="10">
        <f t="shared" si="11"/>
        <v>93.475702405088541</v>
      </c>
      <c r="F50" s="10">
        <f t="shared" si="11"/>
        <v>20.049888630871145</v>
      </c>
      <c r="G50" s="10">
        <f t="shared" si="11"/>
        <v>202.66354574917966</v>
      </c>
    </row>
    <row r="51" spans="1:7" ht="15.6">
      <c r="A51" s="19" t="s">
        <v>17</v>
      </c>
      <c r="B51" s="10">
        <f>AVERAGE(B49:B50)</f>
        <v>103.49383412982097</v>
      </c>
      <c r="C51" s="10">
        <f t="shared" ref="C51:G51" si="12">AVERAGE(C49:C50)</f>
        <v>93.892403189887375</v>
      </c>
      <c r="D51" s="10">
        <f t="shared" si="12"/>
        <v>100.53380862059339</v>
      </c>
      <c r="E51" s="10">
        <f t="shared" si="12"/>
        <v>100.05015404166099</v>
      </c>
      <c r="F51" s="10">
        <f t="shared" si="12"/>
        <v>12.452269896830922</v>
      </c>
      <c r="G51" s="10">
        <f t="shared" si="12"/>
        <v>151.33177287458983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B17/B18*100</f>
        <v>28.912887645862956</v>
      </c>
      <c r="C54" s="10">
        <f t="shared" ref="C54:G54" si="13">C17/C18*100</f>
        <v>23.678142428142429</v>
      </c>
      <c r="D54" s="10">
        <f t="shared" si="13"/>
        <v>94.534270650263622</v>
      </c>
      <c r="E54" s="10">
        <f t="shared" si="13"/>
        <v>106.62460567823344</v>
      </c>
      <c r="F54" s="10">
        <f t="shared" si="13"/>
        <v>4.8546511627906979</v>
      </c>
      <c r="G54" s="10">
        <f t="shared" si="13"/>
        <v>100</v>
      </c>
    </row>
    <row r="55" spans="1:7" ht="15.6">
      <c r="A55" s="19" t="s">
        <v>20</v>
      </c>
      <c r="B55" s="10">
        <f>B23/B24*100</f>
        <v>26.120331035261639</v>
      </c>
      <c r="C55" s="10">
        <f t="shared" ref="C55:G55" si="14">C23/C24*100</f>
        <v>19.944050714401076</v>
      </c>
      <c r="D55" s="10">
        <f t="shared" si="14"/>
        <v>22.828574269483532</v>
      </c>
      <c r="E55" s="10">
        <f t="shared" si="14"/>
        <v>20.030507658233258</v>
      </c>
      <c r="F55" s="10">
        <f t="shared" si="14"/>
        <v>2.8642698044101635</v>
      </c>
      <c r="G55" s="10">
        <f t="shared" si="14"/>
        <v>43.4279026605385</v>
      </c>
    </row>
    <row r="56" spans="1:7" ht="15.6">
      <c r="A56" s="19" t="s">
        <v>21</v>
      </c>
      <c r="B56" s="10">
        <f>(B54+B55)/2</f>
        <v>27.516609340562297</v>
      </c>
      <c r="C56" s="10">
        <f t="shared" ref="C56:G56" si="15">(C54+C55)/2</f>
        <v>21.811096571271754</v>
      </c>
      <c r="D56" s="10">
        <f t="shared" si="15"/>
        <v>58.681422459873573</v>
      </c>
      <c r="E56" s="10">
        <f t="shared" si="15"/>
        <v>63.327556668233349</v>
      </c>
      <c r="F56" s="10">
        <f t="shared" si="15"/>
        <v>3.8594604836004307</v>
      </c>
      <c r="G56" s="10">
        <f t="shared" si="15"/>
        <v>71.713951330269254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 t="shared" ref="B59" si="16"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-2.8393160368044845</v>
      </c>
      <c r="C62" s="10">
        <f t="shared" ref="C62:D62" si="17">((C17/C15)-1)*100</f>
        <v>-18.322234554199035</v>
      </c>
      <c r="D62" s="10">
        <f t="shared" si="17"/>
        <v>58.501129555053531</v>
      </c>
      <c r="E62" s="10">
        <f t="shared" ref="E62" si="18">((E17/E15)-1)*100</f>
        <v>10.698689956331876</v>
      </c>
      <c r="F62" s="8" t="s">
        <v>36</v>
      </c>
      <c r="G62" s="8" t="s">
        <v>36</v>
      </c>
    </row>
    <row r="63" spans="1:7" ht="15.6">
      <c r="A63" s="19" t="s">
        <v>25</v>
      </c>
      <c r="B63" s="10">
        <f>((B38/B37)-1)*100</f>
        <v>136.88825701571386</v>
      </c>
      <c r="C63" s="10">
        <f t="shared" ref="C63:D63" si="19">((C38/C37)-1)*100</f>
        <v>13.340083189654806</v>
      </c>
      <c r="D63" s="10">
        <f t="shared" si="19"/>
        <v>108.00712510451631</v>
      </c>
      <c r="E63" s="10">
        <f t="shared" ref="E63:F63" si="20">((E38/E37)-1)*100</f>
        <v>17.866449011527319</v>
      </c>
      <c r="F63" s="10">
        <f t="shared" si="20"/>
        <v>62.026930870899875</v>
      </c>
      <c r="G63" s="8" t="s">
        <v>36</v>
      </c>
    </row>
    <row r="64" spans="1:7" ht="15.6">
      <c r="A64" s="19" t="s">
        <v>26</v>
      </c>
      <c r="B64" s="10">
        <f t="shared" ref="B64:D64" si="21">((B40/B39)-1)*100</f>
        <v>143.81081663180467</v>
      </c>
      <c r="C64" s="10">
        <f t="shared" si="21"/>
        <v>38.764916707796139</v>
      </c>
      <c r="D64" s="10">
        <f t="shared" si="21"/>
        <v>31.233844003785126</v>
      </c>
      <c r="E64" s="10">
        <f t="shared" ref="E64" si="22">((E40/E39)-1)*100</f>
        <v>6.4750170557781317</v>
      </c>
      <c r="F64" s="8" t="s">
        <v>36</v>
      </c>
      <c r="G64" s="8" t="s">
        <v>36</v>
      </c>
    </row>
    <row r="65" spans="1:7" ht="15.6">
      <c r="A65" s="19"/>
      <c r="B65" s="10"/>
      <c r="C65" s="10"/>
      <c r="D65" s="10"/>
      <c r="E65" s="10"/>
      <c r="F65" s="10"/>
      <c r="G65" s="10"/>
    </row>
    <row r="66" spans="1:7" ht="15.6">
      <c r="A66" s="18" t="s">
        <v>27</v>
      </c>
      <c r="B66" s="10"/>
      <c r="C66" s="10"/>
      <c r="D66" s="10"/>
      <c r="E66" s="10"/>
      <c r="F66" s="10"/>
      <c r="G66" s="10"/>
    </row>
    <row r="67" spans="1:7" ht="15.6">
      <c r="A67" s="19" t="s">
        <v>40</v>
      </c>
      <c r="B67" s="10">
        <f>B22/(B16*3)</f>
        <v>77541.420323931379</v>
      </c>
      <c r="C67" s="10">
        <f>C22/(C16)</f>
        <v>126454.11380711068</v>
      </c>
      <c r="D67" s="10">
        <f t="shared" ref="D67" si="23">D22/(D16*3)</f>
        <v>126168.94684044688</v>
      </c>
      <c r="E67" s="10">
        <f t="shared" ref="E67:G67" si="24">E22/(E16*3)</f>
        <v>610594.23154574132</v>
      </c>
      <c r="F67" s="10">
        <f>F22/(F16*1)</f>
        <v>22534.782452242525</v>
      </c>
      <c r="G67" s="10">
        <f t="shared" si="24"/>
        <v>507775.70177491219</v>
      </c>
    </row>
    <row r="68" spans="1:7" ht="15.6">
      <c r="A68" s="19" t="s">
        <v>41</v>
      </c>
      <c r="B68" s="10">
        <f t="shared" ref="B68" si="25">B23/(B17*3)</f>
        <v>112634.60139069529</v>
      </c>
      <c r="C68" s="10">
        <f>C23/(C17)</f>
        <v>124264.04693183106</v>
      </c>
      <c r="D68" s="10">
        <f t="shared" ref="D68" si="26">D23/(D17*3)</f>
        <v>142183.35901158827</v>
      </c>
      <c r="E68" s="10">
        <f t="shared" ref="E68:G68" si="27">E23/(E17*3)</f>
        <v>535295.9977218936</v>
      </c>
      <c r="F68" s="10">
        <f>F23/(F17*1)</f>
        <v>93069.483952095805</v>
      </c>
      <c r="G68" s="10">
        <f t="shared" si="27"/>
        <v>1029076.2416698172</v>
      </c>
    </row>
    <row r="69" spans="1:7" ht="15.6">
      <c r="A69" s="19" t="s">
        <v>28</v>
      </c>
      <c r="B69" s="10">
        <f>(B68/B67)*B51</f>
        <v>150.33238628993053</v>
      </c>
      <c r="C69" s="10">
        <f t="shared" ref="C69" si="28">(C68/C67)*C51</f>
        <v>92.266274660923628</v>
      </c>
      <c r="D69" s="10">
        <f t="shared" ref="D69" si="29">(D68/D67)*D51</f>
        <v>113.29439582293266</v>
      </c>
      <c r="E69" s="10">
        <f t="shared" ref="E69:G69" si="30">(E68/E67)*E51</f>
        <v>87.712009486856743</v>
      </c>
      <c r="F69" s="10">
        <f t="shared" si="30"/>
        <v>51.428334654943235</v>
      </c>
      <c r="G69" s="10">
        <f t="shared" si="30"/>
        <v>306.69433675273905</v>
      </c>
    </row>
    <row r="70" spans="1:7" ht="15.6">
      <c r="A70" s="19" t="s">
        <v>42</v>
      </c>
      <c r="B70" s="10">
        <f t="shared" ref="B70:B71" si="31">B22/B16</f>
        <v>232624.26097179411</v>
      </c>
      <c r="C70" s="10">
        <f>(C22/C16)*3</f>
        <v>379362.34142133204</v>
      </c>
      <c r="D70" s="10">
        <f t="shared" ref="D70" si="32">D22/D16</f>
        <v>378506.84052134061</v>
      </c>
      <c r="E70" s="10">
        <f t="shared" ref="E70:G70" si="33">E22/E16</f>
        <v>1831782.6946372241</v>
      </c>
      <c r="F70" s="10">
        <f t="shared" si="33"/>
        <v>22534.782452242525</v>
      </c>
      <c r="G70" s="10">
        <f t="shared" si="33"/>
        <v>1523327.1053247366</v>
      </c>
    </row>
    <row r="71" spans="1:7" ht="15.6">
      <c r="A71" s="19" t="s">
        <v>43</v>
      </c>
      <c r="B71" s="10">
        <f t="shared" si="31"/>
        <v>337903.80417208583</v>
      </c>
      <c r="C71" s="10">
        <f>(C23/C17)*3</f>
        <v>372792.14079549321</v>
      </c>
      <c r="D71" s="10">
        <f t="shared" ref="D71" si="34">D23/D17</f>
        <v>426550.07703476481</v>
      </c>
      <c r="E71" s="10">
        <f t="shared" ref="E71:G71" si="35">E23/E17</f>
        <v>1605887.9931656807</v>
      </c>
      <c r="F71" s="10">
        <f t="shared" si="35"/>
        <v>93069.483952095805</v>
      </c>
      <c r="G71" s="10">
        <f t="shared" si="35"/>
        <v>3087228.7250094516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117.33345861533626</v>
      </c>
      <c r="C74" s="10"/>
      <c r="D74" s="10"/>
      <c r="E74" s="10"/>
    </row>
    <row r="75" spans="1:7" ht="15.6">
      <c r="A75" s="19" t="s">
        <v>31</v>
      </c>
      <c r="B75" s="10">
        <f>(B23/B29)*100</f>
        <v>104.48132414117788</v>
      </c>
      <c r="C75" s="10"/>
      <c r="D75" s="10"/>
      <c r="E75" s="10"/>
    </row>
    <row r="76" spans="1:7" ht="16.2" thickBot="1">
      <c r="A76" s="28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2" t="s">
        <v>87</v>
      </c>
      <c r="B77" s="42"/>
      <c r="C77" s="42"/>
      <c r="D77" s="42"/>
      <c r="E77" s="42"/>
    </row>
    <row r="78" spans="1:7" customFormat="1"/>
    <row r="79" spans="1:7" customFormat="1"/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4">
    <mergeCell ref="A9:A10"/>
    <mergeCell ref="B9:B10"/>
    <mergeCell ref="A77:E77"/>
    <mergeCell ref="C9:G9"/>
  </mergeCells>
  <pageMargins left="0.7" right="0.7" top="0.75" bottom="0.75" header="0.3" footer="0.3"/>
  <pageSetup orientation="portrait" r:id="rId1"/>
  <ignoredErrors>
    <ignoredError sqref="C67:C71 F67:F6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38" t="s">
        <v>0</v>
      </c>
      <c r="B9" s="40" t="s">
        <v>1</v>
      </c>
      <c r="C9" s="43" t="s">
        <v>2</v>
      </c>
      <c r="D9" s="43"/>
      <c r="E9" s="43"/>
      <c r="F9" s="43"/>
      <c r="G9" s="43"/>
    </row>
    <row r="10" spans="1:7" s="27" customFormat="1" ht="63" thickBot="1">
      <c r="A10" s="39"/>
      <c r="B10" s="41"/>
      <c r="C10" s="24" t="s">
        <v>39</v>
      </c>
      <c r="D10" s="24" t="s">
        <v>48</v>
      </c>
      <c r="E10" s="24" t="s">
        <v>53</v>
      </c>
      <c r="F10" s="24" t="s">
        <v>54</v>
      </c>
      <c r="G10" s="24" t="s">
        <v>79</v>
      </c>
    </row>
    <row r="11" spans="1:7" customFormat="1" ht="16.2" thickTop="1">
      <c r="A11" s="19"/>
      <c r="B11" s="19"/>
      <c r="C11" s="19"/>
      <c r="D11" s="19"/>
      <c r="E11" s="19"/>
    </row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59</v>
      </c>
      <c r="B15" s="8">
        <f>+SUM(C15:F15)</f>
        <v>41081</v>
      </c>
      <c r="C15" s="8">
        <f>(+'I Trimestre'!C15+'II trimestre'!C15)</f>
        <v>37434</v>
      </c>
      <c r="D15" s="8">
        <f>(+'I Trimestre'!D15+'II trimestre'!D15)/2</f>
        <v>3333.833333333333</v>
      </c>
      <c r="E15" s="8">
        <f>(+'I Trimestre'!E15+'II trimestre'!E15)/2</f>
        <v>313.16666666666663</v>
      </c>
      <c r="F15" s="8">
        <f>(+'I Trimestre'!F15+'II trimestre'!F15)/2</f>
        <v>0</v>
      </c>
      <c r="G15" s="8" t="s">
        <v>36</v>
      </c>
    </row>
    <row r="16" spans="1:7" ht="15.6">
      <c r="A16" s="20" t="s">
        <v>95</v>
      </c>
      <c r="B16" s="8">
        <f>+SUM(C16:G16)</f>
        <v>47801</v>
      </c>
      <c r="C16" s="8">
        <f>(+'I Trimestre'!C16+'II trimestre'!C16)</f>
        <v>37296</v>
      </c>
      <c r="D16" s="8">
        <f>(+'I Trimestre'!D16+'II trimestre'!D16)/2</f>
        <v>5690</v>
      </c>
      <c r="E16" s="8">
        <f>(+'II trimestre'!E16)</f>
        <v>317</v>
      </c>
      <c r="F16" s="8">
        <f>+'II trimestre'!F16</f>
        <v>3440</v>
      </c>
      <c r="G16" s="8">
        <f>+'II trimestre'!G16</f>
        <v>1058</v>
      </c>
    </row>
    <row r="17" spans="1:7" ht="15.6">
      <c r="A17" s="20" t="s">
        <v>96</v>
      </c>
      <c r="B17" s="8">
        <f t="shared" ref="B17:B18" si="0">+SUM(C17:G17)</f>
        <v>41170.666666666664</v>
      </c>
      <c r="C17" s="8">
        <f>(+'I Trimestre'!C17+'II trimestre'!C17)</f>
        <v>34182</v>
      </c>
      <c r="D17" s="8">
        <f>(+'I Trimestre'!D17+'II trimestre'!D17)/2</f>
        <v>5375.6666666666661</v>
      </c>
      <c r="E17" s="8">
        <f>(+'I Trimestre'!E17+'II trimestre'!E17)/2</f>
        <v>293.5</v>
      </c>
      <c r="F17" s="8">
        <f>(+'I Trimestre'!F17+'II trimestre'!F17)/2</f>
        <v>83.5</v>
      </c>
      <c r="G17" s="8">
        <f>(+'I Trimestre'!G17+'II trimestre'!G17)/2</f>
        <v>1236</v>
      </c>
    </row>
    <row r="18" spans="1:7" ht="15.6">
      <c r="A18" s="20" t="s">
        <v>82</v>
      </c>
      <c r="B18" s="8">
        <f t="shared" si="0"/>
        <v>85097</v>
      </c>
      <c r="C18" s="8">
        <f>+'II trimestre'!C18</f>
        <v>74592</v>
      </c>
      <c r="D18" s="8">
        <f>+'II trimestre'!D18</f>
        <v>5690</v>
      </c>
      <c r="E18" s="8">
        <f>+'II trimestre'!E18</f>
        <v>317</v>
      </c>
      <c r="F18" s="8">
        <f>+'II trimestre'!F18</f>
        <v>3440</v>
      </c>
      <c r="G18" s="8">
        <f>+'II trimestre'!G18</f>
        <v>1058</v>
      </c>
    </row>
    <row r="19" spans="1:7" ht="15.6">
      <c r="A19" s="19"/>
      <c r="B19" s="8"/>
      <c r="C19" s="8"/>
      <c r="D19" s="8"/>
      <c r="E19" s="8"/>
    </row>
    <row r="20" spans="1:7" ht="15.6">
      <c r="A20" s="21" t="s">
        <v>5</v>
      </c>
      <c r="B20" s="8"/>
      <c r="C20" s="8"/>
      <c r="D20" s="8"/>
      <c r="E20" s="8"/>
    </row>
    <row r="21" spans="1:7" ht="15.6">
      <c r="A21" s="20" t="s">
        <v>59</v>
      </c>
      <c r="B21" s="8">
        <f>SUM(C21:F21)</f>
        <v>8103841531.9399996</v>
      </c>
      <c r="C21" s="8">
        <f>+'I Trimestre'!C21+'II trimestre'!C21</f>
        <v>4616831647.2699995</v>
      </c>
      <c r="D21" s="8">
        <f>+'I Trimestre'!D21+'II trimestre'!D21</f>
        <v>2416199727.5</v>
      </c>
      <c r="E21" s="8">
        <f>+'I Trimestre'!E21+'II trimestre'!E21</f>
        <v>1061011259.3699999</v>
      </c>
      <c r="F21" s="8">
        <f>+'I Trimestre'!F21+'II trimestre'!F21</f>
        <v>9798897.8000000007</v>
      </c>
      <c r="G21" s="8" t="s">
        <v>36</v>
      </c>
    </row>
    <row r="22" spans="1:7" ht="15.6">
      <c r="A22" s="20" t="s">
        <v>95</v>
      </c>
      <c r="B22" s="8">
        <f>SUM(C22:G22)</f>
        <v>15720595651.410713</v>
      </c>
      <c r="C22" s="8">
        <f>+'I Trimestre'!C22+'II trimestre'!C22</f>
        <v>5502271399.9750004</v>
      </c>
      <c r="D22" s="8">
        <f>+'I Trimestre'!D22+'II trimestre'!D22</f>
        <v>5025309152.6549988</v>
      </c>
      <c r="E22" s="8">
        <f>+'I Trimestre'!E22+'II trimestre'!E22</f>
        <v>1354908599.8000002</v>
      </c>
      <c r="F22" s="8">
        <f>+'I Trimestre'!F22+'II trimestre'!F22</f>
        <v>77519651.635714293</v>
      </c>
      <c r="G22" s="8">
        <f>+'I Trimestre'!G22+'II trimestre'!G22</f>
        <v>3760586847.3449998</v>
      </c>
    </row>
    <row r="23" spans="1:7" ht="15.6">
      <c r="A23" s="20" t="s">
        <v>96</v>
      </c>
      <c r="B23" s="8">
        <f t="shared" ref="B23:B25" si="1">SUM(C23:G23)</f>
        <v>17293236612.18</v>
      </c>
      <c r="C23" s="8">
        <f>+'I Trimestre'!C23+'II trimestre'!C23</f>
        <v>4906248582.1499996</v>
      </c>
      <c r="D23" s="8">
        <f>+'I Trimestre'!D23+'II trimestre'!D23</f>
        <v>4435730183.4300003</v>
      </c>
      <c r="E23" s="8">
        <f>+'I Trimestre'!E23+'II trimestre'!E23</f>
        <v>1164517826.49</v>
      </c>
      <c r="F23" s="8">
        <f>+'I Trimestre'!F23+'II trimestre'!F23</f>
        <v>22705848.149999999</v>
      </c>
      <c r="G23" s="8">
        <f>+'I Trimestre'!G23+'II trimestre'!G23</f>
        <v>6764034171.960001</v>
      </c>
    </row>
    <row r="24" spans="1:7" ht="15.6">
      <c r="A24" s="20" t="s">
        <v>82</v>
      </c>
      <c r="B24" s="8">
        <f t="shared" si="1"/>
        <v>31828789561</v>
      </c>
      <c r="C24" s="8">
        <f>+'II trimestre'!C24</f>
        <v>11004542799.950001</v>
      </c>
      <c r="D24" s="8">
        <f>+'II trimestre'!D24</f>
        <v>10050618305.309998</v>
      </c>
      <c r="E24" s="8">
        <f>+'II trimestre'!E24</f>
        <v>2709817199.6000004</v>
      </c>
      <c r="F24" s="8">
        <f>+'II trimestre'!F24</f>
        <v>542637561.45000005</v>
      </c>
      <c r="G24" s="8">
        <f>+'II trimestre'!G24</f>
        <v>7521173694.6899996</v>
      </c>
    </row>
    <row r="25" spans="1:7" ht="15.6">
      <c r="A25" s="20" t="s">
        <v>97</v>
      </c>
      <c r="B25" s="8">
        <f t="shared" si="1"/>
        <v>17293236612.18</v>
      </c>
      <c r="C25" s="8">
        <f t="shared" ref="C25:E25" si="2">C23</f>
        <v>4906248582.1499996</v>
      </c>
      <c r="D25" s="8">
        <f t="shared" si="2"/>
        <v>4435730183.4300003</v>
      </c>
      <c r="E25" s="8">
        <f t="shared" si="2"/>
        <v>1164517826.49</v>
      </c>
      <c r="F25" s="8">
        <f t="shared" ref="F25:G25" si="3">F23</f>
        <v>22705848.149999999</v>
      </c>
      <c r="G25" s="8">
        <f t="shared" si="3"/>
        <v>6764034171.960001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95</v>
      </c>
      <c r="B28" s="8">
        <f>'I Trimestre'!B28+'II trimestre'!B28</f>
        <v>15720595651.410713</v>
      </c>
      <c r="C28" s="8"/>
      <c r="D28" s="8"/>
      <c r="E28" s="8"/>
    </row>
    <row r="29" spans="1:7" ht="15.6">
      <c r="A29" s="20" t="s">
        <v>96</v>
      </c>
      <c r="B29" s="8">
        <f>'I Trimestre'!B29+'II trimestre'!B29</f>
        <v>15914394780.48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60</v>
      </c>
      <c r="B32" s="29">
        <v>1.121</v>
      </c>
      <c r="C32" s="29">
        <v>1.121</v>
      </c>
      <c r="D32" s="29">
        <v>1.121</v>
      </c>
      <c r="E32" s="29">
        <v>1.121</v>
      </c>
      <c r="F32" s="29">
        <v>1.121</v>
      </c>
      <c r="G32" s="29">
        <v>1.121</v>
      </c>
    </row>
    <row r="33" spans="1:7" ht="15.6">
      <c r="A33" s="20" t="s">
        <v>98</v>
      </c>
      <c r="B33" s="29">
        <v>1.0973999999999999</v>
      </c>
      <c r="C33" s="29">
        <v>1.0973999999999999</v>
      </c>
      <c r="D33" s="29">
        <v>1.0973999999999999</v>
      </c>
      <c r="E33" s="29">
        <v>1.0973999999999999</v>
      </c>
      <c r="F33" s="29">
        <v>1.0973999999999999</v>
      </c>
      <c r="G33" s="29">
        <v>1.0973999999999999</v>
      </c>
    </row>
    <row r="34" spans="1:7" ht="15.6">
      <c r="A34" s="20" t="s">
        <v>8</v>
      </c>
      <c r="B34" s="30" t="s">
        <v>36</v>
      </c>
      <c r="C34" s="30" t="s">
        <v>36</v>
      </c>
      <c r="D34" s="30" t="s">
        <v>36</v>
      </c>
      <c r="E34" s="30" t="s">
        <v>36</v>
      </c>
      <c r="F34" s="30" t="s">
        <v>36</v>
      </c>
      <c r="G34" s="30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61</v>
      </c>
      <c r="B37" s="14">
        <f>B21/B32</f>
        <v>7229118226.5298834</v>
      </c>
      <c r="C37" s="14">
        <f t="shared" ref="C37:D37" si="4">C21/C32</f>
        <v>4118493886.949152</v>
      </c>
      <c r="D37" s="14">
        <f t="shared" si="4"/>
        <v>2155396723.9072256</v>
      </c>
      <c r="E37" s="14">
        <f t="shared" ref="E37:F37" si="5">E21/E32</f>
        <v>946486404.43354142</v>
      </c>
      <c r="F37" s="14">
        <f t="shared" si="5"/>
        <v>8741211.2399643175</v>
      </c>
      <c r="G37" s="8" t="s">
        <v>36</v>
      </c>
    </row>
    <row r="38" spans="1:7" ht="15.6">
      <c r="A38" s="20" t="s">
        <v>99</v>
      </c>
      <c r="B38" s="14">
        <f>B23/B33</f>
        <v>15758371252.214327</v>
      </c>
      <c r="C38" s="14">
        <f t="shared" ref="C38:D38" si="6">C23/C33</f>
        <v>4470793313.4226351</v>
      </c>
      <c r="D38" s="14">
        <f t="shared" si="6"/>
        <v>4042035887.9442325</v>
      </c>
      <c r="E38" s="14">
        <f t="shared" ref="E38:G38" si="7">E23/E33</f>
        <v>1061160767.7145982</v>
      </c>
      <c r="F38" s="14">
        <f t="shared" si="7"/>
        <v>20690585.155822854</v>
      </c>
      <c r="G38" s="14">
        <f t="shared" si="7"/>
        <v>6163690697.9770384</v>
      </c>
    </row>
    <row r="39" spans="1:7" ht="15.6">
      <c r="A39" s="20" t="s">
        <v>62</v>
      </c>
      <c r="B39" s="8">
        <f>B37/B15</f>
        <v>175972.30414376192</v>
      </c>
      <c r="C39" s="8">
        <f t="shared" ref="C39:D39" si="8">C37/C15</f>
        <v>110020.13909678774</v>
      </c>
      <c r="D39" s="8">
        <f t="shared" si="8"/>
        <v>646522.03886633774</v>
      </c>
      <c r="E39" s="8">
        <f t="shared" ref="E39" si="9">E37/E15</f>
        <v>3022308.9018633575</v>
      </c>
      <c r="F39" s="8" t="s">
        <v>36</v>
      </c>
      <c r="G39" s="8" t="s">
        <v>36</v>
      </c>
    </row>
    <row r="40" spans="1:7" ht="15.6">
      <c r="A40" s="20" t="s">
        <v>100</v>
      </c>
      <c r="B40" s="8">
        <f>B38/B17</f>
        <v>382757.25238554133</v>
      </c>
      <c r="C40" s="8">
        <f t="shared" ref="C40:D40" si="10">C38/C17</f>
        <v>130793.78952146262</v>
      </c>
      <c r="D40" s="8">
        <f t="shared" si="10"/>
        <v>751913.41624807462</v>
      </c>
      <c r="E40" s="8">
        <f t="shared" ref="E40:G40" si="11">E38/E17</f>
        <v>3615539.2426391761</v>
      </c>
      <c r="F40" s="8">
        <f t="shared" si="11"/>
        <v>247791.43899189046</v>
      </c>
      <c r="G40" s="8">
        <f t="shared" si="11"/>
        <v>4986804.7718260828</v>
      </c>
    </row>
    <row r="41" spans="1:7" ht="15.6">
      <c r="A41" s="19"/>
      <c r="B41" s="13"/>
      <c r="C41" s="13"/>
      <c r="D41" s="13"/>
      <c r="E41" s="13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>B17/B16*100</f>
        <v>86.129299944910485</v>
      </c>
      <c r="C49" s="10">
        <f t="shared" ref="C49:D49" si="12">C17/C16*100</f>
        <v>91.650579150579148</v>
      </c>
      <c r="D49" s="10">
        <f t="shared" si="12"/>
        <v>94.475688342120662</v>
      </c>
      <c r="E49" s="10">
        <f t="shared" ref="E49:G49" si="13">E17/E16*100</f>
        <v>92.586750788643542</v>
      </c>
      <c r="F49" s="10">
        <f t="shared" si="13"/>
        <v>2.4273255813953489</v>
      </c>
      <c r="G49" s="10">
        <f t="shared" si="13"/>
        <v>116.82419659735351</v>
      </c>
    </row>
    <row r="50" spans="1:7" ht="15.6">
      <c r="A50" s="19" t="s">
        <v>16</v>
      </c>
      <c r="B50" s="10">
        <f>B23/B22*100</f>
        <v>110.00369830533847</v>
      </c>
      <c r="C50" s="10">
        <f t="shared" ref="C50:D50" si="14">C23/C22*100</f>
        <v>89.167695039039543</v>
      </c>
      <c r="D50" s="10">
        <f t="shared" si="14"/>
        <v>88.267806988282331</v>
      </c>
      <c r="E50" s="10">
        <f t="shared" ref="E50:G50" si="15">E23/E22*100</f>
        <v>85.948072560901608</v>
      </c>
      <c r="F50" s="10">
        <f t="shared" si="15"/>
        <v>29.290441418262418</v>
      </c>
      <c r="G50" s="10">
        <f t="shared" si="15"/>
        <v>179.86645293766998</v>
      </c>
    </row>
    <row r="51" spans="1:7" ht="15.6">
      <c r="A51" s="19" t="s">
        <v>17</v>
      </c>
      <c r="B51" s="10">
        <f>AVERAGE(B49:B50)</f>
        <v>98.06649912512448</v>
      </c>
      <c r="C51" s="10">
        <f t="shared" ref="C51:D51" si="16">AVERAGE(C49:C50)</f>
        <v>90.409137094809353</v>
      </c>
      <c r="D51" s="10">
        <f t="shared" si="16"/>
        <v>91.371747665201497</v>
      </c>
      <c r="E51" s="10">
        <f t="shared" ref="E51:G51" si="17">AVERAGE(E49:E50)</f>
        <v>89.267411674772575</v>
      </c>
      <c r="F51" s="10">
        <f t="shared" si="17"/>
        <v>15.858883499828883</v>
      </c>
      <c r="G51" s="10">
        <f t="shared" si="17"/>
        <v>148.34532476751173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B17/(B18)*100</f>
        <v>48.380867323955798</v>
      </c>
      <c r="C54" s="10">
        <f t="shared" ref="C54:D54" si="18">C17/(C18)*100</f>
        <v>45.825289575289574</v>
      </c>
      <c r="D54" s="10">
        <f t="shared" si="18"/>
        <v>94.475688342120662</v>
      </c>
      <c r="E54" s="10">
        <f t="shared" ref="E54:G54" si="19">E17/(E18)*100</f>
        <v>92.586750788643542</v>
      </c>
      <c r="F54" s="10">
        <f t="shared" si="19"/>
        <v>2.4273255813953489</v>
      </c>
      <c r="G54" s="10">
        <f t="shared" si="19"/>
        <v>116.82419659735351</v>
      </c>
    </row>
    <row r="55" spans="1:7" ht="15.6">
      <c r="A55" s="19" t="s">
        <v>20</v>
      </c>
      <c r="B55" s="10">
        <f>B23/B24*100</f>
        <v>54.332058650981509</v>
      </c>
      <c r="C55" s="10">
        <f t="shared" ref="C55:D55" si="20">C23/C24*100</f>
        <v>44.583847519519772</v>
      </c>
      <c r="D55" s="10">
        <f t="shared" si="20"/>
        <v>44.133903494141165</v>
      </c>
      <c r="E55" s="10">
        <f t="shared" ref="E55:G55" si="21">E23/E24*100</f>
        <v>42.974036280450804</v>
      </c>
      <c r="F55" s="10">
        <f t="shared" si="21"/>
        <v>4.1843487740374883</v>
      </c>
      <c r="G55" s="10">
        <f t="shared" si="21"/>
        <v>89.933226468834988</v>
      </c>
    </row>
    <row r="56" spans="1:7" ht="15.6">
      <c r="A56" s="19" t="s">
        <v>21</v>
      </c>
      <c r="B56" s="10">
        <f>(B54+B55)/2</f>
        <v>51.356462987468653</v>
      </c>
      <c r="C56" s="10">
        <f t="shared" ref="C56:D56" si="22">(C54+C55)/2</f>
        <v>45.204568547404676</v>
      </c>
      <c r="D56" s="10">
        <f t="shared" si="22"/>
        <v>69.304795918130907</v>
      </c>
      <c r="E56" s="10">
        <f t="shared" ref="E56:G56" si="23">(E54+E55)/2</f>
        <v>67.780393534547173</v>
      </c>
      <c r="F56" s="10">
        <f t="shared" si="23"/>
        <v>3.3058371777164188</v>
      </c>
      <c r="G56" s="10">
        <f t="shared" si="23"/>
        <v>103.37871153309425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 t="shared" ref="B59" si="24"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0.218267974651698</v>
      </c>
      <c r="C62" s="10">
        <f t="shared" ref="C62:D62" si="25">((C17/C15)-1)*100</f>
        <v>-8.6872896297483635</v>
      </c>
      <c r="D62" s="10">
        <f t="shared" si="25"/>
        <v>61.24581312803079</v>
      </c>
      <c r="E62" s="10">
        <f t="shared" ref="E62" si="26">((E17/E15)-1)*100</f>
        <v>-6.2799361362426698</v>
      </c>
      <c r="F62" s="8" t="s">
        <v>36</v>
      </c>
      <c r="G62" s="8" t="s">
        <v>36</v>
      </c>
    </row>
    <row r="63" spans="1:7" ht="15.6">
      <c r="A63" s="19" t="s">
        <v>25</v>
      </c>
      <c r="B63" s="10">
        <f>((B38/B37)-1)*100</f>
        <v>117.98469409980376</v>
      </c>
      <c r="C63" s="10">
        <f t="shared" ref="C63:D63" si="27">((C38/C37)-1)*100</f>
        <v>8.554083996333306</v>
      </c>
      <c r="D63" s="10">
        <f t="shared" si="27"/>
        <v>87.530946999723341</v>
      </c>
      <c r="E63" s="10">
        <f t="shared" ref="E63:F63" si="28">((E38/E37)-1)*100</f>
        <v>12.115796142860358</v>
      </c>
      <c r="F63" s="10">
        <f t="shared" si="28"/>
        <v>136.70158045405293</v>
      </c>
      <c r="G63" s="8" t="s">
        <v>36</v>
      </c>
    </row>
    <row r="64" spans="1:7" ht="15.6">
      <c r="A64" s="19" t="s">
        <v>26</v>
      </c>
      <c r="B64" s="10">
        <f>((B40/B39)-1)*100</f>
        <v>117.50993956005988</v>
      </c>
      <c r="C64" s="10">
        <f t="shared" ref="C64:D64" si="29">((C40/C39)-1)*100</f>
        <v>18.881679840815082</v>
      </c>
      <c r="D64" s="10">
        <f t="shared" si="29"/>
        <v>16.301281479365869</v>
      </c>
      <c r="E64" s="10">
        <f t="shared" ref="E64" si="30">((E40/E39)-1)*100</f>
        <v>19.628382142211585</v>
      </c>
      <c r="F64" s="8" t="s">
        <v>36</v>
      </c>
      <c r="G64" s="8" t="s">
        <v>36</v>
      </c>
    </row>
    <row r="65" spans="1:7" ht="15.6">
      <c r="A65" s="19"/>
      <c r="B65" s="10"/>
      <c r="C65" s="10"/>
      <c r="D65" s="10"/>
      <c r="E65" s="10"/>
      <c r="F65" s="10"/>
      <c r="G65" s="10"/>
    </row>
    <row r="66" spans="1:7" ht="15.6">
      <c r="A66" s="18" t="s">
        <v>27</v>
      </c>
      <c r="B66" s="10"/>
      <c r="C66" s="10"/>
      <c r="D66" s="10"/>
      <c r="E66" s="10"/>
      <c r="F66" s="10"/>
      <c r="G66" s="10"/>
    </row>
    <row r="67" spans="1:7" ht="15.6">
      <c r="A67" s="19" t="s">
        <v>40</v>
      </c>
      <c r="B67" s="10">
        <f>B22/(B16*6)</f>
        <v>54812.645660867325</v>
      </c>
      <c r="C67" s="10">
        <f>C22/(C16)</f>
        <v>147529.79944162915</v>
      </c>
      <c r="D67" s="10">
        <f t="shared" ref="D67" si="31">D22/(D16*6)</f>
        <v>147197.10464718801</v>
      </c>
      <c r="E67" s="10">
        <f t="shared" ref="E67:G67" si="32">E22/(E16*6)</f>
        <v>712359.93680336501</v>
      </c>
      <c r="F67" s="10">
        <f>F22/(F16*1)</f>
        <v>22534.782452242525</v>
      </c>
      <c r="G67" s="10">
        <f t="shared" si="32"/>
        <v>592404.9854040643</v>
      </c>
    </row>
    <row r="68" spans="1:7" ht="15.6">
      <c r="A68" s="19" t="s">
        <v>41</v>
      </c>
      <c r="B68" s="10">
        <f>B23/(B17*6)</f>
        <v>70006.301461315496</v>
      </c>
      <c r="C68" s="10">
        <f>C23/(C17)</f>
        <v>143533.10462085306</v>
      </c>
      <c r="D68" s="10">
        <f t="shared" ref="D68" si="33">D23/(D17*6)</f>
        <v>137524.96383177282</v>
      </c>
      <c r="E68" s="10">
        <f t="shared" ref="E68:G68" si="34">E23/(E17*6)</f>
        <v>661282.12747870525</v>
      </c>
      <c r="F68" s="10">
        <f>F23/(F17*1)</f>
        <v>271926.32514970057</v>
      </c>
      <c r="G68" s="10">
        <f t="shared" si="34"/>
        <v>912086.59276699042</v>
      </c>
    </row>
    <row r="69" spans="1:7" ht="15.6">
      <c r="A69" s="19" t="s">
        <v>28</v>
      </c>
      <c r="B69" s="10">
        <f>(B68/B67)*B51</f>
        <v>125.24979989992815</v>
      </c>
      <c r="C69" s="10">
        <f t="shared" ref="C69" si="35">(C68/C67)*C51</f>
        <v>87.959884595685452</v>
      </c>
      <c r="D69" s="10">
        <f t="shared" ref="D69" si="36">(D68/D67)*D51</f>
        <v>85.367822437958267</v>
      </c>
      <c r="E69" s="10">
        <f t="shared" ref="E69:G69" si="37">(E68/E67)*E51</f>
        <v>82.866737525562897</v>
      </c>
      <c r="F69" s="10">
        <f t="shared" si="37"/>
        <v>191.36851754504252</v>
      </c>
      <c r="G69" s="10">
        <f t="shared" si="37"/>
        <v>228.39743951146048</v>
      </c>
    </row>
    <row r="70" spans="1:7" ht="15.6">
      <c r="A70" s="19" t="s">
        <v>44</v>
      </c>
      <c r="B70" s="10">
        <f t="shared" ref="B70:B71" si="38">B22/B16</f>
        <v>328875.87396520394</v>
      </c>
      <c r="C70" s="10">
        <f>(C22/C16)*6</f>
        <v>885178.79664977489</v>
      </c>
      <c r="D70" s="10">
        <f t="shared" ref="D70" si="39">D22/D16</f>
        <v>883182.62788312812</v>
      </c>
      <c r="E70" s="10">
        <f t="shared" ref="E70:G70" si="40">E22/E16</f>
        <v>4274159.6208201898</v>
      </c>
      <c r="F70" s="10">
        <f t="shared" si="40"/>
        <v>22534.782452242525</v>
      </c>
      <c r="G70" s="10">
        <f t="shared" si="40"/>
        <v>3554429.9124243855</v>
      </c>
    </row>
    <row r="71" spans="1:7" ht="15.6">
      <c r="A71" s="19" t="s">
        <v>45</v>
      </c>
      <c r="B71" s="10">
        <f t="shared" si="38"/>
        <v>420037.808767893</v>
      </c>
      <c r="C71" s="10">
        <f>(C23/C17)*6</f>
        <v>861198.62772511831</v>
      </c>
      <c r="D71" s="10">
        <f t="shared" ref="D71" si="41">D23/D17</f>
        <v>825149.782990637</v>
      </c>
      <c r="E71" s="10">
        <f t="shared" ref="E71:G71" si="42">E23/E17</f>
        <v>3967692.7648722315</v>
      </c>
      <c r="F71" s="10">
        <f t="shared" si="42"/>
        <v>271926.32514970057</v>
      </c>
      <c r="G71" s="10">
        <f t="shared" si="42"/>
        <v>5472519.5566019425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101.23277217585516</v>
      </c>
      <c r="C74" s="10"/>
      <c r="D74" s="10"/>
      <c r="E74" s="10"/>
    </row>
    <row r="75" spans="1:7" ht="15.6">
      <c r="A75" s="19" t="s">
        <v>31</v>
      </c>
      <c r="B75" s="10">
        <f>(B23/B29)*100</f>
        <v>108.6641173020996</v>
      </c>
      <c r="C75" s="10"/>
      <c r="D75" s="10"/>
      <c r="E75" s="10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2" t="s">
        <v>87</v>
      </c>
      <c r="B77" s="42"/>
      <c r="C77" s="42"/>
      <c r="D77" s="42"/>
      <c r="E77" s="42"/>
    </row>
    <row r="78" spans="1:7" customFormat="1"/>
    <row r="79" spans="1:7" customFormat="1"/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4">
    <mergeCell ref="A9:A10"/>
    <mergeCell ref="B9:B10"/>
    <mergeCell ref="C9:G9"/>
    <mergeCell ref="A77:E77"/>
  </mergeCells>
  <pageMargins left="0.7" right="0.7" top="0.75" bottom="0.75" header="0.3" footer="0.3"/>
  <pageSetup orientation="portrait" horizontalDpi="300" verticalDpi="300" r:id="rId1"/>
  <ignoredErrors>
    <ignoredError sqref="C67:C71 F67:F6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38" t="s">
        <v>0</v>
      </c>
      <c r="B9" s="40" t="s">
        <v>1</v>
      </c>
      <c r="C9" s="43" t="s">
        <v>2</v>
      </c>
      <c r="D9" s="43"/>
      <c r="E9" s="43"/>
      <c r="F9" s="43"/>
      <c r="G9" s="43"/>
    </row>
    <row r="10" spans="1:7" s="27" customFormat="1" ht="63" thickBot="1">
      <c r="A10" s="39"/>
      <c r="B10" s="41"/>
      <c r="C10" s="24" t="s">
        <v>39</v>
      </c>
      <c r="D10" s="24" t="s">
        <v>48</v>
      </c>
      <c r="E10" s="24" t="s">
        <v>53</v>
      </c>
      <c r="F10" s="24" t="s">
        <v>54</v>
      </c>
      <c r="G10" s="24" t="s">
        <v>79</v>
      </c>
    </row>
    <row r="11" spans="1:7" customFormat="1" ht="16.2" thickTop="1">
      <c r="A11" s="19"/>
      <c r="B11" s="19"/>
      <c r="C11" s="19"/>
      <c r="D11" s="19"/>
      <c r="E11" s="19"/>
    </row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63</v>
      </c>
      <c r="B15" s="8">
        <f>+SUM(C15:G15)</f>
        <v>23377.666666666668</v>
      </c>
      <c r="C15" s="25">
        <v>14421</v>
      </c>
      <c r="D15" s="25">
        <v>5404</v>
      </c>
      <c r="E15" s="25">
        <v>320</v>
      </c>
      <c r="F15" s="25">
        <v>1096.6666666666667</v>
      </c>
      <c r="G15" s="25">
        <v>2136</v>
      </c>
    </row>
    <row r="16" spans="1:7" ht="15.6">
      <c r="A16" s="20" t="s">
        <v>101</v>
      </c>
      <c r="B16" s="8">
        <f>+SUM(C16:G16)</f>
        <v>29153.103015178811</v>
      </c>
      <c r="C16" s="25">
        <v>18648</v>
      </c>
      <c r="D16" s="25">
        <v>5690</v>
      </c>
      <c r="E16" s="25">
        <v>317</v>
      </c>
      <c r="F16" s="25">
        <v>3440</v>
      </c>
      <c r="G16" s="25">
        <v>1058.1030151788113</v>
      </c>
    </row>
    <row r="17" spans="1:7" ht="15.6">
      <c r="A17" s="20" t="s">
        <v>102</v>
      </c>
      <c r="B17" s="8">
        <f>+SUM(C17:G17)</f>
        <v>29573.333333333332</v>
      </c>
      <c r="C17" s="25">
        <v>21996</v>
      </c>
      <c r="D17" s="25">
        <v>5473.666666666667</v>
      </c>
      <c r="E17" s="25">
        <v>352.33333333333331</v>
      </c>
      <c r="F17" s="25">
        <v>693.33333333333337</v>
      </c>
      <c r="G17" s="25">
        <v>1058</v>
      </c>
    </row>
    <row r="18" spans="1:7" ht="15.6">
      <c r="A18" s="20" t="s">
        <v>82</v>
      </c>
      <c r="B18" s="8">
        <f>+SUM(C18:G18)</f>
        <v>85097.103015178815</v>
      </c>
      <c r="C18" s="25">
        <v>74592</v>
      </c>
      <c r="D18" s="25">
        <v>5690</v>
      </c>
      <c r="E18" s="25">
        <v>317</v>
      </c>
      <c r="F18" s="25">
        <v>3440</v>
      </c>
      <c r="G18" s="25">
        <v>1058.1030151788113</v>
      </c>
    </row>
    <row r="19" spans="1:7" ht="15.6">
      <c r="A19" s="19"/>
      <c r="B19" s="8"/>
      <c r="C19" s="25"/>
      <c r="D19" s="25"/>
      <c r="E19" s="25"/>
      <c r="F19"/>
      <c r="G19"/>
    </row>
    <row r="20" spans="1:7" ht="15.6">
      <c r="A20" s="21" t="s">
        <v>5</v>
      </c>
      <c r="B20" s="8"/>
      <c r="C20" s="25"/>
      <c r="D20" s="25"/>
      <c r="E20" s="25"/>
      <c r="F20"/>
      <c r="G20"/>
    </row>
    <row r="21" spans="1:7" ht="15.6">
      <c r="A21" s="20" t="s">
        <v>63</v>
      </c>
      <c r="B21" s="8">
        <f>SUM(C21:G21)</f>
        <v>6378857326.0300007</v>
      </c>
      <c r="C21" s="25">
        <v>2156558433.9700003</v>
      </c>
      <c r="D21" s="25">
        <v>1442711931.7000003</v>
      </c>
      <c r="E21" s="25">
        <v>515333408.69999993</v>
      </c>
      <c r="F21" s="25">
        <v>73185967.460000008</v>
      </c>
      <c r="G21" s="25">
        <v>2191067584.1999998</v>
      </c>
    </row>
    <row r="22" spans="1:7" ht="15.6">
      <c r="A22" s="20" t="s">
        <v>101</v>
      </c>
      <c r="B22" s="8">
        <f>SUM(C22:G22)</f>
        <v>6936734383.382143</v>
      </c>
      <c r="C22" s="25">
        <v>2358116314.2750001</v>
      </c>
      <c r="D22" s="25">
        <v>2153703922.5664282</v>
      </c>
      <c r="E22" s="25">
        <v>580675114.20000005</v>
      </c>
      <c r="F22" s="25">
        <v>232558954.90714285</v>
      </c>
      <c r="G22" s="25">
        <v>1611680077.4335713</v>
      </c>
    </row>
    <row r="23" spans="1:7" ht="15.6">
      <c r="A23" s="20" t="s">
        <v>102</v>
      </c>
      <c r="B23" s="8">
        <f>SUM(C23:G23)</f>
        <v>5504438985.8899994</v>
      </c>
      <c r="C23" s="25">
        <v>2172155306.1199999</v>
      </c>
      <c r="D23" s="25">
        <v>2225095962.79</v>
      </c>
      <c r="E23" s="25">
        <v>533287612.91000009</v>
      </c>
      <c r="F23" s="25">
        <v>38626004.040000007</v>
      </c>
      <c r="G23" s="25">
        <v>535274100.03000003</v>
      </c>
    </row>
    <row r="24" spans="1:7" ht="15.6">
      <c r="A24" s="20" t="s">
        <v>82</v>
      </c>
      <c r="B24" s="8">
        <f>SUM(C24:G24)</f>
        <v>31828789561</v>
      </c>
      <c r="C24" s="25">
        <v>11004542799.950001</v>
      </c>
      <c r="D24" s="25">
        <v>10050618305.309998</v>
      </c>
      <c r="E24" s="25">
        <v>2709817199.6000004</v>
      </c>
      <c r="F24" s="25">
        <v>542637561.45000005</v>
      </c>
      <c r="G24" s="25">
        <v>7521173694.6899996</v>
      </c>
    </row>
    <row r="25" spans="1:7" ht="15.6">
      <c r="A25" s="20" t="s">
        <v>103</v>
      </c>
      <c r="B25" s="8">
        <f>SUM(C25:G25)</f>
        <v>5504438985.8899994</v>
      </c>
      <c r="C25" s="8">
        <f>+C23</f>
        <v>2172155306.1199999</v>
      </c>
      <c r="D25" s="8">
        <f t="shared" ref="D25:G25" si="0">+D23</f>
        <v>2225095962.79</v>
      </c>
      <c r="E25" s="8">
        <f t="shared" si="0"/>
        <v>533287612.91000009</v>
      </c>
      <c r="F25" s="8">
        <f t="shared" si="0"/>
        <v>38626004.040000007</v>
      </c>
      <c r="G25" s="8">
        <f t="shared" si="0"/>
        <v>535274100.03000003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101</v>
      </c>
      <c r="B28" s="8">
        <f>B22</f>
        <v>6936734383.382143</v>
      </c>
      <c r="C28" s="8"/>
      <c r="D28" s="8"/>
      <c r="E28" s="8"/>
    </row>
    <row r="29" spans="1:7" ht="15.6">
      <c r="A29" s="20" t="s">
        <v>102</v>
      </c>
      <c r="B29" s="25">
        <v>7957197390.25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64</v>
      </c>
      <c r="B32" s="31">
        <v>1.1197999999999999</v>
      </c>
      <c r="C32" s="31">
        <v>1.1197999999999999</v>
      </c>
      <c r="D32" s="31">
        <v>1.1197999999999999</v>
      </c>
      <c r="E32" s="31">
        <v>1.1197999999999999</v>
      </c>
      <c r="F32" s="31">
        <v>1.1197999999999999</v>
      </c>
      <c r="G32" s="31">
        <v>1.1197999999999999</v>
      </c>
    </row>
    <row r="33" spans="1:7" ht="15.6">
      <c r="A33" s="20" t="s">
        <v>104</v>
      </c>
      <c r="B33" s="31">
        <v>1.0948</v>
      </c>
      <c r="C33" s="31">
        <v>1.0948</v>
      </c>
      <c r="D33" s="31">
        <v>1.0948</v>
      </c>
      <c r="E33" s="31">
        <v>1.0948</v>
      </c>
      <c r="F33" s="31">
        <v>1.0948</v>
      </c>
      <c r="G33" s="31">
        <v>1.0948</v>
      </c>
    </row>
    <row r="34" spans="1:7" ht="15.6">
      <c r="A34" s="20" t="s">
        <v>8</v>
      </c>
      <c r="B34" s="32" t="s">
        <v>36</v>
      </c>
      <c r="C34" s="32" t="s">
        <v>36</v>
      </c>
      <c r="D34" s="32" t="s">
        <v>36</v>
      </c>
      <c r="E34" s="32" t="s">
        <v>36</v>
      </c>
      <c r="F34" s="32" t="s">
        <v>36</v>
      </c>
      <c r="G34" s="32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65</v>
      </c>
      <c r="B37" s="14">
        <f>B21/B32</f>
        <v>5696425545.6599407</v>
      </c>
      <c r="C37" s="14">
        <f t="shared" ref="C37" si="1">C21/C32</f>
        <v>1925842502.2057514</v>
      </c>
      <c r="D37" s="14">
        <f t="shared" ref="D37:G37" si="2">D21/D32</f>
        <v>1288365718.6104665</v>
      </c>
      <c r="E37" s="14">
        <f t="shared" si="2"/>
        <v>460201293.71316302</v>
      </c>
      <c r="F37" s="14">
        <f t="shared" si="2"/>
        <v>65356284.568672992</v>
      </c>
      <c r="G37" s="14">
        <f t="shared" si="2"/>
        <v>1956659746.5618861</v>
      </c>
    </row>
    <row r="38" spans="1:7" ht="15.6">
      <c r="A38" s="20" t="s">
        <v>105</v>
      </c>
      <c r="B38" s="14">
        <f>B23/B33</f>
        <v>5027803238.8472776</v>
      </c>
      <c r="C38" s="14">
        <f t="shared" ref="C38" si="3">C23/C33</f>
        <v>1984065862.3675556</v>
      </c>
      <c r="D38" s="14">
        <f t="shared" ref="D38:G38" si="4">D23/D33</f>
        <v>2032422326.2605042</v>
      </c>
      <c r="E38" s="14">
        <f t="shared" si="4"/>
        <v>487109620.85312396</v>
      </c>
      <c r="F38" s="14">
        <f t="shared" si="4"/>
        <v>35281333.613445386</v>
      </c>
      <c r="G38" s="14">
        <f t="shared" si="4"/>
        <v>488924095.75264889</v>
      </c>
    </row>
    <row r="39" spans="1:7" ht="15.6">
      <c r="A39" s="20" t="s">
        <v>66</v>
      </c>
      <c r="B39" s="8">
        <f t="shared" ref="B39:C39" si="5">B37/B15</f>
        <v>243669.55123807368</v>
      </c>
      <c r="C39" s="8">
        <f t="shared" si="5"/>
        <v>133544.31053364894</v>
      </c>
      <c r="D39" s="8">
        <f t="shared" ref="D39:G39" si="6">D37/D15</f>
        <v>238409.64445049342</v>
      </c>
      <c r="E39" s="8">
        <f t="shared" si="6"/>
        <v>1438129.0428536343</v>
      </c>
      <c r="F39" s="8">
        <f t="shared" si="6"/>
        <v>59595.396263227645</v>
      </c>
      <c r="G39" s="8">
        <f t="shared" si="6"/>
        <v>916039.20719189418</v>
      </c>
    </row>
    <row r="40" spans="1:7" ht="15.6">
      <c r="A40" s="20" t="s">
        <v>106</v>
      </c>
      <c r="B40" s="8">
        <f>B38/B17</f>
        <v>170011.38093487188</v>
      </c>
      <c r="C40" s="8">
        <f t="shared" ref="C40" si="7">C38/C17</f>
        <v>90201.212146188205</v>
      </c>
      <c r="D40" s="8">
        <f t="shared" ref="D40:G40" si="8">D38/D17</f>
        <v>371309.11508321739</v>
      </c>
      <c r="E40" s="8">
        <f t="shared" si="8"/>
        <v>1382524.9409265581</v>
      </c>
      <c r="F40" s="8">
        <f t="shared" si="8"/>
        <v>50886.53886554623</v>
      </c>
      <c r="G40" s="8">
        <f t="shared" si="8"/>
        <v>462121.07349021634</v>
      </c>
    </row>
    <row r="41" spans="1:7" ht="15.6">
      <c r="A41" s="19"/>
      <c r="B41" s="13"/>
      <c r="C41" s="13"/>
      <c r="D41" s="13"/>
      <c r="E41" s="13"/>
      <c r="F41" s="13"/>
      <c r="G41" s="13"/>
    </row>
    <row r="42" spans="1:7" ht="15.6">
      <c r="A42" s="18" t="s">
        <v>10</v>
      </c>
      <c r="B42" s="13"/>
      <c r="C42" s="13"/>
      <c r="D42" s="13"/>
      <c r="E42" s="13"/>
      <c r="F42" s="13"/>
      <c r="G42" s="13"/>
    </row>
    <row r="43" spans="1:7" ht="15.6">
      <c r="A43" s="19"/>
      <c r="B43" s="13"/>
      <c r="C43" s="13"/>
      <c r="D43" s="13"/>
      <c r="E43" s="13"/>
      <c r="F43" s="13"/>
      <c r="G43" s="13"/>
    </row>
    <row r="44" spans="1:7" ht="15.6">
      <c r="A44" s="18" t="s">
        <v>11</v>
      </c>
      <c r="B44" s="13"/>
      <c r="C44" s="13"/>
      <c r="D44" s="13"/>
      <c r="E44" s="13"/>
      <c r="F44" s="13"/>
      <c r="G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>B17/B16*100</f>
        <v>101.44145999805141</v>
      </c>
      <c r="C49" s="10">
        <f t="shared" ref="C49:G49" si="9">C17/C16*100</f>
        <v>117.95366795366795</v>
      </c>
      <c r="D49" s="10">
        <f t="shared" si="9"/>
        <v>96.198008201523137</v>
      </c>
      <c r="E49" s="10">
        <f t="shared" si="9"/>
        <v>111.14616193480546</v>
      </c>
      <c r="F49" s="10">
        <f t="shared" si="9"/>
        <v>20.155038759689923</v>
      </c>
      <c r="G49" s="10">
        <f t="shared" si="9"/>
        <v>99.9902641635707</v>
      </c>
    </row>
    <row r="50" spans="1:7" ht="15.6">
      <c r="A50" s="19" t="s">
        <v>16</v>
      </c>
      <c r="B50" s="10">
        <f>B23/B22*100</f>
        <v>79.352021883331801</v>
      </c>
      <c r="C50" s="10">
        <f t="shared" ref="C50:G50" si="10">C23/C22*100</f>
        <v>92.114001882380691</v>
      </c>
      <c r="D50" s="10">
        <f t="shared" si="10"/>
        <v>103.31484933818101</v>
      </c>
      <c r="E50" s="10">
        <f t="shared" si="10"/>
        <v>91.839240199696519</v>
      </c>
      <c r="F50" s="10">
        <f t="shared" si="10"/>
        <v>16.609123503940225</v>
      </c>
      <c r="G50" s="10">
        <f t="shared" si="10"/>
        <v>33.212180725244608</v>
      </c>
    </row>
    <row r="51" spans="1:7" ht="15.6">
      <c r="A51" s="19" t="s">
        <v>17</v>
      </c>
      <c r="B51" s="10">
        <f>AVERAGE(B49:B50)</f>
        <v>90.396740940691615</v>
      </c>
      <c r="C51" s="10">
        <f t="shared" ref="C51:G51" si="11">AVERAGE(C49:C50)</f>
        <v>105.03383491802433</v>
      </c>
      <c r="D51" s="10">
        <f t="shared" si="11"/>
        <v>99.756428769852079</v>
      </c>
      <c r="E51" s="10">
        <f t="shared" si="11"/>
        <v>101.49270106725099</v>
      </c>
      <c r="F51" s="10">
        <f t="shared" si="11"/>
        <v>18.382081131815074</v>
      </c>
      <c r="G51" s="10">
        <f t="shared" si="11"/>
        <v>66.601222444407654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B17/B18*100</f>
        <v>34.75245605958915</v>
      </c>
      <c r="C54" s="10">
        <f t="shared" ref="C54:G54" si="12">C17/C18*100</f>
        <v>29.488416988416986</v>
      </c>
      <c r="D54" s="10">
        <f t="shared" si="12"/>
        <v>96.198008201523137</v>
      </c>
      <c r="E54" s="10">
        <f t="shared" si="12"/>
        <v>111.14616193480546</v>
      </c>
      <c r="F54" s="10">
        <f t="shared" si="12"/>
        <v>20.155038759689923</v>
      </c>
      <c r="G54" s="10">
        <f t="shared" si="12"/>
        <v>99.9902641635707</v>
      </c>
    </row>
    <row r="55" spans="1:7" ht="15.6">
      <c r="A55" s="19" t="s">
        <v>20</v>
      </c>
      <c r="B55" s="10">
        <f>B23/B24*100</f>
        <v>17.29389983662659</v>
      </c>
      <c r="C55" s="10">
        <f t="shared" ref="C55:G55" si="13">C23/C24*100</f>
        <v>19.738714689081576</v>
      </c>
      <c r="D55" s="10">
        <f t="shared" si="13"/>
        <v>22.138896286753077</v>
      </c>
      <c r="E55" s="10">
        <f t="shared" si="13"/>
        <v>19.679837185649252</v>
      </c>
      <c r="F55" s="10">
        <f t="shared" si="13"/>
        <v>7.1181957874029518</v>
      </c>
      <c r="G55" s="10">
        <f t="shared" si="13"/>
        <v>7.1168958696952735</v>
      </c>
    </row>
    <row r="56" spans="1:7" ht="15.6">
      <c r="A56" s="19" t="s">
        <v>21</v>
      </c>
      <c r="B56" s="10">
        <f>(B54+B55)/2</f>
        <v>26.023177948107872</v>
      </c>
      <c r="C56" s="10">
        <f t="shared" ref="C56:G56" si="14">(C54+C55)/2</f>
        <v>24.613565838749281</v>
      </c>
      <c r="D56" s="10">
        <f t="shared" si="14"/>
        <v>59.168452244138109</v>
      </c>
      <c r="E56" s="10">
        <f t="shared" si="14"/>
        <v>65.412999560227362</v>
      </c>
      <c r="F56" s="10">
        <f t="shared" si="14"/>
        <v>13.636617273546438</v>
      </c>
      <c r="G56" s="10">
        <f t="shared" si="14"/>
        <v>53.553580016632985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 t="shared" ref="B59" si="15"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26.502502388319328</v>
      </c>
      <c r="C62" s="10">
        <f t="shared" ref="C62" si="16">((C17/C15)-1)*100</f>
        <v>52.527563969211563</v>
      </c>
      <c r="D62" s="10">
        <f t="shared" ref="D62:G62" si="17">((D17/D15)-1)*100</f>
        <v>1.2891685171477985</v>
      </c>
      <c r="E62" s="10">
        <f t="shared" si="17"/>
        <v>10.10416666666667</v>
      </c>
      <c r="F62" s="10">
        <f t="shared" si="17"/>
        <v>-36.778115501519757</v>
      </c>
      <c r="G62" s="10">
        <f t="shared" si="17"/>
        <v>-50.468164794007485</v>
      </c>
    </row>
    <row r="63" spans="1:7" ht="15.6">
      <c r="A63" s="19" t="s">
        <v>25</v>
      </c>
      <c r="B63" s="10">
        <f>((B38/B37)-1)*100</f>
        <v>-11.737576510976799</v>
      </c>
      <c r="C63" s="10">
        <f t="shared" ref="C63" si="18">((C38/C37)-1)*100</f>
        <v>3.0232669647241917</v>
      </c>
      <c r="D63" s="10">
        <f t="shared" ref="D63:G63" si="19">((D38/D37)-1)*100</f>
        <v>57.751971889823395</v>
      </c>
      <c r="E63" s="10">
        <f t="shared" si="19"/>
        <v>5.8470776826482718</v>
      </c>
      <c r="F63" s="10">
        <f t="shared" si="19"/>
        <v>-46.016922708674493</v>
      </c>
      <c r="G63" s="10">
        <f t="shared" si="19"/>
        <v>-75.012308777151773</v>
      </c>
    </row>
    <row r="64" spans="1:7" ht="15.6">
      <c r="A64" s="19" t="s">
        <v>26</v>
      </c>
      <c r="B64" s="10">
        <f t="shared" ref="B64" si="20">((B40/B39)-1)*100</f>
        <v>-30.228713406721543</v>
      </c>
      <c r="C64" s="10">
        <f t="shared" ref="C64" si="21">((C40/C39)-1)*100</f>
        <v>-32.455967771490833</v>
      </c>
      <c r="D64" s="10">
        <f t="shared" ref="D64:G64" si="22">((D40/D39)-1)*100</f>
        <v>55.744167120018083</v>
      </c>
      <c r="E64" s="10">
        <f t="shared" si="22"/>
        <v>-3.866419512448116</v>
      </c>
      <c r="F64" s="10">
        <f t="shared" si="22"/>
        <v>-14.613305630547623</v>
      </c>
      <c r="G64" s="10">
        <f t="shared" si="22"/>
        <v>-49.552260442340426</v>
      </c>
    </row>
    <row r="65" spans="1:15" ht="15.6">
      <c r="A65" s="19"/>
      <c r="B65" s="10"/>
      <c r="C65" s="10"/>
      <c r="D65" s="10"/>
      <c r="E65" s="10"/>
    </row>
    <row r="66" spans="1:15" ht="15.6">
      <c r="A66" s="18" t="s">
        <v>27</v>
      </c>
      <c r="B66" s="10"/>
      <c r="C66" s="10"/>
      <c r="D66" s="10"/>
      <c r="E66" s="10"/>
    </row>
    <row r="67" spans="1:15" ht="15.6">
      <c r="A67" s="19" t="s">
        <v>40</v>
      </c>
      <c r="B67" s="10">
        <f>B22/(B16*3)</f>
        <v>79313.848452318256</v>
      </c>
      <c r="C67" s="10">
        <f>C22/(C16)</f>
        <v>126454.11380711068</v>
      </c>
      <c r="D67" s="10">
        <f>D22/(D16*2)</f>
        <v>189253.4202606703</v>
      </c>
      <c r="E67" s="10">
        <f t="shared" ref="E67" si="23">E22/(E16*3)</f>
        <v>610594.23154574132</v>
      </c>
      <c r="F67" s="10">
        <f>F22/(F16*3)</f>
        <v>22534.782452242525</v>
      </c>
      <c r="G67" s="10">
        <f>G22/(G16*2)</f>
        <v>761589.39834473946</v>
      </c>
    </row>
    <row r="68" spans="1:15" ht="15.6">
      <c r="A68" s="19" t="s">
        <v>41</v>
      </c>
      <c r="B68" s="10">
        <f t="shared" ref="B68:E68" si="24">B23/(B17*3)</f>
        <v>62042.819949165911</v>
      </c>
      <c r="C68" s="10">
        <f>C23/(C17)</f>
        <v>98752.287057646841</v>
      </c>
      <c r="D68" s="10">
        <f>D23/(D17*2)</f>
        <v>203254.60959655317</v>
      </c>
      <c r="E68" s="10">
        <f t="shared" si="24"/>
        <v>504529.43510879856</v>
      </c>
      <c r="F68" s="10">
        <f>F23/(F17*3)</f>
        <v>18570.194250000004</v>
      </c>
      <c r="G68" s="10">
        <f>G23/(G17*2)</f>
        <v>252965.07562854444</v>
      </c>
    </row>
    <row r="69" spans="1:15" ht="15.6">
      <c r="A69" s="19" t="s">
        <v>28</v>
      </c>
      <c r="B69" s="10">
        <f>(B68/B67)*B51</f>
        <v>70.712351394049591</v>
      </c>
      <c r="C69" s="10">
        <f t="shared" ref="C69" si="25">(C68/C67)*C51</f>
        <v>82.024468040730341</v>
      </c>
      <c r="D69" s="10">
        <f t="shared" ref="D69:E69" si="26">(D68/D67)*D51</f>
        <v>107.13652602122244</v>
      </c>
      <c r="E69" s="10">
        <f t="shared" si="26"/>
        <v>83.862657869361669</v>
      </c>
      <c r="F69" s="10">
        <f t="shared" ref="F69:G69" si="27">(F68/F67)*F51</f>
        <v>15.148085767435305</v>
      </c>
      <c r="G69" s="10">
        <f t="shared" si="27"/>
        <v>22.121872112742846</v>
      </c>
    </row>
    <row r="70" spans="1:15" ht="15.6">
      <c r="A70" s="19" t="s">
        <v>42</v>
      </c>
      <c r="B70" s="10">
        <f t="shared" ref="B70:E71" si="28">B22/B16</f>
        <v>237941.54535695474</v>
      </c>
      <c r="C70" s="10">
        <f>(C22/C16)*3</f>
        <v>379362.34142133204</v>
      </c>
      <c r="D70" s="10">
        <f t="shared" ref="D70" si="29">D22/D16</f>
        <v>378506.84052134061</v>
      </c>
      <c r="E70" s="10">
        <f t="shared" si="28"/>
        <v>1831782.6946372241</v>
      </c>
      <c r="F70" s="10">
        <f t="shared" ref="F70:G70" si="30">F22/F16</f>
        <v>67604.347356727565</v>
      </c>
      <c r="G70" s="10">
        <f t="shared" si="30"/>
        <v>1523178.7966894789</v>
      </c>
    </row>
    <row r="71" spans="1:15" ht="15.6">
      <c r="A71" s="19" t="s">
        <v>43</v>
      </c>
      <c r="B71" s="10">
        <f t="shared" si="28"/>
        <v>186128.45984749772</v>
      </c>
      <c r="C71" s="10">
        <f>(C23/C17)*3</f>
        <v>296256.86117294052</v>
      </c>
      <c r="D71" s="10">
        <f t="shared" ref="D71" si="31">D23/D17</f>
        <v>406509.21919310634</v>
      </c>
      <c r="E71" s="10">
        <f t="shared" si="28"/>
        <v>1513588.3053263957</v>
      </c>
      <c r="F71" s="10">
        <f t="shared" ref="F71:G71" si="32">F23/F17</f>
        <v>55710.582750000009</v>
      </c>
      <c r="G71" s="10">
        <f t="shared" si="32"/>
        <v>505930.15125708887</v>
      </c>
    </row>
    <row r="72" spans="1:15" ht="15.6">
      <c r="A72" s="19"/>
      <c r="B72" s="10"/>
      <c r="C72" s="10"/>
      <c r="D72" s="10"/>
      <c r="E72" s="10"/>
    </row>
    <row r="73" spans="1:15" ht="15.6">
      <c r="A73" s="18" t="s">
        <v>29</v>
      </c>
      <c r="B73" s="10"/>
      <c r="C73" s="10"/>
      <c r="D73" s="10"/>
      <c r="E73" s="10"/>
    </row>
    <row r="74" spans="1:15" ht="15.6">
      <c r="A74" s="19" t="s">
        <v>30</v>
      </c>
      <c r="B74" s="10">
        <f>(B29/B28)*100</f>
        <v>114.71100016907828</v>
      </c>
      <c r="C74" s="10"/>
      <c r="D74" s="10"/>
      <c r="E74" s="10"/>
    </row>
    <row r="75" spans="1:15" ht="15.6">
      <c r="A75" s="19" t="s">
        <v>31</v>
      </c>
      <c r="B75" s="10">
        <f>(B23/B29)*100</f>
        <v>69.17559934650636</v>
      </c>
      <c r="C75" s="10"/>
      <c r="D75" s="10"/>
      <c r="E75" s="10"/>
    </row>
    <row r="76" spans="1:15" ht="16.2" thickBot="1">
      <c r="A76" s="15"/>
      <c r="B76" s="15"/>
      <c r="C76" s="15"/>
      <c r="D76" s="15"/>
      <c r="E76" s="15"/>
      <c r="F76" s="15"/>
      <c r="G76" s="15"/>
    </row>
    <row r="77" spans="1:15" s="22" customFormat="1" ht="16.5" customHeight="1" thickTop="1">
      <c r="A77" s="42" t="s">
        <v>87</v>
      </c>
      <c r="B77" s="42"/>
      <c r="C77" s="42"/>
      <c r="D77" s="42"/>
      <c r="E77" s="42"/>
    </row>
    <row r="78" spans="1:15" customFormat="1"/>
    <row r="79" spans="1:15" customFormat="1" ht="41.25" customHeight="1">
      <c r="A79" s="45" t="s">
        <v>107</v>
      </c>
      <c r="B79" s="45"/>
      <c r="C79" s="45"/>
      <c r="D79" s="45"/>
      <c r="E79" s="45"/>
      <c r="F79" s="45"/>
      <c r="G79" s="45"/>
      <c r="H79" s="19"/>
      <c r="I79" s="19"/>
      <c r="J79" s="19"/>
      <c r="K79" s="19"/>
      <c r="L79" s="19"/>
      <c r="M79" s="19"/>
      <c r="N79" s="19"/>
      <c r="O79" s="19"/>
    </row>
    <row r="80" spans="1:15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</sheetData>
  <mergeCells count="5">
    <mergeCell ref="A9:A10"/>
    <mergeCell ref="B9:B10"/>
    <mergeCell ref="C9:G9"/>
    <mergeCell ref="A77:E77"/>
    <mergeCell ref="A79:G79"/>
  </mergeCells>
  <pageMargins left="0.7" right="0.7" top="0.75" bottom="0.75" header="0.3" footer="0.3"/>
  <pageSetup paperSize="9" orientation="portrait" r:id="rId1"/>
  <ignoredErrors>
    <ignoredError sqref="C67:C7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38" t="s">
        <v>0</v>
      </c>
      <c r="B9" s="40" t="s">
        <v>1</v>
      </c>
      <c r="C9" s="43" t="s">
        <v>2</v>
      </c>
      <c r="D9" s="43"/>
      <c r="E9" s="43"/>
      <c r="F9" s="43"/>
      <c r="G9" s="43"/>
    </row>
    <row r="10" spans="1:7" s="27" customFormat="1" ht="63" thickBot="1">
      <c r="A10" s="39"/>
      <c r="B10" s="41"/>
      <c r="C10" s="24" t="s">
        <v>39</v>
      </c>
      <c r="D10" s="24" t="s">
        <v>48</v>
      </c>
      <c r="E10" s="24" t="s">
        <v>53</v>
      </c>
      <c r="F10" s="24" t="s">
        <v>54</v>
      </c>
      <c r="G10" s="24" t="s">
        <v>79</v>
      </c>
    </row>
    <row r="11" spans="1:7" customFormat="1" ht="16.2" thickTop="1">
      <c r="A11" s="19"/>
      <c r="B11" s="19"/>
      <c r="C11" s="19"/>
      <c r="D11" s="19"/>
      <c r="E11" s="19"/>
    </row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67</v>
      </c>
      <c r="B15" s="8">
        <f>+SUM(C15:G15)</f>
        <v>58695.888888888891</v>
      </c>
      <c r="C15" s="8">
        <f>(+'I Trimestre'!C15+'II trimestre'!C15+'III Trimestre'!C15)</f>
        <v>51855</v>
      </c>
      <c r="D15" s="8">
        <f>(+'I Trimestre'!D15+'II trimestre'!D15+'III Trimestre'!D15)/3</f>
        <v>4023.8888888888887</v>
      </c>
      <c r="E15" s="8">
        <f>(+'I Trimestre'!E15+'II trimestre'!E15+'III Trimestre'!E15)/3</f>
        <v>315.4444444444444</v>
      </c>
      <c r="F15" s="8">
        <f>(+'I Trimestre'!F15+'II trimestre'!F15+'III Trimestre'!F15)/3</f>
        <v>365.5555555555556</v>
      </c>
      <c r="G15" s="8">
        <f>+'III Trimestre'!G15</f>
        <v>2136</v>
      </c>
    </row>
    <row r="16" spans="1:7" ht="15.6">
      <c r="A16" s="20" t="s">
        <v>108</v>
      </c>
      <c r="B16" s="8">
        <f>+SUM(C16:G16)</f>
        <v>66449.103015178815</v>
      </c>
      <c r="C16" s="8">
        <f>(+'I Trimestre'!C16+'II trimestre'!C16+'III Trimestre'!C16)</f>
        <v>55944</v>
      </c>
      <c r="D16" s="8">
        <f>(+'I Trimestre'!D16+'II trimestre'!D16+'III Trimestre'!D16)/3</f>
        <v>5690</v>
      </c>
      <c r="E16" s="8">
        <f>(+'II trimestre'!E16+'III Trimestre'!E16)/2</f>
        <v>317</v>
      </c>
      <c r="F16" s="8">
        <f>(+'II trimestre'!F16+'III Trimestre'!F16)/2</f>
        <v>3440</v>
      </c>
      <c r="G16" s="8">
        <f>+'III Trimestre'!G16</f>
        <v>1058.1030151788113</v>
      </c>
    </row>
    <row r="17" spans="1:7" ht="15.6">
      <c r="A17" s="20" t="s">
        <v>109</v>
      </c>
      <c r="B17" s="8">
        <f>+SUM(C17:G17)</f>
        <v>63506.277777777774</v>
      </c>
      <c r="C17" s="8">
        <f>(+'I Trimestre'!C17+'II trimestre'!C17+'III Trimestre'!C17)</f>
        <v>56178</v>
      </c>
      <c r="D17" s="8">
        <f>(+'I Trimestre'!D17+'II trimestre'!D17+'III Trimestre'!D17)/3</f>
        <v>5408.333333333333</v>
      </c>
      <c r="E17" s="8">
        <f>(+'I Trimestre'!E17+'II trimestre'!E17+'III Trimestre'!E17)/3</f>
        <v>313.11111111111109</v>
      </c>
      <c r="F17" s="8">
        <f>(+'I Trimestre'!F17+'II trimestre'!F17+'III Trimestre'!F17)/2</f>
        <v>430.16666666666669</v>
      </c>
      <c r="G17" s="8">
        <f>(+'I Trimestre'!G17+'II trimestre'!G17+'III Trimestre'!G17)/3</f>
        <v>1176.6666666666667</v>
      </c>
    </row>
    <row r="18" spans="1:7" ht="15.6">
      <c r="A18" s="20" t="s">
        <v>82</v>
      </c>
      <c r="B18" s="8">
        <f>+SUM(C18:G18)</f>
        <v>85097.103015178815</v>
      </c>
      <c r="C18" s="8">
        <f>+'III Trimestre'!C18</f>
        <v>74592</v>
      </c>
      <c r="D18" s="8">
        <f>+'III Trimestre'!D18</f>
        <v>5690</v>
      </c>
      <c r="E18" s="8">
        <f>+'III Trimestre'!E18</f>
        <v>317</v>
      </c>
      <c r="F18" s="8">
        <f>+'III Trimestre'!F18</f>
        <v>3440</v>
      </c>
      <c r="G18" s="8">
        <f>+'III Trimestre'!G18</f>
        <v>1058.1030151788113</v>
      </c>
    </row>
    <row r="19" spans="1:7" ht="15.6">
      <c r="A19" s="19"/>
      <c r="B19" s="8"/>
      <c r="C19" s="8"/>
      <c r="D19" s="8"/>
      <c r="E19" s="8"/>
    </row>
    <row r="20" spans="1:7" ht="15.6">
      <c r="A20" s="21" t="s">
        <v>5</v>
      </c>
      <c r="B20" s="8"/>
      <c r="C20" s="8"/>
      <c r="D20" s="8"/>
      <c r="E20" s="8"/>
    </row>
    <row r="21" spans="1:7" ht="15.6">
      <c r="A21" s="20" t="s">
        <v>67</v>
      </c>
      <c r="B21" s="8">
        <f>SUM(C21:G21)</f>
        <v>14482698857.970001</v>
      </c>
      <c r="C21" s="8">
        <f>+'I Trimestre'!C21+'II trimestre'!C21+'III Trimestre'!C21</f>
        <v>6773390081.2399998</v>
      </c>
      <c r="D21" s="8">
        <f>+'I Trimestre'!D21+'II trimestre'!D21+'III Trimestre'!D21</f>
        <v>3858911659.2000003</v>
      </c>
      <c r="E21" s="8">
        <f>+'I Trimestre'!E21+'II trimestre'!E21+'III Trimestre'!E21</f>
        <v>1576344668.0699997</v>
      </c>
      <c r="F21" s="8">
        <f>+'I Trimestre'!F21+'II trimestre'!F21+'III Trimestre'!F21</f>
        <v>82984865.260000005</v>
      </c>
      <c r="G21" s="8">
        <f>+'III Trimestre'!G21</f>
        <v>2191067584.1999998</v>
      </c>
    </row>
    <row r="22" spans="1:7" ht="15.6">
      <c r="A22" s="20" t="s">
        <v>108</v>
      </c>
      <c r="B22" s="8">
        <f>SUM(C22:G22)</f>
        <v>22657330034.792858</v>
      </c>
      <c r="C22" s="8">
        <f>+'I Trimestre'!C22+'II trimestre'!C22+'III Trimestre'!C22</f>
        <v>7860387714.25</v>
      </c>
      <c r="D22" s="8">
        <f>+'I Trimestre'!D22+'II trimestre'!D22+'III Trimestre'!D22</f>
        <v>7179013075.221427</v>
      </c>
      <c r="E22" s="8">
        <f>+'I Trimestre'!E22+'II trimestre'!E22+'III Trimestre'!E22</f>
        <v>1935583714.0000002</v>
      </c>
      <c r="F22" s="8">
        <f>+'I Trimestre'!F22+'II trimestre'!F22+'III Trimestre'!F22</f>
        <v>310078606.54285717</v>
      </c>
      <c r="G22" s="8">
        <f>+'I Trimestre'!G22+'II trimestre'!G22+'III Trimestre'!G22</f>
        <v>5372266924.7785711</v>
      </c>
    </row>
    <row r="23" spans="1:7" ht="15.6">
      <c r="A23" s="20" t="s">
        <v>109</v>
      </c>
      <c r="B23" s="8">
        <f>SUM(C23:G23)</f>
        <v>22797675598.07</v>
      </c>
      <c r="C23" s="8">
        <f>+'I Trimestre'!C23+'II trimestre'!C23+'III Trimestre'!C23</f>
        <v>7078403888.2699995</v>
      </c>
      <c r="D23" s="8">
        <f>+'I Trimestre'!D23+'II trimestre'!D23+'III Trimestre'!D23</f>
        <v>6660826146.2200003</v>
      </c>
      <c r="E23" s="8">
        <f>+'I Trimestre'!E23+'II trimestre'!E23+'III Trimestre'!E23</f>
        <v>1697805439.4000001</v>
      </c>
      <c r="F23" s="8">
        <f>+'I Trimestre'!F23+'II trimestre'!F23+'III Trimestre'!F23</f>
        <v>61331852.190000005</v>
      </c>
      <c r="G23" s="8">
        <f>+'I Trimestre'!G23+'II trimestre'!G23+'III Trimestre'!G23</f>
        <v>7299308271.9900007</v>
      </c>
    </row>
    <row r="24" spans="1:7" ht="15.6">
      <c r="A24" s="20" t="s">
        <v>82</v>
      </c>
      <c r="B24" s="8">
        <f>SUM(C24:G24)</f>
        <v>31828789561</v>
      </c>
      <c r="C24" s="8">
        <f>+'III Trimestre'!C24</f>
        <v>11004542799.950001</v>
      </c>
      <c r="D24" s="8">
        <f>+'III Trimestre'!D24</f>
        <v>10050618305.309998</v>
      </c>
      <c r="E24" s="8">
        <f>+'III Trimestre'!E24</f>
        <v>2709817199.6000004</v>
      </c>
      <c r="F24" s="8">
        <f>+'III Trimestre'!F24</f>
        <v>542637561.45000005</v>
      </c>
      <c r="G24" s="8">
        <f>+'III Trimestre'!G24</f>
        <v>7521173694.6899996</v>
      </c>
    </row>
    <row r="25" spans="1:7" ht="15.6">
      <c r="A25" s="20" t="s">
        <v>110</v>
      </c>
      <c r="B25" s="8">
        <f>SUM(C25:G25)</f>
        <v>22797675598.07</v>
      </c>
      <c r="C25" s="8">
        <f t="shared" ref="C25" si="0">C23</f>
        <v>7078403888.2699995</v>
      </c>
      <c r="D25" s="8">
        <f t="shared" ref="D25:F25" si="1">D23</f>
        <v>6660826146.2200003</v>
      </c>
      <c r="E25" s="8">
        <f t="shared" si="1"/>
        <v>1697805439.4000001</v>
      </c>
      <c r="F25" s="8">
        <f t="shared" si="1"/>
        <v>61331852.190000005</v>
      </c>
      <c r="G25" s="8">
        <f t="shared" ref="G25" si="2">G23</f>
        <v>7299308271.9900007</v>
      </c>
    </row>
    <row r="26" spans="1:7" ht="15.6">
      <c r="A26" s="19"/>
      <c r="B26" s="8"/>
      <c r="C26" s="8"/>
      <c r="D26" s="8"/>
      <c r="E26" s="8"/>
    </row>
    <row r="27" spans="1:7" ht="15.6">
      <c r="A27" s="18" t="s">
        <v>6</v>
      </c>
      <c r="B27" s="8"/>
      <c r="C27" s="8"/>
      <c r="D27" s="8"/>
      <c r="E27" s="8"/>
    </row>
    <row r="28" spans="1:7" ht="15.6">
      <c r="A28" s="20" t="s">
        <v>108</v>
      </c>
      <c r="B28" s="8">
        <f>'I Trimestre'!B28+'II trimestre'!B28+'III Trimestre'!B28</f>
        <v>22657330034.792854</v>
      </c>
      <c r="C28" s="8"/>
      <c r="D28" s="8"/>
      <c r="E28" s="8"/>
    </row>
    <row r="29" spans="1:7" ht="15.6">
      <c r="A29" s="20" t="s">
        <v>109</v>
      </c>
      <c r="B29" s="8">
        <f>'I Trimestre'!B29+'II trimestre'!B29+'III Trimestre'!B29</f>
        <v>23871592170.73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68</v>
      </c>
      <c r="B32" s="31">
        <v>1.1197999999999999</v>
      </c>
      <c r="C32" s="31">
        <v>1.0863</v>
      </c>
      <c r="D32" s="31">
        <v>1.0863</v>
      </c>
      <c r="E32" s="31">
        <v>1.0863</v>
      </c>
      <c r="F32" s="31">
        <v>1.0863</v>
      </c>
      <c r="G32" s="31">
        <v>1.0863</v>
      </c>
    </row>
    <row r="33" spans="1:7" ht="15.6">
      <c r="A33" s="20" t="s">
        <v>111</v>
      </c>
      <c r="B33" s="31">
        <v>1.0948</v>
      </c>
      <c r="C33" s="31">
        <v>1.1197999999999999</v>
      </c>
      <c r="D33" s="31">
        <v>1.1197999999999999</v>
      </c>
      <c r="E33" s="31">
        <v>1.1197999999999999</v>
      </c>
      <c r="F33" s="31">
        <v>1.1197999999999999</v>
      </c>
      <c r="G33" s="31">
        <v>1.1197999999999999</v>
      </c>
    </row>
    <row r="34" spans="1:7" ht="15.6">
      <c r="A34" s="20" t="s">
        <v>8</v>
      </c>
      <c r="B34" s="32" t="s">
        <v>36</v>
      </c>
      <c r="C34" s="32" t="s">
        <v>36</v>
      </c>
      <c r="D34" s="32" t="s">
        <v>36</v>
      </c>
      <c r="E34" s="32" t="s">
        <v>36</v>
      </c>
      <c r="F34" s="32" t="s">
        <v>36</v>
      </c>
      <c r="G34" s="32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69</v>
      </c>
      <c r="B37" s="14">
        <f>B21/B32</f>
        <v>12933290639.373104</v>
      </c>
      <c r="C37" s="14">
        <f t="shared" ref="C37:D37" si="3">C21/C32</f>
        <v>6235284986.8728704</v>
      </c>
      <c r="D37" s="14">
        <f t="shared" si="3"/>
        <v>3552344342.4468379</v>
      </c>
      <c r="E37" s="14">
        <f t="shared" ref="E37:G37" si="4">E21/E32</f>
        <v>1451113567.2189999</v>
      </c>
      <c r="F37" s="14">
        <f t="shared" si="4"/>
        <v>76392216.938230693</v>
      </c>
      <c r="G37" s="14">
        <f t="shared" si="4"/>
        <v>2017000445.7332227</v>
      </c>
    </row>
    <row r="38" spans="1:7" ht="15.6">
      <c r="A38" s="20" t="s">
        <v>112</v>
      </c>
      <c r="B38" s="14">
        <f>B23/B33</f>
        <v>20823598463.710266</v>
      </c>
      <c r="C38" s="14">
        <f t="shared" ref="C38:D38" si="5">C23/C33</f>
        <v>6321132245.2848721</v>
      </c>
      <c r="D38" s="14">
        <f t="shared" si="5"/>
        <v>5948228385.6224337</v>
      </c>
      <c r="E38" s="14">
        <f t="shared" ref="E38:G38" si="6">E23/E33</f>
        <v>1516168458.1175213</v>
      </c>
      <c r="F38" s="14">
        <f t="shared" si="6"/>
        <v>54770362.734416872</v>
      </c>
      <c r="G38" s="14">
        <f t="shared" si="6"/>
        <v>6518403529.1927137</v>
      </c>
    </row>
    <row r="39" spans="1:7" ht="15.6">
      <c r="A39" s="20" t="s">
        <v>70</v>
      </c>
      <c r="B39" s="8">
        <f>B37/B15</f>
        <v>220344.06300338646</v>
      </c>
      <c r="C39" s="8">
        <f t="shared" ref="C39:D39" si="7">C37/C15</f>
        <v>120244.62418036583</v>
      </c>
      <c r="D39" s="8">
        <f t="shared" si="7"/>
        <v>882813.72586004541</v>
      </c>
      <c r="E39" s="8">
        <f t="shared" ref="E39:G39" si="8">E37/E15</f>
        <v>4600219.1282039452</v>
      </c>
      <c r="F39" s="8">
        <f t="shared" si="8"/>
        <v>208975.6694358894</v>
      </c>
      <c r="G39" s="8">
        <f t="shared" si="8"/>
        <v>944288.59818971099</v>
      </c>
    </row>
    <row r="40" spans="1:7" ht="15.6">
      <c r="A40" s="20" t="s">
        <v>113</v>
      </c>
      <c r="B40" s="8">
        <f>B38/B17</f>
        <v>327898.26757878251</v>
      </c>
      <c r="C40" s="8">
        <f t="shared" ref="C40:D40" si="9">C38/C17</f>
        <v>112519.70958889373</v>
      </c>
      <c r="D40" s="8">
        <f t="shared" si="9"/>
        <v>1099826.5119794947</v>
      </c>
      <c r="E40" s="8">
        <f t="shared" ref="E40:G40" si="10">E38/E17</f>
        <v>4842269.7384874709</v>
      </c>
      <c r="F40" s="8">
        <f t="shared" si="10"/>
        <v>127323.58636439411</v>
      </c>
      <c r="G40" s="8">
        <f t="shared" si="10"/>
        <v>5539719.7131949402</v>
      </c>
    </row>
    <row r="41" spans="1:7" ht="15.6">
      <c r="A41" s="19"/>
      <c r="B41" s="13"/>
      <c r="C41" s="13"/>
      <c r="D41" s="13"/>
      <c r="E41" s="13"/>
      <c r="F41" s="13"/>
      <c r="G41" s="13"/>
    </row>
    <row r="42" spans="1:7" ht="15.6">
      <c r="A42" s="18" t="s">
        <v>10</v>
      </c>
      <c r="B42" s="13"/>
      <c r="C42" s="13"/>
      <c r="D42" s="13"/>
      <c r="E42" s="13"/>
      <c r="F42" s="13"/>
      <c r="G42" s="13"/>
    </row>
    <row r="43" spans="1:7" ht="15.6">
      <c r="A43" s="19"/>
      <c r="B43" s="13"/>
      <c r="C43" s="13"/>
      <c r="D43" s="13"/>
      <c r="E43" s="13"/>
      <c r="F43" s="13"/>
      <c r="G43" s="13"/>
    </row>
    <row r="44" spans="1:7" ht="15.6">
      <c r="A44" s="18" t="s">
        <v>11</v>
      </c>
      <c r="B44" s="13"/>
      <c r="C44" s="13"/>
      <c r="D44" s="13"/>
      <c r="E44" s="13"/>
      <c r="F44" s="13"/>
      <c r="G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 t="shared" ref="B49" si="11">B17/B16*100</f>
        <v>95.571309312138027</v>
      </c>
      <c r="C49" s="10">
        <f t="shared" ref="C49:G49" si="12">C17/C16*100</f>
        <v>100.41827541827541</v>
      </c>
      <c r="D49" s="10">
        <f t="shared" si="12"/>
        <v>95.049794961921492</v>
      </c>
      <c r="E49" s="10">
        <f t="shared" si="12"/>
        <v>98.773221170697497</v>
      </c>
      <c r="F49" s="10">
        <f t="shared" si="12"/>
        <v>12.504844961240311</v>
      </c>
      <c r="G49" s="10">
        <f t="shared" si="12"/>
        <v>111.20530324429888</v>
      </c>
    </row>
    <row r="50" spans="1:7" ht="15.6">
      <c r="A50" s="19" t="s">
        <v>16</v>
      </c>
      <c r="B50" s="10">
        <f t="shared" ref="B50" si="13">B23/B22*100</f>
        <v>100.61942675090853</v>
      </c>
      <c r="C50" s="10">
        <f t="shared" ref="C50:G50" si="14">C23/C22*100</f>
        <v>90.051587092041885</v>
      </c>
      <c r="D50" s="10">
        <f t="shared" si="14"/>
        <v>92.781919693251936</v>
      </c>
      <c r="E50" s="10">
        <f t="shared" si="14"/>
        <v>87.715422852540073</v>
      </c>
      <c r="F50" s="10">
        <f t="shared" si="14"/>
        <v>19.77945298252077</v>
      </c>
      <c r="G50" s="10">
        <f t="shared" si="14"/>
        <v>135.87017127394236</v>
      </c>
    </row>
    <row r="51" spans="1:7" ht="15.6">
      <c r="A51" s="19" t="s">
        <v>17</v>
      </c>
      <c r="B51" s="10">
        <f t="shared" ref="B51" si="15">AVERAGE(B49:B50)</f>
        <v>98.095368031523279</v>
      </c>
      <c r="C51" s="10">
        <f t="shared" ref="C51:G51" si="16">AVERAGE(C49:C50)</f>
        <v>95.234931255158642</v>
      </c>
      <c r="D51" s="10">
        <f t="shared" si="16"/>
        <v>93.915857327586707</v>
      </c>
      <c r="E51" s="10">
        <f t="shared" si="16"/>
        <v>93.244322011618777</v>
      </c>
      <c r="F51" s="10">
        <f t="shared" si="16"/>
        <v>16.142148971880541</v>
      </c>
      <c r="G51" s="10">
        <f t="shared" si="16"/>
        <v>123.53773725912062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B17/(B18)*100</f>
        <v>74.628013795546153</v>
      </c>
      <c r="C54" s="10">
        <f t="shared" ref="C54:G54" si="17">C17/(C18)*100</f>
        <v>75.31370656370656</v>
      </c>
      <c r="D54" s="10">
        <f t="shared" si="17"/>
        <v>95.049794961921492</v>
      </c>
      <c r="E54" s="10">
        <f t="shared" si="17"/>
        <v>98.773221170697497</v>
      </c>
      <c r="F54" s="10">
        <f t="shared" si="17"/>
        <v>12.504844961240311</v>
      </c>
      <c r="G54" s="10">
        <f t="shared" si="17"/>
        <v>111.20530324429888</v>
      </c>
    </row>
    <row r="55" spans="1:7" ht="15.6">
      <c r="A55" s="19" t="s">
        <v>20</v>
      </c>
      <c r="B55" s="10">
        <f>B23/B24*100</f>
        <v>71.625958487608102</v>
      </c>
      <c r="C55" s="10">
        <f t="shared" ref="C55:G55" si="18">C23/C24*100</f>
        <v>64.32256220860134</v>
      </c>
      <c r="D55" s="10">
        <f t="shared" si="18"/>
        <v>66.272799780894246</v>
      </c>
      <c r="E55" s="10">
        <f t="shared" si="18"/>
        <v>62.653873466100052</v>
      </c>
      <c r="F55" s="10">
        <f t="shared" si="18"/>
        <v>11.30254456144044</v>
      </c>
      <c r="G55" s="10">
        <f t="shared" si="18"/>
        <v>97.050122338530258</v>
      </c>
    </row>
    <row r="56" spans="1:7" ht="15.6">
      <c r="A56" s="19" t="s">
        <v>21</v>
      </c>
      <c r="B56" s="10">
        <f>(B54+B55)/2</f>
        <v>73.126986141577135</v>
      </c>
      <c r="C56" s="10">
        <f t="shared" ref="C56:G56" si="19">(C54+C55)/2</f>
        <v>69.818134386153957</v>
      </c>
      <c r="D56" s="10">
        <f t="shared" si="19"/>
        <v>80.661297371407869</v>
      </c>
      <c r="E56" s="10">
        <f t="shared" si="19"/>
        <v>80.713547318398781</v>
      </c>
      <c r="F56" s="10">
        <f t="shared" si="19"/>
        <v>11.903694761340375</v>
      </c>
      <c r="G56" s="10">
        <f t="shared" si="19"/>
        <v>104.12771279141457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8.1954443146690092</v>
      </c>
      <c r="C62" s="10">
        <f t="shared" ref="C62:D62" si="20">((C17/C15)-1)*100</f>
        <v>8.3367081284350562</v>
      </c>
      <c r="D62" s="10">
        <f t="shared" si="20"/>
        <v>34.405633024989648</v>
      </c>
      <c r="E62" s="10">
        <f t="shared" ref="E62:G62" si="21">((E17/E15)-1)*100</f>
        <v>-0.73969707643536386</v>
      </c>
      <c r="F62" s="10">
        <f t="shared" si="21"/>
        <v>17.674772036474163</v>
      </c>
      <c r="G62" s="10">
        <f t="shared" si="21"/>
        <v>-44.912609238451928</v>
      </c>
    </row>
    <row r="63" spans="1:7" ht="15.6">
      <c r="A63" s="19" t="s">
        <v>25</v>
      </c>
      <c r="B63" s="10">
        <f>((B38/B37)-1)*100</f>
        <v>61.007736115637279</v>
      </c>
      <c r="C63" s="10">
        <f t="shared" ref="C63:D63" si="22">((C38/C37)-1)*100</f>
        <v>1.3767976699178286</v>
      </c>
      <c r="D63" s="10">
        <f t="shared" si="22"/>
        <v>67.445152052048044</v>
      </c>
      <c r="E63" s="10">
        <f t="shared" ref="E63:G63" si="23">((E38/E37)-1)*100</f>
        <v>4.483101279467494</v>
      </c>
      <c r="F63" s="10">
        <f t="shared" si="23"/>
        <v>-28.303739661459026</v>
      </c>
      <c r="G63" s="10">
        <f t="shared" si="23"/>
        <v>223.17313280628127</v>
      </c>
    </row>
    <row r="64" spans="1:7" ht="15.6">
      <c r="A64" s="19" t="s">
        <v>26</v>
      </c>
      <c r="B64" s="10">
        <f>((B40/B39)-1)*100</f>
        <v>48.811936709065343</v>
      </c>
      <c r="C64" s="10">
        <f t="shared" ref="C64:D64" si="24">((C40/C39)-1)*100</f>
        <v>-6.424332600420291</v>
      </c>
      <c r="D64" s="10">
        <f t="shared" si="24"/>
        <v>24.581945178529409</v>
      </c>
      <c r="E64" s="10">
        <f t="shared" ref="E64:G64" si="25">((E40/E39)-1)*100</f>
        <v>5.2617191385408768</v>
      </c>
      <c r="F64" s="10">
        <f t="shared" si="25"/>
        <v>-39.072530927599168</v>
      </c>
      <c r="G64" s="10">
        <f t="shared" si="25"/>
        <v>486.65536402907941</v>
      </c>
    </row>
    <row r="65" spans="1:7" ht="15.6">
      <c r="A65" s="19"/>
      <c r="B65" s="10"/>
      <c r="C65" s="10"/>
      <c r="D65" s="10"/>
      <c r="E65" s="10"/>
    </row>
    <row r="66" spans="1:7" ht="15.6">
      <c r="A66" s="18" t="s">
        <v>27</v>
      </c>
      <c r="B66" s="10"/>
      <c r="C66" s="10"/>
      <c r="D66" s="10"/>
      <c r="E66" s="10"/>
    </row>
    <row r="67" spans="1:7" ht="15.6">
      <c r="A67" s="19" t="s">
        <v>40</v>
      </c>
      <c r="B67" s="10">
        <f>B22/(B16*9)</f>
        <v>37885.855500591511</v>
      </c>
      <c r="C67" s="10">
        <f>C22/C16</f>
        <v>140504.57089678964</v>
      </c>
      <c r="D67" s="10">
        <f t="shared" ref="D67:E67" si="26">D22/(D16*9)</f>
        <v>140187.71871160762</v>
      </c>
      <c r="E67" s="10">
        <f t="shared" si="26"/>
        <v>678438.03505082382</v>
      </c>
      <c r="F67" s="10">
        <f>F22/(F16*4)</f>
        <v>22534.782452242525</v>
      </c>
      <c r="G67" s="10">
        <f>G22/(G16*9)</f>
        <v>564140.29507017741</v>
      </c>
    </row>
    <row r="68" spans="1:7" ht="15.6">
      <c r="A68" s="19" t="s">
        <v>41</v>
      </c>
      <c r="B68" s="10">
        <f>B23/(B17*9)</f>
        <v>39887.00259391679</v>
      </c>
      <c r="C68" s="10">
        <f>C23/C17</f>
        <v>125999.5707976432</v>
      </c>
      <c r="D68" s="10">
        <f t="shared" ref="D68:E68" si="27">D23/(D17*9)</f>
        <v>136842.85867940422</v>
      </c>
      <c r="E68" s="10">
        <f t="shared" si="27"/>
        <v>602485.96146202984</v>
      </c>
      <c r="F68" s="10">
        <f>F23/(F17*4)</f>
        <v>35644.238002712125</v>
      </c>
      <c r="G68" s="10">
        <f>G23/(G17*9)</f>
        <v>689264.23720396613</v>
      </c>
    </row>
    <row r="69" spans="1:7" ht="15.6">
      <c r="A69" s="19" t="s">
        <v>28</v>
      </c>
      <c r="B69" s="10">
        <f>(B68/B67)*B51</f>
        <v>103.27680733152512</v>
      </c>
      <c r="C69" s="10">
        <f t="shared" ref="C69:D69" si="28">(C68/C67)*C51</f>
        <v>85.403345859171765</v>
      </c>
      <c r="D69" s="10">
        <f t="shared" si="28"/>
        <v>91.675037657702518</v>
      </c>
      <c r="E69" s="10">
        <f t="shared" ref="E69:G69" si="29">(E68/E67)*E51</f>
        <v>82.805491578662384</v>
      </c>
      <c r="F69" s="10">
        <f t="shared" si="29"/>
        <v>25.532733721673317</v>
      </c>
      <c r="G69" s="10">
        <f t="shared" si="29"/>
        <v>150.93788722753678</v>
      </c>
    </row>
    <row r="70" spans="1:7" ht="15.6">
      <c r="A70" s="19" t="s">
        <v>46</v>
      </c>
      <c r="B70" s="10">
        <f t="shared" ref="B70:B71" si="30">B22/B16</f>
        <v>340972.6995053236</v>
      </c>
      <c r="C70" s="10">
        <f>(C22/C16)*9</f>
        <v>1264541.1380711067</v>
      </c>
      <c r="D70" s="10">
        <f t="shared" ref="D70" si="31">D22/D16</f>
        <v>1261689.4684044686</v>
      </c>
      <c r="E70" s="10">
        <f t="shared" ref="E70:G70" si="32">E22/E16</f>
        <v>6105942.3154574139</v>
      </c>
      <c r="F70" s="10">
        <f t="shared" si="32"/>
        <v>90139.129808970101</v>
      </c>
      <c r="G70" s="10">
        <f t="shared" si="32"/>
        <v>5077262.6556315962</v>
      </c>
    </row>
    <row r="71" spans="1:7" ht="15.6">
      <c r="A71" s="19" t="s">
        <v>47</v>
      </c>
      <c r="B71" s="10">
        <f t="shared" si="30"/>
        <v>358983.0233452511</v>
      </c>
      <c r="C71" s="10">
        <f>(C23/C17)*9</f>
        <v>1133996.1371787889</v>
      </c>
      <c r="D71" s="10">
        <f t="shared" ref="D71" si="33">D23/D17</f>
        <v>1231585.728114638</v>
      </c>
      <c r="E71" s="10">
        <f t="shared" ref="E71:G71" si="34">E23/E17</f>
        <v>5422373.6531582689</v>
      </c>
      <c r="F71" s="10">
        <f t="shared" si="34"/>
        <v>142576.9520108485</v>
      </c>
      <c r="G71" s="10">
        <f t="shared" si="34"/>
        <v>6203378.134835694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105.35924636341754</v>
      </c>
      <c r="C74" s="10"/>
      <c r="D74" s="10"/>
      <c r="E74" s="10"/>
    </row>
    <row r="75" spans="1:7" ht="15.6">
      <c r="A75" s="19" t="s">
        <v>31</v>
      </c>
      <c r="B75" s="10">
        <f>(B23/B29)*100</f>
        <v>95.501277983557472</v>
      </c>
      <c r="C75" s="10"/>
      <c r="D75" s="10"/>
      <c r="E75" s="10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2" t="s">
        <v>87</v>
      </c>
      <c r="B77" s="42"/>
      <c r="C77" s="42"/>
      <c r="D77" s="42"/>
      <c r="E77" s="42"/>
    </row>
    <row r="78" spans="1:7" customFormat="1"/>
    <row r="79" spans="1:7" customFormat="1"/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</sheetData>
  <mergeCells count="4">
    <mergeCell ref="A9:A10"/>
    <mergeCell ref="B9:B10"/>
    <mergeCell ref="C9:G9"/>
    <mergeCell ref="A77:E77"/>
  </mergeCells>
  <pageMargins left="0.7" right="0.7" top="0.75" bottom="0.75" header="0.3" footer="0.3"/>
  <pageSetup orientation="portrait" r:id="rId1"/>
  <ignoredErrors>
    <ignoredError sqref="C67:C71 F67:F6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5" width="24.6640625" style="1" customWidth="1"/>
    <col min="6" max="7" width="24.6640625" style="33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3" customFormat="1" ht="15.6">
      <c r="A9" s="46" t="s">
        <v>0</v>
      </c>
      <c r="B9" s="48" t="s">
        <v>1</v>
      </c>
      <c r="C9" s="50" t="s">
        <v>2</v>
      </c>
      <c r="D9" s="50"/>
      <c r="E9" s="50"/>
      <c r="F9" s="50"/>
      <c r="G9" s="50"/>
    </row>
    <row r="10" spans="1:7" s="2" customFormat="1" ht="63" thickBot="1">
      <c r="A10" s="47"/>
      <c r="B10" s="49"/>
      <c r="C10" s="4" t="s">
        <v>39</v>
      </c>
      <c r="D10" s="4" t="s">
        <v>48</v>
      </c>
      <c r="E10" s="4" t="s">
        <v>53</v>
      </c>
      <c r="F10" s="4" t="s">
        <v>54</v>
      </c>
      <c r="G10" s="4" t="s">
        <v>79</v>
      </c>
    </row>
    <row r="11" spans="1:7" ht="16.2" thickTop="1">
      <c r="A11" s="6"/>
      <c r="B11" s="6"/>
      <c r="C11" s="6"/>
      <c r="D11" s="6"/>
      <c r="E11" s="6"/>
      <c r="F11" s="1"/>
      <c r="G11" s="1"/>
    </row>
    <row r="12" spans="1:7" ht="15.6">
      <c r="A12" s="5" t="s">
        <v>3</v>
      </c>
      <c r="B12" s="6"/>
      <c r="C12" s="6"/>
      <c r="D12" s="6"/>
      <c r="E12" s="6"/>
      <c r="F12" s="1"/>
      <c r="G12" s="1"/>
    </row>
    <row r="13" spans="1:7" ht="15.6">
      <c r="A13" s="6"/>
      <c r="B13" s="6"/>
      <c r="C13" s="6"/>
      <c r="D13" s="6"/>
      <c r="E13" s="6"/>
      <c r="F13" s="1"/>
      <c r="G13" s="1"/>
    </row>
    <row r="14" spans="1:7" ht="15.6">
      <c r="A14" s="5" t="s">
        <v>4</v>
      </c>
      <c r="B14" s="6"/>
      <c r="C14" s="6"/>
      <c r="D14" s="6"/>
      <c r="E14" s="6"/>
      <c r="F14" s="1"/>
      <c r="G14" s="1"/>
    </row>
    <row r="15" spans="1:7" ht="15.6">
      <c r="A15" s="7" t="s">
        <v>71</v>
      </c>
      <c r="B15" s="8">
        <f>+SUM(C15:G15)</f>
        <v>25006.333333333328</v>
      </c>
      <c r="C15" s="8">
        <v>15614</v>
      </c>
      <c r="D15" s="8">
        <v>5706.666666666667</v>
      </c>
      <c r="E15" s="8">
        <v>306</v>
      </c>
      <c r="F15" s="8">
        <v>1204.3333333333301</v>
      </c>
      <c r="G15" s="8">
        <v>2175.3333333333335</v>
      </c>
    </row>
    <row r="16" spans="1:7" ht="15.6">
      <c r="A16" s="7" t="s">
        <v>114</v>
      </c>
      <c r="B16" s="8">
        <f>+SUM(C16:G16)</f>
        <v>29153</v>
      </c>
      <c r="C16" s="8">
        <v>18648</v>
      </c>
      <c r="D16" s="8">
        <v>5690</v>
      </c>
      <c r="E16" s="8">
        <v>317</v>
      </c>
      <c r="F16" s="8">
        <v>3440</v>
      </c>
      <c r="G16" s="8">
        <v>1058</v>
      </c>
    </row>
    <row r="17" spans="1:7" ht="15.6">
      <c r="A17" s="7" t="s">
        <v>115</v>
      </c>
      <c r="B17" s="8">
        <f>+SUM(C17:G17)</f>
        <v>25194.666666666664</v>
      </c>
      <c r="C17" s="8">
        <v>16296</v>
      </c>
      <c r="D17" s="8">
        <v>5497.333333333333</v>
      </c>
      <c r="E17" s="8">
        <v>344</v>
      </c>
      <c r="F17" s="34">
        <v>1999.3333333333333</v>
      </c>
      <c r="G17" s="8">
        <v>1058</v>
      </c>
    </row>
    <row r="18" spans="1:7" ht="15.6">
      <c r="A18" s="7" t="s">
        <v>82</v>
      </c>
      <c r="B18" s="8">
        <f>+SUM(C18:G18)</f>
        <v>85097</v>
      </c>
      <c r="C18" s="8">
        <v>74592</v>
      </c>
      <c r="D18" s="8">
        <v>5690</v>
      </c>
      <c r="E18" s="8">
        <v>317</v>
      </c>
      <c r="F18" s="8">
        <v>3440</v>
      </c>
      <c r="G18" s="8">
        <v>1058</v>
      </c>
    </row>
    <row r="19" spans="1:7" ht="15.6">
      <c r="A19" s="6"/>
      <c r="B19" s="8"/>
      <c r="C19" s="8"/>
      <c r="D19" s="8"/>
      <c r="E19" s="8"/>
      <c r="F19" s="6"/>
      <c r="G19" s="6"/>
    </row>
    <row r="20" spans="1:7" ht="15.6">
      <c r="A20" s="9" t="s">
        <v>5</v>
      </c>
      <c r="B20" s="8"/>
      <c r="C20" s="8"/>
      <c r="D20" s="8"/>
      <c r="E20" s="8"/>
      <c r="F20" s="6"/>
      <c r="G20" s="6"/>
    </row>
    <row r="21" spans="1:7" ht="15.6">
      <c r="A21" s="7" t="s">
        <v>71</v>
      </c>
      <c r="B21" s="8">
        <f>SUM(C21:G21)</f>
        <v>9459093859.9100018</v>
      </c>
      <c r="C21" s="8">
        <v>2768149948.1999998</v>
      </c>
      <c r="D21" s="8">
        <v>2530532323.0700006</v>
      </c>
      <c r="E21" s="8">
        <v>663783607.59000015</v>
      </c>
      <c r="F21" s="8">
        <v>324579137.59000003</v>
      </c>
      <c r="G21" s="8">
        <v>3172048843.4600005</v>
      </c>
    </row>
    <row r="22" spans="1:7" ht="15.6">
      <c r="A22" s="7" t="s">
        <v>114</v>
      </c>
      <c r="B22" s="8">
        <f>SUM(C22:G22)</f>
        <v>9171459526.2071419</v>
      </c>
      <c r="C22" s="8">
        <v>3144155085.7000003</v>
      </c>
      <c r="D22" s="8">
        <v>2871605230.0885711</v>
      </c>
      <c r="E22" s="8">
        <v>774233485.60000002</v>
      </c>
      <c r="F22" s="8">
        <v>232558954.90714285</v>
      </c>
      <c r="G22" s="8">
        <v>2148906769.9114285</v>
      </c>
    </row>
    <row r="23" spans="1:7" ht="15.6">
      <c r="A23" s="7" t="s">
        <v>115</v>
      </c>
      <c r="B23" s="8">
        <f>SUM(C23:G23)</f>
        <v>8140625876.6399984</v>
      </c>
      <c r="C23" s="8">
        <v>3626009196.6599989</v>
      </c>
      <c r="D23" s="8">
        <v>3142003231.5999999</v>
      </c>
      <c r="E23" s="8">
        <v>795479716.06000018</v>
      </c>
      <c r="F23" s="8">
        <v>426929198.88</v>
      </c>
      <c r="G23" s="8">
        <v>150204533.44</v>
      </c>
    </row>
    <row r="24" spans="1:7" ht="15.6">
      <c r="A24" s="7" t="s">
        <v>82</v>
      </c>
      <c r="B24" s="8">
        <f>SUM(C24:G24)</f>
        <v>31828789561</v>
      </c>
      <c r="C24" s="8">
        <v>11004542799.950001</v>
      </c>
      <c r="D24" s="8">
        <v>10050618305.309998</v>
      </c>
      <c r="E24" s="8">
        <v>2709817199.6000004</v>
      </c>
      <c r="F24" s="8">
        <v>542637561.45000005</v>
      </c>
      <c r="G24" s="8">
        <v>7521173694.6899996</v>
      </c>
    </row>
    <row r="25" spans="1:7" ht="15.6">
      <c r="A25" s="7" t="s">
        <v>116</v>
      </c>
      <c r="B25" s="8">
        <f>SUM(C25:G25)</f>
        <v>8140625876.6399984</v>
      </c>
      <c r="C25" s="8">
        <f>+C23</f>
        <v>3626009196.6599989</v>
      </c>
      <c r="D25" s="8">
        <f t="shared" ref="D25" si="0">+D23</f>
        <v>3142003231.5999999</v>
      </c>
      <c r="E25" s="8">
        <f>+E23</f>
        <v>795479716.06000018</v>
      </c>
      <c r="F25" s="8">
        <f t="shared" ref="F25:G25" si="1">+F23</f>
        <v>426929198.88</v>
      </c>
      <c r="G25" s="8">
        <f t="shared" si="1"/>
        <v>150204533.44</v>
      </c>
    </row>
    <row r="26" spans="1:7" ht="15.6">
      <c r="A26" s="6"/>
      <c r="B26" s="8"/>
      <c r="C26" s="8"/>
      <c r="D26" s="8"/>
      <c r="E26" s="8"/>
      <c r="F26" s="6"/>
      <c r="G26" s="6"/>
    </row>
    <row r="27" spans="1:7" ht="15.6">
      <c r="A27" s="12" t="s">
        <v>6</v>
      </c>
      <c r="B27" s="8"/>
      <c r="C27" s="8"/>
      <c r="D27" s="8"/>
      <c r="E27" s="8"/>
      <c r="F27" s="6"/>
      <c r="G27" s="6"/>
    </row>
    <row r="28" spans="1:7" ht="15.6">
      <c r="A28" s="7" t="s">
        <v>114</v>
      </c>
      <c r="B28" s="8">
        <f>B22</f>
        <v>9171459526.2071419</v>
      </c>
      <c r="C28" s="8"/>
      <c r="D28" s="8"/>
      <c r="E28" s="8"/>
      <c r="F28" s="6"/>
      <c r="G28" s="6"/>
    </row>
    <row r="29" spans="1:7" ht="15.6">
      <c r="A29" s="7" t="s">
        <v>115</v>
      </c>
      <c r="B29" s="8">
        <v>7957197390.2700005</v>
      </c>
      <c r="C29" s="8"/>
      <c r="D29" s="8"/>
      <c r="E29" s="8"/>
      <c r="F29" s="6"/>
      <c r="G29" s="6"/>
    </row>
    <row r="30" spans="1:7" ht="15.6">
      <c r="A30" s="6"/>
      <c r="B30" s="13"/>
      <c r="C30" s="13"/>
      <c r="D30" s="13"/>
      <c r="E30" s="13"/>
      <c r="F30" s="6"/>
      <c r="G30" s="6"/>
    </row>
    <row r="31" spans="1:7" ht="15.6">
      <c r="A31" s="5" t="s">
        <v>7</v>
      </c>
      <c r="B31" s="13"/>
      <c r="C31" s="13"/>
      <c r="D31" s="13"/>
      <c r="E31" s="13"/>
      <c r="F31" s="6"/>
      <c r="G31" s="6"/>
    </row>
    <row r="32" spans="1:7" ht="15.6">
      <c r="A32" s="7" t="s">
        <v>72</v>
      </c>
      <c r="B32" s="11">
        <v>1.1144000000000001</v>
      </c>
      <c r="C32" s="11">
        <v>1.1144000000000001</v>
      </c>
      <c r="D32" s="11">
        <v>1.1144000000000001</v>
      </c>
      <c r="E32" s="11">
        <v>1.1144000000000001</v>
      </c>
      <c r="F32" s="11">
        <v>1.1144000000000001</v>
      </c>
      <c r="G32" s="11">
        <v>1.1144000000000001</v>
      </c>
    </row>
    <row r="33" spans="1:7" ht="15.6">
      <c r="A33" s="7" t="s">
        <v>117</v>
      </c>
      <c r="B33" s="11">
        <v>1.0947</v>
      </c>
      <c r="C33" s="11">
        <v>1.0947</v>
      </c>
      <c r="D33" s="11">
        <v>1.0947</v>
      </c>
      <c r="E33" s="11">
        <v>1.0947</v>
      </c>
      <c r="F33" s="11">
        <v>1.0947</v>
      </c>
      <c r="G33" s="11">
        <v>1.0947</v>
      </c>
    </row>
    <row r="34" spans="1:7" ht="15.6">
      <c r="A34" s="7" t="s">
        <v>8</v>
      </c>
      <c r="B34" s="16" t="s">
        <v>36</v>
      </c>
      <c r="C34" s="16" t="s">
        <v>36</v>
      </c>
      <c r="D34" s="16" t="s">
        <v>36</v>
      </c>
      <c r="E34" s="16" t="s">
        <v>36</v>
      </c>
      <c r="F34" s="16" t="s">
        <v>36</v>
      </c>
      <c r="G34" s="16" t="s">
        <v>36</v>
      </c>
    </row>
    <row r="35" spans="1:7" ht="15.6">
      <c r="A35" s="6"/>
      <c r="B35" s="13"/>
      <c r="C35" s="13"/>
      <c r="D35" s="13"/>
      <c r="E35" s="13"/>
      <c r="F35" s="6"/>
      <c r="G35" s="6"/>
    </row>
    <row r="36" spans="1:7" ht="15.6">
      <c r="A36" s="12" t="s">
        <v>9</v>
      </c>
      <c r="B36" s="13"/>
      <c r="C36" s="13"/>
      <c r="D36" s="13"/>
      <c r="E36" s="13"/>
      <c r="F36" s="6"/>
      <c r="G36" s="6"/>
    </row>
    <row r="37" spans="1:7" ht="15.6">
      <c r="A37" s="7" t="s">
        <v>73</v>
      </c>
      <c r="B37" s="14">
        <f>B21/B32</f>
        <v>8488059816.8610926</v>
      </c>
      <c r="C37" s="14">
        <f t="shared" ref="C37" si="2">C21/C32</f>
        <v>2483982365.577889</v>
      </c>
      <c r="D37" s="14">
        <f t="shared" ref="D37:G37" si="3">D21/D32</f>
        <v>2270757648.1245518</v>
      </c>
      <c r="E37" s="14">
        <f t="shared" si="3"/>
        <v>595642146.07860744</v>
      </c>
      <c r="F37" s="14">
        <f t="shared" si="3"/>
        <v>291259096.90416372</v>
      </c>
      <c r="G37" s="14">
        <f t="shared" si="3"/>
        <v>2846418560.1758795</v>
      </c>
    </row>
    <row r="38" spans="1:7" ht="15.6">
      <c r="A38" s="7" t="s">
        <v>118</v>
      </c>
      <c r="B38" s="14">
        <f>B23/B33</f>
        <v>7436398900.7399273</v>
      </c>
      <c r="C38" s="14">
        <f t="shared" ref="C38" si="4">C23/C33</f>
        <v>3312331411.9484782</v>
      </c>
      <c r="D38" s="14">
        <f t="shared" ref="D38:G38" si="5">D23/D33</f>
        <v>2870195698.9129443</v>
      </c>
      <c r="E38" s="14">
        <f t="shared" si="5"/>
        <v>726664580.30510664</v>
      </c>
      <c r="F38" s="14">
        <f t="shared" si="5"/>
        <v>389996527.70622087</v>
      </c>
      <c r="G38" s="14">
        <f t="shared" si="5"/>
        <v>137210681.86717823</v>
      </c>
    </row>
    <row r="39" spans="1:7" ht="15.6">
      <c r="A39" s="7" t="s">
        <v>74</v>
      </c>
      <c r="B39" s="8">
        <f>B37/B15</f>
        <v>339436.4021192402</v>
      </c>
      <c r="C39" s="8">
        <f t="shared" ref="C39" si="6">C37/C15</f>
        <v>159086.86855244581</v>
      </c>
      <c r="D39" s="8">
        <f t="shared" ref="D39:G39" si="7">D37/D15</f>
        <v>397913.13927416207</v>
      </c>
      <c r="E39" s="8">
        <f t="shared" si="7"/>
        <v>1946542.9610412007</v>
      </c>
      <c r="F39" s="8">
        <f t="shared" si="7"/>
        <v>241842.5936098792</v>
      </c>
      <c r="G39" s="8">
        <f t="shared" si="7"/>
        <v>1308497.6525479066</v>
      </c>
    </row>
    <row r="40" spans="1:7" ht="15.6">
      <c r="A40" s="7" t="s">
        <v>119</v>
      </c>
      <c r="B40" s="8">
        <f>B38/B17</f>
        <v>295157.66170379688</v>
      </c>
      <c r="C40" s="8">
        <f t="shared" ref="C40" si="8">C38/C17</f>
        <v>203260.39592221883</v>
      </c>
      <c r="D40" s="8">
        <f t="shared" ref="D40:G40" si="9">D38/D17</f>
        <v>522106.90618110803</v>
      </c>
      <c r="E40" s="8">
        <f t="shared" si="9"/>
        <v>2112397.0357706589</v>
      </c>
      <c r="F40" s="8">
        <f t="shared" si="9"/>
        <v>195063.28494809315</v>
      </c>
      <c r="G40" s="8">
        <f t="shared" si="9"/>
        <v>129688.73522417602</v>
      </c>
    </row>
    <row r="41" spans="1:7" ht="15.6">
      <c r="A41" s="6"/>
      <c r="B41" s="13"/>
      <c r="C41" s="13"/>
      <c r="D41" s="13"/>
      <c r="E41" s="13"/>
      <c r="F41" s="6"/>
      <c r="G41" s="6"/>
    </row>
    <row r="42" spans="1:7" ht="15.6">
      <c r="A42" s="5" t="s">
        <v>10</v>
      </c>
      <c r="B42" s="13"/>
      <c r="C42" s="13"/>
      <c r="D42" s="13"/>
      <c r="E42" s="13"/>
      <c r="F42" s="6"/>
      <c r="G42" s="6"/>
    </row>
    <row r="43" spans="1:7" ht="15.6">
      <c r="A43" s="6"/>
      <c r="B43" s="13"/>
      <c r="C43" s="13"/>
      <c r="D43" s="13"/>
      <c r="E43" s="13"/>
      <c r="F43" s="6"/>
      <c r="G43" s="6"/>
    </row>
    <row r="44" spans="1:7" ht="15.6">
      <c r="A44" s="5" t="s">
        <v>11</v>
      </c>
      <c r="B44" s="13"/>
      <c r="C44" s="13"/>
      <c r="D44" s="13"/>
      <c r="E44" s="13"/>
      <c r="F44" s="6"/>
      <c r="G44" s="6"/>
    </row>
    <row r="45" spans="1:7" ht="15.6">
      <c r="A45" s="6" t="s">
        <v>12</v>
      </c>
      <c r="B45" s="10" t="s">
        <v>35</v>
      </c>
      <c r="C45" s="10" t="s">
        <v>35</v>
      </c>
      <c r="D45" s="10" t="s">
        <v>35</v>
      </c>
      <c r="E45" s="10" t="s">
        <v>35</v>
      </c>
      <c r="F45" s="10" t="s">
        <v>35</v>
      </c>
      <c r="G45" s="10" t="s">
        <v>35</v>
      </c>
    </row>
    <row r="46" spans="1:7" ht="15.6">
      <c r="A46" s="6" t="s">
        <v>13</v>
      </c>
      <c r="B46" s="10" t="s">
        <v>35</v>
      </c>
      <c r="C46" s="10" t="s">
        <v>35</v>
      </c>
      <c r="D46" s="10" t="s">
        <v>35</v>
      </c>
      <c r="E46" s="10" t="s">
        <v>35</v>
      </c>
      <c r="F46" s="10" t="s">
        <v>35</v>
      </c>
      <c r="G46" s="10" t="s">
        <v>35</v>
      </c>
    </row>
    <row r="47" spans="1:7" ht="15.6">
      <c r="A47" s="6"/>
      <c r="B47" s="10"/>
      <c r="C47" s="10"/>
      <c r="D47" s="10"/>
      <c r="E47" s="10"/>
      <c r="F47" s="6"/>
      <c r="G47" s="6"/>
    </row>
    <row r="48" spans="1:7" ht="15.6">
      <c r="A48" s="5" t="s">
        <v>14</v>
      </c>
      <c r="B48" s="10"/>
      <c r="C48" s="10"/>
      <c r="D48" s="10"/>
      <c r="E48" s="10"/>
      <c r="F48" s="6"/>
      <c r="G48" s="6"/>
    </row>
    <row r="49" spans="1:7" ht="15.6">
      <c r="A49" s="6" t="s">
        <v>15</v>
      </c>
      <c r="B49" s="10">
        <f>B17/B16*100</f>
        <v>86.422209263769304</v>
      </c>
      <c r="C49" s="10">
        <f t="shared" ref="C49:G49" si="10">C17/C16*100</f>
        <v>87.387387387387378</v>
      </c>
      <c r="D49" s="10">
        <f t="shared" si="10"/>
        <v>96.613942589338023</v>
      </c>
      <c r="E49" s="10">
        <f t="shared" si="10"/>
        <v>108.5173501577287</v>
      </c>
      <c r="F49" s="10">
        <f t="shared" si="10"/>
        <v>58.120155038759691</v>
      </c>
      <c r="G49" s="10">
        <f t="shared" si="10"/>
        <v>100</v>
      </c>
    </row>
    <row r="50" spans="1:7" ht="15.6">
      <c r="A50" s="6" t="s">
        <v>16</v>
      </c>
      <c r="B50" s="10">
        <f>B23/B22*100</f>
        <v>88.760418703025721</v>
      </c>
      <c r="C50" s="10">
        <f t="shared" ref="C50:G50" si="11">C23/C22*100</f>
        <v>115.32539260393133</v>
      </c>
      <c r="D50" s="10">
        <f t="shared" si="11"/>
        <v>109.41626650760379</v>
      </c>
      <c r="E50" s="10">
        <f t="shared" si="11"/>
        <v>102.74416320853588</v>
      </c>
      <c r="F50" s="10">
        <f t="shared" si="11"/>
        <v>183.57891187224595</v>
      </c>
      <c r="G50" s="10">
        <f t="shared" si="11"/>
        <v>6.9898115424612381</v>
      </c>
    </row>
    <row r="51" spans="1:7" ht="15.6">
      <c r="A51" s="6" t="s">
        <v>17</v>
      </c>
      <c r="B51" s="10">
        <f>AVERAGE(B49:B50)</f>
        <v>87.591313983397512</v>
      </c>
      <c r="C51" s="10">
        <f t="shared" ref="C51:G51" si="12">AVERAGE(C49:C50)</f>
        <v>101.35638999565936</v>
      </c>
      <c r="D51" s="10">
        <f t="shared" si="12"/>
        <v>103.0151045484709</v>
      </c>
      <c r="E51" s="10">
        <f t="shared" si="12"/>
        <v>105.63075668313229</v>
      </c>
      <c r="F51" s="10">
        <f t="shared" si="12"/>
        <v>120.84953345550282</v>
      </c>
      <c r="G51" s="10">
        <f t="shared" si="12"/>
        <v>53.49490577123062</v>
      </c>
    </row>
    <row r="52" spans="1:7" ht="15.6">
      <c r="A52" s="6"/>
      <c r="B52" s="10"/>
      <c r="C52" s="10"/>
      <c r="D52" s="10"/>
      <c r="E52" s="10"/>
      <c r="F52" s="10"/>
      <c r="G52" s="10"/>
    </row>
    <row r="53" spans="1:7" ht="15.6">
      <c r="A53" s="5" t="s">
        <v>18</v>
      </c>
      <c r="B53" s="10"/>
      <c r="C53" s="10"/>
      <c r="D53" s="10"/>
      <c r="E53" s="10"/>
      <c r="F53" s="10"/>
      <c r="G53" s="10"/>
    </row>
    <row r="54" spans="1:7" ht="15.6">
      <c r="A54" s="6" t="s">
        <v>19</v>
      </c>
      <c r="B54" s="10">
        <f>B17/B18*100</f>
        <v>29.606997504808234</v>
      </c>
      <c r="C54" s="10">
        <f t="shared" ref="C54:G54" si="13">C17/C18*100</f>
        <v>21.846846846846844</v>
      </c>
      <c r="D54" s="10">
        <f t="shared" si="13"/>
        <v>96.613942589338023</v>
      </c>
      <c r="E54" s="10">
        <f t="shared" si="13"/>
        <v>108.5173501577287</v>
      </c>
      <c r="F54" s="10">
        <f t="shared" si="13"/>
        <v>58.120155038759691</v>
      </c>
      <c r="G54" s="10">
        <f t="shared" si="13"/>
        <v>100</v>
      </c>
    </row>
    <row r="55" spans="1:7" ht="15.6">
      <c r="A55" s="6" t="s">
        <v>20</v>
      </c>
      <c r="B55" s="10">
        <f>B23/B24*100</f>
        <v>25.576297399052695</v>
      </c>
      <c r="C55" s="10">
        <f t="shared" ref="C55:G55" si="14">C23/C24*100</f>
        <v>32.950112172551812</v>
      </c>
      <c r="D55" s="10">
        <f t="shared" si="14"/>
        <v>31.26179043074394</v>
      </c>
      <c r="E55" s="10">
        <f t="shared" si="14"/>
        <v>29.355475202438818</v>
      </c>
      <c r="F55" s="10">
        <f t="shared" si="14"/>
        <v>78.676676516676835</v>
      </c>
      <c r="G55" s="10">
        <f t="shared" si="14"/>
        <v>1.9970890121317826</v>
      </c>
    </row>
    <row r="56" spans="1:7" ht="15.6">
      <c r="A56" s="6" t="s">
        <v>21</v>
      </c>
      <c r="B56" s="10">
        <f>(B54+B55)/2</f>
        <v>27.591647451930463</v>
      </c>
      <c r="C56" s="10">
        <f t="shared" ref="C56:G56" si="15">(C54+C55)/2</f>
        <v>27.398479509699328</v>
      </c>
      <c r="D56" s="10">
        <f t="shared" si="15"/>
        <v>63.937866510040983</v>
      </c>
      <c r="E56" s="10">
        <f t="shared" si="15"/>
        <v>68.936412680083762</v>
      </c>
      <c r="F56" s="10">
        <f t="shared" si="15"/>
        <v>68.39841577771827</v>
      </c>
      <c r="G56" s="10">
        <f t="shared" si="15"/>
        <v>50.99854450606589</v>
      </c>
    </row>
    <row r="57" spans="1:7" ht="15.6">
      <c r="A57" s="6"/>
      <c r="B57" s="10"/>
      <c r="C57" s="10"/>
      <c r="D57" s="10"/>
      <c r="E57" s="10"/>
      <c r="F57" s="6"/>
      <c r="G57" s="6"/>
    </row>
    <row r="58" spans="1:7" ht="15.6">
      <c r="A58" s="5" t="s">
        <v>32</v>
      </c>
      <c r="B58" s="10"/>
      <c r="C58" s="10"/>
      <c r="D58" s="10"/>
      <c r="E58" s="10"/>
      <c r="F58" s="6"/>
      <c r="G58" s="6"/>
    </row>
    <row r="59" spans="1:7" ht="15.6">
      <c r="A59" s="6" t="s">
        <v>22</v>
      </c>
      <c r="B59" s="10">
        <f t="shared" ref="B59" si="16">B25/B23*100</f>
        <v>100</v>
      </c>
      <c r="C59" s="10"/>
      <c r="D59" s="10"/>
      <c r="E59" s="10"/>
      <c r="F59" s="6"/>
      <c r="G59" s="6"/>
    </row>
    <row r="60" spans="1:7" ht="15.6">
      <c r="A60" s="6"/>
      <c r="B60" s="10"/>
      <c r="C60" s="10"/>
      <c r="D60" s="10"/>
      <c r="E60" s="10"/>
      <c r="F60" s="6"/>
      <c r="G60" s="6"/>
    </row>
    <row r="61" spans="1:7" ht="15.6">
      <c r="A61" s="5" t="s">
        <v>23</v>
      </c>
      <c r="B61" s="10"/>
      <c r="C61" s="10"/>
      <c r="D61" s="10"/>
      <c r="E61" s="10"/>
      <c r="F61" s="6"/>
      <c r="G61" s="6"/>
    </row>
    <row r="62" spans="1:7" ht="15.6">
      <c r="A62" s="6" t="s">
        <v>24</v>
      </c>
      <c r="B62" s="10">
        <f>((B17/B15)-1)*100</f>
        <v>0.75314253722391644</v>
      </c>
      <c r="C62" s="10">
        <f t="shared" ref="C62" si="17">((C17/C15)-1)*100</f>
        <v>4.3678749839887177</v>
      </c>
      <c r="D62" s="10">
        <f t="shared" ref="D62:G62" si="18">((D17/D15)-1)*100</f>
        <v>-3.6682242990654257</v>
      </c>
      <c r="E62" s="10">
        <f t="shared" si="18"/>
        <v>12.418300653594772</v>
      </c>
      <c r="F62" s="10">
        <f t="shared" si="18"/>
        <v>66.011624688624849</v>
      </c>
      <c r="G62" s="10">
        <f t="shared" si="18"/>
        <v>-51.363775666564514</v>
      </c>
    </row>
    <row r="63" spans="1:7" ht="15.6">
      <c r="A63" s="6" t="s">
        <v>25</v>
      </c>
      <c r="B63" s="10">
        <f>((B38/B37)-1)*100</f>
        <v>-12.389885778515541</v>
      </c>
      <c r="C63" s="10">
        <f t="shared" ref="C63" si="19">((C38/C37)-1)*100</f>
        <v>33.347621861151055</v>
      </c>
      <c r="D63" s="10">
        <f t="shared" ref="D63:G63" si="20">((D38/D37)-1)*100</f>
        <v>26.398151792353364</v>
      </c>
      <c r="E63" s="10">
        <f t="shared" si="20"/>
        <v>21.996837377791611</v>
      </c>
      <c r="F63" s="10">
        <f t="shared" si="20"/>
        <v>33.900204955502502</v>
      </c>
      <c r="G63" s="10">
        <f t="shared" si="20"/>
        <v>-95.179532490868098</v>
      </c>
    </row>
    <row r="64" spans="1:7" ht="15.6">
      <c r="A64" s="6" t="s">
        <v>26</v>
      </c>
      <c r="B64" s="10">
        <f t="shared" ref="B64" si="21">((B40/B39)-1)*100</f>
        <v>-13.044782509770037</v>
      </c>
      <c r="C64" s="10">
        <f t="shared" ref="C64" si="22">((C40/C39)-1)*100</f>
        <v>27.766922418999297</v>
      </c>
      <c r="D64" s="10">
        <f t="shared" ref="D64:G64" si="23">((D40/D39)-1)*100</f>
        <v>31.211275690340166</v>
      </c>
      <c r="E64" s="10">
        <f t="shared" si="23"/>
        <v>8.5204425511751012</v>
      </c>
      <c r="F64" s="10">
        <f t="shared" si="23"/>
        <v>-19.342874207364247</v>
      </c>
      <c r="G64" s="10">
        <f t="shared" si="23"/>
        <v>-90.088730004853574</v>
      </c>
    </row>
    <row r="65" spans="1:7" ht="15.6">
      <c r="A65" s="6"/>
      <c r="B65" s="10"/>
      <c r="C65" s="10"/>
      <c r="D65" s="10"/>
      <c r="E65" s="10"/>
      <c r="F65" s="6"/>
      <c r="G65" s="6"/>
    </row>
    <row r="66" spans="1:7" ht="15.6">
      <c r="A66" s="5" t="s">
        <v>27</v>
      </c>
      <c r="B66" s="10"/>
      <c r="C66" s="10"/>
      <c r="D66" s="10"/>
      <c r="E66" s="10"/>
      <c r="F66" s="6"/>
      <c r="G66" s="6"/>
    </row>
    <row r="67" spans="1:7" ht="15.6">
      <c r="A67" s="6" t="s">
        <v>40</v>
      </c>
      <c r="B67" s="10">
        <f>B22/(B16*3)</f>
        <v>104865.81742538951</v>
      </c>
      <c r="C67" s="10">
        <f>C22/(C16)</f>
        <v>168605.4850761476</v>
      </c>
      <c r="D67" s="10">
        <f t="shared" ref="D67:G67" si="24">D22/(D16*3)</f>
        <v>168225.26245392917</v>
      </c>
      <c r="E67" s="10">
        <f t="shared" si="24"/>
        <v>814125.64206098847</v>
      </c>
      <c r="F67" s="10">
        <f>F22/(F16*3)</f>
        <v>22534.782452242525</v>
      </c>
      <c r="G67" s="10">
        <f t="shared" si="24"/>
        <v>677034.26903321629</v>
      </c>
    </row>
    <row r="68" spans="1:7" ht="15.6">
      <c r="A68" s="6" t="s">
        <v>41</v>
      </c>
      <c r="B68" s="10">
        <f t="shared" ref="B68:G68" si="25">B23/(B17*3)</f>
        <v>107703.03075571547</v>
      </c>
      <c r="C68" s="10">
        <f>C23/(C17)</f>
        <v>222509.15541605296</v>
      </c>
      <c r="D68" s="10">
        <f t="shared" si="25"/>
        <v>190516.81006548629</v>
      </c>
      <c r="E68" s="10">
        <f t="shared" si="25"/>
        <v>770813.67835271335</v>
      </c>
      <c r="F68" s="10">
        <f>F23/(F17*3)</f>
        <v>71178.59267755918</v>
      </c>
      <c r="G68" s="10">
        <f t="shared" si="25"/>
        <v>47323.419483301826</v>
      </c>
    </row>
    <row r="69" spans="1:7" ht="15.6">
      <c r="A69" s="6" t="s">
        <v>28</v>
      </c>
      <c r="B69" s="10">
        <f>(B68/B67)*B51</f>
        <v>89.961154316080538</v>
      </c>
      <c r="C69" s="10">
        <f t="shared" ref="C69" si="26">(C68/C67)*C51</f>
        <v>133.7603265028342</v>
      </c>
      <c r="D69" s="10">
        <f t="shared" ref="D69:G69" si="27">(D68/D67)*D51</f>
        <v>116.66564712604996</v>
      </c>
      <c r="E69" s="10">
        <f t="shared" si="27"/>
        <v>100.01113820710015</v>
      </c>
      <c r="F69" s="10">
        <f>(F68/F67)*F51</f>
        <v>381.71656350941549</v>
      </c>
      <c r="G69" s="10">
        <f t="shared" si="27"/>
        <v>3.7391930982262411</v>
      </c>
    </row>
    <row r="70" spans="1:7" ht="15.6">
      <c r="A70" s="6" t="s">
        <v>42</v>
      </c>
      <c r="B70" s="10">
        <f t="shared" ref="B70:G71" si="28">B22/B16</f>
        <v>314597.45227616857</v>
      </c>
      <c r="C70" s="10">
        <f>(C22/C16)*3</f>
        <v>505816.45522844279</v>
      </c>
      <c r="D70" s="10">
        <f t="shared" si="28"/>
        <v>504675.78736178752</v>
      </c>
      <c r="E70" s="10">
        <f t="shared" si="28"/>
        <v>2442376.9261829653</v>
      </c>
      <c r="F70" s="10">
        <f>F22/F16</f>
        <v>67604.347356727565</v>
      </c>
      <c r="G70" s="10">
        <f t="shared" si="28"/>
        <v>2031102.8070996488</v>
      </c>
    </row>
    <row r="71" spans="1:7" ht="15.6">
      <c r="A71" s="6" t="s">
        <v>43</v>
      </c>
      <c r="B71" s="10">
        <f t="shared" si="28"/>
        <v>323109.09226714645</v>
      </c>
      <c r="C71" s="10">
        <f>(C23/C17)*3</f>
        <v>667527.46624815883</v>
      </c>
      <c r="D71" s="10">
        <f t="shared" si="28"/>
        <v>571550.43019645894</v>
      </c>
      <c r="E71" s="10">
        <f t="shared" si="28"/>
        <v>2312441.0350581403</v>
      </c>
      <c r="F71" s="10">
        <f>F23/F17</f>
        <v>213535.77803267757</v>
      </c>
      <c r="G71" s="10">
        <f t="shared" si="28"/>
        <v>141970.25844990549</v>
      </c>
    </row>
    <row r="72" spans="1:7" ht="15.6">
      <c r="A72" s="6"/>
      <c r="B72" s="10"/>
      <c r="C72" s="10"/>
      <c r="D72" s="10"/>
      <c r="E72" s="10"/>
      <c r="F72" s="6"/>
      <c r="G72" s="6"/>
    </row>
    <row r="73" spans="1:7" ht="15.6">
      <c r="A73" s="5" t="s">
        <v>29</v>
      </c>
      <c r="B73" s="10"/>
      <c r="C73" s="10"/>
      <c r="D73" s="10"/>
      <c r="E73" s="10"/>
      <c r="F73" s="6"/>
      <c r="G73" s="6"/>
    </row>
    <row r="74" spans="1:7" ht="15.6">
      <c r="A74" s="6" t="s">
        <v>30</v>
      </c>
      <c r="B74" s="10">
        <f>(B29/B28)*100</f>
        <v>86.760426380692977</v>
      </c>
      <c r="C74" s="10"/>
      <c r="D74" s="10"/>
      <c r="E74" s="10"/>
      <c r="F74" s="6"/>
      <c r="G74" s="6"/>
    </row>
    <row r="75" spans="1:7" ht="15.6">
      <c r="A75" s="6" t="s">
        <v>31</v>
      </c>
      <c r="B75" s="10">
        <f>(B23/B29)*100</f>
        <v>102.30518959595362</v>
      </c>
      <c r="C75" s="10"/>
      <c r="D75" s="10"/>
      <c r="E75" s="10"/>
      <c r="F75" s="6"/>
      <c r="G75" s="6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2" t="s">
        <v>87</v>
      </c>
      <c r="B77" s="42"/>
      <c r="C77" s="42"/>
      <c r="D77" s="42"/>
      <c r="E77" s="42"/>
    </row>
  </sheetData>
  <mergeCells count="4">
    <mergeCell ref="A9:A10"/>
    <mergeCell ref="B9:B10"/>
    <mergeCell ref="C9:G9"/>
    <mergeCell ref="A77:E77"/>
  </mergeCells>
  <pageMargins left="0.7" right="0.7" top="0.75" bottom="0.75" header="0.3" footer="0.3"/>
  <pageSetup paperSize="9" orientation="portrait" r:id="rId1"/>
  <ignoredErrors>
    <ignoredError sqref="D65:D66" evalError="1"/>
    <ignoredError sqref="C67:C71 F69:F7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9"/>
  <sheetViews>
    <sheetView showGridLines="0" zoomScale="80" zoomScaleNormal="80" zoomScaleSheetLayoutView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5" width="24.6640625" style="1" customWidth="1"/>
    <col min="6" max="7" width="24.88671875" style="1" customWidth="1"/>
    <col min="8" max="8" width="6.44140625" style="1" customWidth="1"/>
    <col min="9" max="9" width="4.109375" style="1" customWidth="1"/>
    <col min="10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3" customFormat="1" ht="15.6">
      <c r="A9" s="46" t="s">
        <v>0</v>
      </c>
      <c r="B9" s="48" t="s">
        <v>1</v>
      </c>
      <c r="C9" s="50" t="s">
        <v>2</v>
      </c>
      <c r="D9" s="50"/>
      <c r="E9" s="50"/>
      <c r="F9" s="50"/>
      <c r="G9" s="50"/>
    </row>
    <row r="10" spans="1:7" s="2" customFormat="1" ht="63" thickBot="1">
      <c r="A10" s="47"/>
      <c r="B10" s="49"/>
      <c r="C10" s="4" t="s">
        <v>39</v>
      </c>
      <c r="D10" s="4" t="s">
        <v>48</v>
      </c>
      <c r="E10" s="4" t="s">
        <v>53</v>
      </c>
      <c r="F10" s="4" t="s">
        <v>54</v>
      </c>
      <c r="G10" s="4" t="s">
        <v>79</v>
      </c>
    </row>
    <row r="11" spans="1:7" ht="16.2" thickTop="1">
      <c r="A11" s="6"/>
      <c r="B11" s="6"/>
      <c r="C11" s="6"/>
      <c r="D11" s="6"/>
      <c r="E11" s="6"/>
    </row>
    <row r="12" spans="1:7" ht="15.6">
      <c r="A12" s="5" t="s">
        <v>3</v>
      </c>
      <c r="B12" s="6"/>
      <c r="C12" s="6"/>
      <c r="D12" s="6"/>
      <c r="E12" s="6"/>
    </row>
    <row r="13" spans="1:7" ht="15.6">
      <c r="A13" s="6"/>
      <c r="B13" s="6"/>
      <c r="C13" s="6"/>
      <c r="D13" s="6"/>
      <c r="E13" s="6"/>
    </row>
    <row r="14" spans="1:7" ht="15.6">
      <c r="A14" s="5" t="s">
        <v>4</v>
      </c>
      <c r="B14" s="6"/>
      <c r="C14" s="6"/>
      <c r="D14" s="6"/>
      <c r="E14" s="6"/>
    </row>
    <row r="15" spans="1:7" ht="15.6">
      <c r="A15" s="7" t="s">
        <v>75</v>
      </c>
      <c r="B15" s="35">
        <f>SUM(C15:G15)</f>
        <v>75532.833333333328</v>
      </c>
      <c r="C15" s="35">
        <f>(+'I Trimestre'!C15+'II trimestre'!C15+'III Trimestre'!C15+'IV Trimestre'!C15)</f>
        <v>67469</v>
      </c>
      <c r="D15" s="35">
        <f>(+'I Trimestre'!D15+'II trimestre'!D15+'III Trimestre'!D15+'IV Trimestre'!D15)/4</f>
        <v>4444.583333333333</v>
      </c>
      <c r="E15" s="35">
        <f>(+'I Trimestre'!E15+'II trimestre'!E15+'III Trimestre'!E15+'IV Trimestre'!E15)/4</f>
        <v>313.08333333333331</v>
      </c>
      <c r="F15" s="35">
        <f>+('III Trimestre'!F15+'IV Trimestre'!F15)/2</f>
        <v>1150.4999999999984</v>
      </c>
      <c r="G15" s="35">
        <f>+('III Trimestre'!G15+'IV Trimestre'!G15)/2</f>
        <v>2155.666666666667</v>
      </c>
    </row>
    <row r="16" spans="1:7" ht="15.6">
      <c r="A16" s="7" t="s">
        <v>120</v>
      </c>
      <c r="B16" s="35">
        <f>SUM(C16:G16)</f>
        <v>85097.025753794704</v>
      </c>
      <c r="C16" s="35">
        <f>(+'I Trimestre'!C16+'II trimestre'!C16+'III Trimestre'!C16+'IV Trimestre'!C16)</f>
        <v>74592</v>
      </c>
      <c r="D16" s="35">
        <f>(+'I Trimestre'!D16+'II trimestre'!D16+'III Trimestre'!D16+'IV Trimestre'!D16)/4</f>
        <v>5690</v>
      </c>
      <c r="E16" s="35">
        <f>(+'I Trimestre'!E16+'II trimestre'!E16+'III Trimestre'!E16+'IV Trimestre'!E16)/4</f>
        <v>317</v>
      </c>
      <c r="F16" s="35">
        <f>('II trimestre'!F16+'III Trimestre'!F16+'IV Trimestre'!F16)/3</f>
        <v>3440</v>
      </c>
      <c r="G16" s="35">
        <f>(+'I Trimestre'!G16+'II trimestre'!G16+'III Trimestre'!G16+'IV Trimestre'!G16)/4</f>
        <v>1058.0257537947027</v>
      </c>
    </row>
    <row r="17" spans="1:7" ht="15.6">
      <c r="A17" s="7" t="s">
        <v>121</v>
      </c>
      <c r="B17" s="35">
        <f>SUM(C17:G17)</f>
        <v>80325.638888888876</v>
      </c>
      <c r="C17" s="35">
        <f>(+'I Trimestre'!C17+'II trimestre'!C17+'III Trimestre'!C17+'IV Trimestre'!C17)</f>
        <v>72474</v>
      </c>
      <c r="D17" s="35">
        <f>(+'I Trimestre'!D17+'II trimestre'!D17+'III Trimestre'!D17+'IV Trimestre'!D17)/4</f>
        <v>5430.583333333333</v>
      </c>
      <c r="E17" s="35">
        <f>(+'I Trimestre'!E17+'II trimestre'!E17+'III Trimestre'!E17+'IV Trimestre'!E17)/4</f>
        <v>320.83333333333331</v>
      </c>
      <c r="F17" s="35">
        <f>(+'II trimestre'!F17+'III Trimestre'!F17+'IV Trimestre'!F17)/3</f>
        <v>953.22222222222217</v>
      </c>
      <c r="G17" s="35">
        <f>+('I Trimestre'!G17+'II trimestre'!G17+'III Trimestre'!G17+'IV Trimestre'!G17)/4</f>
        <v>1147</v>
      </c>
    </row>
    <row r="18" spans="1:7" ht="15.6">
      <c r="A18" s="7" t="s">
        <v>82</v>
      </c>
      <c r="B18" s="35">
        <f>SUM(C18:G18)</f>
        <v>85097</v>
      </c>
      <c r="C18" s="35">
        <f>+'IV Trimestre'!C18</f>
        <v>74592</v>
      </c>
      <c r="D18" s="35">
        <f>+'IV Trimestre'!D18</f>
        <v>5690</v>
      </c>
      <c r="E18" s="35">
        <f>+'IV Trimestre'!E18</f>
        <v>317</v>
      </c>
      <c r="F18" s="35">
        <f>+'IV Trimestre'!F18</f>
        <v>3440</v>
      </c>
      <c r="G18" s="35">
        <f>+'IV Trimestre'!G18</f>
        <v>1058</v>
      </c>
    </row>
    <row r="19" spans="1:7" ht="15.6">
      <c r="A19" s="6"/>
      <c r="B19" s="35"/>
      <c r="C19" s="35"/>
      <c r="D19" s="35"/>
      <c r="E19" s="35"/>
    </row>
    <row r="20" spans="1:7" ht="15.6">
      <c r="A20" s="9" t="s">
        <v>5</v>
      </c>
      <c r="B20" s="35"/>
      <c r="C20" s="35"/>
      <c r="D20" s="35"/>
      <c r="E20" s="35"/>
    </row>
    <row r="21" spans="1:7" ht="15.6">
      <c r="A21" s="7" t="s">
        <v>49</v>
      </c>
      <c r="B21" s="35">
        <f>SUM(C21:G21)</f>
        <v>23941792717.879997</v>
      </c>
      <c r="C21" s="35">
        <f>+'I Trimestre'!C21+'II trimestre'!C21+'III Trimestre'!C21+'IV Trimestre'!C21</f>
        <v>9541540029.4399986</v>
      </c>
      <c r="D21" s="35">
        <f>+'I Trimestre'!D21+'II trimestre'!D21+'III Trimestre'!D21+'IV Trimestre'!D21</f>
        <v>6389443982.2700005</v>
      </c>
      <c r="E21" s="35">
        <f>+'I Trimestre'!E21+'II trimestre'!E21+'III Trimestre'!E21+'IV Trimestre'!E21</f>
        <v>2240128275.6599998</v>
      </c>
      <c r="F21" s="35">
        <f>+'I Trimestre'!F21+'II trimestre'!F21+'III Trimestre'!F21+'IV Trimestre'!F21</f>
        <v>407564002.85000002</v>
      </c>
      <c r="G21" s="35">
        <f>+'III Trimestre'!G21+'IV Trimestre'!G21</f>
        <v>5363116427.6599998</v>
      </c>
    </row>
    <row r="22" spans="1:7" ht="15.6">
      <c r="A22" s="7" t="s">
        <v>120</v>
      </c>
      <c r="B22" s="35">
        <f>SUM(C22:G22)</f>
        <v>31828789561</v>
      </c>
      <c r="C22" s="35">
        <f>+'I Trimestre'!C22+'II trimestre'!C22+'III Trimestre'!C22+'IV Trimestre'!C22</f>
        <v>11004542799.950001</v>
      </c>
      <c r="D22" s="35">
        <f>+'I Trimestre'!D22+'II trimestre'!D22+'III Trimestre'!D22+'IV Trimestre'!D22</f>
        <v>10050618305.309998</v>
      </c>
      <c r="E22" s="35">
        <f>+'I Trimestre'!E22+'II trimestre'!E22+'III Trimestre'!E22+'IV Trimestre'!E22</f>
        <v>2709817199.6000004</v>
      </c>
      <c r="F22" s="35">
        <f>+'I Trimestre'!F22+'II trimestre'!F22+'III Trimestre'!F22+'IV Trimestre'!F22</f>
        <v>542637561.45000005</v>
      </c>
      <c r="G22" s="35">
        <f>+'I Trimestre'!G22+'II trimestre'!G22+'III Trimestre'!G22+'IV Trimestre'!G22</f>
        <v>7521173694.6899996</v>
      </c>
    </row>
    <row r="23" spans="1:7" ht="15.6">
      <c r="A23" s="7" t="s">
        <v>121</v>
      </c>
      <c r="B23" s="35">
        <f>SUM(C23:G23)</f>
        <v>30938301474.709999</v>
      </c>
      <c r="C23" s="35">
        <f>+'I Trimestre'!C23+'II trimestre'!C23+'III Trimestre'!C23+'IV Trimestre'!C23</f>
        <v>10704413084.929998</v>
      </c>
      <c r="D23" s="35">
        <f>+'I Trimestre'!D23+'II trimestre'!D23+'III Trimestre'!D23+'IV Trimestre'!D23</f>
        <v>9802829377.8199997</v>
      </c>
      <c r="E23" s="35">
        <f>+'I Trimestre'!E23+'II trimestre'!E23+'III Trimestre'!E23+'IV Trimestre'!E23</f>
        <v>2493285155.46</v>
      </c>
      <c r="F23" s="35">
        <f>+'I Trimestre'!F23+'II trimestre'!F23+'III Trimestre'!F23+'IV Trimestre'!F23</f>
        <v>488261051.06999999</v>
      </c>
      <c r="G23" s="35">
        <f>+'I Trimestre'!G23+'II trimestre'!G23+'III Trimestre'!G23+'IV Trimestre'!G23</f>
        <v>7449512805.4300003</v>
      </c>
    </row>
    <row r="24" spans="1:7" ht="15.6">
      <c r="A24" s="7" t="s">
        <v>82</v>
      </c>
      <c r="B24" s="35">
        <f>SUM(C24:G24)</f>
        <v>31828789561</v>
      </c>
      <c r="C24" s="35">
        <f>+'IV Trimestre'!C24</f>
        <v>11004542799.950001</v>
      </c>
      <c r="D24" s="35">
        <f>+'IV Trimestre'!D24</f>
        <v>10050618305.309998</v>
      </c>
      <c r="E24" s="35">
        <f>+'IV Trimestre'!E24</f>
        <v>2709817199.6000004</v>
      </c>
      <c r="F24" s="35">
        <f>+'IV Trimestre'!F24</f>
        <v>542637561.45000005</v>
      </c>
      <c r="G24" s="35">
        <f>+'IV Trimestre'!G24</f>
        <v>7521173694.6899996</v>
      </c>
    </row>
    <row r="25" spans="1:7" ht="15.6">
      <c r="A25" s="7" t="s">
        <v>122</v>
      </c>
      <c r="B25" s="35">
        <f>SUM(C25:G25)</f>
        <v>30938301474.709999</v>
      </c>
      <c r="C25" s="35">
        <f t="shared" ref="C25:E25" si="0">C23</f>
        <v>10704413084.929998</v>
      </c>
      <c r="D25" s="35">
        <f t="shared" si="0"/>
        <v>9802829377.8199997</v>
      </c>
      <c r="E25" s="35">
        <f t="shared" si="0"/>
        <v>2493285155.46</v>
      </c>
      <c r="F25" s="35">
        <f t="shared" ref="F25:G25" si="1">F23</f>
        <v>488261051.06999999</v>
      </c>
      <c r="G25" s="35">
        <f t="shared" si="1"/>
        <v>7449512805.4300003</v>
      </c>
    </row>
    <row r="26" spans="1:7" ht="15.6">
      <c r="A26" s="5"/>
      <c r="B26" s="35"/>
      <c r="C26" s="35"/>
      <c r="D26" s="35"/>
      <c r="E26" s="35"/>
    </row>
    <row r="27" spans="1:7" ht="15.6">
      <c r="A27" s="12" t="s">
        <v>6</v>
      </c>
      <c r="B27" s="35"/>
      <c r="C27" s="35"/>
      <c r="D27" s="35"/>
      <c r="E27" s="35"/>
    </row>
    <row r="28" spans="1:7" ht="15.6">
      <c r="A28" s="7" t="s">
        <v>120</v>
      </c>
      <c r="B28" s="35">
        <f>+B22</f>
        <v>31828789561</v>
      </c>
      <c r="C28" s="35"/>
      <c r="D28" s="35"/>
      <c r="E28" s="35"/>
    </row>
    <row r="29" spans="1:7" ht="15.6">
      <c r="A29" s="7" t="s">
        <v>121</v>
      </c>
      <c r="B29" s="35">
        <f>'I Trimestre'!B29+'II trimestre'!B29+'III Trimestre'!B29+'IV Trimestre'!B29</f>
        <v>31828789561</v>
      </c>
      <c r="C29" s="35"/>
      <c r="D29" s="35"/>
      <c r="E29" s="35"/>
    </row>
    <row r="30" spans="1:7" ht="15.6">
      <c r="A30" s="6"/>
      <c r="B30" s="35"/>
      <c r="C30" s="35"/>
      <c r="D30" s="35"/>
      <c r="E30" s="35"/>
    </row>
    <row r="31" spans="1:7" ht="15.6">
      <c r="A31" s="5" t="s">
        <v>7</v>
      </c>
      <c r="B31" s="6"/>
      <c r="C31" s="6"/>
      <c r="D31" s="6"/>
      <c r="E31" s="6"/>
    </row>
    <row r="32" spans="1:7" ht="15.6">
      <c r="A32" s="7" t="s">
        <v>76</v>
      </c>
      <c r="B32" s="11">
        <v>1.1144000000000001</v>
      </c>
      <c r="C32" s="11">
        <v>1.1144000000000001</v>
      </c>
      <c r="D32" s="11">
        <v>1.1144000000000001</v>
      </c>
      <c r="E32" s="11">
        <v>1.1144000000000001</v>
      </c>
      <c r="F32" s="11">
        <v>1.1144000000000001</v>
      </c>
      <c r="G32" s="11">
        <v>1.1144000000000001</v>
      </c>
    </row>
    <row r="33" spans="1:7" ht="15.6">
      <c r="A33" s="7" t="s">
        <v>123</v>
      </c>
      <c r="B33" s="11">
        <v>1.0947</v>
      </c>
      <c r="C33" s="11">
        <v>1.0947</v>
      </c>
      <c r="D33" s="11">
        <v>1.0947</v>
      </c>
      <c r="E33" s="11">
        <v>1.0947</v>
      </c>
      <c r="F33" s="11">
        <v>1.0947</v>
      </c>
      <c r="G33" s="11">
        <v>1.0947</v>
      </c>
    </row>
    <row r="34" spans="1:7" ht="15.6">
      <c r="A34" s="7" t="s">
        <v>8</v>
      </c>
      <c r="B34" s="36" t="s">
        <v>36</v>
      </c>
      <c r="C34" s="36" t="s">
        <v>36</v>
      </c>
      <c r="D34" s="36" t="s">
        <v>36</v>
      </c>
      <c r="E34" s="36" t="s">
        <v>36</v>
      </c>
      <c r="F34" s="36" t="s">
        <v>36</v>
      </c>
      <c r="G34" s="36" t="s">
        <v>36</v>
      </c>
    </row>
    <row r="35" spans="1:7" ht="15.6">
      <c r="A35" s="6"/>
      <c r="B35" s="6"/>
      <c r="C35" s="6"/>
      <c r="D35" s="6"/>
      <c r="E35" s="6"/>
    </row>
    <row r="36" spans="1:7" ht="15.6">
      <c r="A36" s="12" t="s">
        <v>9</v>
      </c>
      <c r="B36" s="6"/>
      <c r="C36" s="6"/>
      <c r="D36" s="6"/>
      <c r="E36" s="6"/>
    </row>
    <row r="37" spans="1:7" ht="15.6">
      <c r="A37" s="7" t="s">
        <v>77</v>
      </c>
      <c r="B37" s="14">
        <f>B21/B32</f>
        <v>21484020744.687721</v>
      </c>
      <c r="C37" s="14">
        <f t="shared" ref="C37" si="2">C21/C32</f>
        <v>8562042381.0480957</v>
      </c>
      <c r="D37" s="14">
        <f>D21/D32</f>
        <v>5733528340.1561384</v>
      </c>
      <c r="E37" s="14">
        <f t="shared" ref="E37:G37" si="3">E21/E32</f>
        <v>2010165358.6324477</v>
      </c>
      <c r="F37" s="14">
        <f t="shared" si="3"/>
        <v>365725056.39806175</v>
      </c>
      <c r="G37" s="14">
        <f t="shared" si="3"/>
        <v>4812559608.4529791</v>
      </c>
    </row>
    <row r="38" spans="1:7" ht="15.6">
      <c r="A38" s="7" t="s">
        <v>124</v>
      </c>
      <c r="B38" s="14">
        <f>B23/B33</f>
        <v>28261899584.0961</v>
      </c>
      <c r="C38" s="14">
        <f t="shared" ref="C38" si="4">C23/C33</f>
        <v>9778398725.6143227</v>
      </c>
      <c r="D38" s="14">
        <f>D23/D33</f>
        <v>8954808968.5027866</v>
      </c>
      <c r="E38" s="14">
        <f t="shared" ref="E38:G38" si="5">E23/E33</f>
        <v>2277596743.8202248</v>
      </c>
      <c r="F38" s="14">
        <f t="shared" si="5"/>
        <v>446022701.26061934</v>
      </c>
      <c r="G38" s="14">
        <f t="shared" si="5"/>
        <v>6805072444.8981457</v>
      </c>
    </row>
    <row r="39" spans="1:7" ht="15.6">
      <c r="A39" s="7" t="s">
        <v>78</v>
      </c>
      <c r="B39" s="8">
        <f>B37/B15</f>
        <v>284432.87238910748</v>
      </c>
      <c r="C39" s="8">
        <f t="shared" ref="C39:D39" si="6">C37/C15</f>
        <v>126903.35385211128</v>
      </c>
      <c r="D39" s="8">
        <f t="shared" si="6"/>
        <v>1290003.5639237587</v>
      </c>
      <c r="E39" s="8">
        <f t="shared" ref="E39:G39" si="7">E37/E15</f>
        <v>6420544.1319109323</v>
      </c>
      <c r="F39" s="8">
        <f t="shared" si="7"/>
        <v>317883.57792095805</v>
      </c>
      <c r="G39" s="8">
        <f t="shared" si="7"/>
        <v>2232515.6680623065</v>
      </c>
    </row>
    <row r="40" spans="1:7" ht="15.6">
      <c r="A40" s="7" t="s">
        <v>125</v>
      </c>
      <c r="B40" s="8">
        <f>B38/B17</f>
        <v>351841.57854243292</v>
      </c>
      <c r="C40" s="8">
        <f t="shared" ref="C40:D40" si="8">C38/C17</f>
        <v>134922.85130687311</v>
      </c>
      <c r="D40" s="8">
        <f t="shared" si="8"/>
        <v>1648958.9458166473</v>
      </c>
      <c r="E40" s="8">
        <f t="shared" ref="E40:G40" si="9">E38/E17</f>
        <v>7099002.8378812205</v>
      </c>
      <c r="F40" s="8">
        <f t="shared" si="9"/>
        <v>467910.51536840823</v>
      </c>
      <c r="G40" s="8">
        <f t="shared" si="9"/>
        <v>5932931.5125528732</v>
      </c>
    </row>
    <row r="41" spans="1:7" ht="15.6">
      <c r="A41" s="6"/>
      <c r="B41" s="35"/>
      <c r="C41" s="35"/>
      <c r="D41" s="35"/>
      <c r="E41" s="35"/>
    </row>
    <row r="42" spans="1:7" ht="15.6">
      <c r="A42" s="5" t="s">
        <v>10</v>
      </c>
      <c r="B42" s="6"/>
      <c r="C42" s="6"/>
      <c r="D42" s="6"/>
      <c r="E42" s="6"/>
    </row>
    <row r="43" spans="1:7" ht="15.6">
      <c r="A43" s="6"/>
      <c r="B43" s="6"/>
      <c r="C43" s="6"/>
      <c r="D43" s="6"/>
      <c r="E43" s="6"/>
    </row>
    <row r="44" spans="1:7" ht="15.6">
      <c r="A44" s="5" t="s">
        <v>11</v>
      </c>
      <c r="B44" s="6"/>
      <c r="C44" s="6"/>
      <c r="D44" s="6"/>
      <c r="E44" s="6"/>
    </row>
    <row r="45" spans="1:7" ht="15.6">
      <c r="A45" s="6" t="s">
        <v>12</v>
      </c>
      <c r="B45" s="10" t="s">
        <v>35</v>
      </c>
      <c r="C45" s="10" t="s">
        <v>35</v>
      </c>
      <c r="D45" s="10" t="s">
        <v>35</v>
      </c>
      <c r="E45" s="10" t="s">
        <v>35</v>
      </c>
      <c r="F45" s="10" t="s">
        <v>35</v>
      </c>
      <c r="G45" s="10" t="s">
        <v>35</v>
      </c>
    </row>
    <row r="46" spans="1:7" ht="15.6">
      <c r="A46" s="6" t="s">
        <v>13</v>
      </c>
      <c r="B46" s="10" t="s">
        <v>35</v>
      </c>
      <c r="C46" s="10" t="s">
        <v>35</v>
      </c>
      <c r="D46" s="10" t="s">
        <v>35</v>
      </c>
      <c r="E46" s="10" t="s">
        <v>35</v>
      </c>
      <c r="F46" s="10" t="s">
        <v>35</v>
      </c>
      <c r="G46" s="10" t="s">
        <v>35</v>
      </c>
    </row>
    <row r="47" spans="1:7" ht="15.6">
      <c r="A47" s="6"/>
      <c r="B47" s="37"/>
      <c r="C47" s="37"/>
      <c r="D47" s="37"/>
      <c r="E47" s="37"/>
      <c r="F47" s="37"/>
      <c r="G47" s="37"/>
    </row>
    <row r="48" spans="1:7" ht="15.6">
      <c r="A48" s="5" t="s">
        <v>14</v>
      </c>
      <c r="B48" s="37"/>
      <c r="C48" s="37"/>
      <c r="D48" s="37"/>
      <c r="E48" s="37"/>
      <c r="F48" s="37"/>
      <c r="G48" s="37"/>
    </row>
    <row r="49" spans="1:7" ht="15.6">
      <c r="A49" s="6" t="s">
        <v>15</v>
      </c>
      <c r="B49" s="37">
        <f>B17/B16*100</f>
        <v>94.393003959138895</v>
      </c>
      <c r="C49" s="37">
        <f t="shared" ref="C49:G49" si="10">C17/C16*100</f>
        <v>97.160553410553405</v>
      </c>
      <c r="D49" s="37">
        <f t="shared" si="10"/>
        <v>95.440831868775618</v>
      </c>
      <c r="E49" s="37">
        <f t="shared" si="10"/>
        <v>101.2092534174553</v>
      </c>
      <c r="F49" s="37">
        <f t="shared" si="10"/>
        <v>27.709948320413435</v>
      </c>
      <c r="G49" s="37">
        <f t="shared" si="10"/>
        <v>108.40945939984763</v>
      </c>
    </row>
    <row r="50" spans="1:7" ht="15.6">
      <c r="A50" s="6" t="s">
        <v>16</v>
      </c>
      <c r="B50" s="37">
        <f>B23/B22*100</f>
        <v>97.202255886660794</v>
      </c>
      <c r="C50" s="37">
        <f t="shared" ref="C50:G50" si="11">C23/C22*100</f>
        <v>97.272674381153152</v>
      </c>
      <c r="D50" s="37">
        <f t="shared" si="11"/>
        <v>97.534590211638175</v>
      </c>
      <c r="E50" s="37">
        <f t="shared" si="11"/>
        <v>92.009348668538863</v>
      </c>
      <c r="F50" s="37">
        <f t="shared" si="11"/>
        <v>89.979221078117263</v>
      </c>
      <c r="G50" s="37">
        <f t="shared" si="11"/>
        <v>99.047211350662039</v>
      </c>
    </row>
    <row r="51" spans="1:7" ht="15.6">
      <c r="A51" s="6" t="s">
        <v>17</v>
      </c>
      <c r="B51" s="37">
        <f>AVERAGE(B49:B50)</f>
        <v>95.797629922899844</v>
      </c>
      <c r="C51" s="37">
        <f t="shared" ref="C51:G51" si="12">AVERAGE(C49:C50)</f>
        <v>97.216613895853271</v>
      </c>
      <c r="D51" s="37">
        <f t="shared" si="12"/>
        <v>96.487711040206904</v>
      </c>
      <c r="E51" s="37">
        <f t="shared" si="12"/>
        <v>96.609301042997089</v>
      </c>
      <c r="F51" s="37">
        <f t="shared" si="12"/>
        <v>58.844584699265347</v>
      </c>
      <c r="G51" s="37">
        <f t="shared" si="12"/>
        <v>103.72833537525483</v>
      </c>
    </row>
    <row r="52" spans="1:7" ht="15.6">
      <c r="A52" s="6"/>
      <c r="B52" s="37"/>
      <c r="C52" s="37"/>
      <c r="D52" s="37"/>
      <c r="E52" s="37"/>
      <c r="F52" s="37"/>
      <c r="G52" s="37"/>
    </row>
    <row r="53" spans="1:7" ht="15.6">
      <c r="A53" s="5" t="s">
        <v>18</v>
      </c>
      <c r="B53" s="37"/>
      <c r="C53" s="37"/>
      <c r="D53" s="37"/>
      <c r="E53" s="37"/>
      <c r="F53" s="37"/>
      <c r="G53" s="37"/>
    </row>
    <row r="54" spans="1:7" ht="15.6">
      <c r="A54" s="6" t="s">
        <v>19</v>
      </c>
      <c r="B54" s="37">
        <f>B17/B18*100</f>
        <v>94.39303252628045</v>
      </c>
      <c r="C54" s="37">
        <f t="shared" ref="C54:G54" si="13">C17/C18*100</f>
        <v>97.160553410553405</v>
      </c>
      <c r="D54" s="37">
        <f t="shared" si="13"/>
        <v>95.440831868775618</v>
      </c>
      <c r="E54" s="37">
        <f t="shared" si="13"/>
        <v>101.2092534174553</v>
      </c>
      <c r="F54" s="37">
        <f t="shared" si="13"/>
        <v>27.709948320413435</v>
      </c>
      <c r="G54" s="37">
        <f t="shared" si="13"/>
        <v>108.41209829867675</v>
      </c>
    </row>
    <row r="55" spans="1:7" ht="15.6">
      <c r="A55" s="6" t="s">
        <v>20</v>
      </c>
      <c r="B55" s="37">
        <f>B23/B24*100</f>
        <v>97.202255886660794</v>
      </c>
      <c r="C55" s="37">
        <f t="shared" ref="C55:G55" si="14">C23/C24*100</f>
        <v>97.272674381153152</v>
      </c>
      <c r="D55" s="37">
        <f t="shared" si="14"/>
        <v>97.534590211638175</v>
      </c>
      <c r="E55" s="37">
        <f t="shared" si="14"/>
        <v>92.009348668538863</v>
      </c>
      <c r="F55" s="37">
        <f t="shared" si="14"/>
        <v>89.979221078117263</v>
      </c>
      <c r="G55" s="37">
        <f t="shared" si="14"/>
        <v>99.047211350662039</v>
      </c>
    </row>
    <row r="56" spans="1:7" ht="15.6">
      <c r="A56" s="6" t="s">
        <v>21</v>
      </c>
      <c r="B56" s="37">
        <f>(B54+B55)/2</f>
        <v>95.797644206470622</v>
      </c>
      <c r="C56" s="37">
        <f t="shared" ref="C56:G56" si="15">(C54+C55)/2</f>
        <v>97.216613895853271</v>
      </c>
      <c r="D56" s="37">
        <f t="shared" si="15"/>
        <v>96.487711040206904</v>
      </c>
      <c r="E56" s="37">
        <f t="shared" si="15"/>
        <v>96.609301042997089</v>
      </c>
      <c r="F56" s="37">
        <f t="shared" si="15"/>
        <v>58.844584699265347</v>
      </c>
      <c r="G56" s="37">
        <f t="shared" si="15"/>
        <v>103.7296548246694</v>
      </c>
    </row>
    <row r="57" spans="1:7" ht="15.6">
      <c r="A57" s="6"/>
      <c r="B57" s="37"/>
      <c r="C57" s="37"/>
      <c r="D57" s="37"/>
      <c r="E57" s="37"/>
    </row>
    <row r="58" spans="1:7" ht="15.6">
      <c r="A58" s="5" t="s">
        <v>32</v>
      </c>
      <c r="B58" s="37"/>
      <c r="C58" s="37"/>
      <c r="D58" s="37"/>
      <c r="E58" s="37"/>
    </row>
    <row r="59" spans="1:7" ht="15.6">
      <c r="A59" s="6" t="s">
        <v>22</v>
      </c>
      <c r="B59" s="37">
        <f>B25/B23*100</f>
        <v>100</v>
      </c>
      <c r="C59" s="37"/>
      <c r="D59" s="37"/>
      <c r="E59" s="37"/>
    </row>
    <row r="60" spans="1:7" ht="15.6">
      <c r="A60" s="6"/>
      <c r="B60" s="37"/>
      <c r="C60" s="37"/>
      <c r="D60" s="37"/>
      <c r="E60" s="37"/>
    </row>
    <row r="61" spans="1:7" ht="15.6">
      <c r="A61" s="5" t="s">
        <v>23</v>
      </c>
      <c r="B61" s="37"/>
      <c r="C61" s="37"/>
      <c r="D61" s="37"/>
      <c r="E61" s="37"/>
    </row>
    <row r="62" spans="1:7" ht="15.6">
      <c r="A62" s="6" t="s">
        <v>24</v>
      </c>
      <c r="B62" s="10">
        <f t="shared" ref="B62:D62" si="16">((B17/B15)-1)*100</f>
        <v>6.3453273815434086</v>
      </c>
      <c r="C62" s="10">
        <f t="shared" si="16"/>
        <v>7.4182217018186059</v>
      </c>
      <c r="D62" s="10">
        <f t="shared" si="16"/>
        <v>22.18430674041436</v>
      </c>
      <c r="E62" s="10">
        <f t="shared" ref="E62:G62" si="17">((E17/E15)-1)*100</f>
        <v>2.4753792919882889</v>
      </c>
      <c r="F62" s="10">
        <f t="shared" si="17"/>
        <v>-17.147134096286532</v>
      </c>
      <c r="G62" s="10">
        <f t="shared" si="17"/>
        <v>-46.791402505025523</v>
      </c>
    </row>
    <row r="63" spans="1:7" ht="15.6">
      <c r="A63" s="6" t="s">
        <v>25</v>
      </c>
      <c r="B63" s="10">
        <f>((B38/B37)-1)*100</f>
        <v>31.548465345269783</v>
      </c>
      <c r="C63" s="10">
        <f t="shared" ref="C63" si="18">((C38/C37)-1)*100</f>
        <v>14.206380795995678</v>
      </c>
      <c r="D63" s="10">
        <f>((D38/D37)-1)*100</f>
        <v>56.183216289097906</v>
      </c>
      <c r="E63" s="10">
        <f t="shared" ref="E63:G63" si="19">((E38/E37)-1)*100</f>
        <v>13.303949550186033</v>
      </c>
      <c r="F63" s="10">
        <f t="shared" si="19"/>
        <v>21.955740646645829</v>
      </c>
      <c r="G63" s="10">
        <f t="shared" si="19"/>
        <v>41.402351317278942</v>
      </c>
    </row>
    <row r="64" spans="1:7" ht="15.6">
      <c r="A64" s="6" t="s">
        <v>26</v>
      </c>
      <c r="B64" s="10">
        <f t="shared" ref="B64:D64" si="20">((B40/B39)-1)*100</f>
        <v>23.69933741733956</v>
      </c>
      <c r="C64" s="10">
        <f t="shared" si="20"/>
        <v>6.3193739261670601</v>
      </c>
      <c r="D64" s="10">
        <f t="shared" si="20"/>
        <v>27.825921720794831</v>
      </c>
      <c r="E64" s="10">
        <f t="shared" ref="E64:G64" si="21">((E40/E39)-1)*100</f>
        <v>10.566997002610123</v>
      </c>
      <c r="F64" s="10">
        <f t="shared" si="21"/>
        <v>47.1955608492473</v>
      </c>
      <c r="G64" s="10">
        <f t="shared" si="21"/>
        <v>165.7509462275045</v>
      </c>
    </row>
    <row r="65" spans="1:15" ht="15.6">
      <c r="A65" s="6"/>
      <c r="B65" s="37"/>
      <c r="C65" s="37"/>
      <c r="D65" s="37"/>
      <c r="E65" s="37"/>
    </row>
    <row r="66" spans="1:15" ht="15.6">
      <c r="A66" s="5" t="s">
        <v>27</v>
      </c>
      <c r="B66" s="37"/>
      <c r="C66" s="37"/>
      <c r="D66" s="37"/>
      <c r="E66" s="37"/>
    </row>
    <row r="67" spans="1:15" ht="15.6">
      <c r="A67" s="6" t="s">
        <v>33</v>
      </c>
      <c r="B67" s="37">
        <f>B22/(B16*12)</f>
        <v>31169.116741604284</v>
      </c>
      <c r="C67" s="37">
        <f>C22/C16</f>
        <v>147529.79944162915</v>
      </c>
      <c r="D67" s="37">
        <f>D22/(D16*12)</f>
        <v>147197.10464718801</v>
      </c>
      <c r="E67" s="37">
        <f>E22/(E16*12)</f>
        <v>712359.93680336501</v>
      </c>
      <c r="F67" s="37">
        <f>F22/(F16*7)</f>
        <v>22534.782452242525</v>
      </c>
      <c r="G67" s="37">
        <f>G22/(G16*12)</f>
        <v>592390.56545604288</v>
      </c>
    </row>
    <row r="68" spans="1:15" ht="15.6">
      <c r="A68" s="6" t="s">
        <v>34</v>
      </c>
      <c r="B68" s="37">
        <f t="shared" ref="B68" si="22">B23/(B17*12)</f>
        <v>32096.748002533441</v>
      </c>
      <c r="C68" s="37">
        <f>C23/C17</f>
        <v>147700.04532563401</v>
      </c>
      <c r="D68" s="37">
        <f>D23/(D17*12)</f>
        <v>150426.2798321236</v>
      </c>
      <c r="E68" s="37">
        <f>E23/(E17*12)</f>
        <v>647606.53388571425</v>
      </c>
      <c r="F68" s="37">
        <f>F23/(F17*7)</f>
        <v>73174.520167685216</v>
      </c>
      <c r="G68" s="37">
        <f>G23/(G17*12)</f>
        <v>541231.67723263591</v>
      </c>
    </row>
    <row r="69" spans="1:15" ht="15.6">
      <c r="A69" s="6" t="s">
        <v>28</v>
      </c>
      <c r="B69" s="37">
        <f>(B68/B67)*B51</f>
        <v>98.648685247184616</v>
      </c>
      <c r="C69" s="37">
        <f>(C68/C67)*C51</f>
        <v>97.328799558921347</v>
      </c>
      <c r="D69" s="37">
        <f>(D68/D67)*D51</f>
        <v>98.604435570142996</v>
      </c>
      <c r="E69" s="37">
        <f>(E68/E67)*E51</f>
        <v>87.827531220143314</v>
      </c>
      <c r="F69" s="37">
        <f t="shared" ref="F69:G69" si="23">(F68/F67)*F51</f>
        <v>191.07902456839355</v>
      </c>
      <c r="G69" s="37">
        <f t="shared" si="23"/>
        <v>94.770349504940526</v>
      </c>
    </row>
    <row r="70" spans="1:15" ht="15.6">
      <c r="A70" s="6" t="s">
        <v>37</v>
      </c>
      <c r="B70" s="37">
        <f t="shared" ref="B70:B71" si="24">B22/B16</f>
        <v>374029.4008992514</v>
      </c>
      <c r="C70" s="37">
        <f>(C22/C16)*12</f>
        <v>1770357.5932995498</v>
      </c>
      <c r="D70" s="37">
        <f t="shared" ref="D70" si="25">D22/D16</f>
        <v>1766365.2557662562</v>
      </c>
      <c r="E70" s="37">
        <f t="shared" ref="E70:F70" si="26">E22/E16</f>
        <v>8548319.2416403797</v>
      </c>
      <c r="F70" s="37">
        <f t="shared" si="26"/>
        <v>157743.4771656977</v>
      </c>
      <c r="G70" s="37">
        <f t="shared" ref="G70" si="27">G22/G16</f>
        <v>7108686.785472515</v>
      </c>
    </row>
    <row r="71" spans="1:15" ht="15.6">
      <c r="A71" s="6" t="s">
        <v>38</v>
      </c>
      <c r="B71" s="37">
        <f t="shared" si="24"/>
        <v>385160.9760304013</v>
      </c>
      <c r="C71" s="37">
        <f>(C23/C17)*12</f>
        <v>1772400.5439076081</v>
      </c>
      <c r="D71" s="37">
        <f t="shared" ref="D71" si="28">D23/D17</f>
        <v>1805115.3579854835</v>
      </c>
      <c r="E71" s="37">
        <f t="shared" ref="E71:F71" si="29">E23/E17</f>
        <v>7771278.4066285724</v>
      </c>
      <c r="F71" s="37">
        <f t="shared" si="29"/>
        <v>512221.6411737965</v>
      </c>
      <c r="G71" s="37">
        <f t="shared" ref="G71" si="30">G23/G17</f>
        <v>6494780.1267916309</v>
      </c>
    </row>
    <row r="72" spans="1:15" ht="15.6">
      <c r="A72" s="6"/>
      <c r="B72" s="37"/>
      <c r="C72" s="37"/>
      <c r="D72" s="37"/>
      <c r="E72" s="37"/>
    </row>
    <row r="73" spans="1:15" ht="15.6">
      <c r="A73" s="5" t="s">
        <v>29</v>
      </c>
      <c r="B73" s="37"/>
      <c r="C73" s="37"/>
      <c r="D73" s="37"/>
      <c r="E73" s="37"/>
    </row>
    <row r="74" spans="1:15" ht="15.6">
      <c r="A74" s="6" t="s">
        <v>30</v>
      </c>
      <c r="B74" s="37">
        <f>(B29/B28)*100</f>
        <v>100</v>
      </c>
      <c r="C74" s="37"/>
      <c r="D74" s="37"/>
      <c r="E74" s="37"/>
    </row>
    <row r="75" spans="1:15" ht="15.6">
      <c r="A75" s="6" t="s">
        <v>31</v>
      </c>
      <c r="B75" s="37">
        <f>(B23/B29)*100</f>
        <v>97.202255886660794</v>
      </c>
      <c r="C75" s="37"/>
      <c r="D75" s="37"/>
      <c r="E75" s="37"/>
    </row>
    <row r="76" spans="1:15" ht="16.2" thickBot="1">
      <c r="A76" s="15"/>
      <c r="B76" s="15"/>
      <c r="C76" s="15"/>
      <c r="D76" s="15"/>
      <c r="E76" s="15"/>
      <c r="F76" s="15"/>
      <c r="G76" s="15"/>
    </row>
    <row r="77" spans="1:15" s="3" customFormat="1" ht="16.5" customHeight="1" thickTop="1">
      <c r="A77" s="51" t="s">
        <v>87</v>
      </c>
      <c r="B77" s="51"/>
      <c r="C77" s="51"/>
      <c r="D77" s="51"/>
      <c r="E77" s="51"/>
    </row>
    <row r="79" spans="1:15" ht="41.25" customHeight="1">
      <c r="A79" s="52" t="s">
        <v>126</v>
      </c>
      <c r="B79" s="52"/>
      <c r="C79" s="52"/>
      <c r="D79" s="52"/>
      <c r="E79" s="52"/>
      <c r="F79" s="52"/>
      <c r="G79" s="52"/>
      <c r="H79" s="6"/>
      <c r="I79" s="6"/>
      <c r="J79" s="6"/>
      <c r="K79" s="6"/>
      <c r="L79" s="6"/>
      <c r="M79" s="6"/>
      <c r="N79" s="6"/>
      <c r="O79" s="6"/>
    </row>
  </sheetData>
  <mergeCells count="5">
    <mergeCell ref="A9:A10"/>
    <mergeCell ref="B9:B10"/>
    <mergeCell ref="C9:G9"/>
    <mergeCell ref="A77:E77"/>
    <mergeCell ref="A79:G79"/>
  </mergeCells>
  <pageMargins left="0.7" right="0.7" top="0.75" bottom="0.75" header="0.3" footer="0.3"/>
  <pageSetup scale="10" orientation="portrait" r:id="rId1"/>
  <ignoredErrors>
    <ignoredError sqref="C70:C71 C67:C68 F67:F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2025-12-31T03:24:27Z</dcterms:modified>
</cp:coreProperties>
</file>