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F3406690-3BC0-4B4C-96B9-A9760FA09072}" xr6:coauthVersionLast="47" xr6:coauthVersionMax="47" xr10:uidLastSave="{00000000-0000-0000-0000-000000000000}"/>
  <bookViews>
    <workbookView xWindow="-108" yWindow="-108" windowWidth="23256" windowHeight="13896" tabRatio="721" xr2:uid="{00000000-000D-0000-FFFF-FFFF00000000}"/>
  </bookViews>
  <sheets>
    <sheet name="I Trimestre" sheetId="8" r:id="rId1"/>
    <sheet name="II Trimestre" sheetId="2" r:id="rId2"/>
    <sheet name="I Semestre" sheetId="5" r:id="rId3"/>
    <sheet name="III Trimestre" sheetId="3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5" i="7" l="1"/>
  <c r="D74" i="7"/>
  <c r="D75" i="7"/>
  <c r="B74" i="7"/>
  <c r="D29" i="7"/>
  <c r="E68" i="4"/>
  <c r="E67" i="4"/>
  <c r="F68" i="7"/>
  <c r="F67" i="7"/>
  <c r="E68" i="7"/>
  <c r="E67" i="7"/>
  <c r="F68" i="4"/>
  <c r="F67" i="4"/>
  <c r="B18" i="4" l="1"/>
  <c r="B18" i="7" s="1"/>
  <c r="B17" i="4"/>
  <c r="B16" i="4"/>
  <c r="B16" i="7" s="1"/>
  <c r="B18" i="6"/>
  <c r="B17" i="6"/>
  <c r="B16" i="6"/>
  <c r="B15" i="6"/>
  <c r="B18" i="3"/>
  <c r="B16" i="3"/>
  <c r="B18" i="5"/>
  <c r="B16" i="5"/>
  <c r="B16" i="2"/>
  <c r="B17" i="2"/>
  <c r="B18" i="2"/>
  <c r="B16" i="8"/>
  <c r="B17" i="8"/>
  <c r="B18" i="8"/>
  <c r="C15" i="7" l="1"/>
  <c r="B15" i="7"/>
  <c r="C16" i="6" l="1"/>
  <c r="C18" i="6"/>
  <c r="D29" i="6"/>
  <c r="D29" i="5"/>
  <c r="F68" i="8" l="1"/>
  <c r="F67" i="8"/>
  <c r="E68" i="8"/>
  <c r="E67" i="8"/>
  <c r="D68" i="8"/>
  <c r="D67" i="8"/>
  <c r="B29" i="7" l="1"/>
  <c r="F62" i="4" l="1"/>
  <c r="E62" i="4"/>
  <c r="D62" i="4"/>
  <c r="F62" i="3"/>
  <c r="E62" i="3"/>
  <c r="D62" i="3"/>
  <c r="F62" i="2"/>
  <c r="E62" i="2"/>
  <c r="D62" i="2"/>
  <c r="C62" i="2"/>
  <c r="F62" i="8"/>
  <c r="E62" i="8"/>
  <c r="D62" i="8"/>
  <c r="C62" i="4" l="1"/>
  <c r="D50" i="4"/>
  <c r="F22" i="7" l="1"/>
  <c r="D22" i="7"/>
  <c r="E25" i="3" l="1"/>
  <c r="F25" i="3"/>
  <c r="D25" i="3"/>
  <c r="E25" i="2"/>
  <c r="F25" i="2"/>
  <c r="D25" i="2"/>
  <c r="C15" i="5" l="1"/>
  <c r="E22" i="7" l="1"/>
  <c r="B22" i="7" s="1"/>
  <c r="B15" i="4" l="1"/>
  <c r="B15" i="3"/>
  <c r="B15" i="2"/>
  <c r="B15" i="8"/>
  <c r="B15" i="5" l="1"/>
  <c r="D21" i="7"/>
  <c r="E25" i="4"/>
  <c r="E59" i="4" s="1"/>
  <c r="F25" i="4"/>
  <c r="F59" i="4" s="1"/>
  <c r="E59" i="3"/>
  <c r="F59" i="3"/>
  <c r="E59" i="2"/>
  <c r="F59" i="2"/>
  <c r="F25" i="8"/>
  <c r="F59" i="8" s="1"/>
  <c r="E25" i="8"/>
  <c r="B54" i="4"/>
  <c r="B17" i="3"/>
  <c r="B49" i="3" s="1"/>
  <c r="B54" i="2"/>
  <c r="F21" i="5"/>
  <c r="F37" i="5" s="1"/>
  <c r="E21" i="5"/>
  <c r="E37" i="5" s="1"/>
  <c r="D21" i="5"/>
  <c r="D37" i="5" s="1"/>
  <c r="F71" i="4"/>
  <c r="E71" i="4"/>
  <c r="D71" i="4"/>
  <c r="F70" i="4"/>
  <c r="E70" i="4"/>
  <c r="D70" i="4"/>
  <c r="D68" i="4"/>
  <c r="D67" i="4"/>
  <c r="F71" i="3"/>
  <c r="E71" i="3"/>
  <c r="D71" i="3"/>
  <c r="F70" i="3"/>
  <c r="E70" i="3"/>
  <c r="D70" i="3"/>
  <c r="F68" i="3"/>
  <c r="E68" i="3"/>
  <c r="D68" i="3"/>
  <c r="F67" i="3"/>
  <c r="E67" i="3"/>
  <c r="D67" i="3"/>
  <c r="F71" i="2"/>
  <c r="E71" i="2"/>
  <c r="D71" i="2"/>
  <c r="F70" i="2"/>
  <c r="E70" i="2"/>
  <c r="D70" i="2"/>
  <c r="F68" i="2"/>
  <c r="E68" i="2"/>
  <c r="D68" i="2"/>
  <c r="F67" i="2"/>
  <c r="E67" i="2"/>
  <c r="D67" i="2"/>
  <c r="F71" i="8"/>
  <c r="E71" i="8"/>
  <c r="F70" i="8"/>
  <c r="E70" i="8"/>
  <c r="D70" i="8"/>
  <c r="F55" i="4"/>
  <c r="F56" i="4" s="1"/>
  <c r="E55" i="4"/>
  <c r="E56" i="4" s="1"/>
  <c r="D55" i="4"/>
  <c r="D56" i="4" s="1"/>
  <c r="C54" i="4"/>
  <c r="C56" i="4" s="1"/>
  <c r="F55" i="3"/>
  <c r="F56" i="3" s="1"/>
  <c r="E55" i="3"/>
  <c r="E56" i="3" s="1"/>
  <c r="D55" i="3"/>
  <c r="D56" i="3" s="1"/>
  <c r="C54" i="3"/>
  <c r="C56" i="3" s="1"/>
  <c r="F55" i="2"/>
  <c r="F56" i="2" s="1"/>
  <c r="E55" i="2"/>
  <c r="E56" i="2" s="1"/>
  <c r="D55" i="2"/>
  <c r="D56" i="2" s="1"/>
  <c r="C54" i="2"/>
  <c r="C56" i="2" s="1"/>
  <c r="F55" i="8"/>
  <c r="F56" i="8" s="1"/>
  <c r="E55" i="8"/>
  <c r="E56" i="8" s="1"/>
  <c r="C54" i="8"/>
  <c r="C56" i="8" s="1"/>
  <c r="B29" i="6"/>
  <c r="E21" i="6"/>
  <c r="E37" i="6" s="1"/>
  <c r="F21" i="6"/>
  <c r="F37" i="6" s="1"/>
  <c r="D21" i="6"/>
  <c r="D37" i="6" s="1"/>
  <c r="D51" i="4"/>
  <c r="C49" i="4"/>
  <c r="C51" i="4" s="1"/>
  <c r="D38" i="4"/>
  <c r="D40" i="4" s="1"/>
  <c r="E38" i="4"/>
  <c r="F38" i="4"/>
  <c r="D37" i="4"/>
  <c r="D39" i="4" s="1"/>
  <c r="E37" i="4"/>
  <c r="F37" i="4"/>
  <c r="C62" i="3"/>
  <c r="C49" i="3"/>
  <c r="C51" i="3" s="1"/>
  <c r="D50" i="3"/>
  <c r="D51" i="3" s="1"/>
  <c r="F50" i="3"/>
  <c r="F51" i="3" s="1"/>
  <c r="D38" i="3"/>
  <c r="D40" i="3" s="1"/>
  <c r="E38" i="3"/>
  <c r="F38" i="3"/>
  <c r="F40" i="3" s="1"/>
  <c r="D37" i="3"/>
  <c r="D39" i="3" s="1"/>
  <c r="E37" i="3"/>
  <c r="E39" i="3" s="1"/>
  <c r="F37" i="3"/>
  <c r="F39" i="3" s="1"/>
  <c r="E23" i="5"/>
  <c r="F23" i="5"/>
  <c r="F25" i="5" s="1"/>
  <c r="F59" i="5" s="1"/>
  <c r="E22" i="5"/>
  <c r="F22" i="5"/>
  <c r="D22" i="5"/>
  <c r="D50" i="2"/>
  <c r="D51" i="2" s="1"/>
  <c r="F50" i="2"/>
  <c r="F51" i="2" s="1"/>
  <c r="F37" i="2"/>
  <c r="F39" i="2" s="1"/>
  <c r="E37" i="2"/>
  <c r="E39" i="2" s="1"/>
  <c r="D37" i="2"/>
  <c r="D39" i="2" s="1"/>
  <c r="E37" i="8"/>
  <c r="E39" i="8" s="1"/>
  <c r="F37" i="8"/>
  <c r="F39" i="8" s="1"/>
  <c r="D37" i="8"/>
  <c r="D39" i="8" s="1"/>
  <c r="F38" i="2"/>
  <c r="E38" i="2"/>
  <c r="E40" i="2" s="1"/>
  <c r="D38" i="2"/>
  <c r="D40" i="2" s="1"/>
  <c r="C18" i="7"/>
  <c r="C16" i="7"/>
  <c r="C17" i="7"/>
  <c r="C15" i="6"/>
  <c r="C17" i="6"/>
  <c r="C18" i="5"/>
  <c r="C16" i="5"/>
  <c r="C17" i="5"/>
  <c r="C49" i="2"/>
  <c r="C51" i="2" s="1"/>
  <c r="C62" i="8"/>
  <c r="C49" i="8"/>
  <c r="C51" i="8" s="1"/>
  <c r="D59" i="3"/>
  <c r="D59" i="2"/>
  <c r="B21" i="8"/>
  <c r="D25" i="4"/>
  <c r="D59" i="4" s="1"/>
  <c r="B22" i="4"/>
  <c r="B67" i="4" s="1"/>
  <c r="B23" i="4"/>
  <c r="B24" i="4"/>
  <c r="E21" i="7"/>
  <c r="E37" i="7" s="1"/>
  <c r="E39" i="7" s="1"/>
  <c r="F21" i="7"/>
  <c r="F37" i="7" s="1"/>
  <c r="B21" i="4"/>
  <c r="B37" i="4" s="1"/>
  <c r="B39" i="4" s="1"/>
  <c r="B21" i="3"/>
  <c r="B37" i="3" s="1"/>
  <c r="B39" i="3" s="1"/>
  <c r="B21" i="2"/>
  <c r="B37" i="2" s="1"/>
  <c r="B39" i="2" s="1"/>
  <c r="E24" i="5"/>
  <c r="F24" i="5"/>
  <c r="D24" i="5"/>
  <c r="E24" i="6"/>
  <c r="F24" i="6"/>
  <c r="D24" i="6"/>
  <c r="E23" i="6"/>
  <c r="E25" i="6" s="1"/>
  <c r="E59" i="6" s="1"/>
  <c r="F23" i="6"/>
  <c r="E22" i="6"/>
  <c r="F22" i="6"/>
  <c r="D22" i="6"/>
  <c r="E24" i="7"/>
  <c r="F24" i="7"/>
  <c r="D24" i="7"/>
  <c r="B24" i="3"/>
  <c r="B23" i="3"/>
  <c r="B75" i="3" s="1"/>
  <c r="B22" i="3"/>
  <c r="C70" i="3" s="1"/>
  <c r="B24" i="2"/>
  <c r="B23" i="2"/>
  <c r="B75" i="2" s="1"/>
  <c r="B22" i="2"/>
  <c r="C70" i="2" s="1"/>
  <c r="B24" i="8"/>
  <c r="B22" i="8"/>
  <c r="B28" i="8" s="1"/>
  <c r="B67" i="7"/>
  <c r="B49" i="4"/>
  <c r="E23" i="7"/>
  <c r="E25" i="7" s="1"/>
  <c r="E59" i="7" s="1"/>
  <c r="F23" i="7"/>
  <c r="B29" i="5"/>
  <c r="F38" i="8"/>
  <c r="E38" i="8"/>
  <c r="E40" i="8" s="1"/>
  <c r="F50" i="8"/>
  <c r="F51" i="8" s="1"/>
  <c r="E50" i="8"/>
  <c r="E51" i="8" s="1"/>
  <c r="D71" i="8"/>
  <c r="D55" i="8"/>
  <c r="D56" i="8" s="1"/>
  <c r="D50" i="8"/>
  <c r="D51" i="8" s="1"/>
  <c r="D23" i="5"/>
  <c r="D25" i="5" s="1"/>
  <c r="D59" i="5" s="1"/>
  <c r="D25" i="8"/>
  <c r="D59" i="8" s="1"/>
  <c r="D38" i="8"/>
  <c r="D23" i="6"/>
  <c r="D25" i="6" s="1"/>
  <c r="D59" i="6" s="1"/>
  <c r="D23" i="7"/>
  <c r="B23" i="8"/>
  <c r="C68" i="8" s="1"/>
  <c r="E63" i="4" l="1"/>
  <c r="F39" i="4"/>
  <c r="F63" i="4"/>
  <c r="B49" i="2"/>
  <c r="D67" i="5"/>
  <c r="D67" i="6"/>
  <c r="D67" i="7"/>
  <c r="C67" i="7"/>
  <c r="D68" i="5"/>
  <c r="D62" i="5"/>
  <c r="F62" i="5"/>
  <c r="E62" i="5"/>
  <c r="D68" i="6"/>
  <c r="D62" i="6"/>
  <c r="F62" i="6"/>
  <c r="E62" i="6"/>
  <c r="D68" i="7"/>
  <c r="C62" i="7"/>
  <c r="D62" i="7"/>
  <c r="F62" i="7"/>
  <c r="E62" i="7"/>
  <c r="F39" i="7"/>
  <c r="B74" i="8"/>
  <c r="D74" i="8"/>
  <c r="B24" i="7"/>
  <c r="B62" i="3"/>
  <c r="C70" i="8"/>
  <c r="B67" i="8"/>
  <c r="C67" i="8"/>
  <c r="C69" i="8" s="1"/>
  <c r="B23" i="7"/>
  <c r="B70" i="8"/>
  <c r="B68" i="8"/>
  <c r="D37" i="7"/>
  <c r="D39" i="7" s="1"/>
  <c r="B21" i="7"/>
  <c r="B37" i="7" s="1"/>
  <c r="B39" i="7" s="1"/>
  <c r="F68" i="5"/>
  <c r="E68" i="5"/>
  <c r="F67" i="6"/>
  <c r="E67" i="6"/>
  <c r="F67" i="5"/>
  <c r="E67" i="5"/>
  <c r="F68" i="6"/>
  <c r="E68" i="6"/>
  <c r="B62" i="4"/>
  <c r="E40" i="4"/>
  <c r="B37" i="8"/>
  <c r="B39" i="8" s="1"/>
  <c r="C71" i="8"/>
  <c r="B75" i="8"/>
  <c r="C49" i="7"/>
  <c r="C51" i="7" s="1"/>
  <c r="C68" i="4"/>
  <c r="B75" i="4"/>
  <c r="B54" i="3"/>
  <c r="B68" i="3"/>
  <c r="D63" i="8"/>
  <c r="D55" i="7"/>
  <c r="D56" i="7" s="1"/>
  <c r="D70" i="6"/>
  <c r="F70" i="6"/>
  <c r="D70" i="5"/>
  <c r="E70" i="6"/>
  <c r="C54" i="5"/>
  <c r="C56" i="5" s="1"/>
  <c r="D50" i="5"/>
  <c r="D51" i="5" s="1"/>
  <c r="D55" i="5"/>
  <c r="D56" i="5" s="1"/>
  <c r="B50" i="8"/>
  <c r="D55" i="6"/>
  <c r="D56" i="6" s="1"/>
  <c r="D38" i="5"/>
  <c r="D40" i="5" s="1"/>
  <c r="E63" i="2"/>
  <c r="B28" i="3"/>
  <c r="B74" i="3" s="1"/>
  <c r="C67" i="3"/>
  <c r="C71" i="4"/>
  <c r="D38" i="6"/>
  <c r="D40" i="6" s="1"/>
  <c r="B62" i="2"/>
  <c r="C49" i="5"/>
  <c r="C51" i="5" s="1"/>
  <c r="C62" i="5"/>
  <c r="E50" i="7"/>
  <c r="E51" i="7" s="1"/>
  <c r="B55" i="8"/>
  <c r="B38" i="8"/>
  <c r="B40" i="8" s="1"/>
  <c r="F55" i="5"/>
  <c r="F56" i="5" s="1"/>
  <c r="F71" i="5"/>
  <c r="F38" i="5"/>
  <c r="F63" i="5" s="1"/>
  <c r="F50" i="5"/>
  <c r="F51" i="5" s="1"/>
  <c r="B25" i="8"/>
  <c r="B59" i="8" s="1"/>
  <c r="D40" i="8"/>
  <c r="D64" i="8" s="1"/>
  <c r="B24" i="5"/>
  <c r="F39" i="6"/>
  <c r="D50" i="6"/>
  <c r="D51" i="6" s="1"/>
  <c r="B50" i="3"/>
  <c r="B51" i="3" s="1"/>
  <c r="B55" i="2"/>
  <c r="B56" i="2" s="1"/>
  <c r="E38" i="6"/>
  <c r="E40" i="6" s="1"/>
  <c r="B21" i="6"/>
  <c r="B37" i="6" s="1"/>
  <c r="B39" i="6" s="1"/>
  <c r="B25" i="3"/>
  <c r="B59" i="3" s="1"/>
  <c r="D63" i="2"/>
  <c r="F63" i="2"/>
  <c r="D64" i="4"/>
  <c r="D63" i="4"/>
  <c r="F50" i="7"/>
  <c r="F51" i="7" s="1"/>
  <c r="F55" i="7"/>
  <c r="F56" i="7" s="1"/>
  <c r="E55" i="7"/>
  <c r="E56" i="7" s="1"/>
  <c r="B25" i="4"/>
  <c r="B59" i="4" s="1"/>
  <c r="B38" i="4"/>
  <c r="B55" i="4"/>
  <c r="B56" i="4" s="1"/>
  <c r="F70" i="7"/>
  <c r="C70" i="4"/>
  <c r="B70" i="4"/>
  <c r="E70" i="7"/>
  <c r="B50" i="4"/>
  <c r="B51" i="4" s="1"/>
  <c r="C67" i="4"/>
  <c r="B38" i="3"/>
  <c r="B63" i="3" s="1"/>
  <c r="C71" i="3"/>
  <c r="B24" i="6"/>
  <c r="E55" i="6"/>
  <c r="E56" i="6" s="1"/>
  <c r="E25" i="5"/>
  <c r="E59" i="5" s="1"/>
  <c r="E38" i="5"/>
  <c r="E63" i="5" s="1"/>
  <c r="E39" i="5"/>
  <c r="B49" i="8"/>
  <c r="B71" i="8"/>
  <c r="F71" i="7"/>
  <c r="B71" i="3"/>
  <c r="B71" i="2"/>
  <c r="C71" i="2"/>
  <c r="C68" i="2"/>
  <c r="F64" i="3"/>
  <c r="F25" i="6"/>
  <c r="F59" i="6" s="1"/>
  <c r="D70" i="7"/>
  <c r="B62" i="8"/>
  <c r="F25" i="7"/>
  <c r="F59" i="7" s="1"/>
  <c r="F38" i="7"/>
  <c r="F63" i="7" s="1"/>
  <c r="B67" i="2"/>
  <c r="B71" i="4"/>
  <c r="B68" i="4"/>
  <c r="D39" i="5"/>
  <c r="E40" i="3"/>
  <c r="E64" i="3" s="1"/>
  <c r="E63" i="3"/>
  <c r="D71" i="7"/>
  <c r="C54" i="7"/>
  <c r="C56" i="7" s="1"/>
  <c r="D50" i="7"/>
  <c r="D51" i="7" s="1"/>
  <c r="B28" i="2"/>
  <c r="B74" i="2" s="1"/>
  <c r="F40" i="8"/>
  <c r="B22" i="5"/>
  <c r="B67" i="5" s="1"/>
  <c r="C68" i="3"/>
  <c r="E39" i="4"/>
  <c r="E64" i="4" s="1"/>
  <c r="F40" i="4"/>
  <c r="B54" i="8"/>
  <c r="B17" i="5"/>
  <c r="B25" i="2"/>
  <c r="B59" i="2" s="1"/>
  <c r="C49" i="6"/>
  <c r="C51" i="6" s="1"/>
  <c r="B17" i="7"/>
  <c r="D71" i="6"/>
  <c r="D71" i="5"/>
  <c r="B28" i="4"/>
  <c r="B74" i="4" s="1"/>
  <c r="B22" i="6"/>
  <c r="B21" i="5"/>
  <c r="B37" i="5" s="1"/>
  <c r="B39" i="5" s="1"/>
  <c r="F38" i="6"/>
  <c r="F40" i="6" s="1"/>
  <c r="F71" i="6"/>
  <c r="F55" i="6"/>
  <c r="F56" i="6" s="1"/>
  <c r="E71" i="6"/>
  <c r="B55" i="3"/>
  <c r="C54" i="6"/>
  <c r="C56" i="6" s="1"/>
  <c r="D63" i="3"/>
  <c r="F63" i="3"/>
  <c r="D64" i="3"/>
  <c r="B70" i="3"/>
  <c r="F50" i="6"/>
  <c r="F51" i="6" s="1"/>
  <c r="B67" i="3"/>
  <c r="E50" i="6"/>
  <c r="E51" i="6" s="1"/>
  <c r="D39" i="6"/>
  <c r="E39" i="6"/>
  <c r="B23" i="6"/>
  <c r="B75" i="6" s="1"/>
  <c r="B23" i="5"/>
  <c r="B75" i="5" s="1"/>
  <c r="B38" i="2"/>
  <c r="B40" i="2" s="1"/>
  <c r="B64" i="2" s="1"/>
  <c r="B50" i="2"/>
  <c r="B51" i="2" s="1"/>
  <c r="B68" i="2"/>
  <c r="E71" i="7"/>
  <c r="E50" i="5"/>
  <c r="E51" i="5" s="1"/>
  <c r="E38" i="7"/>
  <c r="E55" i="5"/>
  <c r="E56" i="5" s="1"/>
  <c r="E71" i="5"/>
  <c r="D38" i="7"/>
  <c r="D25" i="7"/>
  <c r="C62" i="6"/>
  <c r="B70" i="2"/>
  <c r="C67" i="2"/>
  <c r="E70" i="5"/>
  <c r="F70" i="5"/>
  <c r="F40" i="2"/>
  <c r="F64" i="2" s="1"/>
  <c r="D64" i="2"/>
  <c r="E64" i="2"/>
  <c r="F39" i="5"/>
  <c r="F64" i="4" l="1"/>
  <c r="B50" i="7"/>
  <c r="C68" i="7"/>
  <c r="B62" i="7"/>
  <c r="B68" i="7"/>
  <c r="B49" i="7"/>
  <c r="C67" i="5"/>
  <c r="C69" i="4"/>
  <c r="B56" i="3"/>
  <c r="C68" i="5"/>
  <c r="D59" i="7"/>
  <c r="B25" i="7"/>
  <c r="B59" i="7" s="1"/>
  <c r="B70" i="6"/>
  <c r="B67" i="6"/>
  <c r="B68" i="5"/>
  <c r="B68" i="6"/>
  <c r="B64" i="8"/>
  <c r="C68" i="6"/>
  <c r="C67" i="6"/>
  <c r="B69" i="3"/>
  <c r="C69" i="3"/>
  <c r="B40" i="3"/>
  <c r="B64" i="3" s="1"/>
  <c r="B63" i="2"/>
  <c r="C70" i="6"/>
  <c r="D63" i="5"/>
  <c r="D64" i="6"/>
  <c r="B51" i="8"/>
  <c r="B69" i="8" s="1"/>
  <c r="D63" i="6"/>
  <c r="F40" i="5"/>
  <c r="F64" i="5" s="1"/>
  <c r="D64" i="5"/>
  <c r="B63" i="8"/>
  <c r="C69" i="2"/>
  <c r="B56" i="8"/>
  <c r="B25" i="5"/>
  <c r="B59" i="5" s="1"/>
  <c r="F64" i="6"/>
  <c r="E64" i="6"/>
  <c r="B69" i="2"/>
  <c r="E40" i="5"/>
  <c r="E64" i="5" s="1"/>
  <c r="F63" i="6"/>
  <c r="E63" i="6"/>
  <c r="B25" i="6"/>
  <c r="B59" i="6" s="1"/>
  <c r="B40" i="4"/>
  <c r="B64" i="4" s="1"/>
  <c r="B63" i="4"/>
  <c r="C71" i="7"/>
  <c r="B38" i="7"/>
  <c r="B63" i="7" s="1"/>
  <c r="B55" i="7"/>
  <c r="B54" i="7"/>
  <c r="B71" i="7"/>
  <c r="B69" i="4"/>
  <c r="B70" i="5"/>
  <c r="B28" i="5"/>
  <c r="B28" i="6"/>
  <c r="C70" i="5"/>
  <c r="B54" i="5"/>
  <c r="B49" i="5"/>
  <c r="B62" i="5"/>
  <c r="F40" i="7"/>
  <c r="F64" i="7" s="1"/>
  <c r="B70" i="7"/>
  <c r="B28" i="7"/>
  <c r="C70" i="7"/>
  <c r="B49" i="6"/>
  <c r="B54" i="6"/>
  <c r="B62" i="6"/>
  <c r="C71" i="6"/>
  <c r="B50" i="6"/>
  <c r="B55" i="6"/>
  <c r="B71" i="6"/>
  <c r="B38" i="6"/>
  <c r="B55" i="5"/>
  <c r="B50" i="5"/>
  <c r="B71" i="5"/>
  <c r="B38" i="5"/>
  <c r="C71" i="5"/>
  <c r="E40" i="7"/>
  <c r="E64" i="7" s="1"/>
  <c r="E63" i="7"/>
  <c r="D40" i="7"/>
  <c r="D64" i="7" s="1"/>
  <c r="D63" i="7"/>
  <c r="B74" i="6" l="1"/>
  <c r="D75" i="6"/>
  <c r="B74" i="5"/>
  <c r="D75" i="5"/>
  <c r="B40" i="7"/>
  <c r="B64" i="7" s="1"/>
  <c r="C69" i="5"/>
  <c r="B51" i="6"/>
  <c r="B69" i="6" s="1"/>
  <c r="C69" i="6"/>
  <c r="B51" i="7"/>
  <c r="B69" i="7" s="1"/>
  <c r="B51" i="5"/>
  <c r="B69" i="5" s="1"/>
  <c r="C69" i="7"/>
  <c r="B56" i="7"/>
  <c r="B56" i="5"/>
  <c r="B56" i="6"/>
  <c r="B40" i="5"/>
  <c r="B64" i="5" s="1"/>
  <c r="B63" i="5"/>
  <c r="B40" i="6"/>
  <c r="B64" i="6" s="1"/>
  <c r="B63" i="6"/>
</calcChain>
</file>

<file path=xl/sharedStrings.xml><?xml version="1.0" encoding="utf-8"?>
<sst xmlns="http://schemas.openxmlformats.org/spreadsheetml/2006/main" count="551" uniqueCount="126">
  <si>
    <t>Indicador</t>
  </si>
  <si>
    <t>Total programa</t>
  </si>
  <si>
    <t>Equipamiento</t>
  </si>
  <si>
    <t>Construcción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</si>
  <si>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</si>
  <si>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</si>
  <si>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</si>
  <si>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</si>
  <si>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</si>
  <si>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</si>
  <si>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</si>
  <si>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</si>
  <si>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</si>
  <si>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</si>
  <si>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</si>
  <si>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</si>
  <si>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</si>
  <si>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</si>
  <si>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</si>
  <si>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</si>
  <si>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</si>
  <si>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</si>
  <si>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</si>
  <si>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</si>
  <si>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</si>
  <si>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</si>
  <si>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</si>
  <si>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</si>
  <si>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</si>
  <si>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</si>
  <si>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</si>
  <si>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</si>
  <si>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</si>
  <si>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</si>
  <si>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</si>
  <si>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</si>
  <si>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</si>
  <si>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</si>
  <si>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</si>
  <si>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</si>
  <si>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</si>
  <si>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</si>
  <si>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>na</t>
  </si>
  <si>
    <t>n.d.</t>
  </si>
  <si>
    <t>Subsidio para atención directa</t>
  </si>
  <si>
    <t>Productos</t>
  </si>
  <si>
    <t>Promedio 
mensual</t>
  </si>
  <si>
    <t xml:space="preserve">Gasto programado anual por beneficiario (GPB) </t>
  </si>
  <si>
    <t xml:space="preserve">Gasto efectivo anual por beneficiario (GEB) </t>
  </si>
  <si>
    <t xml:space="preserve">Con Superávit </t>
  </si>
  <si>
    <t>Efectivos 1T 2022</t>
  </si>
  <si>
    <t>IPC (1T 2022)</t>
  </si>
  <si>
    <t>Gasto efectivo real 1T 2022</t>
  </si>
  <si>
    <t>Gasto efectivo real por beneficiario 1T 2022</t>
  </si>
  <si>
    <t>Efectivos 2T 2022</t>
  </si>
  <si>
    <t>IPC (2T 2022)</t>
  </si>
  <si>
    <t>Gasto efectivo real 2T 2022</t>
  </si>
  <si>
    <t>Gasto efectivo real por beneficiario 2T 2022</t>
  </si>
  <si>
    <t>Efectivos 1S 2022</t>
  </si>
  <si>
    <t>IPC (1S 2022)</t>
  </si>
  <si>
    <t>Gasto efectivo real 1S 2022</t>
  </si>
  <si>
    <t>Gasto efectivo real por beneficiario 1S 2022</t>
  </si>
  <si>
    <t>Efectivos 3T 2022</t>
  </si>
  <si>
    <t>IPC (3T 2022)</t>
  </si>
  <si>
    <t>Gasto efectivo real 3T 2022</t>
  </si>
  <si>
    <t>Gasto efectivo real por beneficiario 3T 2022</t>
  </si>
  <si>
    <t>Efectivos 3 TA 2022</t>
  </si>
  <si>
    <t>IPC (3 TA 2022)</t>
  </si>
  <si>
    <t>Gasto efectivo real 3 TA 2022</t>
  </si>
  <si>
    <t>Gasto efectivo real por beneficiario 3 TA 2022</t>
  </si>
  <si>
    <t>Efectivos 4T 2022</t>
  </si>
  <si>
    <t>IPC (4T 2022)</t>
  </si>
  <si>
    <t>Gasto efectivo real 4T 2022</t>
  </si>
  <si>
    <t>Gasto efectivo real por beneficiario 4T 2022</t>
  </si>
  <si>
    <t>Efectivos 2022</t>
  </si>
  <si>
    <t>IPC (2022)</t>
  </si>
  <si>
    <t>Gasto efectivo real 2022</t>
  </si>
  <si>
    <t>Gasto efectivo real por beneficiario 2022</t>
  </si>
  <si>
    <t>Programados 1T 2023</t>
  </si>
  <si>
    <t>Efectivos 1T 2023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</si>
  <si>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</si>
  <si>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</si>
  <si>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</si>
  <si>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</si>
  <si>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</si>
  <si>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Ciudad de los Niños 2022 y 2023 - Cronogramas de Metas e Inversión - Modificaciones 2023 - IPC, INEC 2022 y 2023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</si>
  <si>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dato del ingreso efectivo recibido no incorpora los ¢ 723 039 446,00 con los que la Unidad Ejecutora ya disponía por concepto de superávit comprometido del año 2022, por ende, se procedió a realizar un "cálculo adicional" donde se refleje el monto del superávit con el que dispone la UE. </t>
    </r>
  </si>
  <si>
    <t>Programados 2T 2023</t>
  </si>
  <si>
    <t>Efectivos 2T 2023</t>
  </si>
  <si>
    <t>En transferencias 2T 2023</t>
  </si>
  <si>
    <t>IPC (2T 2023)</t>
  </si>
  <si>
    <t>Gasto efectivo real 2T 2023</t>
  </si>
  <si>
    <t>Gasto efectivo real por beneficiario 2T 2023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</si>
  <si>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dato del ingreso efectivo recibido no incorpora los ¢ 723 039 446,00 con los que la Unidad Ejecutora ya disponía por concepto de superávit comprometido del año 2022. </t>
    </r>
  </si>
  <si>
    <t>3Programados 1S 2023</t>
  </si>
  <si>
    <t>Efectivos 1S 2023</t>
  </si>
  <si>
    <t>Programados 1S 2023</t>
  </si>
  <si>
    <t>En transferencias 1S 2023</t>
  </si>
  <si>
    <t>IPC (1S 2023)</t>
  </si>
  <si>
    <t>Gasto efectivo real 1S 2023</t>
  </si>
  <si>
    <t>Gasto efectivo real por beneficiario 1S 2023</t>
  </si>
  <si>
    <t>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</si>
  <si>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</si>
  <si>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</si>
  <si>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</si>
  <si>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</si>
  <si>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</si>
  <si>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t>Programados 3 TA 2023</t>
  </si>
  <si>
    <t>Efectivos 3 TA 2023</t>
  </si>
  <si>
    <t>En transferencias 3 TA 2023</t>
  </si>
  <si>
    <t>IPC (3 TA 2023)</t>
  </si>
  <si>
    <t>Gasto efectivo real 3 TA 2023</t>
  </si>
  <si>
    <t>Gasto efectivo real por beneficiario 3 TA 2023</t>
  </si>
  <si>
    <t>Programados 4T 2023</t>
  </si>
  <si>
    <t>Efectivos 4T 2023</t>
  </si>
  <si>
    <t>En transferencias 4T 2023</t>
  </si>
  <si>
    <t>IPC (4T 2023)</t>
  </si>
  <si>
    <t>Gasto efectivo real 4T 2023</t>
  </si>
  <si>
    <t>Gasto efectivo real por beneficiario 4T 2023</t>
  </si>
  <si>
    <t>Programados 2023</t>
  </si>
  <si>
    <t>Efectivos 2023</t>
  </si>
  <si>
    <t>En transferencias 2023</t>
  </si>
  <si>
    <t>IPC (2023)</t>
  </si>
  <si>
    <t>Gasto efectivo real 2023</t>
  </si>
  <si>
    <t>Gasto efectivo real por beneficiario 2023</t>
  </si>
  <si>
    <t xml:space="preserve">Este gráfico es con el dato del superávit: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</si>
</sst>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_(* #,##0_);_(* \(#,##0\);_(* &quot;-&quot;??_);_(@_)"/>
    <numFmt numFmtId="167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166" fontId="0" fillId="0" borderId="0" xfId="1" applyNumberFormat="1" applyFont="1" applyFill="1"/>
    <xf numFmtId="164" fontId="0" fillId="0" borderId="0" xfId="1" applyFont="1" applyFill="1"/>
    <xf numFmtId="167" fontId="0" fillId="0" borderId="0" xfId="1" applyNumberFormat="1" applyFont="1" applyFill="1"/>
    <xf numFmtId="0" fontId="0" fillId="0" borderId="0" xfId="0" applyFont="1" applyFill="1"/>
    <xf numFmtId="4" fontId="0" fillId="0" borderId="0" xfId="0" applyNumberFormat="1" applyFont="1" applyFill="1"/>
    <xf numFmtId="0" fontId="3" fillId="0" borderId="0" xfId="0" applyFont="1" applyFill="1"/>
    <xf numFmtId="10" fontId="0" fillId="0" borderId="0" xfId="2" applyNumberFormat="1" applyFont="1" applyFill="1"/>
    <xf numFmtId="0" fontId="5" fillId="0" borderId="0" xfId="0" applyFont="1" applyFill="1"/>
    <xf numFmtId="0" fontId="4" fillId="0" borderId="0" xfId="0" applyFont="1" applyFill="1"/>
    <xf numFmtId="4" fontId="5" fillId="0" borderId="0" xfId="0" applyNumberFormat="1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3" fontId="5" fillId="0" borderId="0" xfId="1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/>
    <xf numFmtId="0" fontId="5" fillId="0" borderId="3" xfId="0" applyFont="1" applyFill="1" applyBorder="1"/>
    <xf numFmtId="4" fontId="5" fillId="0" borderId="0" xfId="1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65" fontId="5" fillId="0" borderId="0" xfId="0" applyNumberFormat="1" applyFont="1"/>
    <xf numFmtId="0" fontId="5" fillId="0" borderId="0" xfId="0" applyFont="1" applyAlignment="1">
      <alignment vertical="top" wrapText="1"/>
    </xf>
    <xf numFmtId="0" fontId="3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1" applyFont="1" applyFill="1" applyAlignment="1">
      <alignment horizontal="right" vertical="center"/>
    </xf>
    <xf numFmtId="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5" fillId="0" borderId="0" xfId="0" applyNumberFormat="1" applyFont="1"/>
    <xf numFmtId="4" fontId="0" fillId="0" borderId="0" xfId="0" applyNumberFormat="1"/>
    <xf numFmtId="0" fontId="2" fillId="0" borderId="0" xfId="0" applyFont="1" applyAlignment="1">
      <alignment wrapText="1"/>
    </xf>
    <xf numFmtId="2" fontId="5" fillId="0" borderId="0" xfId="0" applyNumberFormat="1" applyFont="1" applyFill="1" applyAlignment="1">
      <alignment horizontal="right"/>
    </xf>
    <xf numFmtId="0" fontId="8" fillId="0" borderId="0" xfId="0" applyFont="1" applyFill="1"/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35A0"/>
      <color rgb="FF192952"/>
      <color rgb="FFC1C5C8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resultado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(Anual!$B$49,Anual!$C$49)</c:f>
              <c:numCache>
                <c:formatCode>#,##0.00</c:formatCode>
                <c:ptCount val="2"/>
                <c:pt idx="0">
                  <c:v>95.15789473684211</c:v>
                </c:pt>
                <c:pt idx="1">
                  <c:v>95.15789473684211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E-4048-9B5B-BE454D51A82E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(Anual!$B$50,Anual!$C$50,Anual!$D$50,Anual!$E$50,Anual!$F$50)</c:f>
              <c:numCache>
                <c:formatCode>#,##0.00</c:formatCode>
                <c:ptCount val="5"/>
                <c:pt idx="0">
                  <c:v>77.047389687928629</c:v>
                </c:pt>
                <c:pt idx="2">
                  <c:v>99.985586911290341</c:v>
                </c:pt>
                <c:pt idx="3">
                  <c:v>93.184928991633726</c:v>
                </c:pt>
                <c:pt idx="4">
                  <c:v>72.262713807779917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E-4048-9B5B-BE454D51A82E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(Anual!$B$51,Anual!$C$51,Anual!$D$51,Anual!$E$51,Anual!$F$51)</c:f>
              <c:numCache>
                <c:formatCode>#,##0.00</c:formatCode>
                <c:ptCount val="5"/>
                <c:pt idx="0">
                  <c:v>86.102642212385376</c:v>
                </c:pt>
                <c:pt idx="1">
                  <c:v>95.15789473684211</c:v>
                </c:pt>
                <c:pt idx="2">
                  <c:v>99.985586911290341</c:v>
                </c:pt>
                <c:pt idx="3">
                  <c:v>93.184928991633726</c:v>
                </c:pt>
                <c:pt idx="4">
                  <c:v>72.262713807779917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E-4048-9B5B-BE454D51A8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avance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(Anual!$B$54,Anual!$C$54)</c:f>
              <c:numCache>
                <c:formatCode>#,##0.00</c:formatCode>
                <c:ptCount val="2"/>
                <c:pt idx="0">
                  <c:v>95.15789473684211</c:v>
                </c:pt>
                <c:pt idx="1">
                  <c:v>95.15789473684211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C-4C5E-B1D6-B165B6C775A5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(Anual!$B$55,Anual!$C$55,Anual!$D$55,Anual!$E$55,Anual!$F$55)</c:f>
              <c:numCache>
                <c:formatCode>#,##0.00</c:formatCode>
                <c:ptCount val="5"/>
                <c:pt idx="0">
                  <c:v>77.047389687928629</c:v>
                </c:pt>
                <c:pt idx="2">
                  <c:v>99.985586911290341</c:v>
                </c:pt>
                <c:pt idx="3">
                  <c:v>93.184928991633726</c:v>
                </c:pt>
                <c:pt idx="4">
                  <c:v>72.262713807779917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CC-4C5E-B1D6-B165B6C775A5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Anual!$B$56:$F$56</c:f>
              <c:numCache>
                <c:formatCode>#,##0.00</c:formatCode>
                <c:ptCount val="5"/>
                <c:pt idx="0">
                  <c:v>86.102642212385376</c:v>
                </c:pt>
                <c:pt idx="1">
                  <c:v>95.15789473684211</c:v>
                </c:pt>
                <c:pt idx="2">
                  <c:v>99.985586911290341</c:v>
                </c:pt>
                <c:pt idx="3">
                  <c:v>93.184928991633726</c:v>
                </c:pt>
                <c:pt idx="4">
                  <c:v>72.262713807779917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C5E-B1D6-B165B6C775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11594608"/>
        <c:axId val="511596176"/>
        <c:axId val="0"/>
      </c:bar3DChart>
      <c:catAx>
        <c:axId val="51159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176"/>
        <c:crosses val="autoZero"/>
        <c:auto val="1"/>
        <c:lblAlgn val="ctr"/>
        <c:lblOffset val="100"/>
        <c:noMultiLvlLbl val="0"/>
      </c:catAx>
      <c:valAx>
        <c:axId val="511596176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4608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expansión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550923810947952E-2"/>
          <c:y val="0.18747293603348539"/>
          <c:w val="0.9263222965591611"/>
          <c:h val="0.568113673084657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-1.4713896457765663</c:v>
                </c:pt>
                <c:pt idx="1">
                  <c:v>-1.4713896457765663</c:v>
                </c:pt>
                <c:pt idx="2">
                  <c:v>-1.4713896457765663</c:v>
                </c:pt>
                <c:pt idx="3">
                  <c:v>-1.4713896457765663</c:v>
                </c:pt>
                <c:pt idx="4">
                  <c:v>-1.4713896457765663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0-4D44-800E-92B3E1E54A12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22.649210888611869</c:v>
                </c:pt>
                <c:pt idx="2">
                  <c:v>-5.8034203459061402</c:v>
                </c:pt>
                <c:pt idx="3">
                  <c:v>-13.243283246156922</c:v>
                </c:pt>
                <c:pt idx="4">
                  <c:v>35.184994725225295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40-4D44-800E-92B3E1E54A12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24.480808617590032</c:v>
                </c:pt>
                <c:pt idx="2">
                  <c:v>-4.3967236364700018</c:v>
                </c:pt>
                <c:pt idx="3">
                  <c:v>-11.947690684014356</c:v>
                </c:pt>
                <c:pt idx="4">
                  <c:v>37.203797190701572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40-4D44-800E-92B3E1E54A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159184"/>
        <c:axId val="509156832"/>
        <c:axId val="0"/>
      </c:bar3DChart>
      <c:catAx>
        <c:axId val="50915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6832"/>
        <c:crosses val="autoZero"/>
        <c:auto val="1"/>
        <c:lblAlgn val="ctr"/>
        <c:lblOffset val="100"/>
        <c:noMultiLvlLbl val="0"/>
      </c:catAx>
      <c:valAx>
        <c:axId val="509156832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918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54156951574911"/>
          <c:w val="0.99885673365178151"/>
          <c:h val="0.14145835313014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gasto medio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cat>
            <c:strRef>
              <c:f>(Anual!$B$9:$C$10,Anual!$D$10:$F$10)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Anual!$B$70:$F$70</c:f>
              <c:numCache>
                <c:formatCode>#,##0.00</c:formatCode>
                <c:ptCount val="5"/>
                <c:pt idx="0">
                  <c:v>3300478.8357684212</c:v>
                </c:pt>
                <c:pt idx="1">
                  <c:v>3300478.8357684212</c:v>
                </c:pt>
                <c:pt idx="2">
                  <c:v>522105.26315789472</c:v>
                </c:pt>
                <c:pt idx="3">
                  <c:v>62969.599999999999</c:v>
                </c:pt>
                <c:pt idx="4">
                  <c:v>2715403.9726105263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3-476A-BC3F-5E65C5049A86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cat>
            <c:strRef>
              <c:f>(Anual!$B$9:$C$10,Anual!$D$10:$F$10)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Anual!$B$71:$F$71</c:f>
              <c:numCache>
                <c:formatCode>#,##0.00</c:formatCode>
                <c:ptCount val="5"/>
                <c:pt idx="0">
                  <c:v>2672329.8126703538</c:v>
                </c:pt>
                <c:pt idx="1">
                  <c:v>2672329.8126703538</c:v>
                </c:pt>
                <c:pt idx="2">
                  <c:v>548593.48570796463</c:v>
                </c:pt>
                <c:pt idx="3">
                  <c:v>61664.01348893805</c:v>
                </c:pt>
                <c:pt idx="4">
                  <c:v>2062072.3134734512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3-476A-BC3F-5E65C5049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953504"/>
        <c:axId val="509955072"/>
        <c:axId val="0"/>
      </c:bar3DChart>
      <c:catAx>
        <c:axId val="5099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5072"/>
        <c:crosses val="autoZero"/>
        <c:auto val="1"/>
        <c:lblAlgn val="ctr"/>
        <c:lblOffset val="100"/>
        <c:noMultiLvlLbl val="0"/>
      </c:catAx>
      <c:valAx>
        <c:axId val="509955072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3504"/>
        <c:crosses val="autoZero"/>
        <c:crossBetween val="between"/>
        <c:majorUnit val="1000000"/>
        <c:minorUnit val="40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600"/>
              <a:t>Ciudad de los niños: Indicadores de giro de recursos 2023</a:t>
            </a:r>
          </a:p>
        </c:rich>
      </c:tx>
      <c:layout>
        <c:manualLayout>
          <c:xMode val="edge"/>
          <c:yMode val="edge"/>
          <c:x val="0.13055806467595868"/>
          <c:y val="1.6698134542260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5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882085860376024E-2"/>
          <c:y val="0.13079865731220516"/>
          <c:w val="0.92610213907732242"/>
          <c:h val="0.6506434698460615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Anual!$B$74</c:f>
              <c:numCache>
                <c:formatCode>#,##0.00</c:formatCode>
                <c:ptCount val="1"/>
                <c:pt idx="0">
                  <c:v>53.879773653372034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255-B291-80D0E663F8D3}"/>
            </c:ext>
          </c:extLst>
        </c:ser>
        <c:ser>
          <c:idx val="2"/>
          <c:order val="1"/>
          <c:tx>
            <c:strRef>
              <c:f>Anual!$A$75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142.99872561381233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6-4255-B291-80D0E663F8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952720"/>
        <c:axId val="577961336"/>
        <c:axId val="0"/>
      </c:bar3DChart>
      <c:catAx>
        <c:axId val="5099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77961336"/>
        <c:crosses val="autoZero"/>
        <c:auto val="1"/>
        <c:lblAlgn val="ctr"/>
        <c:lblOffset val="100"/>
        <c:noMultiLvlLbl val="0"/>
      </c:catAx>
      <c:valAx>
        <c:axId val="57796133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272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Ciudad de los niños: Índice de eficiencia (IE) 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5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Anual!$B$69</c:f>
              <c:numCache>
                <c:formatCode>#,##0.00</c:formatCode>
                <c:ptCount val="1"/>
                <c:pt idx="0">
                  <c:v>69.715538012312507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8-4131-BCF1-65B16D7AFE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158792"/>
        <c:axId val="509159576"/>
        <c:axId val="0"/>
      </c:bar3DChart>
      <c:catAx>
        <c:axId val="50915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9576"/>
        <c:crosses val="autoZero"/>
        <c:auto val="1"/>
        <c:lblAlgn val="ctr"/>
        <c:lblOffset val="100"/>
        <c:noMultiLvlLbl val="0"/>
      </c:catAx>
      <c:valAx>
        <c:axId val="50915957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879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600"/>
              <a:t>Ciudad de los niños: Indicadores de giro de recursos 2023</a:t>
            </a:r>
          </a:p>
        </c:rich>
      </c:tx>
      <c:layout>
        <c:manualLayout>
          <c:xMode val="edge"/>
          <c:yMode val="edge"/>
          <c:x val="0.13055806467595868"/>
          <c:y val="1.6698134542260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5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882085860376024E-2"/>
          <c:y val="0.13079865731220516"/>
          <c:w val="0.92610213907732242"/>
          <c:h val="0.6506434698460615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Anual!$D$74</c:f>
              <c:numCache>
                <c:formatCode>#,##0.00</c:formatCode>
                <c:ptCount val="1"/>
                <c:pt idx="0">
                  <c:v>99.999999933024071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7-469F-84F1-259719FC4E41}"/>
            </c:ext>
          </c:extLst>
        </c:ser>
        <c:ser>
          <c:idx val="2"/>
          <c:order val="1"/>
          <c:tx>
            <c:strRef>
              <c:f>Anual!$A$75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Anual!$D$75</c:f>
              <c:numCache>
                <c:formatCode>#,##0.00</c:formatCode>
                <c:ptCount val="1"/>
                <c:pt idx="0">
                  <c:v>77.047389739531823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7-469F-84F1-259719FC4E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952720"/>
        <c:axId val="577961336"/>
        <c:axId val="0"/>
      </c:bar3DChart>
      <c:catAx>
        <c:axId val="5099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77961336"/>
        <c:crosses val="autoZero"/>
        <c:auto val="1"/>
        <c:lblAlgn val="ctr"/>
        <c:lblOffset val="100"/>
        <c:noMultiLvlLbl val="0"/>
      </c:catAx>
      <c:valAx>
        <c:axId val="57796133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272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71C8E901-045D-4683-AF6B-2ED65DA04779}"/>
            </a:ext>
          </a:extLst>
        </xdr:cNvPr>
        <xdr:cNvSpPr/>
      </xdr:nvSpPr>
      <xdr:spPr>
        <a:xfrm>
          <a:off x="0" y="0"/>
          <a:ext cx="10727531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E8EE183-DBDF-4EEC-BB6C-39378BFE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59531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5A15BB6-AD66-4E50-B7D9-063C94DB09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4328C95-6592-416A-B1F3-5F132931D9DD}"/>
            </a:ext>
          </a:extLst>
        </xdr:cNvPr>
        <xdr:cNvSpPr/>
      </xdr:nvSpPr>
      <xdr:spPr>
        <a:xfrm>
          <a:off x="0" y="1143001"/>
          <a:ext cx="10727531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345283</xdr:colOff>
      <xdr:row>6</xdr:row>
      <xdr:rowOff>47625</xdr:rowOff>
    </xdr:from>
    <xdr:to>
      <xdr:col>5</xdr:col>
      <xdr:colOff>1202533</xdr:colOff>
      <xdr:row>7</xdr:row>
      <xdr:rowOff>134937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3710E00-81FD-46A1-ABF1-BEEACCC4D39D}"/>
            </a:ext>
          </a:extLst>
        </xdr:cNvPr>
        <xdr:cNvSpPr txBox="1"/>
      </xdr:nvSpPr>
      <xdr:spPr>
        <a:xfrm>
          <a:off x="345283" y="1190625"/>
          <a:ext cx="10275094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20-06-2023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FC83D81-C1EC-4A2A-AF51-059751107713}"/>
            </a:ext>
          </a:extLst>
        </xdr:cNvPr>
        <xdr:cNvSpPr/>
      </xdr:nvSpPr>
      <xdr:spPr>
        <a:xfrm>
          <a:off x="0" y="0"/>
          <a:ext cx="1070610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74B9CF9-E20D-4C22-B340-9C1180078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69056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705DAAA-4DB3-452A-A1A6-B90B0AF49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4D89B8BC-6507-4B89-8A9E-9366EF6308B1}"/>
            </a:ext>
          </a:extLst>
        </xdr:cNvPr>
        <xdr:cNvSpPr/>
      </xdr:nvSpPr>
      <xdr:spPr>
        <a:xfrm>
          <a:off x="0" y="1143001"/>
          <a:ext cx="10706100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416719</xdr:colOff>
      <xdr:row>6</xdr:row>
      <xdr:rowOff>35717</xdr:rowOff>
    </xdr:from>
    <xdr:to>
      <xdr:col>5</xdr:col>
      <xdr:colOff>1119187</xdr:colOff>
      <xdr:row>7</xdr:row>
      <xdr:rowOff>142872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810D837-E3D8-423F-81E4-0A8258E9AEAF}"/>
            </a:ext>
          </a:extLst>
        </xdr:cNvPr>
        <xdr:cNvSpPr txBox="1"/>
      </xdr:nvSpPr>
      <xdr:spPr>
        <a:xfrm>
          <a:off x="416719" y="1178717"/>
          <a:ext cx="1010840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22-08-2023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F79C40D-83A2-407A-99F4-CA365617B6C1}"/>
            </a:ext>
          </a:extLst>
        </xdr:cNvPr>
        <xdr:cNvSpPr/>
      </xdr:nvSpPr>
      <xdr:spPr>
        <a:xfrm>
          <a:off x="0" y="0"/>
          <a:ext cx="106965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5C2BE07-79CE-4DE9-B398-A501BFC03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69056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2B7DC70-8C48-45AE-9E9B-EC414D9E1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8017FD9D-DFFD-426B-8F37-4EFD366AF386}"/>
            </a:ext>
          </a:extLst>
        </xdr:cNvPr>
        <xdr:cNvSpPr/>
      </xdr:nvSpPr>
      <xdr:spPr>
        <a:xfrm>
          <a:off x="0" y="1143001"/>
          <a:ext cx="10696575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95251</xdr:colOff>
      <xdr:row>6</xdr:row>
      <xdr:rowOff>47624</xdr:rowOff>
    </xdr:from>
    <xdr:to>
      <xdr:col>5</xdr:col>
      <xdr:colOff>845346</xdr:colOff>
      <xdr:row>7</xdr:row>
      <xdr:rowOff>154779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D40302E-3FB5-4AE2-A0E5-9A30885DA8FA}"/>
            </a:ext>
          </a:extLst>
        </xdr:cNvPr>
        <xdr:cNvSpPr txBox="1"/>
      </xdr:nvSpPr>
      <xdr:spPr>
        <a:xfrm>
          <a:off x="95251" y="1190624"/>
          <a:ext cx="10156033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Programa Atención a Jóvenes en Riesgo Social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22-08-2023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7067DDE8-5C23-44F0-B769-2E5DD2304AF1}"/>
            </a:ext>
          </a:extLst>
        </xdr:cNvPr>
        <xdr:cNvSpPr/>
      </xdr:nvSpPr>
      <xdr:spPr>
        <a:xfrm>
          <a:off x="0" y="0"/>
          <a:ext cx="106965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C3CB5E0-C116-46F3-9F02-EF217DB02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59531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7EC9C82-44E9-450F-BFC9-89E48DEDF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B65140DE-AF28-41E8-AEBD-15140892D090}"/>
            </a:ext>
          </a:extLst>
        </xdr:cNvPr>
        <xdr:cNvSpPr/>
      </xdr:nvSpPr>
      <xdr:spPr>
        <a:xfrm>
          <a:off x="0" y="1143001"/>
          <a:ext cx="10696575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416718</xdr:colOff>
      <xdr:row>6</xdr:row>
      <xdr:rowOff>35716</xdr:rowOff>
    </xdr:from>
    <xdr:to>
      <xdr:col>5</xdr:col>
      <xdr:colOff>1119186</xdr:colOff>
      <xdr:row>7</xdr:row>
      <xdr:rowOff>142871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EF3AB36-BD22-4D05-B17B-6CB2EBFF3949}"/>
            </a:ext>
          </a:extLst>
        </xdr:cNvPr>
        <xdr:cNvSpPr txBox="1"/>
      </xdr:nvSpPr>
      <xdr:spPr>
        <a:xfrm>
          <a:off x="416718" y="1178716"/>
          <a:ext cx="1010840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04-12-2023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C5365525-4915-421F-B798-EB16EEEDF8D9}"/>
            </a:ext>
          </a:extLst>
        </xdr:cNvPr>
        <xdr:cNvSpPr/>
      </xdr:nvSpPr>
      <xdr:spPr>
        <a:xfrm>
          <a:off x="0" y="0"/>
          <a:ext cx="107727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70CC34-2C09-47EB-9EF5-5CAEFAE21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59531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7164A5B-4A99-4513-A27F-25DC2AF70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C1F6A21-DF84-4219-B88C-4F668DF1CFDF}"/>
            </a:ext>
          </a:extLst>
        </xdr:cNvPr>
        <xdr:cNvSpPr/>
      </xdr:nvSpPr>
      <xdr:spPr>
        <a:xfrm>
          <a:off x="0" y="1143001"/>
          <a:ext cx="10772775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333374</xdr:colOff>
      <xdr:row>6</xdr:row>
      <xdr:rowOff>47622</xdr:rowOff>
    </xdr:from>
    <xdr:to>
      <xdr:col>5</xdr:col>
      <xdr:colOff>1035842</xdr:colOff>
      <xdr:row>7</xdr:row>
      <xdr:rowOff>154777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A4A2EBF-DE3E-44BA-ABEB-E9829E1D764A}"/>
            </a:ext>
          </a:extLst>
        </xdr:cNvPr>
        <xdr:cNvSpPr txBox="1"/>
      </xdr:nvSpPr>
      <xdr:spPr>
        <a:xfrm>
          <a:off x="333374" y="1190622"/>
          <a:ext cx="1010840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04-12-2023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BAE897B0-F14F-44BB-A80D-AE958F71EC48}"/>
            </a:ext>
          </a:extLst>
        </xdr:cNvPr>
        <xdr:cNvSpPr/>
      </xdr:nvSpPr>
      <xdr:spPr>
        <a:xfrm>
          <a:off x="0" y="0"/>
          <a:ext cx="107346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95D3501-79F3-4BE0-BFB9-FEAE5AAF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69056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BC057A8-555B-4449-88F9-4ACD629699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DB754D9-8566-427D-9D99-698381F29782}"/>
            </a:ext>
          </a:extLst>
        </xdr:cNvPr>
        <xdr:cNvSpPr/>
      </xdr:nvSpPr>
      <xdr:spPr>
        <a:xfrm>
          <a:off x="0" y="1143001"/>
          <a:ext cx="10734675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345281</xdr:colOff>
      <xdr:row>6</xdr:row>
      <xdr:rowOff>35717</xdr:rowOff>
    </xdr:from>
    <xdr:to>
      <xdr:col>5</xdr:col>
      <xdr:colOff>1047749</xdr:colOff>
      <xdr:row>7</xdr:row>
      <xdr:rowOff>142872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2B56C06-3C8E-463B-9CCD-56A1E403317D}"/>
            </a:ext>
          </a:extLst>
        </xdr:cNvPr>
        <xdr:cNvSpPr txBox="1"/>
      </xdr:nvSpPr>
      <xdr:spPr>
        <a:xfrm>
          <a:off x="345281" y="1178717"/>
          <a:ext cx="1010840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11-03-2024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</xdr:colOff>
      <xdr:row>12</xdr:row>
      <xdr:rowOff>188117</xdr:rowOff>
    </xdr:from>
    <xdr:to>
      <xdr:col>16</xdr:col>
      <xdr:colOff>11906</xdr:colOff>
      <xdr:row>28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236803</xdr:colOff>
      <xdr:row>12</xdr:row>
      <xdr:rowOff>174890</xdr:rowOff>
    </xdr:from>
    <xdr:to>
      <xdr:col>25</xdr:col>
      <xdr:colOff>440531</xdr:colOff>
      <xdr:row>28</xdr:row>
      <xdr:rowOff>83343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231515</xdr:colOff>
      <xdr:row>28</xdr:row>
      <xdr:rowOff>166690</xdr:rowOff>
    </xdr:from>
    <xdr:to>
      <xdr:col>27</xdr:col>
      <xdr:colOff>619125</xdr:colOff>
      <xdr:row>46</xdr:row>
      <xdr:rowOff>158750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49209</xdr:rowOff>
    </xdr:from>
    <xdr:to>
      <xdr:col>17</xdr:col>
      <xdr:colOff>168010</xdr:colOff>
      <xdr:row>65</xdr:row>
      <xdr:rowOff>41010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13231</xdr:colOff>
      <xdr:row>29</xdr:row>
      <xdr:rowOff>10845</xdr:rowOff>
    </xdr:from>
    <xdr:to>
      <xdr:col>16</xdr:col>
      <xdr:colOff>11906</xdr:colOff>
      <xdr:row>46</xdr:row>
      <xdr:rowOff>169333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269876</xdr:colOff>
      <xdr:row>47</xdr:row>
      <xdr:rowOff>73024</xdr:rowOff>
    </xdr:from>
    <xdr:to>
      <xdr:col>26</xdr:col>
      <xdr:colOff>493448</xdr:colOff>
      <xdr:row>65</xdr:row>
      <xdr:rowOff>52917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68035</xdr:colOff>
      <xdr:row>68</xdr:row>
      <xdr:rowOff>149679</xdr:rowOff>
    </xdr:from>
    <xdr:to>
      <xdr:col>21</xdr:col>
      <xdr:colOff>229996</xdr:colOff>
      <xdr:row>85</xdr:row>
      <xdr:rowOff>131274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23875DD-F408-4D6B-84C6-D2E382BF5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60C18D95-1F1F-43A3-889D-7B1495DE514D}"/>
            </a:ext>
          </a:extLst>
        </xdr:cNvPr>
        <xdr:cNvSpPr/>
      </xdr:nvSpPr>
      <xdr:spPr>
        <a:xfrm>
          <a:off x="0" y="0"/>
          <a:ext cx="1070610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2E76BBD-4AAE-47A2-81C1-081AB10A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69056</xdr:colOff>
      <xdr:row>4</xdr:row>
      <xdr:rowOff>130969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50610FA-8910-4D9A-B708-626C181ABE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05187" y="214313"/>
          <a:ext cx="2140744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190501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2F7F75F-699B-4D71-AA22-E01CFE112305}"/>
            </a:ext>
          </a:extLst>
        </xdr:cNvPr>
        <xdr:cNvSpPr/>
      </xdr:nvSpPr>
      <xdr:spPr>
        <a:xfrm>
          <a:off x="0" y="1143001"/>
          <a:ext cx="10706100" cy="381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690562</xdr:colOff>
      <xdr:row>6</xdr:row>
      <xdr:rowOff>35717</xdr:rowOff>
    </xdr:from>
    <xdr:to>
      <xdr:col>6</xdr:col>
      <xdr:colOff>83343</xdr:colOff>
      <xdr:row>7</xdr:row>
      <xdr:rowOff>142872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695C70D-2F82-4B43-AF96-13B6D26D7E88}"/>
            </a:ext>
          </a:extLst>
        </xdr:cNvPr>
        <xdr:cNvSpPr txBox="1"/>
      </xdr:nvSpPr>
      <xdr:spPr>
        <a:xfrm>
          <a:off x="690562" y="1178717"/>
          <a:ext cx="1010840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11-03-2024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19.554687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5" customFormat="1" ht="15.6" x14ac:dyDescent="0.35">
      <c r="A9" s="45" t="s">
        <v>0</v>
      </c>
      <c r="B9" s="47" t="s">
        <v>1</v>
      </c>
      <c r="C9" s="47" t="s">
        <v>46</v>
      </c>
      <c r="D9" s="49" t="s">
        <v>45</v>
      </c>
      <c r="E9" s="49"/>
      <c r="F9" s="49"/>
    </row>
    <row r="10" spans="1:7" s="35" customFormat="1" ht="31.8" thickBot="1" x14ac:dyDescent="0.35">
      <c r="A10" s="46"/>
      <c r="B10" s="48"/>
      <c r="C10" s="48"/>
      <c r="D10" s="36" t="s">
        <v>44</v>
      </c>
      <c r="E10" s="37" t="s">
        <v>2</v>
      </c>
      <c r="F10" s="37" t="s">
        <v>3</v>
      </c>
    </row>
    <row r="11" spans="1:7" customFormat="1" ht="16.2" thickTop="1" x14ac:dyDescent="0.35">
      <c r="A11" s="25"/>
      <c r="B11" s="25"/>
      <c r="C11" s="25"/>
      <c r="D11" s="25"/>
      <c r="E11" s="25"/>
      <c r="F11" s="25"/>
    </row>
    <row r="12" spans="1:7" customFormat="1" ht="15.6" x14ac:dyDescent="0.35">
      <c r="A12" s="24" t="s">
        <v>4</v>
      </c>
      <c r="B12" s="25"/>
      <c r="C12" s="25"/>
      <c r="D12" s="25"/>
      <c r="E12" s="25"/>
      <c r="F12" s="25"/>
    </row>
    <row r="13" spans="1:7" customFormat="1" ht="15.6" x14ac:dyDescent="0.35">
      <c r="A13" s="25"/>
      <c r="B13" s="38"/>
      <c r="C13" s="38"/>
      <c r="D13" s="38"/>
      <c r="E13" s="38"/>
      <c r="F13" s="38"/>
      <c r="G13" s="39"/>
    </row>
    <row r="14" spans="1:7" customFormat="1" ht="15.6" x14ac:dyDescent="0.35">
      <c r="A14" s="24" t="s">
        <v>5</v>
      </c>
      <c r="B14" s="38"/>
      <c r="C14" s="38"/>
      <c r="D14" s="38"/>
      <c r="E14" s="38"/>
      <c r="F14" s="38"/>
      <c r="G14" s="39"/>
    </row>
    <row r="15" spans="1:7" ht="15.6" x14ac:dyDescent="0.35">
      <c r="A15" s="26" t="s">
        <v>50</v>
      </c>
      <c r="B15" s="12">
        <f>C15</f>
        <v>496</v>
      </c>
      <c r="C15" s="31">
        <v>496</v>
      </c>
      <c r="D15" s="12"/>
      <c r="E15" s="12"/>
      <c r="F15" s="12"/>
      <c r="G15" s="5"/>
    </row>
    <row r="16" spans="1:7" ht="15.6" x14ac:dyDescent="0.35">
      <c r="A16" s="26" t="s">
        <v>78</v>
      </c>
      <c r="B16" s="12">
        <f t="shared" ref="B16:B18" si="0">C16</f>
        <v>490</v>
      </c>
      <c r="C16" s="31">
        <v>490</v>
      </c>
      <c r="D16" s="12"/>
      <c r="E16" s="12"/>
      <c r="F16" s="12"/>
      <c r="G16" s="5"/>
    </row>
    <row r="17" spans="1:7" ht="15.6" x14ac:dyDescent="0.35">
      <c r="A17" s="26" t="s">
        <v>79</v>
      </c>
      <c r="B17" s="12">
        <f t="shared" si="0"/>
        <v>483</v>
      </c>
      <c r="C17" s="31">
        <v>483</v>
      </c>
      <c r="D17" s="12"/>
      <c r="E17" s="12"/>
      <c r="F17" s="12"/>
    </row>
    <row r="18" spans="1:7" ht="15.6" x14ac:dyDescent="0.35">
      <c r="A18" s="26" t="s">
        <v>80</v>
      </c>
      <c r="B18" s="12">
        <f t="shared" si="0"/>
        <v>475</v>
      </c>
      <c r="C18" s="31">
        <v>475</v>
      </c>
      <c r="D18" s="12"/>
      <c r="E18" s="12"/>
      <c r="F18" s="12"/>
      <c r="G18" s="5"/>
    </row>
    <row r="19" spans="1:7" ht="15.6" x14ac:dyDescent="0.35">
      <c r="A19" s="25"/>
      <c r="B19" s="12"/>
      <c r="C19" s="12"/>
      <c r="D19" s="12"/>
      <c r="E19" s="12"/>
      <c r="F19" s="12"/>
      <c r="G19" s="5"/>
    </row>
    <row r="20" spans="1:7" ht="15.6" x14ac:dyDescent="0.35">
      <c r="A20" s="27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26" t="s">
        <v>50</v>
      </c>
      <c r="B21" s="14">
        <f>SUM(D21:F21)</f>
        <v>145103184.97</v>
      </c>
      <c r="C21" s="14"/>
      <c r="D21" s="14">
        <v>58730467.890000001</v>
      </c>
      <c r="E21" s="31">
        <v>5110360</v>
      </c>
      <c r="F21" s="14">
        <v>81262357.079999998</v>
      </c>
      <c r="G21" s="5"/>
    </row>
    <row r="22" spans="1:7" ht="15.6" x14ac:dyDescent="0.35">
      <c r="A22" s="26" t="s">
        <v>78</v>
      </c>
      <c r="B22" s="14">
        <f>SUM(D22:F22)</f>
        <v>1002289446</v>
      </c>
      <c r="C22" s="14"/>
      <c r="D22" s="14">
        <v>73250000</v>
      </c>
      <c r="E22" s="14">
        <v>6000000</v>
      </c>
      <c r="F22" s="14">
        <v>923039446</v>
      </c>
      <c r="G22" s="5"/>
    </row>
    <row r="23" spans="1:7" ht="15.6" x14ac:dyDescent="0.35">
      <c r="A23" s="26" t="s">
        <v>79</v>
      </c>
      <c r="B23" s="14">
        <f>SUM(D23:F23)</f>
        <v>86251970.920000002</v>
      </c>
      <c r="C23" s="14"/>
      <c r="D23" s="14">
        <v>47264955.359999999</v>
      </c>
      <c r="E23" s="31">
        <v>0</v>
      </c>
      <c r="F23" s="14">
        <v>38987015.560000002</v>
      </c>
      <c r="G23" s="5"/>
    </row>
    <row r="24" spans="1:7" ht="15.6" x14ac:dyDescent="0.35">
      <c r="A24" s="26" t="s">
        <v>80</v>
      </c>
      <c r="B24" s="14">
        <f>SUM(D24:F24)</f>
        <v>1567727446</v>
      </c>
      <c r="C24" s="14"/>
      <c r="D24" s="14">
        <v>293000000</v>
      </c>
      <c r="E24" s="14">
        <v>6000000</v>
      </c>
      <c r="F24" s="14">
        <v>1268727446</v>
      </c>
      <c r="G24" s="5"/>
    </row>
    <row r="25" spans="1:7" ht="15.6" x14ac:dyDescent="0.35">
      <c r="A25" s="26" t="s">
        <v>81</v>
      </c>
      <c r="B25" s="12">
        <f>D25+E25+F25</f>
        <v>86251970.920000002</v>
      </c>
      <c r="C25" s="12"/>
      <c r="D25" s="12">
        <f>D23</f>
        <v>47264955.359999999</v>
      </c>
      <c r="E25" s="12">
        <f>E23</f>
        <v>0</v>
      </c>
      <c r="F25" s="12">
        <f>F23</f>
        <v>38987015.560000002</v>
      </c>
      <c r="G25" s="5"/>
    </row>
    <row r="26" spans="1:7" ht="15.6" x14ac:dyDescent="0.35">
      <c r="A26" s="25"/>
      <c r="B26" s="12"/>
      <c r="C26" s="12"/>
      <c r="D26" s="12"/>
      <c r="E26" s="12"/>
      <c r="F26" s="12"/>
      <c r="G26" s="5"/>
    </row>
    <row r="27" spans="1:7" ht="15.6" x14ac:dyDescent="0.35">
      <c r="A27" s="27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26" t="s">
        <v>78</v>
      </c>
      <c r="B28" s="12">
        <f>B22</f>
        <v>1002289446</v>
      </c>
      <c r="C28" s="12"/>
      <c r="D28" s="20" t="s">
        <v>49</v>
      </c>
      <c r="E28" s="12"/>
      <c r="F28" s="12"/>
      <c r="G28" s="5"/>
    </row>
    <row r="29" spans="1:7" ht="15.6" x14ac:dyDescent="0.35">
      <c r="A29" s="26" t="s">
        <v>79</v>
      </c>
      <c r="B29" s="31">
        <v>211171999.97999999</v>
      </c>
      <c r="C29" s="12"/>
      <c r="D29" s="21">
        <v>934211445.98000002</v>
      </c>
      <c r="E29" s="12"/>
      <c r="F29" s="12"/>
      <c r="G29" s="5"/>
    </row>
    <row r="30" spans="1:7" ht="15.6" x14ac:dyDescent="0.35">
      <c r="A30" s="25"/>
      <c r="B30" s="16"/>
      <c r="C30" s="16"/>
      <c r="D30" s="16"/>
      <c r="E30" s="16"/>
      <c r="F30" s="16"/>
      <c r="G30" s="5"/>
    </row>
    <row r="31" spans="1:7" ht="15.6" x14ac:dyDescent="0.35">
      <c r="A31" s="24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26" t="s">
        <v>51</v>
      </c>
      <c r="B32" s="32">
        <v>1.0573999999999999</v>
      </c>
      <c r="C32" s="32">
        <v>1.0573999999999999</v>
      </c>
      <c r="D32" s="32">
        <v>1.0573999999999999</v>
      </c>
      <c r="E32" s="32">
        <v>1.0573999999999999</v>
      </c>
      <c r="F32" s="32">
        <v>1.0573999999999999</v>
      </c>
      <c r="G32" s="5"/>
    </row>
    <row r="33" spans="1:7" ht="15.6" x14ac:dyDescent="0.35">
      <c r="A33" s="26" t="s">
        <v>82</v>
      </c>
      <c r="B33" s="32">
        <v>1.1041000000000001</v>
      </c>
      <c r="C33" s="32">
        <v>1.1041000000000001</v>
      </c>
      <c r="D33" s="32">
        <v>1.1041000000000001</v>
      </c>
      <c r="E33" s="32">
        <v>1.1041000000000001</v>
      </c>
      <c r="F33" s="32">
        <v>1.1041000000000001</v>
      </c>
      <c r="G33" s="5"/>
    </row>
    <row r="34" spans="1:7" ht="15.6" x14ac:dyDescent="0.35">
      <c r="A34" s="26" t="s">
        <v>9</v>
      </c>
      <c r="B34" s="12" t="s">
        <v>43</v>
      </c>
      <c r="C34" s="12" t="s">
        <v>43</v>
      </c>
      <c r="D34" s="12" t="s">
        <v>43</v>
      </c>
      <c r="E34" s="12" t="s">
        <v>43</v>
      </c>
      <c r="F34" s="12" t="s">
        <v>43</v>
      </c>
      <c r="G34" s="5"/>
    </row>
    <row r="35" spans="1:7" ht="15.6" x14ac:dyDescent="0.35">
      <c r="A35" s="25"/>
      <c r="B35" s="16"/>
      <c r="C35" s="16"/>
      <c r="D35" s="16"/>
      <c r="E35" s="16"/>
      <c r="F35" s="16"/>
      <c r="G35" s="5"/>
    </row>
    <row r="36" spans="1:7" ht="15.6" x14ac:dyDescent="0.35">
      <c r="A36" s="24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26" t="s">
        <v>52</v>
      </c>
      <c r="B37" s="14">
        <f>B21/B32</f>
        <v>137226390.17401174</v>
      </c>
      <c r="C37" s="12"/>
      <c r="D37" s="14">
        <f>D21/D32</f>
        <v>55542337.705693215</v>
      </c>
      <c r="E37" s="14">
        <f t="shared" ref="E37:F37" si="1">E21/E32</f>
        <v>4832948.7421978442</v>
      </c>
      <c r="F37" s="14">
        <f t="shared" si="1"/>
        <v>76851103.726120681</v>
      </c>
      <c r="G37" s="5"/>
    </row>
    <row r="38" spans="1:7" ht="15.6" x14ac:dyDescent="0.35">
      <c r="A38" s="26" t="s">
        <v>83</v>
      </c>
      <c r="B38" s="14">
        <f>B23/B33</f>
        <v>78119709.193007872</v>
      </c>
      <c r="C38" s="12"/>
      <c r="D38" s="14">
        <f>D23/D33</f>
        <v>42808581.976270258</v>
      </c>
      <c r="E38" s="12">
        <f>E23/E33</f>
        <v>0</v>
      </c>
      <c r="F38" s="14">
        <f t="shared" ref="F38" si="2">F23/F33</f>
        <v>35311127.216737613</v>
      </c>
      <c r="G38" s="5"/>
    </row>
    <row r="39" spans="1:7" ht="15.6" x14ac:dyDescent="0.35">
      <c r="A39" s="26" t="s">
        <v>53</v>
      </c>
      <c r="B39" s="14">
        <f>B37/$B$15</f>
        <v>276666.10922179784</v>
      </c>
      <c r="C39" s="12"/>
      <c r="D39" s="14">
        <f>D37/$C$15</f>
        <v>111980.51956792986</v>
      </c>
      <c r="E39" s="14">
        <f t="shared" ref="E39:F39" si="3">E37/$C$15</f>
        <v>9743.8482705601691</v>
      </c>
      <c r="F39" s="14">
        <f t="shared" si="3"/>
        <v>154941.74138330782</v>
      </c>
      <c r="G39" s="5"/>
    </row>
    <row r="40" spans="1:7" ht="15.6" x14ac:dyDescent="0.35">
      <c r="A40" s="26" t="s">
        <v>84</v>
      </c>
      <c r="B40" s="14">
        <f>B38/$B$17</f>
        <v>161738.52834991278</v>
      </c>
      <c r="C40" s="12"/>
      <c r="D40" s="14">
        <f>D38/$C$17</f>
        <v>88630.604505735522</v>
      </c>
      <c r="E40" s="12">
        <f t="shared" ref="E40:F40" si="4">E38/$C$17</f>
        <v>0</v>
      </c>
      <c r="F40" s="14">
        <f t="shared" si="4"/>
        <v>73107.923844177247</v>
      </c>
    </row>
    <row r="41" spans="1:7" ht="15.6" x14ac:dyDescent="0.35">
      <c r="A41" s="25"/>
      <c r="B41" s="16"/>
      <c r="C41" s="16"/>
      <c r="D41" s="16"/>
      <c r="E41" s="16"/>
      <c r="F41" s="16"/>
      <c r="G41" s="5"/>
    </row>
    <row r="42" spans="1:7" ht="15.6" x14ac:dyDescent="0.35">
      <c r="A42" s="24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25"/>
      <c r="B43" s="16"/>
      <c r="C43" s="16"/>
      <c r="D43" s="16"/>
      <c r="E43" s="16"/>
      <c r="F43" s="16"/>
      <c r="G43" s="5"/>
    </row>
    <row r="44" spans="1:7" ht="15.6" x14ac:dyDescent="0.35">
      <c r="A44" s="24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25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25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25"/>
      <c r="B47" s="16"/>
      <c r="C47" s="16"/>
      <c r="D47" s="16"/>
      <c r="E47" s="16"/>
      <c r="F47" s="16"/>
      <c r="G47" s="5"/>
    </row>
    <row r="48" spans="1:7" ht="15.6" x14ac:dyDescent="0.35">
      <c r="A48" s="24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25" t="s">
        <v>16</v>
      </c>
      <c r="B49" s="16">
        <f>B17/B16*100</f>
        <v>98.571428571428584</v>
      </c>
      <c r="C49" s="16">
        <f>C17/C16*100</f>
        <v>98.571428571428584</v>
      </c>
      <c r="D49" s="16"/>
      <c r="E49" s="16"/>
      <c r="F49" s="16"/>
      <c r="G49" s="5"/>
    </row>
    <row r="50" spans="1:7" ht="15.6" x14ac:dyDescent="0.35">
      <c r="A50" s="25" t="s">
        <v>17</v>
      </c>
      <c r="B50" s="16">
        <f>B23/B22*100</f>
        <v>8.6054952752640279</v>
      </c>
      <c r="C50" s="16"/>
      <c r="D50" s="16">
        <f>D23/D22*100</f>
        <v>64.525536327645057</v>
      </c>
      <c r="E50" s="16">
        <f t="shared" ref="E50" si="5">E23/E22*100</f>
        <v>0</v>
      </c>
      <c r="F50" s="16">
        <f>F23/F22*100</f>
        <v>4.2237648378897124</v>
      </c>
      <c r="G50" s="5"/>
    </row>
    <row r="51" spans="1:7" ht="15.6" x14ac:dyDescent="0.35">
      <c r="A51" s="25" t="s">
        <v>18</v>
      </c>
      <c r="B51" s="16">
        <f>AVERAGE(B49:B50)</f>
        <v>53.588461923346308</v>
      </c>
      <c r="C51" s="16">
        <f>AVERAGE(C49:C50)</f>
        <v>98.571428571428584</v>
      </c>
      <c r="D51" s="16">
        <f t="shared" ref="D51:F51" si="6">AVERAGE(D49:D50)</f>
        <v>64.525536327645057</v>
      </c>
      <c r="E51" s="16">
        <f t="shared" si="6"/>
        <v>0</v>
      </c>
      <c r="F51" s="16">
        <f t="shared" si="6"/>
        <v>4.2237648378897124</v>
      </c>
      <c r="G51" s="5"/>
    </row>
    <row r="52" spans="1:7" ht="15.6" x14ac:dyDescent="0.35">
      <c r="A52" s="25"/>
      <c r="B52" s="16"/>
      <c r="C52" s="16"/>
      <c r="D52" s="16"/>
      <c r="E52" s="16"/>
      <c r="F52" s="16"/>
      <c r="G52" s="5"/>
    </row>
    <row r="53" spans="1:7" ht="15.6" x14ac:dyDescent="0.35">
      <c r="A53" s="24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25" t="s">
        <v>20</v>
      </c>
      <c r="B54" s="16">
        <f>(B17/B18)*100</f>
        <v>101.68421052631579</v>
      </c>
      <c r="C54" s="16">
        <f t="shared" ref="C54" si="7">(C17/C18)*100</f>
        <v>101.68421052631579</v>
      </c>
      <c r="D54" s="16"/>
      <c r="E54" s="16"/>
      <c r="F54" s="16"/>
      <c r="G54" s="5"/>
    </row>
    <row r="55" spans="1:7" ht="15.6" x14ac:dyDescent="0.35">
      <c r="A55" s="25" t="s">
        <v>21</v>
      </c>
      <c r="B55" s="16">
        <f>B23/B24*100</f>
        <v>5.501719775339061</v>
      </c>
      <c r="C55" s="16"/>
      <c r="D55" s="16">
        <f t="shared" ref="D55:F55" si="8">D23/D24*100</f>
        <v>16.131384081911264</v>
      </c>
      <c r="E55" s="16">
        <f t="shared" si="8"/>
        <v>0</v>
      </c>
      <c r="F55" s="16">
        <f t="shared" si="8"/>
        <v>3.072922847449775</v>
      </c>
      <c r="G55" s="5"/>
    </row>
    <row r="56" spans="1:7" ht="15.6" x14ac:dyDescent="0.35">
      <c r="A56" s="25" t="s">
        <v>22</v>
      </c>
      <c r="B56" s="16">
        <f>AVERAGE(B54:B55)</f>
        <v>53.592965150827425</v>
      </c>
      <c r="C56" s="16">
        <f t="shared" ref="C56:F56" si="9">AVERAGE(C54:C55)</f>
        <v>101.68421052631579</v>
      </c>
      <c r="D56" s="16">
        <f t="shared" si="9"/>
        <v>16.131384081911264</v>
      </c>
      <c r="E56" s="16">
        <f t="shared" si="9"/>
        <v>0</v>
      </c>
      <c r="F56" s="16">
        <f t="shared" si="9"/>
        <v>3.072922847449775</v>
      </c>
      <c r="G56" s="5"/>
    </row>
    <row r="57" spans="1:7" ht="15.6" x14ac:dyDescent="0.35">
      <c r="A57" s="25"/>
      <c r="B57" s="16"/>
      <c r="C57" s="16"/>
      <c r="D57" s="16"/>
      <c r="E57" s="16"/>
      <c r="F57" s="16"/>
      <c r="G57" s="5"/>
    </row>
    <row r="58" spans="1:7" ht="15.6" x14ac:dyDescent="0.35">
      <c r="A58" s="24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25" t="s">
        <v>23</v>
      </c>
      <c r="B59" s="16">
        <f>B25/B23*100</f>
        <v>100</v>
      </c>
      <c r="C59" s="16"/>
      <c r="D59" s="16">
        <f t="shared" ref="D59:F59" si="10">D25/D23*100</f>
        <v>100</v>
      </c>
      <c r="E59" s="16" t="s">
        <v>43</v>
      </c>
      <c r="F59" s="16">
        <f t="shared" si="10"/>
        <v>100</v>
      </c>
      <c r="G59" s="5"/>
    </row>
    <row r="60" spans="1:7" ht="15.6" x14ac:dyDescent="0.35">
      <c r="A60" s="25"/>
      <c r="B60" s="16"/>
      <c r="C60" s="16"/>
      <c r="D60" s="16"/>
      <c r="E60" s="16"/>
      <c r="F60" s="16"/>
      <c r="G60" s="5"/>
    </row>
    <row r="61" spans="1:7" ht="15.6" x14ac:dyDescent="0.35">
      <c r="A61" s="24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25" t="s">
        <v>25</v>
      </c>
      <c r="B62" s="16">
        <f>((B17/B15)-1)*100</f>
        <v>-2.6209677419354871</v>
      </c>
      <c r="C62" s="16">
        <f>((C17/C15)-1)*100</f>
        <v>-2.6209677419354871</v>
      </c>
      <c r="D62" s="16">
        <f>((C17/C15)-1)*100</f>
        <v>-2.6209677419354871</v>
      </c>
      <c r="E62" s="16">
        <f>((C17/C15)-1)*100</f>
        <v>-2.6209677419354871</v>
      </c>
      <c r="F62" s="16">
        <f>((C17/C15)-1)*100</f>
        <v>-2.6209677419354871</v>
      </c>
      <c r="G62" s="5"/>
    </row>
    <row r="63" spans="1:7" ht="15.6" x14ac:dyDescent="0.35">
      <c r="A63" s="25" t="s">
        <v>26</v>
      </c>
      <c r="B63" s="16">
        <f>((B38/B37)-1)*100</f>
        <v>-43.0723863726597</v>
      </c>
      <c r="C63" s="16"/>
      <c r="D63" s="16">
        <f t="shared" ref="D63" si="11">((D38/D37)-1)*100</f>
        <v>-22.926214947768962</v>
      </c>
      <c r="E63" s="16" t="s">
        <v>43</v>
      </c>
      <c r="F63" s="16" t="s">
        <v>43</v>
      </c>
      <c r="G63" s="5"/>
    </row>
    <row r="64" spans="1:7" ht="15.6" x14ac:dyDescent="0.35">
      <c r="A64" s="25" t="s">
        <v>27</v>
      </c>
      <c r="B64" s="16">
        <f>((B40/B39)-1)*100</f>
        <v>-41.540173169439356</v>
      </c>
      <c r="C64" s="16"/>
      <c r="D64" s="16">
        <f t="shared" ref="D64" si="12">((D40/D39)-1)*100</f>
        <v>-20.851765246570196</v>
      </c>
      <c r="E64" s="16" t="s">
        <v>43</v>
      </c>
      <c r="F64" s="16" t="s">
        <v>43</v>
      </c>
      <c r="G64" s="5"/>
    </row>
    <row r="65" spans="1:7" ht="15.6" x14ac:dyDescent="0.35">
      <c r="A65" s="25"/>
      <c r="B65" s="16"/>
      <c r="C65" s="16"/>
      <c r="D65" s="16"/>
      <c r="E65" s="16"/>
      <c r="F65" s="16"/>
      <c r="G65" s="5"/>
    </row>
    <row r="66" spans="1:7" ht="15.6" x14ac:dyDescent="0.35">
      <c r="A66" s="24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25" t="s">
        <v>34</v>
      </c>
      <c r="B67" s="16">
        <f>B22/($B$16*3)</f>
        <v>681829.55510204076</v>
      </c>
      <c r="C67" s="16">
        <f>B22/(C16*3)</f>
        <v>681829.55510204076</v>
      </c>
      <c r="D67" s="16">
        <f>D22/($C$16*3)</f>
        <v>49829.931972789112</v>
      </c>
      <c r="E67" s="16">
        <f>E22/($C$16*3)</f>
        <v>4081.6326530612246</v>
      </c>
      <c r="F67" s="16">
        <f>F22/($C$16*3)</f>
        <v>627917.99047619046</v>
      </c>
      <c r="G67" s="5"/>
    </row>
    <row r="68" spans="1:7" ht="15.6" x14ac:dyDescent="0.35">
      <c r="A68" s="25" t="s">
        <v>35</v>
      </c>
      <c r="B68" s="16">
        <f>B23/($B$17*3)</f>
        <v>59525.169717046243</v>
      </c>
      <c r="C68" s="16">
        <f>B23/(C17*3)</f>
        <v>59525.169717046243</v>
      </c>
      <c r="D68" s="16">
        <f>D23/($C$17*3)</f>
        <v>32619.016811594203</v>
      </c>
      <c r="E68" s="16">
        <f>E23/($C$17*3)</f>
        <v>0</v>
      </c>
      <c r="F68" s="16">
        <f>F23/($C$17*3)</f>
        <v>26906.152905452036</v>
      </c>
    </row>
    <row r="69" spans="1:7" ht="15.6" x14ac:dyDescent="0.35">
      <c r="A69" s="25" t="s">
        <v>29</v>
      </c>
      <c r="B69" s="16">
        <f>(B68/B67)*B51</f>
        <v>4.6783866539567542</v>
      </c>
      <c r="C69" s="16">
        <f>(C68/C67)*C51</f>
        <v>8.6054952752640297</v>
      </c>
      <c r="D69" s="16"/>
      <c r="E69" s="16"/>
      <c r="F69" s="16"/>
      <c r="G69" s="5"/>
    </row>
    <row r="70" spans="1:7" ht="15.6" x14ac:dyDescent="0.35">
      <c r="A70" s="28" t="s">
        <v>36</v>
      </c>
      <c r="B70" s="16">
        <f>B22/($B$16)</f>
        <v>2045488.6653061225</v>
      </c>
      <c r="C70" s="16">
        <f>B22/(C16)</f>
        <v>2045488.6653061225</v>
      </c>
      <c r="D70" s="16">
        <f>D22/($C$16)</f>
        <v>149489.79591836734</v>
      </c>
      <c r="E70" s="16">
        <f t="shared" ref="E70:F70" si="13">E22/($C$16)</f>
        <v>12244.897959183674</v>
      </c>
      <c r="F70" s="16">
        <f t="shared" si="13"/>
        <v>1883753.9714285715</v>
      </c>
      <c r="G70" s="5"/>
    </row>
    <row r="71" spans="1:7" ht="15.6" x14ac:dyDescent="0.35">
      <c r="A71" s="28" t="s">
        <v>37</v>
      </c>
      <c r="B71" s="16">
        <f>B23/($B$17)</f>
        <v>178575.50915113871</v>
      </c>
      <c r="C71" s="16">
        <f>B23/(C17)</f>
        <v>178575.50915113871</v>
      </c>
      <c r="D71" s="16">
        <f>D23/($C$17)</f>
        <v>97857.050434782606</v>
      </c>
      <c r="E71" s="16">
        <f t="shared" ref="E71:F71" si="14">E23/($C$17)</f>
        <v>0</v>
      </c>
      <c r="F71" s="16">
        <f t="shared" si="14"/>
        <v>80718.458716356108</v>
      </c>
      <c r="G71" s="5"/>
    </row>
    <row r="72" spans="1:7" ht="15.6" x14ac:dyDescent="0.35">
      <c r="A72" s="25"/>
      <c r="B72" s="16"/>
      <c r="C72" s="16"/>
      <c r="D72" s="16"/>
      <c r="E72" s="16"/>
      <c r="F72" s="16"/>
      <c r="G72" s="5"/>
    </row>
    <row r="73" spans="1:7" ht="15.6" x14ac:dyDescent="0.35">
      <c r="A73" s="24" t="s">
        <v>30</v>
      </c>
      <c r="B73" s="16"/>
      <c r="C73" s="16"/>
      <c r="D73" s="22" t="s">
        <v>49</v>
      </c>
      <c r="E73" s="16"/>
      <c r="F73" s="16"/>
      <c r="G73" s="5"/>
    </row>
    <row r="74" spans="1:7" ht="15.6" x14ac:dyDescent="0.35">
      <c r="A74" s="25" t="s">
        <v>31</v>
      </c>
      <c r="B74" s="16">
        <f>(B29/B28)*100</f>
        <v>21.068963743233908</v>
      </c>
      <c r="C74" s="16"/>
      <c r="D74" s="23">
        <f>(D29/B28)*100</f>
        <v>93.207750486479739</v>
      </c>
      <c r="E74" s="16"/>
      <c r="F74" s="16"/>
      <c r="G74" s="5"/>
    </row>
    <row r="75" spans="1:7" ht="15.6" x14ac:dyDescent="0.35">
      <c r="A75" s="25" t="s">
        <v>32</v>
      </c>
      <c r="B75" s="16">
        <f>(B23/B29)*100</f>
        <v>40.844416365886048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50" t="s">
        <v>85</v>
      </c>
      <c r="B77" s="50"/>
      <c r="C77" s="50"/>
      <c r="D77" s="50"/>
      <c r="E77" s="50"/>
      <c r="F77" s="50"/>
    </row>
    <row r="78" spans="1:7" customFormat="1" x14ac:dyDescent="0.3"/>
    <row r="79" spans="1:7" customFormat="1" ht="38.25" customHeight="1" x14ac:dyDescent="0.3">
      <c r="A79" s="44" t="s">
        <v>86</v>
      </c>
      <c r="B79" s="44"/>
      <c r="C79" s="44"/>
      <c r="D79" s="44"/>
      <c r="E79" s="44"/>
      <c r="F79" s="44"/>
      <c r="G79" s="29"/>
    </row>
    <row r="80" spans="1:7" customFormat="1" x14ac:dyDescent="0.3"/>
    <row r="81" spans="1:1" customFormat="1" x14ac:dyDescent="0.3"/>
    <row r="82" spans="1:1" customFormat="1" x14ac:dyDescent="0.3">
      <c r="A82" s="30"/>
    </row>
    <row r="83" spans="1:1" customFormat="1" x14ac:dyDescent="0.3">
      <c r="A83" s="40"/>
    </row>
    <row r="84" spans="1:1" customFormat="1" x14ac:dyDescent="0.3"/>
    <row r="85" spans="1:1" customFormat="1" x14ac:dyDescent="0.3"/>
    <row r="86" spans="1:1" customFormat="1" x14ac:dyDescent="0.3">
      <c r="A86" s="30"/>
    </row>
    <row r="87" spans="1:1" customFormat="1" x14ac:dyDescent="0.3">
      <c r="A87" s="1"/>
    </row>
    <row r="88" spans="1:1" customFormat="1" x14ac:dyDescent="0.3"/>
    <row r="89" spans="1:1" customFormat="1" x14ac:dyDescent="0.3"/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3"/>
      <c r="C171" s="3"/>
      <c r="D171" s="3"/>
      <c r="E171" s="3"/>
    </row>
    <row r="172" spans="1:5" x14ac:dyDescent="0.3">
      <c r="A172" s="1"/>
      <c r="B172" s="3"/>
      <c r="C172" s="3"/>
      <c r="D172" s="3"/>
      <c r="E172" s="3"/>
    </row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6" width="19.554687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5" customFormat="1" ht="17.25" customHeight="1" x14ac:dyDescent="0.35">
      <c r="A9" s="45" t="s">
        <v>0</v>
      </c>
      <c r="B9" s="47" t="s">
        <v>1</v>
      </c>
      <c r="C9" s="47" t="s">
        <v>46</v>
      </c>
      <c r="D9" s="49" t="s">
        <v>45</v>
      </c>
      <c r="E9" s="49"/>
      <c r="F9" s="49"/>
    </row>
    <row r="10" spans="1:7" s="35" customFormat="1" ht="31.8" thickBot="1" x14ac:dyDescent="0.35">
      <c r="A10" s="46"/>
      <c r="B10" s="48"/>
      <c r="C10" s="48"/>
      <c r="D10" s="36" t="s">
        <v>44</v>
      </c>
      <c r="E10" s="37" t="s">
        <v>2</v>
      </c>
      <c r="F10" s="37" t="s">
        <v>3</v>
      </c>
    </row>
    <row r="11" spans="1:7" customFormat="1" ht="16.2" thickTop="1" x14ac:dyDescent="0.35">
      <c r="A11" s="25"/>
      <c r="B11" s="25"/>
      <c r="C11" s="25"/>
      <c r="D11" s="25"/>
      <c r="E11" s="25"/>
      <c r="F11" s="25"/>
    </row>
    <row r="12" spans="1:7" customFormat="1" ht="15.6" x14ac:dyDescent="0.35">
      <c r="A12" s="24" t="s">
        <v>4</v>
      </c>
      <c r="B12" s="25"/>
      <c r="C12" s="25"/>
      <c r="D12" s="25"/>
      <c r="E12" s="25"/>
      <c r="F12" s="25"/>
    </row>
    <row r="13" spans="1:7" customFormat="1" ht="15.6" x14ac:dyDescent="0.35">
      <c r="A13" s="25"/>
      <c r="B13" s="38"/>
      <c r="C13" s="38"/>
      <c r="D13" s="38"/>
      <c r="E13" s="38"/>
      <c r="F13" s="38"/>
      <c r="G13" s="39"/>
    </row>
    <row r="14" spans="1:7" customFormat="1" ht="15.6" x14ac:dyDescent="0.35">
      <c r="A14" s="24" t="s">
        <v>5</v>
      </c>
      <c r="B14" s="38"/>
      <c r="C14" s="38"/>
      <c r="D14" s="38"/>
      <c r="E14" s="38"/>
      <c r="F14" s="38"/>
      <c r="G14" s="39"/>
    </row>
    <row r="15" spans="1:7" ht="15.6" x14ac:dyDescent="0.35">
      <c r="A15" s="26" t="s">
        <v>54</v>
      </c>
      <c r="B15" s="12">
        <f>C15</f>
        <v>467</v>
      </c>
      <c r="C15" s="31">
        <v>467</v>
      </c>
      <c r="D15" s="31"/>
      <c r="E15" s="31"/>
      <c r="F15" s="31"/>
      <c r="G15" s="5"/>
    </row>
    <row r="16" spans="1:7" ht="15.6" x14ac:dyDescent="0.35">
      <c r="A16" s="26" t="s">
        <v>87</v>
      </c>
      <c r="B16" s="12">
        <f t="shared" ref="B16:B18" si="0">C16</f>
        <v>480</v>
      </c>
      <c r="C16" s="31">
        <v>480</v>
      </c>
      <c r="D16" s="31"/>
      <c r="E16" s="31"/>
      <c r="F16" s="31"/>
      <c r="G16" s="5"/>
    </row>
    <row r="17" spans="1:7" ht="15.6" x14ac:dyDescent="0.35">
      <c r="A17" s="26" t="s">
        <v>88</v>
      </c>
      <c r="B17" s="12">
        <f t="shared" si="0"/>
        <v>462</v>
      </c>
      <c r="C17" s="31">
        <v>462</v>
      </c>
      <c r="D17" s="31"/>
      <c r="E17" s="31"/>
      <c r="F17" s="31"/>
    </row>
    <row r="18" spans="1:7" ht="15.6" x14ac:dyDescent="0.35">
      <c r="A18" s="26" t="s">
        <v>80</v>
      </c>
      <c r="B18" s="12">
        <f t="shared" si="0"/>
        <v>475</v>
      </c>
      <c r="C18" s="31">
        <v>475</v>
      </c>
      <c r="D18" s="31"/>
      <c r="E18" s="31"/>
      <c r="F18" s="31"/>
      <c r="G18" s="5"/>
    </row>
    <row r="19" spans="1:7" ht="15.6" x14ac:dyDescent="0.35">
      <c r="A19" s="25"/>
      <c r="B19" s="12"/>
      <c r="C19" s="31"/>
      <c r="D19" s="31"/>
      <c r="E19" s="31"/>
      <c r="F19" s="31"/>
      <c r="G19" s="5"/>
    </row>
    <row r="20" spans="1:7" ht="15.6" x14ac:dyDescent="0.35">
      <c r="A20" s="27" t="s">
        <v>6</v>
      </c>
      <c r="B20" s="12"/>
      <c r="C20" s="31"/>
      <c r="D20" s="31"/>
      <c r="E20" s="31"/>
      <c r="F20" s="31"/>
      <c r="G20" s="5"/>
    </row>
    <row r="21" spans="1:7" ht="15.6" x14ac:dyDescent="0.35">
      <c r="A21" s="26" t="s">
        <v>54</v>
      </c>
      <c r="B21" s="12">
        <f>SUM(D21:F21)</f>
        <v>336596113.72999996</v>
      </c>
      <c r="C21" s="31"/>
      <c r="D21" s="31">
        <v>84158241.25999999</v>
      </c>
      <c r="E21" s="14">
        <v>24971784.829999998</v>
      </c>
      <c r="F21" s="14">
        <v>227466087.63999999</v>
      </c>
      <c r="G21" s="5"/>
    </row>
    <row r="22" spans="1:7" ht="15.6" x14ac:dyDescent="0.35">
      <c r="A22" s="26" t="s">
        <v>87</v>
      </c>
      <c r="B22" s="12">
        <f>SUM(D22:F22)</f>
        <v>250250000</v>
      </c>
      <c r="C22" s="31"/>
      <c r="D22" s="31">
        <v>75250000</v>
      </c>
      <c r="E22" s="31">
        <v>0</v>
      </c>
      <c r="F22" s="31">
        <v>175000000</v>
      </c>
      <c r="G22" s="5"/>
    </row>
    <row r="23" spans="1:7" ht="15.6" x14ac:dyDescent="0.35">
      <c r="A23" s="26" t="s">
        <v>88</v>
      </c>
      <c r="B23" s="12">
        <f>SUM(D23:F23)</f>
        <v>231745797.55000001</v>
      </c>
      <c r="C23" s="31"/>
      <c r="D23" s="31">
        <v>118940891.88000001</v>
      </c>
      <c r="E23" s="14">
        <v>3849745.45</v>
      </c>
      <c r="F23" s="14">
        <v>108955160.22</v>
      </c>
      <c r="G23" s="5"/>
    </row>
    <row r="24" spans="1:7" ht="15.6" x14ac:dyDescent="0.35">
      <c r="A24" s="26" t="s">
        <v>80</v>
      </c>
      <c r="B24" s="12">
        <f>SUM(D24:F24)</f>
        <v>1567727446.99</v>
      </c>
      <c r="C24" s="31"/>
      <c r="D24" s="31">
        <v>248000000</v>
      </c>
      <c r="E24" s="31">
        <v>29910560</v>
      </c>
      <c r="F24" s="31">
        <v>1289816886.99</v>
      </c>
      <c r="G24" s="5"/>
    </row>
    <row r="25" spans="1:7" ht="15.6" x14ac:dyDescent="0.35">
      <c r="A25" s="26" t="s">
        <v>89</v>
      </c>
      <c r="B25" s="12">
        <f>D25+E25+F25</f>
        <v>231745797.55000001</v>
      </c>
      <c r="C25" s="12"/>
      <c r="D25" s="12">
        <f>+D23</f>
        <v>118940891.88000001</v>
      </c>
      <c r="E25" s="12">
        <f t="shared" ref="E25:F25" si="1">+E23</f>
        <v>3849745.45</v>
      </c>
      <c r="F25" s="12">
        <f t="shared" si="1"/>
        <v>108955160.22</v>
      </c>
      <c r="G25" s="5"/>
    </row>
    <row r="26" spans="1:7" ht="15.6" x14ac:dyDescent="0.35">
      <c r="A26" s="25"/>
      <c r="B26" s="12"/>
      <c r="C26" s="12"/>
      <c r="D26" s="12"/>
      <c r="E26" s="12"/>
      <c r="F26" s="12"/>
      <c r="G26" s="5"/>
    </row>
    <row r="27" spans="1:7" ht="15.6" x14ac:dyDescent="0.35">
      <c r="A27" s="27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26" t="s">
        <v>87</v>
      </c>
      <c r="B28" s="12">
        <f>B22</f>
        <v>250250000</v>
      </c>
      <c r="C28" s="12"/>
      <c r="D28" s="15"/>
      <c r="E28" s="12"/>
      <c r="F28" s="12"/>
      <c r="G28" s="5"/>
    </row>
    <row r="29" spans="1:7" ht="15.6" x14ac:dyDescent="0.35">
      <c r="A29" s="26" t="s">
        <v>88</v>
      </c>
      <c r="B29" s="31">
        <v>211171999.98000002</v>
      </c>
      <c r="C29" s="12"/>
      <c r="D29" s="12"/>
      <c r="E29" s="12"/>
      <c r="F29" s="12"/>
      <c r="G29" s="5"/>
    </row>
    <row r="30" spans="1:7" ht="15.6" x14ac:dyDescent="0.35">
      <c r="A30" s="25"/>
      <c r="B30" s="16"/>
      <c r="C30" s="16"/>
      <c r="D30" s="16"/>
      <c r="E30" s="16"/>
      <c r="F30" s="16"/>
      <c r="G30" s="5"/>
    </row>
    <row r="31" spans="1:7" ht="15.6" x14ac:dyDescent="0.35">
      <c r="A31" s="24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26" t="s">
        <v>55</v>
      </c>
      <c r="B32" s="33">
        <v>1.121</v>
      </c>
      <c r="C32" s="33">
        <v>1.121</v>
      </c>
      <c r="D32" s="33">
        <v>1.121</v>
      </c>
      <c r="E32" s="33">
        <v>1.121</v>
      </c>
      <c r="F32" s="33">
        <v>1.121</v>
      </c>
      <c r="G32" s="5"/>
    </row>
    <row r="33" spans="1:7" ht="15.6" x14ac:dyDescent="0.35">
      <c r="A33" s="26" t="s">
        <v>90</v>
      </c>
      <c r="B33" s="33">
        <v>1.0973999999999999</v>
      </c>
      <c r="C33" s="33">
        <v>1.0973999999999999</v>
      </c>
      <c r="D33" s="33">
        <v>1.0973999999999999</v>
      </c>
      <c r="E33" s="33">
        <v>1.0973999999999999</v>
      </c>
      <c r="F33" s="33">
        <v>1.0973999999999999</v>
      </c>
      <c r="G33" s="5"/>
    </row>
    <row r="34" spans="1:7" ht="15.6" x14ac:dyDescent="0.35">
      <c r="A34" s="26" t="s">
        <v>9</v>
      </c>
      <c r="B34" s="12" t="s">
        <v>43</v>
      </c>
      <c r="C34" s="12" t="s">
        <v>43</v>
      </c>
      <c r="D34" s="12" t="s">
        <v>43</v>
      </c>
      <c r="E34" s="12" t="s">
        <v>43</v>
      </c>
      <c r="F34" s="12" t="s">
        <v>43</v>
      </c>
      <c r="G34" s="5"/>
    </row>
    <row r="35" spans="1:7" ht="15.6" x14ac:dyDescent="0.35">
      <c r="A35" s="25"/>
      <c r="B35" s="16"/>
      <c r="C35" s="16"/>
      <c r="D35" s="16"/>
      <c r="E35" s="16"/>
      <c r="F35" s="16"/>
      <c r="G35" s="5"/>
    </row>
    <row r="36" spans="1:7" ht="15.6" x14ac:dyDescent="0.35">
      <c r="A36" s="24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26" t="s">
        <v>56</v>
      </c>
      <c r="B37" s="12">
        <f>B21/B32</f>
        <v>300264151.40945584</v>
      </c>
      <c r="C37" s="12"/>
      <c r="D37" s="14">
        <f>D21/D32</f>
        <v>75074256.253345221</v>
      </c>
      <c r="E37" s="14">
        <f t="shared" ref="E37:F37" si="2">E21/E32</f>
        <v>22276346.859946474</v>
      </c>
      <c r="F37" s="14">
        <f t="shared" si="2"/>
        <v>202913548.29616413</v>
      </c>
      <c r="G37" s="5"/>
    </row>
    <row r="38" spans="1:7" ht="15.6" x14ac:dyDescent="0.35">
      <c r="A38" s="26" t="s">
        <v>91</v>
      </c>
      <c r="B38" s="12">
        <f>B23/B33</f>
        <v>211177143.74886096</v>
      </c>
      <c r="C38" s="12"/>
      <c r="D38" s="14">
        <f>D23/D33</f>
        <v>108384264.51612905</v>
      </c>
      <c r="E38" s="14">
        <f>E23/E33</f>
        <v>3508060.3699653731</v>
      </c>
      <c r="F38" s="14">
        <f t="shared" ref="F38" si="3">F23/F33</f>
        <v>99284818.862766549</v>
      </c>
      <c r="G38" s="5"/>
    </row>
    <row r="39" spans="1:7" ht="15.6" x14ac:dyDescent="0.35">
      <c r="A39" s="26" t="s">
        <v>57</v>
      </c>
      <c r="B39" s="12">
        <f>B37/B15</f>
        <v>642963.92164765706</v>
      </c>
      <c r="C39" s="12"/>
      <c r="D39" s="14">
        <f>D37/$C$15</f>
        <v>160758.57870095337</v>
      </c>
      <c r="E39" s="14">
        <f t="shared" ref="E39:F39" si="4">E37/$C$15</f>
        <v>47700.956873547053</v>
      </c>
      <c r="F39" s="14">
        <f t="shared" si="4"/>
        <v>434504.38607315661</v>
      </c>
      <c r="G39" s="5"/>
    </row>
    <row r="40" spans="1:7" ht="15.6" x14ac:dyDescent="0.35">
      <c r="A40" s="26" t="s">
        <v>92</v>
      </c>
      <c r="B40" s="12">
        <f>B38/B17</f>
        <v>457093.38473779429</v>
      </c>
      <c r="C40" s="12"/>
      <c r="D40" s="14">
        <f>D38/$C$17</f>
        <v>234597.97514313646</v>
      </c>
      <c r="E40" s="14">
        <f t="shared" ref="E40:F40" si="5">E38/$C$17</f>
        <v>7593.2042639943138</v>
      </c>
      <c r="F40" s="14">
        <f t="shared" si="5"/>
        <v>214902.20533066354</v>
      </c>
    </row>
    <row r="41" spans="1:7" ht="15.6" x14ac:dyDescent="0.35">
      <c r="A41" s="25"/>
      <c r="B41" s="16"/>
      <c r="C41" s="16"/>
      <c r="D41" s="16"/>
      <c r="E41" s="16"/>
      <c r="F41" s="16"/>
      <c r="G41" s="5"/>
    </row>
    <row r="42" spans="1:7" ht="15.6" x14ac:dyDescent="0.35">
      <c r="A42" s="24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25"/>
      <c r="B43" s="16"/>
      <c r="C43" s="16"/>
      <c r="D43" s="16"/>
      <c r="E43" s="16"/>
      <c r="F43" s="16"/>
      <c r="G43" s="5"/>
    </row>
    <row r="44" spans="1:7" ht="15.6" x14ac:dyDescent="0.35">
      <c r="A44" s="24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25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25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25"/>
      <c r="B47" s="16"/>
      <c r="C47" s="16"/>
      <c r="D47" s="16"/>
      <c r="E47" s="16"/>
      <c r="F47" s="16"/>
      <c r="G47" s="5"/>
    </row>
    <row r="48" spans="1:7" ht="15.6" x14ac:dyDescent="0.35">
      <c r="A48" s="24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25" t="s">
        <v>16</v>
      </c>
      <c r="B49" s="16">
        <f>B17/B16*100</f>
        <v>96.25</v>
      </c>
      <c r="C49" s="16">
        <f>C17/C16*100</f>
        <v>96.25</v>
      </c>
      <c r="D49" s="16"/>
      <c r="E49" s="16"/>
      <c r="F49" s="16"/>
      <c r="G49" s="5"/>
    </row>
    <row r="50" spans="1:7" ht="15.6" x14ac:dyDescent="0.35">
      <c r="A50" s="25" t="s">
        <v>17</v>
      </c>
      <c r="B50" s="16">
        <f>B23/B22*100</f>
        <v>92.605713306693318</v>
      </c>
      <c r="C50" s="16"/>
      <c r="D50" s="16">
        <f t="shared" ref="D50:F50" si="6">D23/D22*100</f>
        <v>158.06098588704322</v>
      </c>
      <c r="E50" s="16" t="s">
        <v>43</v>
      </c>
      <c r="F50" s="16">
        <f t="shared" si="6"/>
        <v>62.260091554285715</v>
      </c>
      <c r="G50" s="5"/>
    </row>
    <row r="51" spans="1:7" ht="15.6" x14ac:dyDescent="0.35">
      <c r="A51" s="25" t="s">
        <v>18</v>
      </c>
      <c r="B51" s="16">
        <f>AVERAGE(B49:B50)</f>
        <v>94.427856653346652</v>
      </c>
      <c r="C51" s="16">
        <f t="shared" ref="C51:F51" si="7">AVERAGE(C49:C50)</f>
        <v>96.25</v>
      </c>
      <c r="D51" s="16">
        <f t="shared" si="7"/>
        <v>158.06098588704322</v>
      </c>
      <c r="E51" s="16" t="s">
        <v>43</v>
      </c>
      <c r="F51" s="16">
        <f t="shared" si="7"/>
        <v>62.260091554285715</v>
      </c>
      <c r="G51" s="5"/>
    </row>
    <row r="52" spans="1:7" ht="15.6" x14ac:dyDescent="0.35">
      <c r="A52" s="25"/>
      <c r="B52" s="16"/>
      <c r="C52" s="16"/>
      <c r="D52" s="16"/>
      <c r="E52" s="16"/>
      <c r="F52" s="16"/>
      <c r="G52" s="5"/>
    </row>
    <row r="53" spans="1:7" ht="15.6" x14ac:dyDescent="0.35">
      <c r="A53" s="24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25" t="s">
        <v>20</v>
      </c>
      <c r="B54" s="16">
        <f>(B17/B18)*100</f>
        <v>97.263157894736835</v>
      </c>
      <c r="C54" s="16">
        <f t="shared" ref="C54" si="8">(C17/C18)*100</f>
        <v>97.263157894736835</v>
      </c>
      <c r="D54" s="16"/>
      <c r="E54" s="16"/>
      <c r="F54" s="16"/>
      <c r="G54" s="5"/>
    </row>
    <row r="55" spans="1:7" ht="15.6" x14ac:dyDescent="0.35">
      <c r="A55" s="25" t="s">
        <v>21</v>
      </c>
      <c r="B55" s="16">
        <f>B23/B24*100</f>
        <v>14.782275962250106</v>
      </c>
      <c r="C55" s="16"/>
      <c r="D55" s="16">
        <f t="shared" ref="D55:F55" si="9">D23/D24*100</f>
        <v>47.9600370483871</v>
      </c>
      <c r="E55" s="16">
        <f t="shared" si="9"/>
        <v>12.870857148779564</v>
      </c>
      <c r="F55" s="16">
        <f t="shared" si="9"/>
        <v>8.4473355341365401</v>
      </c>
      <c r="G55" s="5"/>
    </row>
    <row r="56" spans="1:7" ht="15.6" x14ac:dyDescent="0.35">
      <c r="A56" s="25" t="s">
        <v>22</v>
      </c>
      <c r="B56" s="16">
        <f>AVERAGE(B54:B55)</f>
        <v>56.022716928493473</v>
      </c>
      <c r="C56" s="16">
        <f t="shared" ref="C56:F56" si="10">AVERAGE(C54:C55)</f>
        <v>97.263157894736835</v>
      </c>
      <c r="D56" s="16">
        <f t="shared" si="10"/>
        <v>47.9600370483871</v>
      </c>
      <c r="E56" s="16">
        <f t="shared" si="10"/>
        <v>12.870857148779564</v>
      </c>
      <c r="F56" s="16">
        <f t="shared" si="10"/>
        <v>8.4473355341365401</v>
      </c>
      <c r="G56" s="5"/>
    </row>
    <row r="57" spans="1:7" ht="15.6" x14ac:dyDescent="0.35">
      <c r="A57" s="25"/>
      <c r="B57" s="16"/>
      <c r="C57" s="16"/>
      <c r="D57" s="16"/>
      <c r="E57" s="16"/>
      <c r="F57" s="16"/>
      <c r="G57" s="5"/>
    </row>
    <row r="58" spans="1:7" ht="15.6" x14ac:dyDescent="0.35">
      <c r="A58" s="24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25" t="s">
        <v>23</v>
      </c>
      <c r="B59" s="16">
        <f>B25/B23*100</f>
        <v>100</v>
      </c>
      <c r="C59" s="16"/>
      <c r="D59" s="16">
        <f t="shared" ref="D59:F59" si="11">D25/D23*100</f>
        <v>100</v>
      </c>
      <c r="E59" s="16">
        <f t="shared" si="11"/>
        <v>100</v>
      </c>
      <c r="F59" s="16">
        <f t="shared" si="11"/>
        <v>100</v>
      </c>
      <c r="G59" s="5"/>
    </row>
    <row r="60" spans="1:7" ht="15.6" x14ac:dyDescent="0.35">
      <c r="A60" s="25"/>
      <c r="B60" s="16"/>
      <c r="C60" s="16"/>
      <c r="D60" s="16"/>
      <c r="E60" s="16"/>
      <c r="F60" s="16"/>
      <c r="G60" s="5"/>
    </row>
    <row r="61" spans="1:7" ht="15.6" x14ac:dyDescent="0.35">
      <c r="A61" s="24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25" t="s">
        <v>25</v>
      </c>
      <c r="B62" s="16">
        <f>((B17/B15)-1)*100</f>
        <v>-1.0706638115631661</v>
      </c>
      <c r="C62" s="16">
        <f>((C17/C15)-1)*100</f>
        <v>-1.0706638115631661</v>
      </c>
      <c r="D62" s="16">
        <f>((C17/C15)-1)*100</f>
        <v>-1.0706638115631661</v>
      </c>
      <c r="E62" s="16">
        <f>((C17/C15)-1)*100</f>
        <v>-1.0706638115631661</v>
      </c>
      <c r="F62" s="16">
        <f>((C17/C15)-1)*100</f>
        <v>-1.0706638115631661</v>
      </c>
      <c r="G62" s="5"/>
    </row>
    <row r="63" spans="1:7" ht="15.6" x14ac:dyDescent="0.35">
      <c r="A63" s="25" t="s">
        <v>26</v>
      </c>
      <c r="B63" s="16">
        <f>((B38/B37)-1)*100</f>
        <v>-29.669545046391899</v>
      </c>
      <c r="C63" s="16"/>
      <c r="D63" s="16">
        <f t="shared" ref="D63:F63" si="12">((D38/D37)-1)*100</f>
        <v>44.369414930167331</v>
      </c>
      <c r="E63" s="16">
        <f t="shared" si="12"/>
        <v>-84.252084096100305</v>
      </c>
      <c r="F63" s="16">
        <f t="shared" si="12"/>
        <v>-51.070384557144209</v>
      </c>
      <c r="G63" s="5"/>
    </row>
    <row r="64" spans="1:7" ht="15.6" x14ac:dyDescent="0.35">
      <c r="A64" s="25" t="s">
        <v>27</v>
      </c>
      <c r="B64" s="16">
        <f>((B40/B39)-1)*100</f>
        <v>-28.908392936504367</v>
      </c>
      <c r="C64" s="16"/>
      <c r="D64" s="16">
        <f t="shared" ref="D64:F64" si="13">((D40/D39)-1)*100</f>
        <v>45.931854485688596</v>
      </c>
      <c r="E64" s="16">
        <f t="shared" si="13"/>
        <v>-84.081652105798355</v>
      </c>
      <c r="F64" s="16">
        <f t="shared" si="13"/>
        <v>-50.540843264472613</v>
      </c>
      <c r="G64" s="5"/>
    </row>
    <row r="65" spans="1:7" ht="15.6" x14ac:dyDescent="0.35">
      <c r="A65" s="25"/>
      <c r="B65" s="16"/>
      <c r="C65" s="16"/>
      <c r="D65" s="16"/>
      <c r="E65" s="16"/>
      <c r="F65" s="16"/>
      <c r="G65" s="5"/>
    </row>
    <row r="66" spans="1:7" ht="15.6" x14ac:dyDescent="0.35">
      <c r="A66" s="24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25" t="s">
        <v>34</v>
      </c>
      <c r="B67" s="19">
        <f>B22/($B$16*3)</f>
        <v>173784.72222222222</v>
      </c>
      <c r="C67" s="19">
        <f>B22/(C16*3)</f>
        <v>173784.72222222222</v>
      </c>
      <c r="D67" s="19">
        <f>D22/($C$16*3)</f>
        <v>52256.944444444445</v>
      </c>
      <c r="E67" s="19">
        <f t="shared" ref="E67:F67" si="14">E22/($C$16*3)</f>
        <v>0</v>
      </c>
      <c r="F67" s="19">
        <f t="shared" si="14"/>
        <v>121527.77777777778</v>
      </c>
    </row>
    <row r="68" spans="1:7" ht="15.6" x14ac:dyDescent="0.35">
      <c r="A68" s="25" t="s">
        <v>35</v>
      </c>
      <c r="B68" s="19">
        <f>B23/($B$17*3)</f>
        <v>167204.76013708513</v>
      </c>
      <c r="C68" s="19">
        <f>B23/(C17*3)</f>
        <v>167204.76013708513</v>
      </c>
      <c r="D68" s="19">
        <f>D23/($C$17*3)</f>
        <v>85815.939307359309</v>
      </c>
      <c r="E68" s="19">
        <f t="shared" ref="E68:F68" si="15">E23/($C$17*3)</f>
        <v>2777.59411976912</v>
      </c>
      <c r="F68" s="19">
        <f t="shared" si="15"/>
        <v>78611.226709956711</v>
      </c>
      <c r="G68" s="5"/>
    </row>
    <row r="69" spans="1:7" ht="15.6" x14ac:dyDescent="0.35">
      <c r="A69" s="25" t="s">
        <v>29</v>
      </c>
      <c r="B69" s="16">
        <f>(B68/B67)*B51</f>
        <v>90.852561261354296</v>
      </c>
      <c r="C69" s="16">
        <f>(C68/C67)*C51</f>
        <v>92.605713306693303</v>
      </c>
      <c r="D69" s="16"/>
      <c r="E69" s="16"/>
      <c r="F69" s="16"/>
      <c r="G69" s="5"/>
    </row>
    <row r="70" spans="1:7" ht="15.6" x14ac:dyDescent="0.35">
      <c r="A70" s="28" t="s">
        <v>36</v>
      </c>
      <c r="B70" s="19">
        <f>B22/($B$16)</f>
        <v>521354.16666666669</v>
      </c>
      <c r="C70" s="19">
        <f>B22/C16</f>
        <v>521354.16666666669</v>
      </c>
      <c r="D70" s="16">
        <f>D22/($C$16)</f>
        <v>156770.83333333334</v>
      </c>
      <c r="E70" s="16">
        <f t="shared" ref="E70:F70" si="16">E22/($C$16)</f>
        <v>0</v>
      </c>
      <c r="F70" s="16">
        <f t="shared" si="16"/>
        <v>364583.33333333331</v>
      </c>
      <c r="G70" s="5"/>
    </row>
    <row r="71" spans="1:7" ht="15.6" x14ac:dyDescent="0.35">
      <c r="A71" s="28" t="s">
        <v>37</v>
      </c>
      <c r="B71" s="19">
        <f>B23/($B$17)</f>
        <v>501614.28041125543</v>
      </c>
      <c r="C71" s="19">
        <f>B23/C17</f>
        <v>501614.28041125543</v>
      </c>
      <c r="D71" s="16">
        <f>D23/($C$17)</f>
        <v>257447.81792207796</v>
      </c>
      <c r="E71" s="16">
        <f t="shared" ref="E71:F71" si="17">E23/($C$17)</f>
        <v>8332.782359307359</v>
      </c>
      <c r="F71" s="16">
        <f t="shared" si="17"/>
        <v>235833.68012987013</v>
      </c>
      <c r="G71" s="5"/>
    </row>
    <row r="72" spans="1:7" ht="15.6" x14ac:dyDescent="0.35">
      <c r="A72" s="25"/>
      <c r="B72" s="16"/>
      <c r="C72" s="16"/>
      <c r="D72" s="16"/>
      <c r="E72" s="16"/>
      <c r="F72" s="16"/>
      <c r="G72" s="5"/>
    </row>
    <row r="73" spans="1:7" ht="15.6" x14ac:dyDescent="0.35">
      <c r="A73" s="24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25" t="s">
        <v>31</v>
      </c>
      <c r="B74" s="16">
        <f>(B29/B28)*100</f>
        <v>84.384415576423592</v>
      </c>
      <c r="C74" s="16"/>
      <c r="D74" s="16"/>
      <c r="E74" s="16"/>
      <c r="F74" s="16"/>
    </row>
    <row r="75" spans="1:7" ht="15.6" x14ac:dyDescent="0.35">
      <c r="A75" s="25" t="s">
        <v>32</v>
      </c>
      <c r="B75" s="16">
        <f>(B23/B29)*100</f>
        <v>109.74267306837484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50" t="s">
        <v>85</v>
      </c>
      <c r="B77" s="50"/>
      <c r="C77" s="50"/>
      <c r="D77" s="50"/>
      <c r="E77" s="50"/>
      <c r="F77" s="50"/>
    </row>
    <row r="78" spans="1:7" customFormat="1" x14ac:dyDescent="0.3"/>
    <row r="79" spans="1:7" customFormat="1" ht="38.25" customHeight="1" x14ac:dyDescent="0.3">
      <c r="A79" s="44" t="s">
        <v>93</v>
      </c>
      <c r="B79" s="44"/>
      <c r="C79" s="44"/>
      <c r="D79" s="44"/>
      <c r="E79" s="44"/>
      <c r="F79" s="44"/>
      <c r="G79" s="29"/>
    </row>
    <row r="80" spans="1:7" customFormat="1" x14ac:dyDescent="0.3">
      <c r="A80" s="1"/>
    </row>
    <row r="81" spans="1:1" customFormat="1" x14ac:dyDescent="0.3"/>
    <row r="82" spans="1:1" customFormat="1" x14ac:dyDescent="0.3"/>
    <row r="83" spans="1:1" customFormat="1" x14ac:dyDescent="0.3"/>
    <row r="84" spans="1:1" customFormat="1" x14ac:dyDescent="0.3"/>
    <row r="85" spans="1:1" customFormat="1" x14ac:dyDescent="0.3"/>
    <row r="86" spans="1:1" x14ac:dyDescent="0.3">
      <c r="A86" s="6"/>
    </row>
    <row r="87" spans="1:1" x14ac:dyDescent="0.3">
      <c r="A87" s="1"/>
    </row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6" width="19.554687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5" customFormat="1" ht="17.25" customHeight="1" x14ac:dyDescent="0.35">
      <c r="A9" s="45" t="s">
        <v>0</v>
      </c>
      <c r="B9" s="47" t="s">
        <v>1</v>
      </c>
      <c r="C9" s="47" t="s">
        <v>46</v>
      </c>
      <c r="D9" s="49" t="s">
        <v>45</v>
      </c>
      <c r="E9" s="49"/>
      <c r="F9" s="49"/>
    </row>
    <row r="10" spans="1:7" s="35" customFormat="1" ht="31.8" thickBot="1" x14ac:dyDescent="0.35">
      <c r="A10" s="46"/>
      <c r="B10" s="48"/>
      <c r="C10" s="48"/>
      <c r="D10" s="36" t="s">
        <v>44</v>
      </c>
      <c r="E10" s="37" t="s">
        <v>2</v>
      </c>
      <c r="F10" s="37" t="s">
        <v>3</v>
      </c>
    </row>
    <row r="11" spans="1:7" customFormat="1" ht="16.2" thickTop="1" x14ac:dyDescent="0.35">
      <c r="A11" s="25"/>
      <c r="B11" s="25"/>
      <c r="C11" s="25"/>
      <c r="D11" s="25"/>
      <c r="E11" s="25"/>
      <c r="F11" s="25"/>
    </row>
    <row r="12" spans="1:7" customFormat="1" ht="15.6" x14ac:dyDescent="0.35">
      <c r="A12" s="24" t="s">
        <v>4</v>
      </c>
      <c r="B12" s="25"/>
      <c r="C12" s="25"/>
      <c r="D12" s="25"/>
      <c r="E12" s="25"/>
      <c r="F12" s="25"/>
    </row>
    <row r="13" spans="1:7" customFormat="1" ht="15.6" x14ac:dyDescent="0.35">
      <c r="A13" s="25"/>
      <c r="B13" s="38"/>
      <c r="C13" s="38"/>
      <c r="D13" s="38"/>
      <c r="E13" s="38"/>
      <c r="F13" s="38"/>
      <c r="G13" s="39"/>
    </row>
    <row r="14" spans="1:7" customFormat="1" ht="15.6" x14ac:dyDescent="0.35">
      <c r="A14" s="24" t="s">
        <v>5</v>
      </c>
      <c r="B14" s="38"/>
      <c r="C14" s="38"/>
      <c r="D14" s="38"/>
      <c r="E14" s="38"/>
      <c r="F14" s="38"/>
      <c r="G14" s="39"/>
    </row>
    <row r="15" spans="1:7" ht="15.6" x14ac:dyDescent="0.35">
      <c r="A15" s="26" t="s">
        <v>58</v>
      </c>
      <c r="B15" s="12">
        <f>('I Trimestre'!B15+'II Trimestre'!B15)/2</f>
        <v>481.5</v>
      </c>
      <c r="C15" s="12">
        <f>('I Trimestre'!C15+'II Trimestre'!C15)/2</f>
        <v>481.5</v>
      </c>
      <c r="D15" s="12"/>
      <c r="E15" s="12"/>
      <c r="F15" s="12"/>
      <c r="G15" s="5"/>
    </row>
    <row r="16" spans="1:7" ht="15.6" x14ac:dyDescent="0.35">
      <c r="A16" s="26" t="s">
        <v>94</v>
      </c>
      <c r="B16" s="12">
        <f>('I Trimestre'!B16+'II Trimestre'!B16)/2</f>
        <v>485</v>
      </c>
      <c r="C16" s="12">
        <f>('I Trimestre'!C16+'II Trimestre'!C16)/2</f>
        <v>485</v>
      </c>
      <c r="D16" s="12"/>
      <c r="E16" s="12"/>
      <c r="F16" s="12"/>
      <c r="G16" s="5"/>
    </row>
    <row r="17" spans="1:7" ht="15.6" x14ac:dyDescent="0.35">
      <c r="A17" s="26" t="s">
        <v>95</v>
      </c>
      <c r="B17" s="12">
        <f>('I Trimestre'!B17+'II Trimestre'!B17)/2</f>
        <v>472.5</v>
      </c>
      <c r="C17" s="12">
        <f>('I Trimestre'!C17+'II Trimestre'!C17)/2</f>
        <v>472.5</v>
      </c>
      <c r="D17" s="12"/>
      <c r="E17" s="12"/>
      <c r="F17" s="12"/>
    </row>
    <row r="18" spans="1:7" ht="15.6" x14ac:dyDescent="0.35">
      <c r="A18" s="26" t="s">
        <v>80</v>
      </c>
      <c r="B18" s="12">
        <f>'II Trimestre'!B18</f>
        <v>475</v>
      </c>
      <c r="C18" s="12">
        <f>'II Trimestre'!C18</f>
        <v>475</v>
      </c>
      <c r="D18" s="12"/>
      <c r="E18" s="12"/>
      <c r="F18" s="12"/>
      <c r="G18" s="5"/>
    </row>
    <row r="19" spans="1:7" ht="15.6" x14ac:dyDescent="0.35">
      <c r="A19" s="25"/>
      <c r="B19" s="12"/>
      <c r="C19" s="12"/>
      <c r="D19" s="12"/>
      <c r="E19" s="12"/>
      <c r="F19" s="12"/>
      <c r="G19" s="5"/>
    </row>
    <row r="20" spans="1:7" ht="15.6" x14ac:dyDescent="0.35">
      <c r="A20" s="27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26" t="s">
        <v>58</v>
      </c>
      <c r="B21" s="12">
        <f>+'I Trimestre'!B21+'II Trimestre'!B21</f>
        <v>481699298.69999993</v>
      </c>
      <c r="C21" s="12"/>
      <c r="D21" s="12">
        <f>'I Trimestre'!D21+'II Trimestre'!D21</f>
        <v>142888709.14999998</v>
      </c>
      <c r="E21" s="12">
        <f>'I Trimestre'!E21+'II Trimestre'!E21</f>
        <v>30082144.829999998</v>
      </c>
      <c r="F21" s="12">
        <f>'I Trimestre'!F21+'II Trimestre'!F21</f>
        <v>308728444.71999997</v>
      </c>
      <c r="G21" s="5"/>
    </row>
    <row r="22" spans="1:7" ht="15.6" x14ac:dyDescent="0.35">
      <c r="A22" s="26" t="s">
        <v>96</v>
      </c>
      <c r="B22" s="12">
        <f>+'I Trimestre'!B22+'II Trimestre'!B22</f>
        <v>1252539446</v>
      </c>
      <c r="C22" s="12"/>
      <c r="D22" s="12">
        <f>'I Trimestre'!D22+'II Trimestre'!D22</f>
        <v>148500000</v>
      </c>
      <c r="E22" s="12">
        <f>'I Trimestre'!E22+'II Trimestre'!E22</f>
        <v>6000000</v>
      </c>
      <c r="F22" s="12">
        <f>'I Trimestre'!F22+'II Trimestre'!F22</f>
        <v>1098039446</v>
      </c>
      <c r="G22" s="5"/>
    </row>
    <row r="23" spans="1:7" ht="15.6" x14ac:dyDescent="0.35">
      <c r="A23" s="26" t="s">
        <v>95</v>
      </c>
      <c r="B23" s="12">
        <f>+'I Trimestre'!B23+'II Trimestre'!B23</f>
        <v>317997768.47000003</v>
      </c>
      <c r="C23" s="12"/>
      <c r="D23" s="12">
        <f>'I Trimestre'!D23+'II Trimestre'!D23</f>
        <v>166205847.24000001</v>
      </c>
      <c r="E23" s="12">
        <f>'I Trimestre'!E23+'II Trimestre'!E23</f>
        <v>3849745.45</v>
      </c>
      <c r="F23" s="12">
        <f>'I Trimestre'!F23+'II Trimestre'!F23</f>
        <v>147942175.78</v>
      </c>
      <c r="G23" s="5"/>
    </row>
    <row r="24" spans="1:7" ht="15.6" x14ac:dyDescent="0.35">
      <c r="A24" s="26" t="s">
        <v>80</v>
      </c>
      <c r="B24" s="12">
        <f>SUM(D24:F24)</f>
        <v>1567727446.99</v>
      </c>
      <c r="C24" s="12"/>
      <c r="D24" s="12">
        <f>+'II Trimestre'!D24</f>
        <v>248000000</v>
      </c>
      <c r="E24" s="12">
        <f>+'II Trimestre'!E24</f>
        <v>29910560</v>
      </c>
      <c r="F24" s="12">
        <f>+'II Trimestre'!F24</f>
        <v>1289816886.99</v>
      </c>
      <c r="G24" s="5"/>
    </row>
    <row r="25" spans="1:7" ht="15.6" x14ac:dyDescent="0.35">
      <c r="A25" s="26" t="s">
        <v>97</v>
      </c>
      <c r="B25" s="12">
        <f>D25+E25+F25</f>
        <v>317997768.47000003</v>
      </c>
      <c r="C25" s="12"/>
      <c r="D25" s="12">
        <f>D23</f>
        <v>166205847.24000001</v>
      </c>
      <c r="E25" s="12">
        <f t="shared" ref="E25:F25" si="0">E23</f>
        <v>3849745.45</v>
      </c>
      <c r="F25" s="12">
        <f t="shared" si="0"/>
        <v>147942175.78</v>
      </c>
      <c r="G25" s="5"/>
    </row>
    <row r="26" spans="1:7" ht="15.6" x14ac:dyDescent="0.35">
      <c r="A26" s="25"/>
      <c r="B26" s="12"/>
      <c r="C26" s="12"/>
      <c r="D26" s="12"/>
      <c r="E26" s="12"/>
      <c r="F26" s="12"/>
      <c r="G26" s="5"/>
    </row>
    <row r="27" spans="1:7" ht="15.6" x14ac:dyDescent="0.35">
      <c r="A27" s="27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26" t="s">
        <v>96</v>
      </c>
      <c r="B28" s="12">
        <f>B22</f>
        <v>1252539446</v>
      </c>
      <c r="C28" s="12"/>
      <c r="D28" s="20" t="s">
        <v>49</v>
      </c>
      <c r="E28" s="12"/>
      <c r="F28" s="12"/>
      <c r="G28" s="5"/>
    </row>
    <row r="29" spans="1:7" ht="15.6" x14ac:dyDescent="0.35">
      <c r="A29" s="26" t="s">
        <v>95</v>
      </c>
      <c r="B29" s="12">
        <f>'I Trimestre'!B29+'II Trimestre'!B29</f>
        <v>422343999.96000004</v>
      </c>
      <c r="C29" s="12"/>
      <c r="D29" s="21">
        <f>+B29+723039446</f>
        <v>1145383445.96</v>
      </c>
      <c r="E29" s="12"/>
      <c r="F29" s="12"/>
      <c r="G29" s="5"/>
    </row>
    <row r="30" spans="1:7" ht="15.6" x14ac:dyDescent="0.35">
      <c r="A30" s="25"/>
      <c r="B30" s="16"/>
      <c r="C30" s="16"/>
      <c r="D30" s="16"/>
      <c r="E30" s="16"/>
      <c r="F30" s="16"/>
      <c r="G30" s="5"/>
    </row>
    <row r="31" spans="1:7" ht="15.6" x14ac:dyDescent="0.35">
      <c r="A31" s="24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26" t="s">
        <v>59</v>
      </c>
      <c r="B32" s="34">
        <v>1.121</v>
      </c>
      <c r="C32" s="34">
        <v>1.121</v>
      </c>
      <c r="D32" s="34">
        <v>1.121</v>
      </c>
      <c r="E32" s="34">
        <v>1.121</v>
      </c>
      <c r="F32" s="34">
        <v>1.121</v>
      </c>
      <c r="G32" s="5"/>
    </row>
    <row r="33" spans="1:7" ht="15.6" x14ac:dyDescent="0.35">
      <c r="A33" s="26" t="s">
        <v>98</v>
      </c>
      <c r="B33" s="34">
        <v>1.0973999999999999</v>
      </c>
      <c r="C33" s="34">
        <v>1.0973999999999999</v>
      </c>
      <c r="D33" s="34">
        <v>1.0973999999999999</v>
      </c>
      <c r="E33" s="34">
        <v>1.0973999999999999</v>
      </c>
      <c r="F33" s="34">
        <v>1.0973999999999999</v>
      </c>
      <c r="G33" s="5"/>
    </row>
    <row r="34" spans="1:7" ht="15.6" x14ac:dyDescent="0.35">
      <c r="A34" s="26" t="s">
        <v>9</v>
      </c>
      <c r="B34" s="12" t="s">
        <v>43</v>
      </c>
      <c r="C34" s="12" t="s">
        <v>43</v>
      </c>
      <c r="D34" s="12" t="s">
        <v>43</v>
      </c>
      <c r="E34" s="12" t="s">
        <v>43</v>
      </c>
      <c r="F34" s="12" t="s">
        <v>43</v>
      </c>
      <c r="G34" s="5"/>
    </row>
    <row r="35" spans="1:7" ht="15.6" x14ac:dyDescent="0.35">
      <c r="A35" s="25"/>
      <c r="B35" s="16"/>
      <c r="C35" s="16"/>
      <c r="D35" s="16"/>
      <c r="E35" s="16"/>
      <c r="F35" s="16"/>
      <c r="G35" s="5"/>
    </row>
    <row r="36" spans="1:7" ht="15.6" x14ac:dyDescent="0.35">
      <c r="A36" s="24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26" t="s">
        <v>60</v>
      </c>
      <c r="B37" s="12">
        <f>B21/B32</f>
        <v>429704994.38001776</v>
      </c>
      <c r="C37" s="12"/>
      <c r="D37" s="12">
        <f t="shared" ref="D37:F37" si="1">D21/D32</f>
        <v>127465396.20874217</v>
      </c>
      <c r="E37" s="12">
        <f t="shared" si="1"/>
        <v>26835097.975022301</v>
      </c>
      <c r="F37" s="12">
        <f t="shared" si="1"/>
        <v>275404500.1962533</v>
      </c>
      <c r="G37" s="5"/>
    </row>
    <row r="38" spans="1:7" ht="15.6" x14ac:dyDescent="0.35">
      <c r="A38" s="26" t="s">
        <v>99</v>
      </c>
      <c r="B38" s="12">
        <f>B23/B33</f>
        <v>289773800.31893569</v>
      </c>
      <c r="C38" s="12"/>
      <c r="D38" s="12">
        <f t="shared" ref="D38:F38" si="2">D23/D33</f>
        <v>151454207.43575725</v>
      </c>
      <c r="E38" s="12">
        <f t="shared" si="2"/>
        <v>3508060.3699653731</v>
      </c>
      <c r="F38" s="12">
        <f t="shared" si="2"/>
        <v>134811532.51321307</v>
      </c>
      <c r="G38" s="5"/>
    </row>
    <row r="39" spans="1:7" ht="15.6" x14ac:dyDescent="0.35">
      <c r="A39" s="26" t="s">
        <v>61</v>
      </c>
      <c r="B39" s="12">
        <f>B37/B15</f>
        <v>892429.89487023419</v>
      </c>
      <c r="C39" s="12"/>
      <c r="D39" s="14">
        <f>D37/$C$15</f>
        <v>264725.64113965147</v>
      </c>
      <c r="E39" s="14">
        <f t="shared" ref="E39:F39" si="3">E37/$C$15</f>
        <v>55732.290706173</v>
      </c>
      <c r="F39" s="14">
        <f t="shared" si="3"/>
        <v>571971.96302440972</v>
      </c>
      <c r="G39" s="5"/>
    </row>
    <row r="40" spans="1:7" ht="15.6" x14ac:dyDescent="0.35">
      <c r="A40" s="26" t="s">
        <v>100</v>
      </c>
      <c r="B40" s="12">
        <f>B38/B17</f>
        <v>613277.8842728798</v>
      </c>
      <c r="C40" s="12"/>
      <c r="D40" s="14">
        <f>D38/$C$17</f>
        <v>320538.00515504181</v>
      </c>
      <c r="E40" s="14">
        <f t="shared" ref="E40:F40" si="4">E38/$C$17</f>
        <v>7424.4663914611074</v>
      </c>
      <c r="F40" s="14">
        <f t="shared" si="4"/>
        <v>285315.41272637685</v>
      </c>
    </row>
    <row r="41" spans="1:7" ht="15.6" x14ac:dyDescent="0.35">
      <c r="A41" s="25"/>
      <c r="B41" s="16"/>
      <c r="C41" s="16"/>
      <c r="D41" s="16"/>
      <c r="E41" s="16"/>
      <c r="F41" s="16"/>
      <c r="G41" s="5"/>
    </row>
    <row r="42" spans="1:7" ht="15.6" x14ac:dyDescent="0.35">
      <c r="A42" s="24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25"/>
      <c r="B43" s="16"/>
      <c r="C43" s="16"/>
      <c r="D43" s="16"/>
      <c r="E43" s="16"/>
      <c r="F43" s="16"/>
      <c r="G43" s="5"/>
    </row>
    <row r="44" spans="1:7" ht="15.6" x14ac:dyDescent="0.35">
      <c r="A44" s="24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25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25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25"/>
      <c r="B47" s="16"/>
      <c r="C47" s="16"/>
      <c r="D47" s="16"/>
      <c r="E47" s="16"/>
      <c r="F47" s="16"/>
      <c r="G47" s="5"/>
    </row>
    <row r="48" spans="1:7" ht="15.6" x14ac:dyDescent="0.35">
      <c r="A48" s="24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25" t="s">
        <v>16</v>
      </c>
      <c r="B49" s="16">
        <f>B17/B16*100</f>
        <v>97.422680412371136</v>
      </c>
      <c r="C49" s="16">
        <f>C17/C16*100</f>
        <v>97.422680412371136</v>
      </c>
      <c r="D49" s="16"/>
      <c r="E49" s="16"/>
      <c r="F49" s="16"/>
      <c r="G49" s="5"/>
    </row>
    <row r="50" spans="1:7" ht="15.6" x14ac:dyDescent="0.35">
      <c r="A50" s="25" t="s">
        <v>17</v>
      </c>
      <c r="B50" s="16">
        <f>B23/B22*100</f>
        <v>25.388243818231015</v>
      </c>
      <c r="C50" s="16"/>
      <c r="D50" s="16">
        <f>D23/D22*100</f>
        <v>111.92312945454546</v>
      </c>
      <c r="E50" s="16">
        <f t="shared" ref="E50" si="5">E23/E22*100</f>
        <v>64.162424166666668</v>
      </c>
      <c r="F50" s="16">
        <f>F23/F22*100</f>
        <v>13.473302468224807</v>
      </c>
      <c r="G50" s="5"/>
    </row>
    <row r="51" spans="1:7" ht="15.6" x14ac:dyDescent="0.35">
      <c r="A51" s="25" t="s">
        <v>18</v>
      </c>
      <c r="B51" s="16">
        <f>AVERAGE(B49:B50)</f>
        <v>61.405462115301077</v>
      </c>
      <c r="C51" s="16">
        <f>AVERAGE(C49:C50)</f>
        <v>97.422680412371136</v>
      </c>
      <c r="D51" s="16">
        <f t="shared" ref="D51:F51" si="6">AVERAGE(D49:D50)</f>
        <v>111.92312945454546</v>
      </c>
      <c r="E51" s="16">
        <f t="shared" si="6"/>
        <v>64.162424166666668</v>
      </c>
      <c r="F51" s="16">
        <f t="shared" si="6"/>
        <v>13.473302468224807</v>
      </c>
      <c r="G51" s="5"/>
    </row>
    <row r="52" spans="1:7" ht="15.6" x14ac:dyDescent="0.35">
      <c r="A52" s="25"/>
      <c r="B52" s="16"/>
      <c r="C52" s="16"/>
      <c r="D52" s="16"/>
      <c r="E52" s="16"/>
      <c r="F52" s="16"/>
      <c r="G52" s="5"/>
    </row>
    <row r="53" spans="1:7" ht="15.6" x14ac:dyDescent="0.35">
      <c r="A53" s="24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25" t="s">
        <v>20</v>
      </c>
      <c r="B54" s="16">
        <f>(B17/B18)*100</f>
        <v>99.473684210526315</v>
      </c>
      <c r="C54" s="16">
        <f t="shared" ref="C54" si="7">(C17/C18)*100</f>
        <v>99.473684210526315</v>
      </c>
      <c r="D54" s="16"/>
      <c r="E54" s="16"/>
      <c r="F54" s="16"/>
      <c r="G54" s="5"/>
    </row>
    <row r="55" spans="1:7" ht="15.6" x14ac:dyDescent="0.35">
      <c r="A55" s="25" t="s">
        <v>21</v>
      </c>
      <c r="B55" s="16">
        <f>B23/B24*100</f>
        <v>20.2839957341149</v>
      </c>
      <c r="C55" s="16"/>
      <c r="D55" s="16">
        <f t="shared" ref="D55:F55" si="8">D23/D24*100</f>
        <v>67.018486790322584</v>
      </c>
      <c r="E55" s="16">
        <f t="shared" si="8"/>
        <v>12.870857148779564</v>
      </c>
      <c r="F55" s="16">
        <f t="shared" si="8"/>
        <v>11.470013865708289</v>
      </c>
      <c r="G55" s="5"/>
    </row>
    <row r="56" spans="1:7" ht="15.6" x14ac:dyDescent="0.35">
      <c r="A56" s="25" t="s">
        <v>22</v>
      </c>
      <c r="B56" s="16">
        <f>AVERAGE(B54:B55)</f>
        <v>59.878839972320606</v>
      </c>
      <c r="C56" s="16">
        <f t="shared" ref="C56:F56" si="9">AVERAGE(C54:C55)</f>
        <v>99.473684210526315</v>
      </c>
      <c r="D56" s="16">
        <f t="shared" si="9"/>
        <v>67.018486790322584</v>
      </c>
      <c r="E56" s="16">
        <f t="shared" si="9"/>
        <v>12.870857148779564</v>
      </c>
      <c r="F56" s="16">
        <f t="shared" si="9"/>
        <v>11.470013865708289</v>
      </c>
      <c r="G56" s="5"/>
    </row>
    <row r="57" spans="1:7" ht="15.6" x14ac:dyDescent="0.35">
      <c r="A57" s="25"/>
      <c r="B57" s="16"/>
      <c r="C57" s="16"/>
      <c r="D57" s="16"/>
      <c r="E57" s="16"/>
      <c r="F57" s="16"/>
      <c r="G57" s="5"/>
    </row>
    <row r="58" spans="1:7" ht="15.6" x14ac:dyDescent="0.35">
      <c r="A58" s="24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25" t="s">
        <v>23</v>
      </c>
      <c r="B59" s="16">
        <f>B25/B23*100</f>
        <v>100</v>
      </c>
      <c r="C59" s="16"/>
      <c r="D59" s="16">
        <f t="shared" ref="D59:F59" si="10">D25/D23*100</f>
        <v>100</v>
      </c>
      <c r="E59" s="16">
        <f t="shared" si="10"/>
        <v>100</v>
      </c>
      <c r="F59" s="16">
        <f t="shared" si="10"/>
        <v>100</v>
      </c>
      <c r="G59" s="5"/>
    </row>
    <row r="60" spans="1:7" ht="15.6" x14ac:dyDescent="0.35">
      <c r="A60" s="25"/>
      <c r="B60" s="16"/>
      <c r="C60" s="16"/>
      <c r="D60" s="16"/>
      <c r="E60" s="16"/>
      <c r="F60" s="16"/>
      <c r="G60" s="5"/>
    </row>
    <row r="61" spans="1:7" ht="15.6" x14ac:dyDescent="0.35">
      <c r="A61" s="24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25" t="s">
        <v>25</v>
      </c>
      <c r="B62" s="16">
        <f>((B17/B15)-1)*100</f>
        <v>-1.8691588785046731</v>
      </c>
      <c r="C62" s="16">
        <f t="shared" ref="C62" si="11">((C17/C15)-1)*100</f>
        <v>-1.8691588785046731</v>
      </c>
      <c r="D62" s="16">
        <f>((C17/C15)-1)*100</f>
        <v>-1.8691588785046731</v>
      </c>
      <c r="E62" s="16">
        <f>((C17/C15)-1)*100</f>
        <v>-1.8691588785046731</v>
      </c>
      <c r="F62" s="16">
        <f>((C17/C15)-1)*100</f>
        <v>-1.8691588785046731</v>
      </c>
      <c r="G62" s="5"/>
    </row>
    <row r="63" spans="1:7" ht="15.6" x14ac:dyDescent="0.35">
      <c r="A63" s="25" t="s">
        <v>26</v>
      </c>
      <c r="B63" s="16">
        <f>((B38/B37)-1)*100</f>
        <v>-32.564479326793972</v>
      </c>
      <c r="C63" s="16"/>
      <c r="D63" s="16">
        <f t="shared" ref="D63:E63" si="12">((D38/D37)-1)*100</f>
        <v>18.819861656986568</v>
      </c>
      <c r="E63" s="16">
        <f t="shared" si="12"/>
        <v>-86.927342791032032</v>
      </c>
      <c r="F63" s="16">
        <f>((F38/F37)-1)*100</f>
        <v>-51.049626125518522</v>
      </c>
      <c r="G63" s="5"/>
    </row>
    <row r="64" spans="1:7" ht="15.6" x14ac:dyDescent="0.35">
      <c r="A64" s="25" t="s">
        <v>27</v>
      </c>
      <c r="B64" s="16">
        <f>((B40/B39)-1)*100</f>
        <v>-31.279993218732894</v>
      </c>
      <c r="C64" s="16"/>
      <c r="D64" s="16">
        <f t="shared" ref="D64:F64" si="13">((D40/D39)-1)*100</f>
        <v>21.083097117119642</v>
      </c>
      <c r="E64" s="16">
        <f t="shared" si="13"/>
        <v>-86.678339796575486</v>
      </c>
      <c r="F64" s="16">
        <f t="shared" si="13"/>
        <v>-50.117238051718871</v>
      </c>
      <c r="G64" s="5"/>
    </row>
    <row r="65" spans="1:7" ht="15.6" x14ac:dyDescent="0.35">
      <c r="A65" s="25"/>
      <c r="B65" s="16"/>
      <c r="C65" s="16"/>
      <c r="D65" s="16"/>
      <c r="E65" s="16"/>
      <c r="F65" s="16"/>
      <c r="G65" s="5"/>
    </row>
    <row r="66" spans="1:7" ht="15.6" x14ac:dyDescent="0.35">
      <c r="A66" s="24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25" t="s">
        <v>34</v>
      </c>
      <c r="B67" s="19">
        <f>B22/($B$16*6)</f>
        <v>430425.92646048107</v>
      </c>
      <c r="C67" s="19">
        <f>B22/(C16*6)</f>
        <v>430425.92646048107</v>
      </c>
      <c r="D67" s="19">
        <f>D22/($C$16*6)</f>
        <v>51030.927835051545</v>
      </c>
      <c r="E67" s="19">
        <f>E22/($C$16*6)</f>
        <v>2061.855670103093</v>
      </c>
      <c r="F67" s="19">
        <f>F22/($C$16*6)</f>
        <v>377333.14295532648</v>
      </c>
      <c r="G67" s="5"/>
    </row>
    <row r="68" spans="1:7" ht="15.6" x14ac:dyDescent="0.35">
      <c r="A68" s="25" t="s">
        <v>35</v>
      </c>
      <c r="B68" s="19">
        <f>B23/($B$17*6)</f>
        <v>112168.52503350971</v>
      </c>
      <c r="C68" s="19">
        <f>B23/(C17*6)</f>
        <v>112168.52503350971</v>
      </c>
      <c r="D68" s="19">
        <f>D23/($C$17*6)</f>
        <v>58626.401142857147</v>
      </c>
      <c r="E68" s="19">
        <f>E23/($C$17*6)</f>
        <v>1357.9349029982363</v>
      </c>
      <c r="F68" s="19">
        <f>F23/($C$17*6)</f>
        <v>52184.188987654321</v>
      </c>
    </row>
    <row r="69" spans="1:7" ht="15.6" x14ac:dyDescent="0.35">
      <c r="A69" s="25" t="s">
        <v>29</v>
      </c>
      <c r="B69" s="16">
        <f>(B68/B67)*B51</f>
        <v>16.002196176039991</v>
      </c>
      <c r="C69" s="16">
        <f>(C68/C67)*C51</f>
        <v>25.388243818231018</v>
      </c>
      <c r="D69" s="16"/>
      <c r="E69" s="16"/>
      <c r="F69" s="16"/>
      <c r="G69" s="5"/>
    </row>
    <row r="70" spans="1:7" ht="15.6" x14ac:dyDescent="0.35">
      <c r="A70" s="28" t="s">
        <v>38</v>
      </c>
      <c r="B70" s="19">
        <f>B22/($B$16)</f>
        <v>2582555.5587628866</v>
      </c>
      <c r="C70" s="19">
        <f>B22/C16</f>
        <v>2582555.5587628866</v>
      </c>
      <c r="D70" s="19">
        <f>D22/($C$16)</f>
        <v>306185.56701030926</v>
      </c>
      <c r="E70" s="19">
        <f t="shared" ref="E70:F70" si="14">E22/($C$16)</f>
        <v>12371.134020618556</v>
      </c>
      <c r="F70" s="19">
        <f t="shared" si="14"/>
        <v>2263998.8577319589</v>
      </c>
      <c r="G70" s="5"/>
    </row>
    <row r="71" spans="1:7" ht="15.6" x14ac:dyDescent="0.35">
      <c r="A71" s="28" t="s">
        <v>39</v>
      </c>
      <c r="B71" s="19">
        <f>B23/($B$17)</f>
        <v>673011.15020105825</v>
      </c>
      <c r="C71" s="19">
        <f>B23/C17</f>
        <v>673011.15020105825</v>
      </c>
      <c r="D71" s="19">
        <f>D23/($C$17)</f>
        <v>351758.40685714287</v>
      </c>
      <c r="E71" s="19">
        <f t="shared" ref="E71:F71" si="15">E23/($C$17)</f>
        <v>8147.609417989418</v>
      </c>
      <c r="F71" s="19">
        <f t="shared" si="15"/>
        <v>313105.13392592594</v>
      </c>
      <c r="G71" s="5"/>
    </row>
    <row r="72" spans="1:7" ht="15.6" x14ac:dyDescent="0.35">
      <c r="A72" s="25"/>
      <c r="B72" s="16"/>
      <c r="C72" s="16"/>
      <c r="D72" s="16"/>
      <c r="E72" s="16"/>
      <c r="F72" s="16"/>
      <c r="G72" s="5"/>
    </row>
    <row r="73" spans="1:7" ht="15.6" x14ac:dyDescent="0.35">
      <c r="A73" s="24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25" t="s">
        <v>31</v>
      </c>
      <c r="B74" s="16">
        <f>(B29/B28)*100</f>
        <v>33.719017896702638</v>
      </c>
      <c r="C74" s="16"/>
      <c r="D74" s="22" t="s">
        <v>49</v>
      </c>
      <c r="E74" s="16"/>
      <c r="F74" s="16"/>
      <c r="G74" s="5"/>
    </row>
    <row r="75" spans="1:7" ht="15.6" x14ac:dyDescent="0.35">
      <c r="A75" s="25" t="s">
        <v>32</v>
      </c>
      <c r="B75" s="16">
        <f>(B23/B29)*100</f>
        <v>75.293544717130445</v>
      </c>
      <c r="C75" s="16"/>
      <c r="D75" s="23">
        <f>(D29/B28)*100</f>
        <v>91.444900168038302</v>
      </c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50" t="s">
        <v>85</v>
      </c>
      <c r="B77" s="50"/>
      <c r="C77" s="50"/>
      <c r="D77" s="50"/>
      <c r="E77" s="50"/>
      <c r="F77" s="50"/>
    </row>
    <row r="78" spans="1:7" customFormat="1" x14ac:dyDescent="0.3"/>
    <row r="79" spans="1:7" customFormat="1" ht="38.25" customHeight="1" x14ac:dyDescent="0.3">
      <c r="A79" s="44" t="s">
        <v>86</v>
      </c>
      <c r="B79" s="44"/>
      <c r="C79" s="44"/>
      <c r="D79" s="44"/>
      <c r="E79" s="44"/>
      <c r="F79" s="44"/>
      <c r="G79" s="29"/>
    </row>
    <row r="80" spans="1:7" customFormat="1" x14ac:dyDescent="0.3">
      <c r="A80" s="1"/>
    </row>
    <row r="81" spans="1:1" customFormat="1" x14ac:dyDescent="0.3"/>
    <row r="82" spans="1:1" customFormat="1" x14ac:dyDescent="0.3"/>
    <row r="83" spans="1:1" customFormat="1" x14ac:dyDescent="0.3"/>
    <row r="84" spans="1:1" customFormat="1" x14ac:dyDescent="0.3"/>
    <row r="85" spans="1:1" customFormat="1" x14ac:dyDescent="0.3"/>
    <row r="86" spans="1:1" x14ac:dyDescent="0.3">
      <c r="A86" s="6"/>
    </row>
    <row r="87" spans="1:1" x14ac:dyDescent="0.3">
      <c r="A87" s="1"/>
    </row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5" width="19.6640625" style="4" customWidth="1"/>
    <col min="6" max="6" width="20.10937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5" customFormat="1" ht="17.25" customHeight="1" x14ac:dyDescent="0.35">
      <c r="A9" s="45" t="s">
        <v>0</v>
      </c>
      <c r="B9" s="47" t="s">
        <v>1</v>
      </c>
      <c r="C9" s="47" t="s">
        <v>46</v>
      </c>
      <c r="D9" s="49" t="s">
        <v>45</v>
      </c>
      <c r="E9" s="49"/>
      <c r="F9" s="49"/>
    </row>
    <row r="10" spans="1:7" s="35" customFormat="1" ht="31.8" thickBot="1" x14ac:dyDescent="0.35">
      <c r="A10" s="46"/>
      <c r="B10" s="48"/>
      <c r="C10" s="48"/>
      <c r="D10" s="36" t="s">
        <v>44</v>
      </c>
      <c r="E10" s="37" t="s">
        <v>2</v>
      </c>
      <c r="F10" s="37" t="s">
        <v>3</v>
      </c>
    </row>
    <row r="11" spans="1:7" customFormat="1" ht="16.2" thickTop="1" x14ac:dyDescent="0.35">
      <c r="A11" s="25"/>
      <c r="B11" s="25"/>
      <c r="C11" s="25"/>
      <c r="D11" s="25"/>
      <c r="E11" s="25"/>
      <c r="F11" s="25"/>
    </row>
    <row r="12" spans="1:7" customFormat="1" ht="15.6" x14ac:dyDescent="0.35">
      <c r="A12" s="24" t="s">
        <v>4</v>
      </c>
      <c r="B12" s="25"/>
      <c r="C12" s="25"/>
      <c r="D12" s="25"/>
      <c r="E12" s="25"/>
      <c r="F12" s="25"/>
    </row>
    <row r="13" spans="1:7" customFormat="1" ht="15.6" x14ac:dyDescent="0.35">
      <c r="A13" s="25"/>
      <c r="B13" s="38"/>
      <c r="C13" s="38"/>
      <c r="D13" s="38"/>
      <c r="E13" s="38"/>
      <c r="F13" s="38"/>
      <c r="G13" s="39"/>
    </row>
    <row r="14" spans="1:7" customFormat="1" ht="15.6" x14ac:dyDescent="0.35">
      <c r="A14" s="24" t="s">
        <v>5</v>
      </c>
      <c r="B14" s="38"/>
      <c r="C14" s="38"/>
      <c r="D14" s="38"/>
      <c r="E14" s="38"/>
      <c r="F14" s="38"/>
      <c r="G14" s="39"/>
    </row>
    <row r="15" spans="1:7" ht="15.6" x14ac:dyDescent="0.35">
      <c r="A15" s="26" t="s">
        <v>62</v>
      </c>
      <c r="B15" s="12">
        <f>C15</f>
        <v>443</v>
      </c>
      <c r="C15" s="31">
        <v>443</v>
      </c>
      <c r="D15" s="31"/>
      <c r="E15" s="31"/>
      <c r="F15" s="31"/>
      <c r="G15" s="5"/>
    </row>
    <row r="16" spans="1:7" ht="15.6" x14ac:dyDescent="0.35">
      <c r="A16" s="26" t="s">
        <v>101</v>
      </c>
      <c r="B16" s="12">
        <f>C16</f>
        <v>470</v>
      </c>
      <c r="C16" s="31">
        <v>470</v>
      </c>
      <c r="D16" s="31"/>
      <c r="E16" s="31"/>
      <c r="F16" s="31"/>
      <c r="G16" s="5"/>
    </row>
    <row r="17" spans="1:7" ht="15.6" x14ac:dyDescent="0.35">
      <c r="A17" s="26" t="s">
        <v>102</v>
      </c>
      <c r="B17" s="12">
        <f>C17</f>
        <v>434</v>
      </c>
      <c r="C17" s="31">
        <v>434</v>
      </c>
      <c r="D17" s="31"/>
      <c r="E17" s="31"/>
      <c r="F17" s="31"/>
    </row>
    <row r="18" spans="1:7" ht="15.6" x14ac:dyDescent="0.35">
      <c r="A18" s="26" t="s">
        <v>80</v>
      </c>
      <c r="B18" s="12">
        <f>C18</f>
        <v>475</v>
      </c>
      <c r="C18" s="31">
        <v>475</v>
      </c>
      <c r="D18" s="31"/>
      <c r="E18" s="31"/>
      <c r="F18" s="31"/>
      <c r="G18" s="5"/>
    </row>
    <row r="19" spans="1:7" ht="15.6" x14ac:dyDescent="0.35">
      <c r="A19" s="25"/>
      <c r="B19" s="12"/>
      <c r="C19" s="31"/>
      <c r="D19" s="31"/>
      <c r="E19" s="31"/>
      <c r="F19" s="31"/>
      <c r="G19" s="5"/>
    </row>
    <row r="20" spans="1:7" ht="15.6" x14ac:dyDescent="0.35">
      <c r="A20" s="27" t="s">
        <v>6</v>
      </c>
      <c r="B20" s="12"/>
      <c r="C20" s="31"/>
      <c r="D20" s="31"/>
      <c r="E20" s="31"/>
      <c r="F20" s="31"/>
      <c r="G20" s="5"/>
    </row>
    <row r="21" spans="1:7" ht="15.6" x14ac:dyDescent="0.35">
      <c r="A21" s="26" t="s">
        <v>62</v>
      </c>
      <c r="B21" s="12">
        <f>SUM(D21:F21)</f>
        <v>310046016.58000004</v>
      </c>
      <c r="C21" s="31"/>
      <c r="D21" s="31">
        <v>108818699.06999999</v>
      </c>
      <c r="E21" s="14">
        <v>1159934.78</v>
      </c>
      <c r="F21" s="14">
        <v>200067382.73000002</v>
      </c>
      <c r="G21" s="5"/>
    </row>
    <row r="22" spans="1:7" ht="15.6" x14ac:dyDescent="0.35">
      <c r="A22" s="26" t="s">
        <v>101</v>
      </c>
      <c r="B22" s="12">
        <f>SUM(D22:F22)</f>
        <v>247348560</v>
      </c>
      <c r="C22" s="31"/>
      <c r="D22" s="31">
        <v>52750000</v>
      </c>
      <c r="E22" s="31">
        <v>23910560</v>
      </c>
      <c r="F22" s="31">
        <v>170688000</v>
      </c>
      <c r="G22" s="5"/>
    </row>
    <row r="23" spans="1:7" ht="15.6" x14ac:dyDescent="0.35">
      <c r="A23" s="26" t="s">
        <v>102</v>
      </c>
      <c r="B23" s="12">
        <f>SUM(D23:F23)</f>
        <v>547920746.9569999</v>
      </c>
      <c r="C23" s="31"/>
      <c r="D23" s="31">
        <v>60933668.5</v>
      </c>
      <c r="E23" s="14">
        <v>360173.647</v>
      </c>
      <c r="F23" s="14">
        <v>486626904.80999994</v>
      </c>
      <c r="G23" s="5"/>
    </row>
    <row r="24" spans="1:7" ht="15.6" x14ac:dyDescent="0.35">
      <c r="A24" s="26" t="s">
        <v>80</v>
      </c>
      <c r="B24" s="12">
        <f>SUM(D24:F24)</f>
        <v>1567727447</v>
      </c>
      <c r="C24" s="31"/>
      <c r="D24" s="31">
        <v>248000000</v>
      </c>
      <c r="E24" s="31">
        <v>29910560</v>
      </c>
      <c r="F24" s="31">
        <v>1289816887</v>
      </c>
      <c r="G24" s="5"/>
    </row>
    <row r="25" spans="1:7" ht="15.6" x14ac:dyDescent="0.35">
      <c r="A25" s="26" t="s">
        <v>103</v>
      </c>
      <c r="B25" s="12">
        <f>D25+E25+F25</f>
        <v>547920746.9569999</v>
      </c>
      <c r="C25" s="12"/>
      <c r="D25" s="12">
        <f>+D23</f>
        <v>60933668.5</v>
      </c>
      <c r="E25" s="12">
        <f t="shared" ref="E25:F25" si="0">+E23</f>
        <v>360173.647</v>
      </c>
      <c r="F25" s="12">
        <f t="shared" si="0"/>
        <v>486626904.80999994</v>
      </c>
      <c r="G25" s="5"/>
    </row>
    <row r="26" spans="1:7" ht="15.6" x14ac:dyDescent="0.35">
      <c r="A26" s="25"/>
      <c r="B26" s="12"/>
      <c r="C26" s="12"/>
      <c r="D26" s="12"/>
      <c r="E26" s="12"/>
      <c r="F26" s="12"/>
      <c r="G26" s="5"/>
    </row>
    <row r="27" spans="1:7" ht="15.6" x14ac:dyDescent="0.35">
      <c r="A27" s="27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26" t="s">
        <v>101</v>
      </c>
      <c r="B28" s="12">
        <f>B22</f>
        <v>247348560</v>
      </c>
      <c r="C28" s="12"/>
      <c r="D28" s="15"/>
      <c r="E28" s="12"/>
      <c r="F28" s="12"/>
      <c r="G28" s="5"/>
    </row>
    <row r="29" spans="1:7" ht="15.6" x14ac:dyDescent="0.35">
      <c r="A29" s="26" t="s">
        <v>102</v>
      </c>
      <c r="B29" s="31">
        <v>211171999.98000002</v>
      </c>
      <c r="C29" s="12"/>
      <c r="D29" s="12"/>
      <c r="E29" s="12"/>
      <c r="F29" s="12"/>
      <c r="G29" s="5"/>
    </row>
    <row r="30" spans="1:7" ht="15.6" x14ac:dyDescent="0.35">
      <c r="A30" s="25"/>
      <c r="B30" s="16"/>
      <c r="C30" s="16"/>
      <c r="D30" s="16"/>
      <c r="E30" s="16"/>
      <c r="F30" s="16"/>
      <c r="G30" s="5"/>
    </row>
    <row r="31" spans="1:7" ht="15.6" x14ac:dyDescent="0.35">
      <c r="A31" s="24" t="s">
        <v>8</v>
      </c>
      <c r="B31" s="12"/>
      <c r="C31" s="12"/>
      <c r="D31" s="12"/>
      <c r="E31" s="12"/>
      <c r="F31" s="12"/>
      <c r="G31" s="5"/>
    </row>
    <row r="32" spans="1:7" ht="15.6" x14ac:dyDescent="0.35">
      <c r="A32" s="26" t="s">
        <v>63</v>
      </c>
      <c r="B32" s="33">
        <v>1.1197999999999999</v>
      </c>
      <c r="C32" s="33">
        <v>1.1197999999999999</v>
      </c>
      <c r="D32" s="33">
        <v>1.1197999999999999</v>
      </c>
      <c r="E32" s="33">
        <v>1.1197999999999999</v>
      </c>
      <c r="F32" s="33">
        <v>1.1197999999999999</v>
      </c>
      <c r="G32" s="5"/>
    </row>
    <row r="33" spans="1:7" ht="15.6" x14ac:dyDescent="0.35">
      <c r="A33" s="26" t="s">
        <v>104</v>
      </c>
      <c r="B33" s="33">
        <v>1.0948</v>
      </c>
      <c r="C33" s="33">
        <v>1.0948</v>
      </c>
      <c r="D33" s="33">
        <v>1.0948</v>
      </c>
      <c r="E33" s="33">
        <v>1.0948</v>
      </c>
      <c r="F33" s="33">
        <v>1.0948</v>
      </c>
      <c r="G33" s="5"/>
    </row>
    <row r="34" spans="1:7" ht="15.6" x14ac:dyDescent="0.35">
      <c r="A34" s="26" t="s">
        <v>9</v>
      </c>
      <c r="B34" s="12" t="s">
        <v>43</v>
      </c>
      <c r="C34" s="12" t="s">
        <v>43</v>
      </c>
      <c r="D34" s="12" t="s">
        <v>43</v>
      </c>
      <c r="E34" s="12" t="s">
        <v>43</v>
      </c>
      <c r="F34" s="12" t="s">
        <v>43</v>
      </c>
      <c r="G34" s="5"/>
    </row>
    <row r="35" spans="1:7" ht="15.6" x14ac:dyDescent="0.35">
      <c r="A35" s="25"/>
      <c r="B35" s="16"/>
      <c r="C35" s="16"/>
      <c r="D35" s="16"/>
      <c r="E35" s="16"/>
      <c r="F35" s="16"/>
      <c r="G35" s="5"/>
    </row>
    <row r="36" spans="1:7" ht="15.6" x14ac:dyDescent="0.35">
      <c r="A36" s="24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26" t="s">
        <v>64</v>
      </c>
      <c r="B37" s="12">
        <f>B21/B32</f>
        <v>276876242.70405436</v>
      </c>
      <c r="C37" s="12"/>
      <c r="D37" s="12">
        <f>D21/D32</f>
        <v>97176905.759957135</v>
      </c>
      <c r="E37" s="12">
        <f>E21/E32</f>
        <v>1035841.0251830685</v>
      </c>
      <c r="F37" s="12">
        <f>F21/F32</f>
        <v>178663495.91891411</v>
      </c>
      <c r="G37" s="5"/>
    </row>
    <row r="38" spans="1:7" ht="15.6" x14ac:dyDescent="0.35">
      <c r="A38" s="26" t="s">
        <v>105</v>
      </c>
      <c r="B38" s="12">
        <f>B23/B33</f>
        <v>500475654.87486291</v>
      </c>
      <c r="C38" s="12"/>
      <c r="D38" s="12">
        <f t="shared" ref="D38:F38" si="1">D23/D33</f>
        <v>55657351.571063206</v>
      </c>
      <c r="E38" s="12">
        <f t="shared" si="1"/>
        <v>328985.7937522835</v>
      </c>
      <c r="F38" s="12">
        <f t="shared" si="1"/>
        <v>444489317.51004744</v>
      </c>
      <c r="G38" s="5"/>
    </row>
    <row r="39" spans="1:7" ht="15.6" x14ac:dyDescent="0.35">
      <c r="A39" s="26" t="s">
        <v>65</v>
      </c>
      <c r="B39" s="12">
        <f>B37/B15</f>
        <v>625002.80520102568</v>
      </c>
      <c r="C39" s="12"/>
      <c r="D39" s="12">
        <f t="shared" ref="D39:F39" si="2">D37/$C$15</f>
        <v>219360.96108342469</v>
      </c>
      <c r="E39" s="12">
        <f t="shared" si="2"/>
        <v>2338.241591835369</v>
      </c>
      <c r="F39" s="12">
        <f t="shared" si="2"/>
        <v>403303.60252576548</v>
      </c>
      <c r="G39" s="5"/>
    </row>
    <row r="40" spans="1:7" ht="15.6" x14ac:dyDescent="0.35">
      <c r="A40" s="26" t="s">
        <v>106</v>
      </c>
      <c r="B40" s="12">
        <f>B38/B17</f>
        <v>1153169.7116932324</v>
      </c>
      <c r="C40" s="12"/>
      <c r="D40" s="12">
        <f t="shared" ref="D40:F40" si="3">D38/$C$17</f>
        <v>128242.74555544517</v>
      </c>
      <c r="E40" s="12">
        <f t="shared" si="3"/>
        <v>758.0317828393629</v>
      </c>
      <c r="F40" s="12">
        <f t="shared" si="3"/>
        <v>1024168.934354948</v>
      </c>
    </row>
    <row r="41" spans="1:7" ht="15.6" x14ac:dyDescent="0.35">
      <c r="A41" s="25"/>
      <c r="B41" s="16"/>
      <c r="C41" s="16"/>
      <c r="D41" s="16"/>
      <c r="E41" s="16"/>
      <c r="F41" s="16"/>
      <c r="G41" s="5"/>
    </row>
    <row r="42" spans="1:7" ht="15.6" x14ac:dyDescent="0.35">
      <c r="A42" s="24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25"/>
      <c r="B43" s="16"/>
      <c r="C43" s="16"/>
      <c r="D43" s="16"/>
      <c r="E43" s="16"/>
      <c r="F43" s="16"/>
      <c r="G43" s="5"/>
    </row>
    <row r="44" spans="1:7" ht="15.6" x14ac:dyDescent="0.35">
      <c r="A44" s="24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25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25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25"/>
      <c r="B47" s="16"/>
      <c r="C47" s="16"/>
      <c r="D47" s="16"/>
      <c r="E47" s="16"/>
      <c r="F47" s="16"/>
      <c r="G47" s="5"/>
    </row>
    <row r="48" spans="1:7" ht="15.6" x14ac:dyDescent="0.35">
      <c r="A48" s="24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25" t="s">
        <v>16</v>
      </c>
      <c r="B49" s="16">
        <f>B17/B16*100</f>
        <v>92.340425531914889</v>
      </c>
      <c r="C49" s="16">
        <f t="shared" ref="C49" si="4">C17/C16*100</f>
        <v>92.340425531914889</v>
      </c>
      <c r="D49" s="16"/>
      <c r="E49" s="16"/>
      <c r="F49" s="16"/>
      <c r="G49" s="5"/>
    </row>
    <row r="50" spans="1:7" ht="15.6" x14ac:dyDescent="0.35">
      <c r="A50" s="25" t="s">
        <v>17</v>
      </c>
      <c r="B50" s="16">
        <f>B23/B22*100</f>
        <v>221.51766194110846</v>
      </c>
      <c r="C50" s="16"/>
      <c r="D50" s="16">
        <f>D23/D22*100</f>
        <v>115.514063507109</v>
      </c>
      <c r="E50" s="16" t="s">
        <v>43</v>
      </c>
      <c r="F50" s="16">
        <f>F23/F22*100</f>
        <v>285.09731487275025</v>
      </c>
      <c r="G50" s="5"/>
    </row>
    <row r="51" spans="1:7" ht="15.6" x14ac:dyDescent="0.35">
      <c r="A51" s="25" t="s">
        <v>18</v>
      </c>
      <c r="B51" s="16">
        <f>AVERAGE(B49:B50)</f>
        <v>156.92904373651169</v>
      </c>
      <c r="C51" s="16">
        <f t="shared" ref="C51:F51" si="5">AVERAGE(C49:C50)</f>
        <v>92.340425531914889</v>
      </c>
      <c r="D51" s="16">
        <f t="shared" si="5"/>
        <v>115.514063507109</v>
      </c>
      <c r="E51" s="16" t="s">
        <v>43</v>
      </c>
      <c r="F51" s="16">
        <f t="shared" si="5"/>
        <v>285.09731487275025</v>
      </c>
      <c r="G51" s="5"/>
    </row>
    <row r="52" spans="1:7" ht="15.6" x14ac:dyDescent="0.35">
      <c r="A52" s="25"/>
      <c r="B52" s="16"/>
      <c r="C52" s="16"/>
      <c r="D52" s="16"/>
      <c r="E52" s="16"/>
      <c r="F52" s="16"/>
      <c r="G52" s="5"/>
    </row>
    <row r="53" spans="1:7" ht="15.6" x14ac:dyDescent="0.35">
      <c r="A53" s="24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25" t="s">
        <v>20</v>
      </c>
      <c r="B54" s="16">
        <f>(B17/B18)*100</f>
        <v>91.368421052631575</v>
      </c>
      <c r="C54" s="16">
        <f t="shared" ref="C54" si="6">(C17/C18)*100</f>
        <v>91.368421052631575</v>
      </c>
      <c r="D54" s="16"/>
      <c r="E54" s="16"/>
      <c r="F54" s="16"/>
      <c r="G54" s="5"/>
    </row>
    <row r="55" spans="1:7" ht="15.6" x14ac:dyDescent="0.35">
      <c r="A55" s="25" t="s">
        <v>21</v>
      </c>
      <c r="B55" s="16">
        <f>B23/B24*100</f>
        <v>34.950000269849198</v>
      </c>
      <c r="C55" s="16"/>
      <c r="D55" s="16">
        <f t="shared" ref="D55:F55" si="7">D23/D24*100</f>
        <v>24.570027620967743</v>
      </c>
      <c r="E55" s="16">
        <f t="shared" si="7"/>
        <v>1.2041688520709743</v>
      </c>
      <c r="F55" s="16">
        <f t="shared" si="7"/>
        <v>37.728371345939735</v>
      </c>
      <c r="G55" s="5"/>
    </row>
    <row r="56" spans="1:7" ht="15.6" x14ac:dyDescent="0.35">
      <c r="A56" s="25" t="s">
        <v>22</v>
      </c>
      <c r="B56" s="16">
        <f>AVERAGE(B54:B55)</f>
        <v>63.159210661240387</v>
      </c>
      <c r="C56" s="16">
        <f t="shared" ref="C56:F56" si="8">AVERAGE(C54:C55)</f>
        <v>91.368421052631575</v>
      </c>
      <c r="D56" s="16">
        <f t="shared" si="8"/>
        <v>24.570027620967743</v>
      </c>
      <c r="E56" s="16">
        <f t="shared" si="8"/>
        <v>1.2041688520709743</v>
      </c>
      <c r="F56" s="16">
        <f t="shared" si="8"/>
        <v>37.728371345939735</v>
      </c>
      <c r="G56" s="5"/>
    </row>
    <row r="57" spans="1:7" ht="15.6" x14ac:dyDescent="0.35">
      <c r="A57" s="25"/>
      <c r="B57" s="16"/>
      <c r="C57" s="16"/>
      <c r="D57" s="16"/>
      <c r="E57" s="16"/>
      <c r="F57" s="16"/>
      <c r="G57" s="5"/>
    </row>
    <row r="58" spans="1:7" ht="15.6" x14ac:dyDescent="0.35">
      <c r="A58" s="24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25" t="s">
        <v>23</v>
      </c>
      <c r="B59" s="16">
        <f>B25/B23*100</f>
        <v>100</v>
      </c>
      <c r="C59" s="16"/>
      <c r="D59" s="16">
        <f t="shared" ref="D59:F59" si="9">D25/D23*100</f>
        <v>100</v>
      </c>
      <c r="E59" s="16">
        <f t="shared" si="9"/>
        <v>100</v>
      </c>
      <c r="F59" s="16">
        <f t="shared" si="9"/>
        <v>100</v>
      </c>
      <c r="G59" s="5"/>
    </row>
    <row r="60" spans="1:7" ht="15.6" x14ac:dyDescent="0.35">
      <c r="A60" s="25"/>
      <c r="B60" s="16"/>
      <c r="C60" s="16"/>
      <c r="D60" s="16"/>
      <c r="E60" s="16"/>
      <c r="F60" s="16"/>
      <c r="G60" s="5"/>
    </row>
    <row r="61" spans="1:7" ht="15.6" x14ac:dyDescent="0.35">
      <c r="A61" s="24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25" t="s">
        <v>25</v>
      </c>
      <c r="B62" s="16">
        <f>((B17/B15)-1)*100</f>
        <v>-2.0316027088036148</v>
      </c>
      <c r="C62" s="16">
        <f t="shared" ref="C62" si="10">((C17/C15)-1)*100</f>
        <v>-2.0316027088036148</v>
      </c>
      <c r="D62" s="16">
        <f>((C17/C15)-1)*100</f>
        <v>-2.0316027088036148</v>
      </c>
      <c r="E62" s="16">
        <f>((C17/C15)-1)*100</f>
        <v>-2.0316027088036148</v>
      </c>
      <c r="F62" s="16">
        <f>((C17/C15)-1)*100</f>
        <v>-2.0316027088036148</v>
      </c>
      <c r="G62" s="5"/>
    </row>
    <row r="63" spans="1:7" ht="15.6" x14ac:dyDescent="0.35">
      <c r="A63" s="25" t="s">
        <v>26</v>
      </c>
      <c r="B63" s="16">
        <f>((B38/B37)-1)*100</f>
        <v>80.757890235388658</v>
      </c>
      <c r="C63" s="16" t="s">
        <v>43</v>
      </c>
      <c r="D63" s="16">
        <f t="shared" ref="D63:F63" si="11">((D38/D37)-1)*100</f>
        <v>-42.725742154678215</v>
      </c>
      <c r="E63" s="16">
        <f t="shared" si="11"/>
        <v>-68.239740871999118</v>
      </c>
      <c r="F63" s="16">
        <f t="shared" si="11"/>
        <v>148.78574955892364</v>
      </c>
      <c r="G63" s="5"/>
    </row>
    <row r="64" spans="1:7" ht="15.6" x14ac:dyDescent="0.35">
      <c r="A64" s="25" t="s">
        <v>27</v>
      </c>
      <c r="B64" s="16">
        <f>((B40/B39)-1)*100</f>
        <v>84.506325747182416</v>
      </c>
      <c r="C64" s="16" t="s">
        <v>43</v>
      </c>
      <c r="D64" s="16">
        <f t="shared" ref="D64:F64" si="12">((D40/D39)-1)*100</f>
        <v>-41.538027130236053</v>
      </c>
      <c r="E64" s="16">
        <f t="shared" si="12"/>
        <v>-67.581117986856242</v>
      </c>
      <c r="F64" s="16">
        <f t="shared" si="12"/>
        <v>153.94490104747277</v>
      </c>
      <c r="G64" s="5"/>
    </row>
    <row r="65" spans="1:7" ht="15.6" x14ac:dyDescent="0.35">
      <c r="A65" s="25"/>
      <c r="B65" s="16"/>
      <c r="C65" s="16"/>
      <c r="D65" s="16"/>
      <c r="E65" s="16"/>
      <c r="F65" s="16"/>
      <c r="G65" s="5"/>
    </row>
    <row r="66" spans="1:7" ht="15.6" x14ac:dyDescent="0.35">
      <c r="A66" s="24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25" t="s">
        <v>34</v>
      </c>
      <c r="B67" s="19">
        <f>B22/($B$16*3)</f>
        <v>175424.51063829788</v>
      </c>
      <c r="C67" s="19">
        <f>B22/(C16*3)</f>
        <v>175424.51063829788</v>
      </c>
      <c r="D67" s="19">
        <f>D22/($C$16*3)</f>
        <v>37411.347517730494</v>
      </c>
      <c r="E67" s="19">
        <f>E22/($C$16*3)</f>
        <v>16957.843971631206</v>
      </c>
      <c r="F67" s="19">
        <f>F22/($C$16*3)</f>
        <v>121055.31914893616</v>
      </c>
      <c r="G67" s="5"/>
    </row>
    <row r="68" spans="1:7" ht="15.6" x14ac:dyDescent="0.35">
      <c r="A68" s="25" t="s">
        <v>35</v>
      </c>
      <c r="B68" s="19">
        <f>B23/($B$17*3)</f>
        <v>420830.06678725028</v>
      </c>
      <c r="C68" s="19">
        <f>B23/(C17*3)</f>
        <v>420830.06678725028</v>
      </c>
      <c r="D68" s="19">
        <f>D23/($C$17*3)</f>
        <v>46800.052611367129</v>
      </c>
      <c r="E68" s="19">
        <f t="shared" ref="E68:F68" si="13">E23/($C$17*3)</f>
        <v>276.63106528417819</v>
      </c>
      <c r="F68" s="19">
        <f t="shared" si="13"/>
        <v>373753.38311059901</v>
      </c>
    </row>
    <row r="69" spans="1:7" ht="15.6" x14ac:dyDescent="0.35">
      <c r="A69" s="25" t="s">
        <v>29</v>
      </c>
      <c r="B69" s="16">
        <f>(B68/B67)*B51</f>
        <v>376.46084755318043</v>
      </c>
      <c r="C69" s="16">
        <f>(C68/C67)*C51</f>
        <v>221.51766194110846</v>
      </c>
      <c r="D69" s="16"/>
      <c r="E69" s="16"/>
      <c r="F69" s="16"/>
      <c r="G69" s="5"/>
    </row>
    <row r="70" spans="1:7" ht="15.6" x14ac:dyDescent="0.35">
      <c r="A70" s="28" t="s">
        <v>36</v>
      </c>
      <c r="B70" s="19">
        <f>B22/($B$16)</f>
        <v>526273.53191489365</v>
      </c>
      <c r="C70" s="19">
        <f>B22/C16</f>
        <v>526273.53191489365</v>
      </c>
      <c r="D70" s="19">
        <f>D22/($C$16)</f>
        <v>112234.0425531915</v>
      </c>
      <c r="E70" s="19">
        <f>E22/($C$16)</f>
        <v>50873.531914893618</v>
      </c>
      <c r="F70" s="19">
        <f>F22/($C$16)</f>
        <v>363165.95744680852</v>
      </c>
      <c r="G70" s="5"/>
    </row>
    <row r="71" spans="1:7" ht="15.6" x14ac:dyDescent="0.35">
      <c r="A71" s="28" t="s">
        <v>37</v>
      </c>
      <c r="B71" s="19">
        <f>B23/($B$17)</f>
        <v>1262490.200361751</v>
      </c>
      <c r="C71" s="19">
        <f>B23/C17</f>
        <v>1262490.200361751</v>
      </c>
      <c r="D71" s="19">
        <f>D23/($C$17)</f>
        <v>140400.15783410138</v>
      </c>
      <c r="E71" s="19">
        <f t="shared" ref="E71:F71" si="14">E23/($C$17)</f>
        <v>829.89319585253452</v>
      </c>
      <c r="F71" s="19">
        <f t="shared" si="14"/>
        <v>1121260.1493317971</v>
      </c>
      <c r="G71" s="5"/>
    </row>
    <row r="72" spans="1:7" ht="15.6" x14ac:dyDescent="0.35">
      <c r="A72" s="25"/>
      <c r="B72" s="16"/>
      <c r="C72" s="16"/>
      <c r="D72" s="16"/>
      <c r="E72" s="16"/>
      <c r="F72" s="16"/>
      <c r="G72" s="5"/>
    </row>
    <row r="73" spans="1:7" ht="15.6" x14ac:dyDescent="0.35">
      <c r="A73" s="24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25" t="s">
        <v>31</v>
      </c>
      <c r="B74" s="16">
        <f>(B29/B28)*100</f>
        <v>85.374258891986273</v>
      </c>
      <c r="C74" s="16"/>
      <c r="D74" s="16"/>
      <c r="E74" s="16"/>
      <c r="F74" s="16"/>
      <c r="G74" s="5"/>
    </row>
    <row r="75" spans="1:7" ht="15.6" x14ac:dyDescent="0.35">
      <c r="A75" s="25" t="s">
        <v>32</v>
      </c>
      <c r="B75" s="16">
        <f>(B23/B29)*100</f>
        <v>259.46657085640766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50" t="s">
        <v>85</v>
      </c>
      <c r="B77" s="50"/>
      <c r="C77" s="50"/>
      <c r="D77" s="50"/>
      <c r="E77" s="50"/>
      <c r="F77" s="50"/>
    </row>
    <row r="78" spans="1:7" customFormat="1" x14ac:dyDescent="0.3"/>
    <row r="79" spans="1:7" customFormat="1" ht="38.25" customHeight="1" x14ac:dyDescent="0.3">
      <c r="A79" s="44" t="s">
        <v>93</v>
      </c>
      <c r="B79" s="44"/>
      <c r="C79" s="44"/>
      <c r="D79" s="44"/>
      <c r="E79" s="44"/>
      <c r="F79" s="44"/>
      <c r="G79" s="29"/>
    </row>
    <row r="80" spans="1:7" customFormat="1" x14ac:dyDescent="0.3">
      <c r="A80" s="30"/>
    </row>
    <row r="81" spans="1:1" customFormat="1" x14ac:dyDescent="0.3">
      <c r="A81" s="1"/>
    </row>
    <row r="82" spans="1:1" customFormat="1" x14ac:dyDescent="0.3"/>
    <row r="83" spans="1:1" customFormat="1" x14ac:dyDescent="0.3"/>
    <row r="84" spans="1:1" customFormat="1" x14ac:dyDescent="0.3"/>
    <row r="85" spans="1:1" customFormat="1" x14ac:dyDescent="0.3"/>
    <row r="86" spans="1:1" customFormat="1" x14ac:dyDescent="0.3"/>
    <row r="87" spans="1:1" x14ac:dyDescent="0.3">
      <c r="A87" s="1"/>
    </row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3" width="19.6640625" style="4" customWidth="1"/>
    <col min="4" max="4" width="19.5546875" style="4" customWidth="1"/>
    <col min="5" max="6" width="19.664062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5" customFormat="1" ht="17.25" customHeight="1" x14ac:dyDescent="0.35">
      <c r="A9" s="45" t="s">
        <v>0</v>
      </c>
      <c r="B9" s="47" t="s">
        <v>1</v>
      </c>
      <c r="C9" s="47" t="s">
        <v>46</v>
      </c>
      <c r="D9" s="49" t="s">
        <v>45</v>
      </c>
      <c r="E9" s="49"/>
      <c r="F9" s="49"/>
    </row>
    <row r="10" spans="1:7" s="35" customFormat="1" ht="31.8" thickBot="1" x14ac:dyDescent="0.35">
      <c r="A10" s="46"/>
      <c r="B10" s="48"/>
      <c r="C10" s="48"/>
      <c r="D10" s="36" t="s">
        <v>44</v>
      </c>
      <c r="E10" s="37" t="s">
        <v>2</v>
      </c>
      <c r="F10" s="37" t="s">
        <v>3</v>
      </c>
    </row>
    <row r="11" spans="1:7" customFormat="1" ht="16.2" thickTop="1" x14ac:dyDescent="0.35">
      <c r="A11" s="25"/>
      <c r="B11" s="25"/>
      <c r="C11" s="25"/>
      <c r="D11" s="25"/>
      <c r="E11" s="25"/>
      <c r="F11" s="25"/>
    </row>
    <row r="12" spans="1:7" customFormat="1" ht="15.6" x14ac:dyDescent="0.35">
      <c r="A12" s="24" t="s">
        <v>4</v>
      </c>
      <c r="B12" s="25"/>
      <c r="C12" s="25"/>
      <c r="D12" s="25"/>
      <c r="E12" s="25"/>
      <c r="F12" s="25"/>
    </row>
    <row r="13" spans="1:7" customFormat="1" ht="15.6" x14ac:dyDescent="0.35">
      <c r="A13" s="25"/>
      <c r="B13" s="38"/>
      <c r="C13" s="38"/>
      <c r="D13" s="38"/>
      <c r="E13" s="38"/>
      <c r="F13" s="38"/>
      <c r="G13" s="39"/>
    </row>
    <row r="14" spans="1:7" customFormat="1" ht="15.6" x14ac:dyDescent="0.35">
      <c r="A14" s="24" t="s">
        <v>5</v>
      </c>
      <c r="B14" s="38"/>
      <c r="C14" s="38"/>
      <c r="D14" s="38"/>
      <c r="E14" s="38"/>
      <c r="F14" s="38"/>
      <c r="G14" s="39"/>
    </row>
    <row r="15" spans="1:7" ht="15.6" x14ac:dyDescent="0.35">
      <c r="A15" s="26" t="s">
        <v>66</v>
      </c>
      <c r="B15" s="12">
        <f>('I Trimestre'!B15+'II Trimestre'!B15+'III Trimestre'!B15)/3</f>
        <v>468.66666666666669</v>
      </c>
      <c r="C15" s="12">
        <f>('I Trimestre'!C15+'II Trimestre'!C15+'III Trimestre'!C15)/3</f>
        <v>468.66666666666669</v>
      </c>
      <c r="D15" s="12"/>
      <c r="E15" s="12"/>
      <c r="F15" s="12"/>
      <c r="G15" s="5"/>
    </row>
    <row r="16" spans="1:7" ht="15.6" x14ac:dyDescent="0.35">
      <c r="A16" s="26" t="s">
        <v>107</v>
      </c>
      <c r="B16" s="12">
        <f>('I Trimestre'!B16+'II Trimestre'!B16+'III Trimestre'!B16)/3</f>
        <v>480</v>
      </c>
      <c r="C16" s="12">
        <f>('I Trimestre'!C16+'II Trimestre'!C16+'III Trimestre'!C16)/3</f>
        <v>480</v>
      </c>
      <c r="D16" s="12"/>
      <c r="E16" s="12"/>
      <c r="F16" s="12"/>
      <c r="G16" s="5"/>
    </row>
    <row r="17" spans="1:7" ht="15.6" x14ac:dyDescent="0.35">
      <c r="A17" s="26" t="s">
        <v>108</v>
      </c>
      <c r="B17" s="12">
        <f>('I Trimestre'!B17+'II Trimestre'!B17+'III Trimestre'!B17)/3</f>
        <v>459.66666666666669</v>
      </c>
      <c r="C17" s="12">
        <f>('I Trimestre'!C17+'II Trimestre'!C17+'III Trimestre'!C17)/3</f>
        <v>459.66666666666669</v>
      </c>
      <c r="D17" s="12"/>
      <c r="E17" s="12"/>
      <c r="F17" s="12"/>
    </row>
    <row r="18" spans="1:7" ht="15.6" x14ac:dyDescent="0.35">
      <c r="A18" s="26" t="s">
        <v>80</v>
      </c>
      <c r="B18" s="12">
        <f>+'III Trimestre'!B18</f>
        <v>475</v>
      </c>
      <c r="C18" s="12">
        <f>+'III Trimestre'!C18</f>
        <v>475</v>
      </c>
      <c r="D18" s="12"/>
      <c r="E18" s="12"/>
      <c r="F18" s="12"/>
      <c r="G18" s="5"/>
    </row>
    <row r="19" spans="1:7" ht="15.6" x14ac:dyDescent="0.35">
      <c r="A19" s="25"/>
      <c r="B19" s="12"/>
      <c r="C19" s="12"/>
      <c r="D19" s="12"/>
      <c r="E19" s="12"/>
      <c r="F19" s="12"/>
      <c r="G19" s="5"/>
    </row>
    <row r="20" spans="1:7" ht="15.6" x14ac:dyDescent="0.35">
      <c r="A20" s="27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26" t="s">
        <v>66</v>
      </c>
      <c r="B21" s="12">
        <f>+'I Trimestre'!B21+'II Trimestre'!B21+'III Trimestre'!B21</f>
        <v>791745315.27999997</v>
      </c>
      <c r="C21" s="12"/>
      <c r="D21" s="12">
        <f>'I Trimestre'!D21+'II Trimestre'!D21+'III Trimestre'!D21</f>
        <v>251707408.21999997</v>
      </c>
      <c r="E21" s="12">
        <f>'I Trimestre'!E21+'II Trimestre'!E21+'III Trimestre'!E21</f>
        <v>31242079.609999999</v>
      </c>
      <c r="F21" s="12">
        <f>'I Trimestre'!F21+'II Trimestre'!F21+'III Trimestre'!F21</f>
        <v>508795827.44999999</v>
      </c>
      <c r="G21" s="5"/>
    </row>
    <row r="22" spans="1:7" ht="15.6" x14ac:dyDescent="0.35">
      <c r="A22" s="26" t="s">
        <v>107</v>
      </c>
      <c r="B22" s="12">
        <f>+'I Trimestre'!B22+'II Trimestre'!B22+'III Trimestre'!B22</f>
        <v>1499888006</v>
      </c>
      <c r="C22" s="12"/>
      <c r="D22" s="12">
        <f>'I Trimestre'!D22+'II Trimestre'!D22+'III Trimestre'!D22</f>
        <v>201250000</v>
      </c>
      <c r="E22" s="12">
        <f>'I Trimestre'!E22+'II Trimestre'!E22+'III Trimestre'!E22</f>
        <v>29910560</v>
      </c>
      <c r="F22" s="12">
        <f>'I Trimestre'!F22+'II Trimestre'!F22+'III Trimestre'!F22</f>
        <v>1268727446</v>
      </c>
      <c r="G22" s="5"/>
    </row>
    <row r="23" spans="1:7" ht="15.6" x14ac:dyDescent="0.35">
      <c r="A23" s="26" t="s">
        <v>108</v>
      </c>
      <c r="B23" s="12">
        <f>+'I Trimestre'!B23+'II Trimestre'!B23+'III Trimestre'!B23</f>
        <v>865918515.42699993</v>
      </c>
      <c r="C23" s="12"/>
      <c r="D23" s="12">
        <f>'I Trimestre'!D23+'II Trimestre'!D23+'III Trimestre'!D23</f>
        <v>227139515.74000001</v>
      </c>
      <c r="E23" s="12">
        <f>'I Trimestre'!E23+'II Trimestre'!E23+'III Trimestre'!E23</f>
        <v>4209919.0970000001</v>
      </c>
      <c r="F23" s="12">
        <f>'I Trimestre'!F23+'II Trimestre'!F23+'III Trimestre'!F23</f>
        <v>634569080.58999991</v>
      </c>
      <c r="G23" s="5"/>
    </row>
    <row r="24" spans="1:7" ht="15.6" x14ac:dyDescent="0.35">
      <c r="A24" s="26" t="s">
        <v>80</v>
      </c>
      <c r="B24" s="12">
        <f>+SUM(D24:F24)</f>
        <v>1567727447</v>
      </c>
      <c r="C24" s="12"/>
      <c r="D24" s="12">
        <f>+'III Trimestre'!D24</f>
        <v>248000000</v>
      </c>
      <c r="E24" s="12">
        <f>+'III Trimestre'!E24</f>
        <v>29910560</v>
      </c>
      <c r="F24" s="12">
        <f>+'III Trimestre'!F24</f>
        <v>1289816887</v>
      </c>
      <c r="G24" s="5"/>
    </row>
    <row r="25" spans="1:7" ht="15.6" x14ac:dyDescent="0.35">
      <c r="A25" s="26" t="s">
        <v>109</v>
      </c>
      <c r="B25" s="12">
        <f>D25+E25+F25</f>
        <v>865918515.42699993</v>
      </c>
      <c r="C25" s="12"/>
      <c r="D25" s="12">
        <f>D23</f>
        <v>227139515.74000001</v>
      </c>
      <c r="E25" s="12">
        <f t="shared" ref="E25:F25" si="0">E23</f>
        <v>4209919.0970000001</v>
      </c>
      <c r="F25" s="12">
        <f t="shared" si="0"/>
        <v>634569080.58999991</v>
      </c>
      <c r="G25" s="5"/>
    </row>
    <row r="26" spans="1:7" ht="15.6" x14ac:dyDescent="0.35">
      <c r="A26" s="25"/>
      <c r="B26" s="12"/>
      <c r="C26" s="12"/>
      <c r="D26" s="12"/>
      <c r="E26" s="12"/>
      <c r="F26" s="12"/>
      <c r="G26" s="5"/>
    </row>
    <row r="27" spans="1:7" ht="15.6" x14ac:dyDescent="0.35">
      <c r="A27" s="27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26" t="s">
        <v>107</v>
      </c>
      <c r="B28" s="12">
        <f>B22</f>
        <v>1499888006</v>
      </c>
      <c r="C28" s="12"/>
      <c r="D28" s="20" t="s">
        <v>49</v>
      </c>
      <c r="E28" s="12"/>
      <c r="F28" s="12"/>
      <c r="G28" s="5"/>
    </row>
    <row r="29" spans="1:7" ht="15.6" x14ac:dyDescent="0.35">
      <c r="A29" s="26" t="s">
        <v>108</v>
      </c>
      <c r="B29" s="12">
        <f>'I Trimestre'!B29+'II Trimestre'!B29+'III Trimestre'!B29</f>
        <v>633515999.94000006</v>
      </c>
      <c r="C29" s="12"/>
      <c r="D29" s="21">
        <f>+B29+723039446</f>
        <v>1356555445.9400001</v>
      </c>
      <c r="E29" s="12"/>
      <c r="F29" s="12"/>
      <c r="G29" s="5"/>
    </row>
    <row r="30" spans="1:7" ht="15.6" x14ac:dyDescent="0.35">
      <c r="A30" s="25"/>
      <c r="B30" s="16"/>
      <c r="C30" s="16"/>
      <c r="D30" s="16"/>
      <c r="E30" s="16"/>
      <c r="F30" s="16"/>
      <c r="G30" s="5"/>
    </row>
    <row r="31" spans="1:7" ht="15.6" x14ac:dyDescent="0.35">
      <c r="A31" s="24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26" t="s">
        <v>67</v>
      </c>
      <c r="B32" s="34">
        <v>1.1197999999999999</v>
      </c>
      <c r="C32" s="34">
        <v>1.1197999999999999</v>
      </c>
      <c r="D32" s="34">
        <v>1.1197999999999999</v>
      </c>
      <c r="E32" s="34">
        <v>1.1197999999999999</v>
      </c>
      <c r="F32" s="34">
        <v>1.1197999999999999</v>
      </c>
      <c r="G32" s="5"/>
    </row>
    <row r="33" spans="1:7" ht="15.6" x14ac:dyDescent="0.35">
      <c r="A33" s="26" t="s">
        <v>110</v>
      </c>
      <c r="B33" s="34">
        <v>1.0948</v>
      </c>
      <c r="C33" s="34">
        <v>1.0948</v>
      </c>
      <c r="D33" s="34">
        <v>1.0948</v>
      </c>
      <c r="E33" s="34">
        <v>1.0948</v>
      </c>
      <c r="F33" s="34">
        <v>1.0948</v>
      </c>
      <c r="G33" s="5"/>
    </row>
    <row r="34" spans="1:7" ht="15.6" x14ac:dyDescent="0.35">
      <c r="A34" s="26" t="s">
        <v>9</v>
      </c>
      <c r="B34" s="12" t="s">
        <v>43</v>
      </c>
      <c r="C34" s="12" t="s">
        <v>43</v>
      </c>
      <c r="D34" s="12" t="s">
        <v>43</v>
      </c>
      <c r="E34" s="12" t="s">
        <v>43</v>
      </c>
      <c r="F34" s="12" t="s">
        <v>43</v>
      </c>
      <c r="G34" s="5"/>
    </row>
    <row r="35" spans="1:7" ht="15.6" x14ac:dyDescent="0.35">
      <c r="A35" s="25"/>
      <c r="B35" s="16"/>
      <c r="C35" s="16"/>
      <c r="D35" s="16"/>
      <c r="E35" s="16"/>
      <c r="F35" s="16"/>
      <c r="G35" s="5"/>
    </row>
    <row r="36" spans="1:7" ht="15.6" x14ac:dyDescent="0.35">
      <c r="A36" s="24" t="s">
        <v>10</v>
      </c>
      <c r="B36" s="12"/>
      <c r="C36" s="12"/>
      <c r="D36" s="12"/>
      <c r="E36" s="12"/>
      <c r="F36" s="12"/>
      <c r="G36" s="5"/>
    </row>
    <row r="37" spans="1:7" ht="15.6" x14ac:dyDescent="0.35">
      <c r="A37" s="26" t="s">
        <v>68</v>
      </c>
      <c r="B37" s="12">
        <f>B21/B32</f>
        <v>707041717.52098596</v>
      </c>
      <c r="C37" s="12"/>
      <c r="D37" s="12">
        <f t="shared" ref="D37:F37" si="1">D21/D32</f>
        <v>224778896.42793354</v>
      </c>
      <c r="E37" s="12">
        <f t="shared" si="1"/>
        <v>27899696.026076086</v>
      </c>
      <c r="F37" s="12">
        <f t="shared" si="1"/>
        <v>454363125.06697625</v>
      </c>
      <c r="G37" s="5"/>
    </row>
    <row r="38" spans="1:7" ht="15.6" x14ac:dyDescent="0.35">
      <c r="A38" s="26" t="s">
        <v>111</v>
      </c>
      <c r="B38" s="12">
        <f>B23/B33</f>
        <v>790937628.26726341</v>
      </c>
      <c r="C38" s="12"/>
      <c r="D38" s="12">
        <f t="shared" ref="D38:F38" si="2">D23/D33</f>
        <v>207471241.99853855</v>
      </c>
      <c r="E38" s="12">
        <f t="shared" si="2"/>
        <v>3845377.32645232</v>
      </c>
      <c r="F38" s="12">
        <f t="shared" si="2"/>
        <v>579621008.94227254</v>
      </c>
      <c r="G38" s="5"/>
    </row>
    <row r="39" spans="1:7" ht="15.6" x14ac:dyDescent="0.35">
      <c r="A39" s="26" t="s">
        <v>69</v>
      </c>
      <c r="B39" s="12">
        <f>B37/B15</f>
        <v>1508623.8638427865</v>
      </c>
      <c r="C39" s="12"/>
      <c r="D39" s="14">
        <f>D37/$C$15</f>
        <v>479613.57701550541</v>
      </c>
      <c r="E39" s="14">
        <f t="shared" ref="E39:F39" si="3">E37/$C$15</f>
        <v>59529.934621783963</v>
      </c>
      <c r="F39" s="14">
        <f t="shared" si="3"/>
        <v>969480.35220549698</v>
      </c>
      <c r="G39" s="5"/>
    </row>
    <row r="40" spans="1:7" ht="15.6" x14ac:dyDescent="0.35">
      <c r="A40" s="26" t="s">
        <v>112</v>
      </c>
      <c r="B40" s="12">
        <f>B38/B17</f>
        <v>1720676.4936923787</v>
      </c>
      <c r="C40" s="12"/>
      <c r="D40" s="14">
        <f>D38/$C$17</f>
        <v>451351.50543554436</v>
      </c>
      <c r="E40" s="14">
        <f t="shared" ref="E40:F40" si="4">E38/$C$17</f>
        <v>8365.5779400703123</v>
      </c>
      <c r="F40" s="14">
        <f t="shared" si="4"/>
        <v>1260959.4103167639</v>
      </c>
    </row>
    <row r="41" spans="1:7" ht="15.6" x14ac:dyDescent="0.35">
      <c r="A41" s="25"/>
      <c r="B41" s="16"/>
      <c r="C41" s="16"/>
      <c r="D41" s="16"/>
      <c r="E41" s="16"/>
      <c r="F41" s="16"/>
      <c r="G41" s="5"/>
    </row>
    <row r="42" spans="1:7" ht="15.6" x14ac:dyDescent="0.35">
      <c r="A42" s="24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25"/>
      <c r="B43" s="16"/>
      <c r="C43" s="16"/>
      <c r="D43" s="16"/>
      <c r="E43" s="16"/>
      <c r="F43" s="16"/>
      <c r="G43" s="5"/>
    </row>
    <row r="44" spans="1:7" ht="15.6" x14ac:dyDescent="0.35">
      <c r="A44" s="24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25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25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25"/>
      <c r="B47" s="16"/>
      <c r="C47" s="16"/>
      <c r="D47" s="16"/>
      <c r="E47" s="16"/>
      <c r="F47" s="16"/>
      <c r="G47" s="5"/>
    </row>
    <row r="48" spans="1:7" ht="15.6" x14ac:dyDescent="0.35">
      <c r="A48" s="24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25" t="s">
        <v>16</v>
      </c>
      <c r="B49" s="16">
        <f>B17/B16*100</f>
        <v>95.763888888888886</v>
      </c>
      <c r="C49" s="16">
        <f t="shared" ref="C49" si="5">C17/C16*100</f>
        <v>95.763888888888886</v>
      </c>
      <c r="D49" s="16"/>
      <c r="E49" s="16"/>
      <c r="F49" s="16"/>
      <c r="G49" s="5"/>
    </row>
    <row r="50" spans="1:7" ht="15.6" x14ac:dyDescent="0.35">
      <c r="A50" s="25" t="s">
        <v>17</v>
      </c>
      <c r="B50" s="16">
        <f>B23/B22*100</f>
        <v>57.732211469327524</v>
      </c>
      <c r="C50" s="16"/>
      <c r="D50" s="16">
        <f t="shared" ref="D50:F50" si="6">D23/D22*100</f>
        <v>112.86435564720499</v>
      </c>
      <c r="E50" s="16">
        <f t="shared" si="6"/>
        <v>14.075026000850535</v>
      </c>
      <c r="F50" s="16">
        <f t="shared" si="6"/>
        <v>50.016186107634653</v>
      </c>
      <c r="G50" s="5"/>
    </row>
    <row r="51" spans="1:7" ht="15.6" x14ac:dyDescent="0.35">
      <c r="A51" s="25" t="s">
        <v>18</v>
      </c>
      <c r="B51" s="16">
        <f>AVERAGE(B49:B50)</f>
        <v>76.748050179108205</v>
      </c>
      <c r="C51" s="16">
        <f t="shared" ref="C51:F51" si="7">AVERAGE(C49:C50)</f>
        <v>95.763888888888886</v>
      </c>
      <c r="D51" s="16">
        <f t="shared" si="7"/>
        <v>112.86435564720499</v>
      </c>
      <c r="E51" s="16">
        <f t="shared" si="7"/>
        <v>14.075026000850535</v>
      </c>
      <c r="F51" s="16">
        <f t="shared" si="7"/>
        <v>50.016186107634653</v>
      </c>
      <c r="G51" s="5"/>
    </row>
    <row r="52" spans="1:7" ht="15.6" x14ac:dyDescent="0.35">
      <c r="A52" s="25"/>
      <c r="B52" s="16"/>
      <c r="C52" s="16"/>
      <c r="D52" s="16"/>
      <c r="E52" s="16"/>
      <c r="F52" s="16"/>
      <c r="G52" s="5"/>
    </row>
    <row r="53" spans="1:7" ht="15.6" x14ac:dyDescent="0.35">
      <c r="A53" s="24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25" t="s">
        <v>20</v>
      </c>
      <c r="B54" s="16">
        <f>(B17/B18)*100</f>
        <v>96.771929824561411</v>
      </c>
      <c r="C54" s="16">
        <f t="shared" ref="C54" si="8">(C17/C18)*100</f>
        <v>96.771929824561411</v>
      </c>
      <c r="D54" s="16"/>
      <c r="E54" s="16"/>
      <c r="F54" s="16"/>
      <c r="G54" s="5"/>
    </row>
    <row r="55" spans="1:7" ht="15.6" x14ac:dyDescent="0.35">
      <c r="A55" s="25" t="s">
        <v>21</v>
      </c>
      <c r="B55" s="16">
        <f>B23/B24*100</f>
        <v>55.233996003834704</v>
      </c>
      <c r="C55" s="16"/>
      <c r="D55" s="16">
        <f t="shared" ref="D55:F55" si="9">D23/D24*100</f>
        <v>91.588514411290319</v>
      </c>
      <c r="E55" s="16">
        <f t="shared" si="9"/>
        <v>14.075026000850535</v>
      </c>
      <c r="F55" s="16">
        <f t="shared" si="9"/>
        <v>49.198385211559099</v>
      </c>
      <c r="G55" s="5"/>
    </row>
    <row r="56" spans="1:7" ht="15.6" x14ac:dyDescent="0.35">
      <c r="A56" s="25" t="s">
        <v>22</v>
      </c>
      <c r="B56" s="16">
        <f>AVERAGE(B54:B55)</f>
        <v>76.002962914198065</v>
      </c>
      <c r="C56" s="16">
        <f t="shared" ref="C56:F56" si="10">AVERAGE(C54:C55)</f>
        <v>96.771929824561411</v>
      </c>
      <c r="D56" s="16">
        <f t="shared" si="10"/>
        <v>91.588514411290319</v>
      </c>
      <c r="E56" s="16">
        <f t="shared" si="10"/>
        <v>14.075026000850535</v>
      </c>
      <c r="F56" s="16">
        <f t="shared" si="10"/>
        <v>49.198385211559099</v>
      </c>
      <c r="G56" s="5"/>
    </row>
    <row r="57" spans="1:7" ht="15.6" x14ac:dyDescent="0.35">
      <c r="A57" s="25"/>
      <c r="B57" s="16"/>
      <c r="C57" s="16"/>
      <c r="D57" s="16"/>
      <c r="E57" s="16"/>
      <c r="F57" s="16"/>
      <c r="G57" s="5"/>
    </row>
    <row r="58" spans="1:7" ht="15.6" x14ac:dyDescent="0.35">
      <c r="A58" s="24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25" t="s">
        <v>23</v>
      </c>
      <c r="B59" s="16">
        <f>B25/B23*100</f>
        <v>100</v>
      </c>
      <c r="C59" s="16"/>
      <c r="D59" s="16">
        <f t="shared" ref="D59:F59" si="11">D25/D23*100</f>
        <v>100</v>
      </c>
      <c r="E59" s="16">
        <f t="shared" si="11"/>
        <v>100</v>
      </c>
      <c r="F59" s="16">
        <f t="shared" si="11"/>
        <v>100</v>
      </c>
      <c r="G59" s="5"/>
    </row>
    <row r="60" spans="1:7" ht="15.6" x14ac:dyDescent="0.35">
      <c r="A60" s="25"/>
      <c r="B60" s="16"/>
      <c r="C60" s="16"/>
      <c r="D60" s="16"/>
      <c r="E60" s="16"/>
      <c r="F60" s="16"/>
      <c r="G60" s="5"/>
    </row>
    <row r="61" spans="1:7" ht="15.6" x14ac:dyDescent="0.35">
      <c r="A61" s="24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25" t="s">
        <v>25</v>
      </c>
      <c r="B62" s="16">
        <f>((B17/B15)-1)*100</f>
        <v>-1.9203413940256042</v>
      </c>
      <c r="C62" s="16">
        <f t="shared" ref="C62" si="12">((C17/C15)-1)*100</f>
        <v>-1.9203413940256042</v>
      </c>
      <c r="D62" s="16">
        <f>((C17/C15)-1)*100</f>
        <v>-1.9203413940256042</v>
      </c>
      <c r="E62" s="16">
        <f>((C17/C15)-1)*100</f>
        <v>-1.9203413940256042</v>
      </c>
      <c r="F62" s="16">
        <f>((C17/C15)-1)*100</f>
        <v>-1.9203413940256042</v>
      </c>
      <c r="G62" s="5"/>
    </row>
    <row r="63" spans="1:7" ht="15.6" x14ac:dyDescent="0.35">
      <c r="A63" s="25" t="s">
        <v>26</v>
      </c>
      <c r="B63" s="16">
        <f>((B38/B37)-1)*100</f>
        <v>11.865765296060804</v>
      </c>
      <c r="C63" s="16" t="s">
        <v>43</v>
      </c>
      <c r="D63" s="16">
        <f t="shared" ref="D63:F63" si="13">((D38/D37)-1)*100</f>
        <v>-7.6998573729291415</v>
      </c>
      <c r="E63" s="16">
        <f t="shared" si="13"/>
        <v>-86.217135402270017</v>
      </c>
      <c r="F63" s="16">
        <f t="shared" si="13"/>
        <v>27.567792579301511</v>
      </c>
      <c r="G63" s="5"/>
    </row>
    <row r="64" spans="1:7" ht="15.6" x14ac:dyDescent="0.35">
      <c r="A64" s="25" t="s">
        <v>27</v>
      </c>
      <c r="B64" s="16">
        <f>((B40/B39)-1)*100</f>
        <v>14.056030461393409</v>
      </c>
      <c r="C64" s="16" t="s">
        <v>43</v>
      </c>
      <c r="D64" s="16">
        <f t="shared" ref="D64:F64" si="14">((D40/D39)-1)*100</f>
        <v>-5.892675465074948</v>
      </c>
      <c r="E64" s="16">
        <f t="shared" si="14"/>
        <v>-85.947275109203517</v>
      </c>
      <c r="F64" s="16">
        <f t="shared" si="14"/>
        <v>30.065494101883907</v>
      </c>
      <c r="G64" s="5"/>
    </row>
    <row r="65" spans="1:7" ht="15.6" x14ac:dyDescent="0.35">
      <c r="A65" s="25"/>
      <c r="B65" s="16"/>
      <c r="C65" s="16"/>
      <c r="D65" s="16"/>
      <c r="E65" s="16"/>
      <c r="F65" s="16"/>
      <c r="G65" s="5"/>
    </row>
    <row r="66" spans="1:7" ht="15.6" x14ac:dyDescent="0.35">
      <c r="A66" s="24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25" t="s">
        <v>34</v>
      </c>
      <c r="B67" s="19">
        <f>B22/($B$16*9)</f>
        <v>347196.29768518516</v>
      </c>
      <c r="C67" s="19">
        <f>B22/(C16*9)</f>
        <v>347196.29768518516</v>
      </c>
      <c r="D67" s="19">
        <f>D22/($C$16*9)</f>
        <v>46585.648148148146</v>
      </c>
      <c r="E67" s="19">
        <f>E22/($C$16*9)</f>
        <v>6923.7407407407409</v>
      </c>
      <c r="F67" s="19">
        <f>F22/($C$16*9)</f>
        <v>293686.90879629628</v>
      </c>
      <c r="G67" s="5"/>
    </row>
    <row r="68" spans="1:7" ht="15.6" x14ac:dyDescent="0.35">
      <c r="A68" s="25" t="s">
        <v>35</v>
      </c>
      <c r="B68" s="19">
        <f>B23/($B$17*9)</f>
        <v>209310.736143824</v>
      </c>
      <c r="C68" s="19">
        <f>B23/(C17*9)</f>
        <v>209310.736143824</v>
      </c>
      <c r="D68" s="19">
        <f>D23/($C$17*9)</f>
        <v>54904.403127870442</v>
      </c>
      <c r="E68" s="19">
        <f>E23/($C$17*9)</f>
        <v>1017.6260809765531</v>
      </c>
      <c r="F68" s="19">
        <f>F23/($C$17*9)</f>
        <v>153388.706934977</v>
      </c>
    </row>
    <row r="69" spans="1:7" ht="15.6" x14ac:dyDescent="0.35">
      <c r="A69" s="25" t="s">
        <v>29</v>
      </c>
      <c r="B69" s="16">
        <f>(B68/B67)*B51</f>
        <v>46.268324252576676</v>
      </c>
      <c r="C69" s="16">
        <f>(C68/C67)*C51</f>
        <v>57.732211469327531</v>
      </c>
      <c r="D69" s="16"/>
      <c r="E69" s="16"/>
      <c r="F69" s="16"/>
      <c r="G69" s="5"/>
    </row>
    <row r="70" spans="1:7" ht="15.6" x14ac:dyDescent="0.35">
      <c r="A70" s="28" t="s">
        <v>40</v>
      </c>
      <c r="B70" s="19">
        <f>B22/($B$16)</f>
        <v>3124766.6791666667</v>
      </c>
      <c r="C70" s="19">
        <f>B22/C16</f>
        <v>3124766.6791666667</v>
      </c>
      <c r="D70" s="19">
        <f>D22/($C$16)</f>
        <v>419270.83333333331</v>
      </c>
      <c r="E70" s="19">
        <f t="shared" ref="E70:F70" si="15">E22/($C$16)</f>
        <v>62313.666666666664</v>
      </c>
      <c r="F70" s="19">
        <f t="shared" si="15"/>
        <v>2643182.1791666667</v>
      </c>
      <c r="G70" s="5"/>
    </row>
    <row r="71" spans="1:7" ht="15.6" x14ac:dyDescent="0.35">
      <c r="A71" s="28" t="s">
        <v>41</v>
      </c>
      <c r="B71" s="19">
        <f>B23/($B$17)</f>
        <v>1883796.625294416</v>
      </c>
      <c r="C71" s="19">
        <f>B23/C17</f>
        <v>1883796.625294416</v>
      </c>
      <c r="D71" s="19">
        <f>D23/($C$17)</f>
        <v>494139.62815083395</v>
      </c>
      <c r="E71" s="19">
        <f t="shared" ref="E71:F71" si="16">E23/($C$17)</f>
        <v>9158.6347287889766</v>
      </c>
      <c r="F71" s="19">
        <f t="shared" si="16"/>
        <v>1380498.3624147931</v>
      </c>
      <c r="G71" s="5"/>
    </row>
    <row r="72" spans="1:7" ht="15.6" x14ac:dyDescent="0.35">
      <c r="A72" s="25"/>
      <c r="B72" s="16"/>
      <c r="C72" s="16"/>
      <c r="D72" s="16"/>
      <c r="E72" s="16"/>
      <c r="F72" s="16"/>
      <c r="G72" s="5"/>
    </row>
    <row r="73" spans="1:7" ht="15.6" x14ac:dyDescent="0.35">
      <c r="A73" s="24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25" t="s">
        <v>31</v>
      </c>
      <c r="B74" s="16">
        <f>(B29/B28)*100</f>
        <v>42.237553564382594</v>
      </c>
      <c r="C74" s="16"/>
      <c r="D74" s="22" t="s">
        <v>49</v>
      </c>
      <c r="E74" s="16"/>
      <c r="F74" s="16"/>
      <c r="G74" s="5"/>
    </row>
    <row r="75" spans="1:7" ht="15.6" x14ac:dyDescent="0.35">
      <c r="A75" s="25" t="s">
        <v>32</v>
      </c>
      <c r="B75" s="16">
        <f>(B23/B29)*100</f>
        <v>136.68455343022285</v>
      </c>
      <c r="C75" s="16"/>
      <c r="D75" s="23">
        <f>(D29/B28)*100</f>
        <v>90.443782503318459</v>
      </c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customFormat="1" ht="16.2" thickTop="1" x14ac:dyDescent="0.3">
      <c r="A77" s="50" t="s">
        <v>85</v>
      </c>
      <c r="B77" s="50"/>
      <c r="C77" s="50"/>
      <c r="D77" s="50"/>
      <c r="E77" s="50"/>
      <c r="F77" s="50"/>
    </row>
    <row r="78" spans="1:7" customFormat="1" x14ac:dyDescent="0.3"/>
    <row r="79" spans="1:7" customFormat="1" ht="38.25" customHeight="1" x14ac:dyDescent="0.3">
      <c r="A79" s="44" t="s">
        <v>86</v>
      </c>
      <c r="B79" s="44"/>
      <c r="C79" s="44"/>
      <c r="D79" s="44"/>
      <c r="E79" s="44"/>
      <c r="F79" s="44"/>
      <c r="G79" s="29"/>
    </row>
    <row r="80" spans="1:7" customFormat="1" x14ac:dyDescent="0.3"/>
    <row r="81" spans="1:1" customFormat="1" x14ac:dyDescent="0.3"/>
    <row r="82" spans="1:1" customFormat="1" x14ac:dyDescent="0.3"/>
    <row r="83" spans="1:1" customFormat="1" x14ac:dyDescent="0.3"/>
    <row r="84" spans="1:1" customFormat="1" x14ac:dyDescent="0.3"/>
    <row r="85" spans="1:1" customFormat="1" x14ac:dyDescent="0.3"/>
    <row r="86" spans="1:1" x14ac:dyDescent="0.3">
      <c r="A86" s="6"/>
    </row>
    <row r="87" spans="1:1" x14ac:dyDescent="0.3">
      <c r="A87" s="1"/>
    </row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2" width="19.5546875" style="4" customWidth="1"/>
    <col min="3" max="5" width="19.6640625" style="4" customWidth="1"/>
    <col min="6" max="6" width="19.33203125" style="4" customWidth="1"/>
    <col min="7" max="7" width="13.6640625" style="4" bestFit="1" customWidth="1"/>
    <col min="8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5" customFormat="1" ht="17.25" customHeight="1" x14ac:dyDescent="0.35">
      <c r="A9" s="45" t="s">
        <v>0</v>
      </c>
      <c r="B9" s="47" t="s">
        <v>1</v>
      </c>
      <c r="C9" s="47" t="s">
        <v>46</v>
      </c>
      <c r="D9" s="49" t="s">
        <v>45</v>
      </c>
      <c r="E9" s="49"/>
      <c r="F9" s="49"/>
    </row>
    <row r="10" spans="1:7" s="35" customFormat="1" ht="31.8" thickBot="1" x14ac:dyDescent="0.35">
      <c r="A10" s="46"/>
      <c r="B10" s="48"/>
      <c r="C10" s="48"/>
      <c r="D10" s="36" t="s">
        <v>44</v>
      </c>
      <c r="E10" s="37" t="s">
        <v>2</v>
      </c>
      <c r="F10" s="37" t="s">
        <v>3</v>
      </c>
    </row>
    <row r="11" spans="1:7" ht="16.2" thickTop="1" x14ac:dyDescent="0.35">
      <c r="A11" s="8"/>
      <c r="B11" s="8"/>
      <c r="C11" s="8"/>
      <c r="D11" s="8"/>
      <c r="E11" s="8"/>
      <c r="F11" s="8"/>
    </row>
    <row r="12" spans="1:7" ht="15.6" x14ac:dyDescent="0.35">
      <c r="A12" s="9" t="s">
        <v>4</v>
      </c>
      <c r="B12" s="8"/>
      <c r="C12" s="8"/>
      <c r="D12" s="8"/>
      <c r="E12" s="8"/>
      <c r="F12" s="8"/>
    </row>
    <row r="13" spans="1:7" ht="15.6" x14ac:dyDescent="0.35">
      <c r="A13" s="8"/>
      <c r="B13" s="10"/>
      <c r="C13" s="10"/>
      <c r="D13" s="10"/>
      <c r="E13" s="10"/>
      <c r="F13" s="10"/>
      <c r="G13" s="5"/>
    </row>
    <row r="14" spans="1:7" ht="15.6" x14ac:dyDescent="0.35">
      <c r="A14" s="9" t="s">
        <v>5</v>
      </c>
      <c r="B14" s="10"/>
      <c r="C14" s="10"/>
      <c r="D14" s="10"/>
      <c r="E14" s="10"/>
      <c r="F14" s="10"/>
      <c r="G14" s="5"/>
    </row>
    <row r="15" spans="1:7" ht="15.6" x14ac:dyDescent="0.35">
      <c r="A15" s="11" t="s">
        <v>70</v>
      </c>
      <c r="B15" s="12">
        <f>C15</f>
        <v>429</v>
      </c>
      <c r="C15" s="12">
        <v>429</v>
      </c>
      <c r="D15" s="12"/>
      <c r="E15" s="12"/>
      <c r="F15" s="12"/>
      <c r="G15" s="5"/>
    </row>
    <row r="16" spans="1:7" ht="15.6" x14ac:dyDescent="0.35">
      <c r="A16" s="11" t="s">
        <v>113</v>
      </c>
      <c r="B16" s="12">
        <f>C16</f>
        <v>460</v>
      </c>
      <c r="C16" s="12">
        <v>460</v>
      </c>
      <c r="D16" s="12"/>
      <c r="E16" s="12"/>
      <c r="F16" s="12"/>
      <c r="G16" s="5"/>
    </row>
    <row r="17" spans="1:7" ht="17.100000000000001" customHeight="1" x14ac:dyDescent="0.35">
      <c r="A17" s="11" t="s">
        <v>114</v>
      </c>
      <c r="B17" s="12">
        <f>C17</f>
        <v>429</v>
      </c>
      <c r="C17" s="12">
        <v>429</v>
      </c>
      <c r="D17" s="12"/>
      <c r="E17" s="12"/>
      <c r="F17" s="12"/>
    </row>
    <row r="18" spans="1:7" ht="15.6" x14ac:dyDescent="0.35">
      <c r="A18" s="11" t="s">
        <v>80</v>
      </c>
      <c r="B18" s="12">
        <f>C18</f>
        <v>475</v>
      </c>
      <c r="C18" s="12">
        <v>475</v>
      </c>
      <c r="D18" s="12"/>
      <c r="E18" s="12"/>
      <c r="F18" s="12"/>
      <c r="G18" s="5"/>
    </row>
    <row r="19" spans="1:7" ht="15.6" x14ac:dyDescent="0.35">
      <c r="A19" s="8"/>
      <c r="B19" s="12"/>
      <c r="C19" s="12"/>
      <c r="D19" s="12"/>
      <c r="E19" s="12"/>
      <c r="F19" s="12"/>
      <c r="G19" s="5"/>
    </row>
    <row r="20" spans="1:7" ht="15.6" x14ac:dyDescent="0.35">
      <c r="A20" s="13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11" t="s">
        <v>70</v>
      </c>
      <c r="B21" s="12">
        <f>SUM(D21:F21)</f>
        <v>210813173.38</v>
      </c>
      <c r="C21" s="12"/>
      <c r="D21" s="12">
        <v>16271080.07</v>
      </c>
      <c r="E21" s="14">
        <v>1462841.06</v>
      </c>
      <c r="F21" s="14">
        <v>193079252.25</v>
      </c>
      <c r="G21" s="5"/>
    </row>
    <row r="22" spans="1:7" ht="15.6" x14ac:dyDescent="0.35">
      <c r="A22" s="11" t="s">
        <v>113</v>
      </c>
      <c r="B22" s="12">
        <f t="shared" ref="B22:B24" si="0">SUM(D22:F22)</f>
        <v>67839440.99000001</v>
      </c>
      <c r="C22" s="12"/>
      <c r="D22" s="12">
        <v>46750000</v>
      </c>
      <c r="E22" s="12">
        <v>0</v>
      </c>
      <c r="F22" s="12">
        <v>21089440.990000002</v>
      </c>
      <c r="G22" s="5"/>
    </row>
    <row r="23" spans="1:7" ht="15.6" x14ac:dyDescent="0.35">
      <c r="A23" s="11" t="s">
        <v>114</v>
      </c>
      <c r="B23" s="12">
        <f t="shared" si="0"/>
        <v>341974559.90000004</v>
      </c>
      <c r="C23" s="12"/>
      <c r="D23" s="12">
        <v>20824739.800000001</v>
      </c>
      <c r="E23" s="14">
        <v>23662215</v>
      </c>
      <c r="F23" s="14">
        <v>297487605.10000002</v>
      </c>
      <c r="G23" s="5"/>
    </row>
    <row r="24" spans="1:7" ht="15.6" x14ac:dyDescent="0.35">
      <c r="A24" s="11" t="s">
        <v>80</v>
      </c>
      <c r="B24" s="12">
        <f t="shared" si="0"/>
        <v>1567727446.99</v>
      </c>
      <c r="C24" s="12"/>
      <c r="D24" s="12">
        <v>248000000</v>
      </c>
      <c r="E24" s="12">
        <v>29910560</v>
      </c>
      <c r="F24" s="12">
        <v>1289816886.99</v>
      </c>
      <c r="G24" s="5"/>
    </row>
    <row r="25" spans="1:7" ht="15.6" x14ac:dyDescent="0.35">
      <c r="A25" s="11" t="s">
        <v>115</v>
      </c>
      <c r="B25" s="12">
        <f>D25+E25+F25</f>
        <v>341974559.90000004</v>
      </c>
      <c r="C25" s="12"/>
      <c r="D25" s="12">
        <f>D23</f>
        <v>20824739.800000001</v>
      </c>
      <c r="E25" s="12">
        <f t="shared" ref="E25:F25" si="1">E23</f>
        <v>23662215</v>
      </c>
      <c r="F25" s="12">
        <f t="shared" si="1"/>
        <v>297487605.10000002</v>
      </c>
      <c r="G25" s="5"/>
    </row>
    <row r="26" spans="1:7" ht="15.6" x14ac:dyDescent="0.35">
      <c r="A26" s="8"/>
      <c r="B26" s="12"/>
      <c r="C26" s="12"/>
      <c r="D26" s="12"/>
      <c r="E26" s="12"/>
      <c r="F26" s="12"/>
      <c r="G26" s="5"/>
    </row>
    <row r="27" spans="1:7" ht="15.6" x14ac:dyDescent="0.35">
      <c r="A27" s="13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11" t="s">
        <v>113</v>
      </c>
      <c r="B28" s="12">
        <f>B22</f>
        <v>67839440.99000001</v>
      </c>
      <c r="C28" s="12"/>
      <c r="D28" s="12"/>
      <c r="E28" s="12"/>
      <c r="F28" s="12"/>
      <c r="G28" s="5"/>
    </row>
    <row r="29" spans="1:7" ht="15.6" x14ac:dyDescent="0.35">
      <c r="A29" s="11" t="s">
        <v>114</v>
      </c>
      <c r="B29" s="12">
        <v>211172000</v>
      </c>
      <c r="C29" s="12"/>
      <c r="D29" s="12"/>
      <c r="E29" s="12"/>
      <c r="F29" s="12"/>
      <c r="G29" s="5"/>
    </row>
    <row r="30" spans="1:7" ht="15.6" x14ac:dyDescent="0.35">
      <c r="A30" s="8"/>
      <c r="B30" s="16"/>
      <c r="C30" s="16"/>
      <c r="D30" s="16"/>
      <c r="E30" s="16"/>
      <c r="F30" s="16"/>
      <c r="G30" s="5"/>
    </row>
    <row r="31" spans="1:7" ht="15.6" x14ac:dyDescent="0.35">
      <c r="A31" s="9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11" t="s">
        <v>71</v>
      </c>
      <c r="B32" s="41">
        <v>1.1144000000000001</v>
      </c>
      <c r="C32" s="41">
        <v>1.1144000000000001</v>
      </c>
      <c r="D32" s="41">
        <v>1.1144000000000001</v>
      </c>
      <c r="E32" s="41">
        <v>1.1144000000000001</v>
      </c>
      <c r="F32" s="41">
        <v>1.1144000000000001</v>
      </c>
      <c r="G32" s="5"/>
    </row>
    <row r="33" spans="1:7" ht="15.6" x14ac:dyDescent="0.35">
      <c r="A33" s="11" t="s">
        <v>116</v>
      </c>
      <c r="B33" s="41">
        <v>1.0947</v>
      </c>
      <c r="C33" s="41">
        <v>1.0947</v>
      </c>
      <c r="D33" s="41">
        <v>1.0947</v>
      </c>
      <c r="E33" s="41">
        <v>1.0947</v>
      </c>
      <c r="F33" s="41">
        <v>1.0947</v>
      </c>
      <c r="G33" s="5"/>
    </row>
    <row r="34" spans="1:7" ht="15.6" x14ac:dyDescent="0.35">
      <c r="A34" s="11" t="s">
        <v>9</v>
      </c>
      <c r="B34" s="12" t="s">
        <v>43</v>
      </c>
      <c r="C34" s="12" t="s">
        <v>43</v>
      </c>
      <c r="D34" s="12" t="s">
        <v>43</v>
      </c>
      <c r="E34" s="12" t="s">
        <v>43</v>
      </c>
      <c r="F34" s="12" t="s">
        <v>43</v>
      </c>
      <c r="G34" s="5"/>
    </row>
    <row r="35" spans="1:7" ht="15.6" x14ac:dyDescent="0.35">
      <c r="A35" s="8"/>
      <c r="B35" s="16"/>
      <c r="C35" s="16"/>
      <c r="D35" s="16"/>
      <c r="E35" s="16"/>
      <c r="F35" s="16"/>
      <c r="G35" s="5"/>
    </row>
    <row r="36" spans="1:7" ht="15.6" x14ac:dyDescent="0.35">
      <c r="A36" s="9" t="s">
        <v>10</v>
      </c>
      <c r="B36" s="16"/>
      <c r="C36" s="16"/>
      <c r="D36" s="16"/>
      <c r="E36" s="16"/>
      <c r="F36" s="16"/>
      <c r="G36" s="5"/>
    </row>
    <row r="37" spans="1:7" ht="15.6" x14ac:dyDescent="0.35">
      <c r="A37" s="11" t="s">
        <v>72</v>
      </c>
      <c r="B37" s="12">
        <f>B21/B32</f>
        <v>189171907.19669777</v>
      </c>
      <c r="C37" s="12"/>
      <c r="D37" s="12">
        <f t="shared" ref="D37:F37" si="2">D21/D32</f>
        <v>14600753.831658291</v>
      </c>
      <c r="E37" s="12">
        <f t="shared" si="2"/>
        <v>1312671.4465183057</v>
      </c>
      <c r="F37" s="12">
        <f t="shared" si="2"/>
        <v>173258481.91852117</v>
      </c>
      <c r="G37" s="5"/>
    </row>
    <row r="38" spans="1:7" ht="15.6" x14ac:dyDescent="0.35">
      <c r="A38" s="11" t="s">
        <v>117</v>
      </c>
      <c r="B38" s="12">
        <f>B23/B33</f>
        <v>312391120.76367956</v>
      </c>
      <c r="C38" s="12"/>
      <c r="D38" s="12">
        <f t="shared" ref="D38:F38" si="3">D23/D33</f>
        <v>19023239.060929935</v>
      </c>
      <c r="E38" s="12">
        <f t="shared" si="3"/>
        <v>21615250.75363113</v>
      </c>
      <c r="F38" s="12">
        <f t="shared" si="3"/>
        <v>271752630.94911849</v>
      </c>
      <c r="G38" s="5"/>
    </row>
    <row r="39" spans="1:7" ht="15.6" x14ac:dyDescent="0.35">
      <c r="A39" s="11" t="s">
        <v>73</v>
      </c>
      <c r="B39" s="12">
        <f>B37/B15</f>
        <v>440960.15663565916</v>
      </c>
      <c r="C39" s="12"/>
      <c r="D39" s="14">
        <f>D37/$C$15</f>
        <v>34034.391215986689</v>
      </c>
      <c r="E39" s="12">
        <f t="shared" ref="E39:F39" si="4">E37/$C$15</f>
        <v>3059.8402016743721</v>
      </c>
      <c r="F39" s="14">
        <f t="shared" si="4"/>
        <v>403865.92521799804</v>
      </c>
      <c r="G39" s="5"/>
    </row>
    <row r="40" spans="1:7" ht="15.6" x14ac:dyDescent="0.35">
      <c r="A40" s="11" t="s">
        <v>118</v>
      </c>
      <c r="B40" s="12">
        <f>B38/B17</f>
        <v>728184.43068456778</v>
      </c>
      <c r="C40" s="12"/>
      <c r="D40" s="14">
        <f>D38/$C$17</f>
        <v>44343.214594242272</v>
      </c>
      <c r="E40" s="14">
        <f t="shared" ref="E40:F40" si="5">E38/$C$17</f>
        <v>50385.199891914053</v>
      </c>
      <c r="F40" s="14">
        <f t="shared" si="5"/>
        <v>633456.01619841147</v>
      </c>
    </row>
    <row r="41" spans="1:7" ht="15.6" x14ac:dyDescent="0.35">
      <c r="A41" s="8"/>
      <c r="B41" s="16"/>
      <c r="C41" s="16"/>
      <c r="D41" s="16"/>
      <c r="E41" s="16"/>
      <c r="F41" s="16"/>
      <c r="G41" s="5"/>
    </row>
    <row r="42" spans="1:7" ht="15.6" x14ac:dyDescent="0.35">
      <c r="A42" s="9" t="s">
        <v>11</v>
      </c>
      <c r="B42" s="16"/>
      <c r="C42" s="16"/>
      <c r="D42" s="16"/>
      <c r="E42" s="16"/>
      <c r="F42" s="16"/>
      <c r="G42" s="5"/>
    </row>
    <row r="43" spans="1:7" ht="15.6" x14ac:dyDescent="0.35">
      <c r="A43" s="8"/>
      <c r="B43" s="16"/>
      <c r="C43" s="16"/>
      <c r="D43" s="16"/>
      <c r="E43" s="16"/>
      <c r="F43" s="16"/>
      <c r="G43" s="5"/>
    </row>
    <row r="44" spans="1:7" ht="15.6" x14ac:dyDescent="0.35">
      <c r="A44" s="9" t="s">
        <v>12</v>
      </c>
      <c r="B44" s="16"/>
      <c r="C44" s="16"/>
      <c r="D44" s="16"/>
      <c r="E44" s="16"/>
      <c r="F44" s="16"/>
      <c r="G44" s="5"/>
    </row>
    <row r="45" spans="1:7" ht="15.6" x14ac:dyDescent="0.35">
      <c r="A45" s="8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7" ht="15.6" x14ac:dyDescent="0.35">
      <c r="A46" s="8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7" ht="15.6" x14ac:dyDescent="0.35">
      <c r="A47" s="8"/>
      <c r="B47" s="16"/>
      <c r="C47" s="16"/>
      <c r="D47" s="16"/>
      <c r="E47" s="16"/>
      <c r="F47" s="16"/>
      <c r="G47" s="5"/>
    </row>
    <row r="48" spans="1:7" ht="15.6" x14ac:dyDescent="0.35">
      <c r="A48" s="9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8" t="s">
        <v>16</v>
      </c>
      <c r="B49" s="16">
        <f>B17/B16*100</f>
        <v>93.260869565217391</v>
      </c>
      <c r="C49" s="16">
        <f t="shared" ref="C49" si="6">C17/C16*100</f>
        <v>93.260869565217391</v>
      </c>
      <c r="D49" s="16"/>
      <c r="E49" s="16"/>
      <c r="F49" s="16"/>
      <c r="G49" s="5"/>
    </row>
    <row r="50" spans="1:7" ht="15.6" x14ac:dyDescent="0.35">
      <c r="A50" s="8" t="s">
        <v>17</v>
      </c>
      <c r="B50" s="16">
        <f>B23/B22*100</f>
        <v>504.09401214023768</v>
      </c>
      <c r="C50" s="16"/>
      <c r="D50" s="16">
        <f>D23/D22*100</f>
        <v>44.544897967914437</v>
      </c>
      <c r="E50" s="16" t="s">
        <v>43</v>
      </c>
      <c r="F50" s="16" t="s">
        <v>43</v>
      </c>
      <c r="G50" s="5"/>
    </row>
    <row r="51" spans="1:7" ht="15.6" x14ac:dyDescent="0.35">
      <c r="A51" s="8" t="s">
        <v>18</v>
      </c>
      <c r="B51" s="16">
        <f>AVERAGE(B49:B50)</f>
        <v>298.67744085272756</v>
      </c>
      <c r="C51" s="16">
        <f t="shared" ref="C51:D51" si="7">AVERAGE(C49:C50)</f>
        <v>93.260869565217391</v>
      </c>
      <c r="D51" s="16">
        <f t="shared" si="7"/>
        <v>44.544897967914437</v>
      </c>
      <c r="E51" s="16" t="s">
        <v>43</v>
      </c>
      <c r="F51" s="16" t="s">
        <v>43</v>
      </c>
      <c r="G51" s="5"/>
    </row>
    <row r="52" spans="1:7" ht="15.6" x14ac:dyDescent="0.35">
      <c r="A52" s="8"/>
      <c r="B52" s="16"/>
      <c r="C52" s="16"/>
      <c r="D52" s="16"/>
      <c r="E52" s="16"/>
      <c r="F52" s="16"/>
      <c r="G52" s="5"/>
    </row>
    <row r="53" spans="1:7" ht="15.6" x14ac:dyDescent="0.35">
      <c r="A53" s="9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8" t="s">
        <v>20</v>
      </c>
      <c r="B54" s="16">
        <f>(B17/B18)*100</f>
        <v>90.31578947368422</v>
      </c>
      <c r="C54" s="16">
        <f t="shared" ref="C54" si="8">(C17/C18)*100</f>
        <v>90.31578947368422</v>
      </c>
      <c r="D54" s="16"/>
      <c r="E54" s="16"/>
      <c r="F54" s="16"/>
      <c r="G54" s="5"/>
    </row>
    <row r="55" spans="1:7" ht="15.6" x14ac:dyDescent="0.35">
      <c r="A55" s="8" t="s">
        <v>21</v>
      </c>
      <c r="B55" s="16">
        <f>B23/B24*100</f>
        <v>21.813393683741598</v>
      </c>
      <c r="C55" s="16"/>
      <c r="D55" s="16">
        <f t="shared" ref="D55:F55" si="9">D23/D24*100</f>
        <v>8.3970725000000002</v>
      </c>
      <c r="E55" s="16">
        <f t="shared" si="9"/>
        <v>79.109902990783183</v>
      </c>
      <c r="F55" s="16">
        <f t="shared" si="9"/>
        <v>23.064328595839392</v>
      </c>
      <c r="G55" s="5"/>
    </row>
    <row r="56" spans="1:7" ht="15.6" x14ac:dyDescent="0.35">
      <c r="A56" s="8" t="s">
        <v>22</v>
      </c>
      <c r="B56" s="16">
        <f>AVERAGE(B54:B55)</f>
        <v>56.064591578712907</v>
      </c>
      <c r="C56" s="16">
        <f t="shared" ref="C56:F56" si="10">AVERAGE(C54:C55)</f>
        <v>90.31578947368422</v>
      </c>
      <c r="D56" s="16">
        <f t="shared" si="10"/>
        <v>8.3970725000000002</v>
      </c>
      <c r="E56" s="16">
        <f t="shared" si="10"/>
        <v>79.109902990783183</v>
      </c>
      <c r="F56" s="16">
        <f t="shared" si="10"/>
        <v>23.064328595839392</v>
      </c>
      <c r="G56" s="5"/>
    </row>
    <row r="57" spans="1:7" ht="15.6" x14ac:dyDescent="0.35">
      <c r="A57" s="8"/>
      <c r="B57" s="16"/>
      <c r="C57" s="16"/>
      <c r="D57" s="16"/>
      <c r="E57" s="16"/>
      <c r="F57" s="16"/>
      <c r="G57" s="5"/>
    </row>
    <row r="58" spans="1:7" ht="15.6" x14ac:dyDescent="0.35">
      <c r="A58" s="9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8" t="s">
        <v>23</v>
      </c>
      <c r="B59" s="16">
        <f>B25/B23*100</f>
        <v>100</v>
      </c>
      <c r="C59" s="16"/>
      <c r="D59" s="16">
        <f>D25/D23*100</f>
        <v>100</v>
      </c>
      <c r="E59" s="16">
        <f>E25/E23*100</f>
        <v>100</v>
      </c>
      <c r="F59" s="16">
        <f t="shared" ref="F59" si="11">F25/F23*100</f>
        <v>100</v>
      </c>
      <c r="G59" s="5"/>
    </row>
    <row r="60" spans="1:7" ht="15.6" x14ac:dyDescent="0.35">
      <c r="A60" s="8"/>
      <c r="B60" s="16"/>
      <c r="C60" s="16"/>
      <c r="D60" s="16"/>
      <c r="E60" s="16"/>
      <c r="F60" s="16"/>
      <c r="G60" s="5"/>
    </row>
    <row r="61" spans="1:7" ht="15.6" x14ac:dyDescent="0.35">
      <c r="A61" s="9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8" t="s">
        <v>25</v>
      </c>
      <c r="B62" s="16">
        <f>((B17/B15)-1)*100</f>
        <v>0</v>
      </c>
      <c r="C62" s="16">
        <f>((C17/C15)-1)*100</f>
        <v>0</v>
      </c>
      <c r="D62" s="16">
        <f>((C17/C15)-1)*100</f>
        <v>0</v>
      </c>
      <c r="E62" s="16">
        <f>((C17/C15)-1)*100</f>
        <v>0</v>
      </c>
      <c r="F62" s="16">
        <f>((C17/C15)-1)*100</f>
        <v>0</v>
      </c>
      <c r="G62" s="5"/>
    </row>
    <row r="63" spans="1:7" ht="15.6" x14ac:dyDescent="0.35">
      <c r="A63" s="8" t="s">
        <v>26</v>
      </c>
      <c r="B63" s="16">
        <f>((B38/B37)-1)*100</f>
        <v>65.13610577434234</v>
      </c>
      <c r="C63" s="16"/>
      <c r="D63" s="16">
        <f t="shared" ref="D63" si="12">((D38/D37)-1)*100</f>
        <v>30.289430807897944</v>
      </c>
      <c r="E63" s="16">
        <f t="shared" ref="E63:F63" si="13">((E38/E37)-1)*100</f>
        <v>1546.6611512700179</v>
      </c>
      <c r="F63" s="16">
        <f t="shared" si="13"/>
        <v>56.848096520271071</v>
      </c>
      <c r="G63" s="5"/>
    </row>
    <row r="64" spans="1:7" ht="15.6" x14ac:dyDescent="0.35">
      <c r="A64" s="8" t="s">
        <v>27</v>
      </c>
      <c r="B64" s="16">
        <f>((B40/B39)-1)*100</f>
        <v>65.13610577434234</v>
      </c>
      <c r="C64" s="16"/>
      <c r="D64" s="16">
        <f t="shared" ref="D64" si="14">((D40/D39)-1)*100</f>
        <v>30.289430807897944</v>
      </c>
      <c r="E64" s="16">
        <f t="shared" ref="E64:F64" si="15">((E40/E39)-1)*100</f>
        <v>1546.6611512700179</v>
      </c>
      <c r="F64" s="16">
        <f t="shared" si="15"/>
        <v>56.848096520271099</v>
      </c>
      <c r="G64" s="5"/>
    </row>
    <row r="65" spans="1:7" ht="15.6" x14ac:dyDescent="0.35">
      <c r="A65" s="8"/>
      <c r="B65" s="16"/>
      <c r="C65" s="16"/>
      <c r="D65" s="16"/>
      <c r="E65" s="16"/>
      <c r="F65" s="16"/>
      <c r="G65" s="5"/>
    </row>
    <row r="66" spans="1:7" ht="15.6" x14ac:dyDescent="0.35">
      <c r="A66" s="9" t="s">
        <v>28</v>
      </c>
      <c r="B66" s="16"/>
      <c r="C66" s="16"/>
      <c r="D66" s="16"/>
      <c r="E66" s="16"/>
      <c r="F66" s="16"/>
      <c r="G66" s="5"/>
    </row>
    <row r="67" spans="1:7" ht="15.6" x14ac:dyDescent="0.35">
      <c r="A67" s="8" t="s">
        <v>34</v>
      </c>
      <c r="B67" s="19">
        <f>B22/($B$16*3)</f>
        <v>49159.015210144935</v>
      </c>
      <c r="C67" s="19">
        <f>B22/(C16*3)</f>
        <v>49159.015210144935</v>
      </c>
      <c r="D67" s="19">
        <f>D22/($C$16*3)</f>
        <v>33876.811594202896</v>
      </c>
      <c r="E67" s="19">
        <f>E22/($C$16*3)</f>
        <v>0</v>
      </c>
      <c r="F67" s="19">
        <f>F22/($C$16*2)</f>
        <v>22923.305423913047</v>
      </c>
      <c r="G67" s="5"/>
    </row>
    <row r="68" spans="1:7" ht="15.6" x14ac:dyDescent="0.35">
      <c r="A68" s="8" t="s">
        <v>35</v>
      </c>
      <c r="B68" s="19">
        <f>B23/($B$17*3)</f>
        <v>265714.4987567988</v>
      </c>
      <c r="C68" s="19">
        <f>B23/(C17*3)</f>
        <v>265714.4987567988</v>
      </c>
      <c r="D68" s="19">
        <f>D23/($C$17*3)</f>
        <v>16180.839005439006</v>
      </c>
      <c r="E68" s="19">
        <f>E23/($C$17*3)</f>
        <v>18385.559440559442</v>
      </c>
      <c r="F68" s="19">
        <f>F23/($C$17*2)</f>
        <v>346722.15046620049</v>
      </c>
    </row>
    <row r="69" spans="1:7" ht="15.6" x14ac:dyDescent="0.35">
      <c r="A69" s="8" t="s">
        <v>29</v>
      </c>
      <c r="B69" s="16">
        <f>(B68/B67)*B51</f>
        <v>1614.4124561260091</v>
      </c>
      <c r="C69" s="16">
        <f>(C68/C67)*C51</f>
        <v>504.09401214023774</v>
      </c>
      <c r="D69" s="16"/>
      <c r="E69" s="16"/>
      <c r="F69" s="16"/>
      <c r="G69" s="5"/>
    </row>
    <row r="70" spans="1:7" ht="15.6" x14ac:dyDescent="0.35">
      <c r="A70" s="17" t="s">
        <v>36</v>
      </c>
      <c r="B70" s="19">
        <f>B22/($B$16)</f>
        <v>147477.04563043479</v>
      </c>
      <c r="C70" s="19">
        <f>B22/C16</f>
        <v>147477.04563043479</v>
      </c>
      <c r="D70" s="19">
        <f>D22/($C$16)</f>
        <v>101630.43478260869</v>
      </c>
      <c r="E70" s="19">
        <f t="shared" ref="E70:F70" si="16">E22/($C$16)</f>
        <v>0</v>
      </c>
      <c r="F70" s="19">
        <f t="shared" si="16"/>
        <v>45846.610847826094</v>
      </c>
      <c r="G70" s="5"/>
    </row>
    <row r="71" spans="1:7" ht="15.6" x14ac:dyDescent="0.35">
      <c r="A71" s="17" t="s">
        <v>37</v>
      </c>
      <c r="B71" s="19">
        <f>B23/($B$17)</f>
        <v>797143.4962703964</v>
      </c>
      <c r="C71" s="19">
        <f>B23/C17</f>
        <v>797143.4962703964</v>
      </c>
      <c r="D71" s="19">
        <f>D23/($C$17)</f>
        <v>48542.517016317019</v>
      </c>
      <c r="E71" s="19">
        <f t="shared" ref="E71:F71" si="17">E23/($C$17)</f>
        <v>55156.678321678322</v>
      </c>
      <c r="F71" s="19">
        <f t="shared" si="17"/>
        <v>693444.30093240098</v>
      </c>
      <c r="G71" s="5"/>
    </row>
    <row r="72" spans="1:7" ht="15.6" x14ac:dyDescent="0.35">
      <c r="A72" s="8"/>
      <c r="B72" s="16"/>
      <c r="C72" s="16"/>
      <c r="D72" s="16"/>
      <c r="E72" s="16"/>
      <c r="F72" s="16"/>
      <c r="G72" s="5"/>
    </row>
    <row r="73" spans="1:7" ht="15.6" x14ac:dyDescent="0.35">
      <c r="A73" s="9" t="s">
        <v>30</v>
      </c>
      <c r="B73" s="16"/>
      <c r="C73" s="16"/>
      <c r="D73" s="16"/>
      <c r="E73" s="16"/>
      <c r="F73" s="16"/>
      <c r="G73" s="5"/>
    </row>
    <row r="74" spans="1:7" ht="15.6" x14ac:dyDescent="0.35">
      <c r="A74" s="8" t="s">
        <v>31</v>
      </c>
      <c r="B74" s="16">
        <f>(B29/B28)*100</f>
        <v>311.28204613467875</v>
      </c>
      <c r="C74" s="16"/>
      <c r="D74" s="16"/>
      <c r="E74" s="16"/>
      <c r="F74" s="16"/>
      <c r="G74" s="5"/>
    </row>
    <row r="75" spans="1:7" ht="15.6" x14ac:dyDescent="0.35">
      <c r="A75" s="8" t="s">
        <v>32</v>
      </c>
      <c r="B75" s="16">
        <f>(B23/B29)*100</f>
        <v>161.94124216278675</v>
      </c>
      <c r="C75" s="16"/>
      <c r="D75" s="16"/>
      <c r="E75" s="16"/>
      <c r="F75" s="16"/>
      <c r="G75" s="5"/>
    </row>
    <row r="76" spans="1:7" ht="16.2" thickBot="1" x14ac:dyDescent="0.4">
      <c r="A76" s="18"/>
      <c r="B76" s="18"/>
      <c r="C76" s="18"/>
      <c r="D76" s="18"/>
      <c r="E76" s="18"/>
      <c r="F76" s="18"/>
    </row>
    <row r="77" spans="1:7" ht="16.2" thickTop="1" x14ac:dyDescent="0.3">
      <c r="A77" s="52" t="s">
        <v>85</v>
      </c>
      <c r="B77" s="52"/>
      <c r="C77" s="52"/>
      <c r="D77" s="52"/>
      <c r="E77" s="52"/>
      <c r="F77" s="52"/>
    </row>
    <row r="79" spans="1:7" ht="38.25" customHeight="1" x14ac:dyDescent="0.3">
      <c r="A79" s="51" t="s">
        <v>93</v>
      </c>
      <c r="B79" s="51"/>
      <c r="C79" s="51"/>
      <c r="D79" s="51"/>
      <c r="E79" s="51"/>
      <c r="F79" s="51"/>
      <c r="G79" s="43"/>
    </row>
  </sheetData>
  <mergeCells count="6">
    <mergeCell ref="A79:F79"/>
    <mergeCell ref="A77:F77"/>
    <mergeCell ref="A9:A10"/>
    <mergeCell ref="B9:B10"/>
    <mergeCell ref="D9:F9"/>
    <mergeCell ref="C9:C10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4" customWidth="1"/>
    <col min="2" max="5" width="19.5546875" style="4" customWidth="1"/>
    <col min="6" max="6" width="19.6640625" style="4" customWidth="1"/>
    <col min="7" max="7" width="13.6640625" style="4" bestFit="1" customWidth="1"/>
    <col min="8" max="8" width="11.44140625" style="4"/>
    <col min="9" max="9" width="13.88671875" style="4" bestFit="1" customWidth="1"/>
    <col min="10" max="16384" width="11.44140625" style="4"/>
  </cols>
  <sheetData>
    <row r="1" spans="1:7" customFormat="1" x14ac:dyDescent="0.3"/>
    <row r="2" spans="1:7" customFormat="1" x14ac:dyDescent="0.3"/>
    <row r="3" spans="1:7" customFormat="1" x14ac:dyDescent="0.3"/>
    <row r="4" spans="1:7" customFormat="1" x14ac:dyDescent="0.3"/>
    <row r="5" spans="1:7" customFormat="1" x14ac:dyDescent="0.3"/>
    <row r="6" spans="1:7" customFormat="1" x14ac:dyDescent="0.3"/>
    <row r="7" spans="1:7" customFormat="1" x14ac:dyDescent="0.3"/>
    <row r="8" spans="1:7" customFormat="1" ht="15.75" customHeight="1" x14ac:dyDescent="0.3"/>
    <row r="9" spans="1:7" s="35" customFormat="1" ht="17.25" customHeight="1" x14ac:dyDescent="0.35">
      <c r="A9" s="45" t="s">
        <v>0</v>
      </c>
      <c r="B9" s="47" t="s">
        <v>1</v>
      </c>
      <c r="C9" s="47" t="s">
        <v>46</v>
      </c>
      <c r="D9" s="49" t="s">
        <v>45</v>
      </c>
      <c r="E9" s="49"/>
      <c r="F9" s="49"/>
    </row>
    <row r="10" spans="1:7" s="35" customFormat="1" ht="31.8" thickBot="1" x14ac:dyDescent="0.35">
      <c r="A10" s="46"/>
      <c r="B10" s="48"/>
      <c r="C10" s="48"/>
      <c r="D10" s="36" t="s">
        <v>44</v>
      </c>
      <c r="E10" s="37" t="s">
        <v>2</v>
      </c>
      <c r="F10" s="37" t="s">
        <v>3</v>
      </c>
    </row>
    <row r="11" spans="1:7" customFormat="1" ht="16.2" thickTop="1" x14ac:dyDescent="0.35">
      <c r="A11" s="25"/>
      <c r="B11" s="25"/>
      <c r="C11" s="25"/>
      <c r="D11" s="25"/>
      <c r="E11" s="25"/>
      <c r="F11" s="25"/>
    </row>
    <row r="12" spans="1:7" customFormat="1" ht="15.6" x14ac:dyDescent="0.35">
      <c r="A12" s="24" t="s">
        <v>4</v>
      </c>
      <c r="B12" s="25"/>
      <c r="C12" s="25"/>
      <c r="D12" s="25"/>
      <c r="E12" s="25"/>
      <c r="F12" s="25"/>
    </row>
    <row r="13" spans="1:7" customFormat="1" ht="15.6" x14ac:dyDescent="0.35">
      <c r="A13" s="25"/>
      <c r="B13" s="38"/>
      <c r="C13" s="38"/>
      <c r="D13" s="38"/>
      <c r="E13" s="38"/>
      <c r="F13" s="38"/>
      <c r="G13" s="39"/>
    </row>
    <row r="14" spans="1:7" customFormat="1" ht="15.6" x14ac:dyDescent="0.35">
      <c r="A14" s="24" t="s">
        <v>5</v>
      </c>
      <c r="B14" s="38"/>
      <c r="C14" s="38"/>
      <c r="D14" s="38"/>
      <c r="E14" s="38"/>
      <c r="F14" s="38"/>
      <c r="G14" s="39"/>
    </row>
    <row r="15" spans="1:7" ht="15.6" x14ac:dyDescent="0.35">
      <c r="A15" s="11" t="s">
        <v>74</v>
      </c>
      <c r="B15" s="12">
        <f>(+'I Trimestre'!B15+'II Trimestre'!B15+'III Trimestre'!B15+'IV Trimestre'!B15)/4</f>
        <v>458.75</v>
      </c>
      <c r="C15" s="12">
        <f>(+'I Trimestre'!C15+'II Trimestre'!C15+'III Trimestre'!C15+'IV Trimestre'!C15)/4</f>
        <v>458.75</v>
      </c>
      <c r="D15" s="12"/>
      <c r="E15" s="12"/>
      <c r="F15" s="12"/>
      <c r="G15" s="5"/>
    </row>
    <row r="16" spans="1:7" ht="15.6" x14ac:dyDescent="0.35">
      <c r="A16" s="11" t="s">
        <v>119</v>
      </c>
      <c r="B16" s="12">
        <f>(+'I Trimestre'!B16+'II Trimestre'!B16+'III Trimestre'!B16+'IV Trimestre'!B16)/4</f>
        <v>475</v>
      </c>
      <c r="C16" s="12">
        <f>(+'I Trimestre'!C16+'II Trimestre'!C16+'III Trimestre'!C16+'IV Trimestre'!C16)/4</f>
        <v>475</v>
      </c>
      <c r="D16" s="12"/>
      <c r="E16" s="12"/>
      <c r="F16" s="12"/>
      <c r="G16" s="5"/>
    </row>
    <row r="17" spans="1:7" ht="15.6" x14ac:dyDescent="0.35">
      <c r="A17" s="11" t="s">
        <v>120</v>
      </c>
      <c r="B17" s="12">
        <f>(+'I Trimestre'!B17+'II Trimestre'!B17+'III Trimestre'!B17+'IV Trimestre'!B17)/4</f>
        <v>452</v>
      </c>
      <c r="C17" s="12">
        <f>(+'I Trimestre'!C17+'II Trimestre'!C17+'III Trimestre'!C17+'IV Trimestre'!C17)/4</f>
        <v>452</v>
      </c>
      <c r="D17" s="12"/>
      <c r="E17" s="12"/>
      <c r="F17" s="12"/>
    </row>
    <row r="18" spans="1:7" ht="15.6" x14ac:dyDescent="0.35">
      <c r="A18" s="11" t="s">
        <v>80</v>
      </c>
      <c r="B18" s="12">
        <f>+'IV Trimestre'!B18</f>
        <v>475</v>
      </c>
      <c r="C18" s="12">
        <f>+'IV Trimestre'!C18</f>
        <v>475</v>
      </c>
      <c r="D18" s="12"/>
      <c r="E18" s="12"/>
      <c r="F18" s="12"/>
      <c r="G18" s="5"/>
    </row>
    <row r="19" spans="1:7" ht="15.6" x14ac:dyDescent="0.35">
      <c r="A19" s="8"/>
      <c r="B19" s="12"/>
      <c r="C19" s="12"/>
      <c r="D19" s="12"/>
      <c r="E19" s="12"/>
      <c r="F19" s="12"/>
      <c r="G19" s="5"/>
    </row>
    <row r="20" spans="1:7" ht="15.6" x14ac:dyDescent="0.35">
      <c r="A20" s="13" t="s">
        <v>6</v>
      </c>
      <c r="B20" s="12"/>
      <c r="C20" s="12"/>
      <c r="D20" s="12"/>
      <c r="E20" s="12"/>
      <c r="F20" s="12"/>
      <c r="G20" s="5"/>
    </row>
    <row r="21" spans="1:7" ht="15.6" x14ac:dyDescent="0.35">
      <c r="A21" s="11" t="s">
        <v>74</v>
      </c>
      <c r="B21" s="12">
        <f>SUM(D21:F21)</f>
        <v>1002558488.6600001</v>
      </c>
      <c r="C21" s="12"/>
      <c r="D21" s="12">
        <f>'I Trimestre'!D21+'II Trimestre'!D21+'III Trimestre'!D21+'IV Trimestre'!D21</f>
        <v>267978488.28999996</v>
      </c>
      <c r="E21" s="12">
        <f>'I Trimestre'!E21+'II Trimestre'!E21+'III Trimestre'!E21+'IV Trimestre'!E21</f>
        <v>32704920.669999998</v>
      </c>
      <c r="F21" s="12">
        <f>'I Trimestre'!F21+'II Trimestre'!F21+'III Trimestre'!F21+'IV Trimestre'!F21</f>
        <v>701875079.70000005</v>
      </c>
      <c r="G21" s="5"/>
    </row>
    <row r="22" spans="1:7" ht="15.6" x14ac:dyDescent="0.35">
      <c r="A22" s="11" t="s">
        <v>119</v>
      </c>
      <c r="B22" s="12">
        <f>SUM(D22:F22)</f>
        <v>1567727446.99</v>
      </c>
      <c r="C22" s="12"/>
      <c r="D22" s="12">
        <f>'I Trimestre'!D22+'II Trimestre'!D22+'III Trimestre'!D22+'IV Trimestre'!D22</f>
        <v>248000000</v>
      </c>
      <c r="E22" s="12">
        <f>'I Trimestre'!E22+'II Trimestre'!E22+'III Trimestre'!E22+'IV Trimestre'!E22</f>
        <v>29910560</v>
      </c>
      <c r="F22" s="12">
        <f>'I Trimestre'!F22+'II Trimestre'!F22+'III Trimestre'!F22+'IV Trimestre'!F22</f>
        <v>1289816886.99</v>
      </c>
      <c r="G22" s="5"/>
    </row>
    <row r="23" spans="1:7" ht="15.6" x14ac:dyDescent="0.35">
      <c r="A23" s="11" t="s">
        <v>120</v>
      </c>
      <c r="B23" s="12">
        <f>SUM(D23:F23)</f>
        <v>1207893075.3269999</v>
      </c>
      <c r="C23" s="12"/>
      <c r="D23" s="12">
        <f>'I Trimestre'!D23+'II Trimestre'!D23+'III Trimestre'!D23+'IV Trimestre'!D23</f>
        <v>247964255.54000002</v>
      </c>
      <c r="E23" s="12">
        <f>'I Trimestre'!E23+'II Trimestre'!E23+'III Trimestre'!E23+'IV Trimestre'!E23</f>
        <v>27872134.096999999</v>
      </c>
      <c r="F23" s="12">
        <f>'I Trimestre'!F23+'II Trimestre'!F23+'III Trimestre'!F23+'IV Trimestre'!F23</f>
        <v>932056685.68999994</v>
      </c>
      <c r="G23" s="5"/>
    </row>
    <row r="24" spans="1:7" ht="15.6" x14ac:dyDescent="0.35">
      <c r="A24" s="11" t="s">
        <v>80</v>
      </c>
      <c r="B24" s="12">
        <f>SUM(D24:F24)</f>
        <v>1567727446.99</v>
      </c>
      <c r="C24" s="12"/>
      <c r="D24" s="12">
        <f>+'IV Trimestre'!D24</f>
        <v>248000000</v>
      </c>
      <c r="E24" s="12">
        <f>+'IV Trimestre'!E24</f>
        <v>29910560</v>
      </c>
      <c r="F24" s="12">
        <f>+'IV Trimestre'!F24</f>
        <v>1289816886.99</v>
      </c>
      <c r="G24" s="5"/>
    </row>
    <row r="25" spans="1:7" ht="15.6" x14ac:dyDescent="0.35">
      <c r="A25" s="11" t="s">
        <v>121</v>
      </c>
      <c r="B25" s="12">
        <f>+SUM(D25:F25)</f>
        <v>1207893075.3269999</v>
      </c>
      <c r="C25" s="12"/>
      <c r="D25" s="12">
        <f>D23</f>
        <v>247964255.54000002</v>
      </c>
      <c r="E25" s="12">
        <f t="shared" ref="E25:F25" si="0">E23</f>
        <v>27872134.096999999</v>
      </c>
      <c r="F25" s="12">
        <f t="shared" si="0"/>
        <v>932056685.68999994</v>
      </c>
      <c r="G25" s="5"/>
    </row>
    <row r="26" spans="1:7" ht="15.6" x14ac:dyDescent="0.35">
      <c r="A26" s="8"/>
      <c r="B26" s="12"/>
      <c r="C26" s="12"/>
      <c r="D26" s="12"/>
      <c r="E26" s="12"/>
      <c r="F26" s="12"/>
      <c r="G26" s="5"/>
    </row>
    <row r="27" spans="1:7" ht="15.6" x14ac:dyDescent="0.35">
      <c r="A27" s="13" t="s">
        <v>7</v>
      </c>
      <c r="B27" s="12"/>
      <c r="C27" s="12"/>
      <c r="D27" s="12"/>
      <c r="E27" s="12"/>
      <c r="F27" s="12"/>
      <c r="G27" s="5"/>
    </row>
    <row r="28" spans="1:7" ht="15.6" x14ac:dyDescent="0.35">
      <c r="A28" s="11" t="s">
        <v>119</v>
      </c>
      <c r="B28" s="12">
        <f>B22</f>
        <v>1567727446.99</v>
      </c>
      <c r="C28" s="12"/>
      <c r="D28" s="20" t="s">
        <v>49</v>
      </c>
      <c r="E28" s="12"/>
      <c r="F28" s="12"/>
      <c r="G28" s="5"/>
    </row>
    <row r="29" spans="1:7" ht="15.6" x14ac:dyDescent="0.35">
      <c r="A29" s="11" t="s">
        <v>120</v>
      </c>
      <c r="B29" s="12">
        <f>'I Trimestre'!B29+'II Trimestre'!B29+'III Trimestre'!B29+'IV Trimestre'!B29</f>
        <v>844687999.94000006</v>
      </c>
      <c r="C29" s="12"/>
      <c r="D29" s="21">
        <f>+B29+723039446</f>
        <v>1567727445.9400001</v>
      </c>
      <c r="E29" s="12"/>
      <c r="F29" s="12"/>
      <c r="G29" s="5"/>
    </row>
    <row r="30" spans="1:7" ht="15.6" x14ac:dyDescent="0.35">
      <c r="A30" s="8"/>
      <c r="B30" s="16"/>
      <c r="C30" s="16"/>
      <c r="D30" s="16"/>
      <c r="E30" s="16"/>
      <c r="F30" s="16"/>
      <c r="G30" s="5"/>
    </row>
    <row r="31" spans="1:7" ht="15.6" x14ac:dyDescent="0.35">
      <c r="A31" s="9" t="s">
        <v>8</v>
      </c>
      <c r="B31" s="16"/>
      <c r="C31" s="16"/>
      <c r="D31" s="16"/>
      <c r="E31" s="16"/>
      <c r="F31" s="16"/>
      <c r="G31" s="5"/>
    </row>
    <row r="32" spans="1:7" ht="15.6" x14ac:dyDescent="0.35">
      <c r="A32" s="11" t="s">
        <v>75</v>
      </c>
      <c r="B32" s="41">
        <v>1.1144000000000001</v>
      </c>
      <c r="C32" s="41">
        <v>1.1144000000000001</v>
      </c>
      <c r="D32" s="41">
        <v>1.1144000000000001</v>
      </c>
      <c r="E32" s="41">
        <v>1.1144000000000001</v>
      </c>
      <c r="F32" s="41">
        <v>1.1144000000000001</v>
      </c>
      <c r="G32" s="5"/>
    </row>
    <row r="33" spans="1:9" ht="15.6" x14ac:dyDescent="0.35">
      <c r="A33" s="11" t="s">
        <v>122</v>
      </c>
      <c r="B33" s="41">
        <v>1.0947</v>
      </c>
      <c r="C33" s="41">
        <v>1.0947</v>
      </c>
      <c r="D33" s="41">
        <v>1.0947</v>
      </c>
      <c r="E33" s="41">
        <v>1.0947</v>
      </c>
      <c r="F33" s="41">
        <v>1.0947</v>
      </c>
      <c r="G33" s="5"/>
    </row>
    <row r="34" spans="1:9" ht="15.6" x14ac:dyDescent="0.35">
      <c r="A34" s="11" t="s">
        <v>9</v>
      </c>
      <c r="B34" s="12" t="s">
        <v>43</v>
      </c>
      <c r="C34" s="12" t="s">
        <v>43</v>
      </c>
      <c r="D34" s="12" t="s">
        <v>43</v>
      </c>
      <c r="E34" s="12" t="s">
        <v>43</v>
      </c>
      <c r="F34" s="12" t="s">
        <v>43</v>
      </c>
      <c r="G34" s="5"/>
    </row>
    <row r="35" spans="1:9" ht="15.6" x14ac:dyDescent="0.35">
      <c r="A35" s="8"/>
      <c r="B35" s="16"/>
      <c r="C35" s="16"/>
      <c r="D35" s="16"/>
      <c r="E35" s="16"/>
      <c r="F35" s="16"/>
      <c r="G35" s="5"/>
    </row>
    <row r="36" spans="1:9" ht="15.6" x14ac:dyDescent="0.35">
      <c r="A36" s="9" t="s">
        <v>10</v>
      </c>
      <c r="B36" s="16"/>
      <c r="C36" s="16"/>
      <c r="D36" s="16"/>
      <c r="E36" s="16"/>
      <c r="F36" s="16"/>
      <c r="G36" s="5"/>
    </row>
    <row r="37" spans="1:9" ht="15.6" x14ac:dyDescent="0.35">
      <c r="A37" s="11" t="s">
        <v>76</v>
      </c>
      <c r="B37" s="12">
        <f>B21/B32</f>
        <v>899639706.26346016</v>
      </c>
      <c r="C37" s="12"/>
      <c r="D37" s="12">
        <f t="shared" ref="D37:F37" si="1">D21/D32</f>
        <v>240468851.6600861</v>
      </c>
      <c r="E37" s="12">
        <f t="shared" si="1"/>
        <v>29347559.825915288</v>
      </c>
      <c r="F37" s="12">
        <f t="shared" si="1"/>
        <v>629823294.77745879</v>
      </c>
      <c r="G37" s="5"/>
    </row>
    <row r="38" spans="1:9" ht="15.6" x14ac:dyDescent="0.35">
      <c r="A38" s="11" t="s">
        <v>123</v>
      </c>
      <c r="B38" s="12">
        <f>B23/B33</f>
        <v>1103401000.5727596</v>
      </c>
      <c r="C38" s="12"/>
      <c r="D38" s="12">
        <f t="shared" ref="D38:F38" si="2">D23/D33</f>
        <v>226513433.3972778</v>
      </c>
      <c r="E38" s="12">
        <f t="shared" si="2"/>
        <v>25460979.35233397</v>
      </c>
      <c r="F38" s="12">
        <f t="shared" si="2"/>
        <v>851426587.82314777</v>
      </c>
      <c r="G38" s="5"/>
    </row>
    <row r="39" spans="1:9" ht="15.6" x14ac:dyDescent="0.35">
      <c r="A39" s="11" t="s">
        <v>77</v>
      </c>
      <c r="B39" s="12">
        <f>B37/B15</f>
        <v>1961067.4795933736</v>
      </c>
      <c r="C39" s="12"/>
      <c r="D39" s="14">
        <f>D37/$C$15</f>
        <v>524182.78291026939</v>
      </c>
      <c r="E39" s="14">
        <f t="shared" ref="E39:F39" si="3">E37/$C$15</f>
        <v>63972.882454311257</v>
      </c>
      <c r="F39" s="14">
        <f t="shared" si="3"/>
        <v>1372911.8142287929</v>
      </c>
      <c r="G39" s="5"/>
      <c r="I39" s="2"/>
    </row>
    <row r="40" spans="1:9" ht="15.6" x14ac:dyDescent="0.35">
      <c r="A40" s="11" t="s">
        <v>124</v>
      </c>
      <c r="B40" s="12">
        <f>B38/B17</f>
        <v>2441152.6561344238</v>
      </c>
      <c r="C40" s="12"/>
      <c r="D40" s="14">
        <f>D38/$C$17</f>
        <v>501135.91459574737</v>
      </c>
      <c r="E40" s="14">
        <f t="shared" ref="E40:F40" si="4">E38/$C$17</f>
        <v>56329.600337022057</v>
      </c>
      <c r="F40" s="14">
        <f t="shared" si="4"/>
        <v>1883687.1412016544</v>
      </c>
    </row>
    <row r="41" spans="1:9" ht="15.6" x14ac:dyDescent="0.35">
      <c r="A41" s="8"/>
      <c r="B41" s="16"/>
      <c r="C41" s="16"/>
      <c r="D41" s="16"/>
      <c r="E41" s="16"/>
      <c r="F41" s="16"/>
      <c r="G41" s="5"/>
    </row>
    <row r="42" spans="1:9" ht="15.6" x14ac:dyDescent="0.35">
      <c r="A42" s="9" t="s">
        <v>11</v>
      </c>
      <c r="B42" s="16"/>
      <c r="C42" s="16"/>
      <c r="D42" s="16"/>
      <c r="E42" s="16"/>
      <c r="F42" s="16"/>
      <c r="G42" s="5"/>
    </row>
    <row r="43" spans="1:9" ht="15.6" x14ac:dyDescent="0.35">
      <c r="A43" s="8"/>
      <c r="B43" s="16"/>
      <c r="C43" s="16"/>
      <c r="D43" s="16"/>
      <c r="E43" s="16"/>
      <c r="F43" s="16"/>
      <c r="G43" s="5"/>
    </row>
    <row r="44" spans="1:9" ht="15.6" x14ac:dyDescent="0.35">
      <c r="A44" s="9" t="s">
        <v>12</v>
      </c>
      <c r="B44" s="16"/>
      <c r="C44" s="16"/>
      <c r="D44" s="16"/>
      <c r="E44" s="16"/>
      <c r="F44" s="16"/>
      <c r="G44" s="5"/>
    </row>
    <row r="45" spans="1:9" ht="15.6" x14ac:dyDescent="0.35">
      <c r="A45" s="8" t="s">
        <v>13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5"/>
    </row>
    <row r="46" spans="1:9" ht="15.6" x14ac:dyDescent="0.35">
      <c r="A46" s="8" t="s">
        <v>14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5"/>
    </row>
    <row r="47" spans="1:9" ht="15.6" x14ac:dyDescent="0.35">
      <c r="A47" s="8"/>
      <c r="B47" s="16"/>
      <c r="C47" s="16"/>
      <c r="D47" s="16"/>
      <c r="E47" s="16"/>
      <c r="F47" s="16"/>
      <c r="G47" s="5"/>
    </row>
    <row r="48" spans="1:9" ht="15.6" x14ac:dyDescent="0.35">
      <c r="A48" s="9" t="s">
        <v>15</v>
      </c>
      <c r="B48" s="16"/>
      <c r="C48" s="16"/>
      <c r="D48" s="16"/>
      <c r="E48" s="16"/>
      <c r="F48" s="16"/>
      <c r="G48" s="5"/>
    </row>
    <row r="49" spans="1:7" ht="15.6" x14ac:dyDescent="0.35">
      <c r="A49" s="8" t="s">
        <v>16</v>
      </c>
      <c r="B49" s="16">
        <f>B17/B16*100</f>
        <v>95.15789473684211</v>
      </c>
      <c r="C49" s="16">
        <f t="shared" ref="C49" si="5">C17/C16*100</f>
        <v>95.15789473684211</v>
      </c>
      <c r="D49" s="16"/>
      <c r="E49" s="16"/>
      <c r="F49" s="16"/>
      <c r="G49" s="5"/>
    </row>
    <row r="50" spans="1:7" ht="15.6" x14ac:dyDescent="0.35">
      <c r="A50" s="8" t="s">
        <v>17</v>
      </c>
      <c r="B50" s="16">
        <f>B23/B22*100</f>
        <v>77.047389687928629</v>
      </c>
      <c r="C50" s="16"/>
      <c r="D50" s="16">
        <f t="shared" ref="D50:F50" si="6">D23/D22*100</f>
        <v>99.985586911290341</v>
      </c>
      <c r="E50" s="16">
        <f t="shared" si="6"/>
        <v>93.184928991633726</v>
      </c>
      <c r="F50" s="16">
        <f t="shared" si="6"/>
        <v>72.262713807779917</v>
      </c>
      <c r="G50" s="5"/>
    </row>
    <row r="51" spans="1:7" ht="15.6" x14ac:dyDescent="0.35">
      <c r="A51" s="8" t="s">
        <v>18</v>
      </c>
      <c r="B51" s="16">
        <f>AVERAGE(B49:B50)</f>
        <v>86.102642212385376</v>
      </c>
      <c r="C51" s="16">
        <f>AVERAGE(C49:C50)</f>
        <v>95.15789473684211</v>
      </c>
      <c r="D51" s="16">
        <f t="shared" ref="D51:F51" si="7">AVERAGE(D49:D50)</f>
        <v>99.985586911290341</v>
      </c>
      <c r="E51" s="16">
        <f t="shared" si="7"/>
        <v>93.184928991633726</v>
      </c>
      <c r="F51" s="16">
        <f t="shared" si="7"/>
        <v>72.262713807779917</v>
      </c>
      <c r="G51" s="5"/>
    </row>
    <row r="52" spans="1:7" ht="15.6" x14ac:dyDescent="0.35">
      <c r="A52" s="8"/>
      <c r="B52" s="16"/>
      <c r="C52" s="16"/>
      <c r="D52" s="16"/>
      <c r="E52" s="16"/>
      <c r="F52" s="16"/>
      <c r="G52" s="5"/>
    </row>
    <row r="53" spans="1:7" ht="15.6" x14ac:dyDescent="0.35">
      <c r="A53" s="9" t="s">
        <v>19</v>
      </c>
      <c r="B53" s="16"/>
      <c r="C53" s="16"/>
      <c r="D53" s="16"/>
      <c r="E53" s="16"/>
      <c r="F53" s="16"/>
      <c r="G53" s="5"/>
    </row>
    <row r="54" spans="1:7" ht="15.6" x14ac:dyDescent="0.35">
      <c r="A54" s="8" t="s">
        <v>20</v>
      </c>
      <c r="B54" s="16">
        <f>(B17/B18)*100</f>
        <v>95.15789473684211</v>
      </c>
      <c r="C54" s="16">
        <f t="shared" ref="C54" si="8">(C17/C18)*100</f>
        <v>95.15789473684211</v>
      </c>
      <c r="D54" s="16"/>
      <c r="E54" s="16"/>
      <c r="F54" s="16"/>
      <c r="G54" s="5"/>
    </row>
    <row r="55" spans="1:7" ht="15.6" x14ac:dyDescent="0.35">
      <c r="A55" s="8" t="s">
        <v>21</v>
      </c>
      <c r="B55" s="16">
        <f>B23/B24*100</f>
        <v>77.047389687928629</v>
      </c>
      <c r="C55" s="16"/>
      <c r="D55" s="16">
        <f t="shared" ref="D55:F55" si="9">D23/D24*100</f>
        <v>99.985586911290341</v>
      </c>
      <c r="E55" s="16">
        <f t="shared" si="9"/>
        <v>93.184928991633726</v>
      </c>
      <c r="F55" s="16">
        <f t="shared" si="9"/>
        <v>72.262713807779917</v>
      </c>
      <c r="G55" s="5"/>
    </row>
    <row r="56" spans="1:7" ht="15.6" x14ac:dyDescent="0.35">
      <c r="A56" s="8" t="s">
        <v>22</v>
      </c>
      <c r="B56" s="16">
        <f>AVERAGE(B54:B55)</f>
        <v>86.102642212385376</v>
      </c>
      <c r="C56" s="16">
        <f t="shared" ref="C56:F56" si="10">AVERAGE(C54:C55)</f>
        <v>95.15789473684211</v>
      </c>
      <c r="D56" s="16">
        <f t="shared" si="10"/>
        <v>99.985586911290341</v>
      </c>
      <c r="E56" s="16">
        <f t="shared" si="10"/>
        <v>93.184928991633726</v>
      </c>
      <c r="F56" s="16">
        <f t="shared" si="10"/>
        <v>72.262713807779917</v>
      </c>
      <c r="G56" s="5"/>
    </row>
    <row r="57" spans="1:7" ht="15.6" x14ac:dyDescent="0.35">
      <c r="A57" s="8"/>
      <c r="B57" s="16"/>
      <c r="C57" s="16"/>
      <c r="D57" s="16"/>
      <c r="E57" s="16"/>
      <c r="F57" s="16"/>
      <c r="G57" s="5"/>
    </row>
    <row r="58" spans="1:7" ht="15.6" x14ac:dyDescent="0.35">
      <c r="A58" s="9" t="s">
        <v>33</v>
      </c>
      <c r="B58" s="16"/>
      <c r="C58" s="16"/>
      <c r="D58" s="16"/>
      <c r="E58" s="16"/>
      <c r="F58" s="16"/>
      <c r="G58" s="5"/>
    </row>
    <row r="59" spans="1:7" ht="15.6" x14ac:dyDescent="0.35">
      <c r="A59" s="8" t="s">
        <v>23</v>
      </c>
      <c r="B59" s="16">
        <f>B25/B23*100</f>
        <v>100</v>
      </c>
      <c r="C59" s="16"/>
      <c r="D59" s="16">
        <f>D25/D23*100</f>
        <v>100</v>
      </c>
      <c r="E59" s="16">
        <f t="shared" ref="E59:F59" si="11">E25/E23*100</f>
        <v>100</v>
      </c>
      <c r="F59" s="16">
        <f t="shared" si="11"/>
        <v>100</v>
      </c>
      <c r="G59" s="5"/>
    </row>
    <row r="60" spans="1:7" ht="15.6" x14ac:dyDescent="0.35">
      <c r="A60" s="8"/>
      <c r="B60" s="16"/>
      <c r="C60" s="16"/>
      <c r="D60" s="16"/>
      <c r="E60" s="16"/>
      <c r="F60" s="16"/>
      <c r="G60" s="5"/>
    </row>
    <row r="61" spans="1:7" ht="15.6" x14ac:dyDescent="0.35">
      <c r="A61" s="9" t="s">
        <v>24</v>
      </c>
      <c r="B61" s="16"/>
      <c r="C61" s="16"/>
      <c r="D61" s="16"/>
      <c r="E61" s="16"/>
      <c r="F61" s="16"/>
      <c r="G61" s="5"/>
    </row>
    <row r="62" spans="1:7" ht="15.6" x14ac:dyDescent="0.35">
      <c r="A62" s="8" t="s">
        <v>25</v>
      </c>
      <c r="B62" s="16">
        <f>((B17/B15)-1)*100</f>
        <v>-1.4713896457765663</v>
      </c>
      <c r="C62" s="16">
        <f>((C17/C15)-1)*100</f>
        <v>-1.4713896457765663</v>
      </c>
      <c r="D62" s="16">
        <f>((C17/C15)-1)*100</f>
        <v>-1.4713896457765663</v>
      </c>
      <c r="E62" s="16">
        <f>((C17/C15)-1)*100</f>
        <v>-1.4713896457765663</v>
      </c>
      <c r="F62" s="16">
        <f>((C17/C15)-1)*100</f>
        <v>-1.4713896457765663</v>
      </c>
      <c r="G62" s="5"/>
    </row>
    <row r="63" spans="1:7" ht="15.6" x14ac:dyDescent="0.35">
      <c r="A63" s="8" t="s">
        <v>26</v>
      </c>
      <c r="B63" s="16">
        <f>((B38/B37)-1)*100</f>
        <v>22.649210888611869</v>
      </c>
      <c r="C63" s="16"/>
      <c r="D63" s="16">
        <f t="shared" ref="D63:E63" si="12">((D38/D37)-1)*100</f>
        <v>-5.8034203459061402</v>
      </c>
      <c r="E63" s="16">
        <f t="shared" si="12"/>
        <v>-13.243283246156922</v>
      </c>
      <c r="F63" s="16">
        <f>((F38/F37)-1)*100</f>
        <v>35.184994725225295</v>
      </c>
      <c r="G63" s="5"/>
    </row>
    <row r="64" spans="1:7" ht="15.6" x14ac:dyDescent="0.35">
      <c r="A64" s="8" t="s">
        <v>27</v>
      </c>
      <c r="B64" s="16">
        <f>((B40/B39)-1)*100</f>
        <v>24.480808617590032</v>
      </c>
      <c r="C64" s="16"/>
      <c r="D64" s="16">
        <f t="shared" ref="D64:F64" si="13">((D40/D39)-1)*100</f>
        <v>-4.3967236364700018</v>
      </c>
      <c r="E64" s="16">
        <f t="shared" si="13"/>
        <v>-11.947690684014356</v>
      </c>
      <c r="F64" s="16">
        <f t="shared" si="13"/>
        <v>37.203797190701572</v>
      </c>
      <c r="G64" s="5"/>
    </row>
    <row r="65" spans="1:15" ht="15.6" x14ac:dyDescent="0.35">
      <c r="A65" s="8"/>
      <c r="B65" s="16"/>
      <c r="C65" s="16"/>
      <c r="D65" s="16"/>
      <c r="E65" s="16"/>
      <c r="F65" s="16"/>
      <c r="G65" s="5"/>
    </row>
    <row r="66" spans="1:15" ht="15.6" x14ac:dyDescent="0.35">
      <c r="A66" s="9" t="s">
        <v>28</v>
      </c>
      <c r="B66" s="16"/>
      <c r="C66" s="16"/>
      <c r="D66" s="16"/>
      <c r="E66" s="16"/>
      <c r="F66" s="16"/>
      <c r="G66" s="5"/>
    </row>
    <row r="67" spans="1:15" ht="15.6" x14ac:dyDescent="0.35">
      <c r="A67" s="8" t="s">
        <v>34</v>
      </c>
      <c r="B67" s="19">
        <f>B22/($B$16*12)</f>
        <v>275039.90298070177</v>
      </c>
      <c r="C67" s="19">
        <f>B22/(C16*12)</f>
        <v>275039.90298070177</v>
      </c>
      <c r="D67" s="19">
        <f>D22/($C$16*12)</f>
        <v>43508.771929824565</v>
      </c>
      <c r="E67" s="19">
        <f>E22/($C$16*12)</f>
        <v>5247.4666666666662</v>
      </c>
      <c r="F67" s="19">
        <f>F22/($C$16*11)</f>
        <v>246854.90660095695</v>
      </c>
      <c r="G67" s="7"/>
    </row>
    <row r="68" spans="1:15" ht="16.2" x14ac:dyDescent="0.35">
      <c r="A68" s="8" t="s">
        <v>35</v>
      </c>
      <c r="B68" s="19">
        <f>B23/($B$17*12)</f>
        <v>222694.15105586281</v>
      </c>
      <c r="C68" s="19">
        <f>B23/(C17*12)</f>
        <v>222694.15105586281</v>
      </c>
      <c r="D68" s="19">
        <f>D23/($C$17*12)</f>
        <v>45716.123808997057</v>
      </c>
      <c r="E68" s="19">
        <f>E23/($C$17*12)</f>
        <v>5138.6677907448375</v>
      </c>
      <c r="F68" s="19">
        <f>F23/($C$17*11)</f>
        <v>187461.11940667738</v>
      </c>
      <c r="O68" s="42" t="s">
        <v>125</v>
      </c>
    </row>
    <row r="69" spans="1:15" ht="15.6" x14ac:dyDescent="0.35">
      <c r="A69" s="8" t="s">
        <v>29</v>
      </c>
      <c r="B69" s="16">
        <f>(B68/B67)*B51</f>
        <v>69.715538012312507</v>
      </c>
      <c r="C69" s="16">
        <f>(C68/C67)*C51</f>
        <v>77.047389687928629</v>
      </c>
      <c r="D69" s="16"/>
      <c r="E69" s="16"/>
      <c r="F69" s="16"/>
      <c r="G69" s="5"/>
    </row>
    <row r="70" spans="1:15" ht="15.6" x14ac:dyDescent="0.35">
      <c r="A70" s="17" t="s">
        <v>47</v>
      </c>
      <c r="B70" s="16">
        <f>B22/($B$16)</f>
        <v>3300478.8357684212</v>
      </c>
      <c r="C70" s="16">
        <f>B22/C16</f>
        <v>3300478.8357684212</v>
      </c>
      <c r="D70" s="16">
        <f>D22/($C$16)</f>
        <v>522105.26315789472</v>
      </c>
      <c r="E70" s="16">
        <f t="shared" ref="E70:F70" si="14">E22/($C$16)</f>
        <v>62969.599999999999</v>
      </c>
      <c r="F70" s="16">
        <f t="shared" si="14"/>
        <v>2715403.9726105263</v>
      </c>
      <c r="G70" s="5"/>
    </row>
    <row r="71" spans="1:15" ht="15.6" x14ac:dyDescent="0.35">
      <c r="A71" s="17" t="s">
        <v>48</v>
      </c>
      <c r="B71" s="16">
        <f>B23/($B$17)</f>
        <v>2672329.8126703538</v>
      </c>
      <c r="C71" s="16">
        <f>B23/C17</f>
        <v>2672329.8126703538</v>
      </c>
      <c r="D71" s="16">
        <f>D23/($C$17)</f>
        <v>548593.48570796463</v>
      </c>
      <c r="E71" s="16">
        <f t="shared" ref="E71:F71" si="15">E23/($C$17)</f>
        <v>61664.01348893805</v>
      </c>
      <c r="F71" s="16">
        <f t="shared" si="15"/>
        <v>2062072.3134734512</v>
      </c>
      <c r="G71" s="5"/>
    </row>
    <row r="72" spans="1:15" ht="15.6" x14ac:dyDescent="0.35">
      <c r="A72" s="8"/>
      <c r="B72" s="16"/>
      <c r="C72" s="16"/>
      <c r="D72" s="16"/>
      <c r="E72" s="16"/>
      <c r="F72" s="16"/>
      <c r="G72" s="5"/>
    </row>
    <row r="73" spans="1:15" ht="15.6" x14ac:dyDescent="0.35">
      <c r="A73" s="9" t="s">
        <v>30</v>
      </c>
      <c r="B73" s="16"/>
      <c r="C73" s="16"/>
      <c r="D73" s="22" t="s">
        <v>49</v>
      </c>
      <c r="E73" s="16"/>
      <c r="F73" s="16"/>
      <c r="G73" s="5"/>
    </row>
    <row r="74" spans="1:15" ht="15.6" x14ac:dyDescent="0.35">
      <c r="A74" s="8" t="s">
        <v>31</v>
      </c>
      <c r="B74" s="16">
        <f>(B29/B28)*100</f>
        <v>53.879773653372034</v>
      </c>
      <c r="C74" s="16"/>
      <c r="D74" s="23">
        <f>(D29/B28)*100</f>
        <v>99.999999933024071</v>
      </c>
      <c r="E74" s="16"/>
      <c r="F74" s="16"/>
      <c r="G74" s="5"/>
    </row>
    <row r="75" spans="1:15" ht="15.6" x14ac:dyDescent="0.35">
      <c r="A75" s="8" t="s">
        <v>32</v>
      </c>
      <c r="B75" s="16">
        <f>(B23/B29)*100</f>
        <v>142.99872561381233</v>
      </c>
      <c r="C75" s="16"/>
      <c r="D75" s="23">
        <f>(B23/D29)*100</f>
        <v>77.047389739531823</v>
      </c>
      <c r="E75" s="16"/>
      <c r="F75" s="16"/>
      <c r="G75" s="5"/>
    </row>
    <row r="76" spans="1:15" ht="16.2" thickBot="1" x14ac:dyDescent="0.4">
      <c r="A76" s="18"/>
      <c r="B76" s="18"/>
      <c r="C76" s="18"/>
      <c r="D76" s="18"/>
      <c r="E76" s="18"/>
      <c r="F76" s="18"/>
    </row>
    <row r="77" spans="1:15" customFormat="1" ht="16.2" thickTop="1" x14ac:dyDescent="0.3">
      <c r="A77" s="50" t="s">
        <v>85</v>
      </c>
      <c r="B77" s="50"/>
      <c r="C77" s="50"/>
      <c r="D77" s="50"/>
      <c r="E77" s="50"/>
      <c r="F77" s="50"/>
    </row>
    <row r="78" spans="1:15" customFormat="1" x14ac:dyDescent="0.3"/>
    <row r="79" spans="1:15" customFormat="1" ht="38.25" customHeight="1" x14ac:dyDescent="0.3">
      <c r="A79" s="44" t="s">
        <v>86</v>
      </c>
      <c r="B79" s="44"/>
      <c r="C79" s="44"/>
      <c r="D79" s="44"/>
      <c r="E79" s="44"/>
      <c r="F79" s="44"/>
      <c r="G79" s="29"/>
    </row>
    <row r="80" spans="1:15" customFormat="1" x14ac:dyDescent="0.3"/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2012-03-15T15:44:58Z</dcterms:created>
  <dcterms:modified xsi:type="dcterms:W3CDTF">2025-12-31T03:19:12Z</dcterms:modified>
</cp:coreProperties>
</file>