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207180055\Desktop\ACTUALIZACIÓN PW 2025\2023\Indicadores\"/>
    </mc:Choice>
  </mc:AlternateContent>
  <xr:revisionPtr revIDLastSave="0" documentId="13_ncr:1_{CD5FDCB1-EAA5-41B7-9323-9C77882D0C86}" xr6:coauthVersionLast="47" xr6:coauthVersionMax="47" xr10:uidLastSave="{00000000-0000-0000-0000-000000000000}"/>
  <bookViews>
    <workbookView xWindow="-108" yWindow="-108" windowWidth="23256" windowHeight="13896" tabRatio="718" xr2:uid="{00000000-000D-0000-FFFF-FFFF00000000}"/>
  </bookViews>
  <sheets>
    <sheet name="I Trimestre" sheetId="4" r:id="rId1"/>
    <sheet name="II Trimestre" sheetId="6" r:id="rId2"/>
    <sheet name="I Semestre" sheetId="11" r:id="rId3"/>
    <sheet name="III Trimestre" sheetId="9" r:id="rId4"/>
    <sheet name="III T Acumulado" sheetId="10" r:id="rId5"/>
    <sheet name="IV Trimestre" sheetId="7" r:id="rId6"/>
    <sheet name="Anual"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8" i="8" l="1"/>
  <c r="F18" i="8"/>
  <c r="C16" i="8"/>
  <c r="F16" i="11"/>
  <c r="E16" i="11"/>
  <c r="C16" i="11"/>
  <c r="E18" i="8"/>
  <c r="E16" i="8"/>
  <c r="C18" i="8"/>
  <c r="B75" i="7" l="1"/>
  <c r="F70" i="9"/>
  <c r="E70" i="9"/>
  <c r="C70" i="9"/>
  <c r="B71" i="8"/>
  <c r="F71" i="8"/>
  <c r="F70" i="8"/>
  <c r="E71" i="8"/>
  <c r="E70" i="8"/>
  <c r="C71" i="8"/>
  <c r="F71" i="7"/>
  <c r="F70" i="7"/>
  <c r="E71" i="7"/>
  <c r="E70" i="7"/>
  <c r="C71" i="7"/>
  <c r="C70" i="7"/>
  <c r="C17" i="8" l="1"/>
  <c r="B17" i="8" s="1"/>
  <c r="C70" i="8"/>
  <c r="D17" i="8"/>
  <c r="E67" i="7" l="1"/>
  <c r="F67" i="7"/>
  <c r="E68" i="7"/>
  <c r="F68" i="7"/>
  <c r="C67" i="7"/>
  <c r="C68" i="7"/>
  <c r="C62" i="7"/>
  <c r="E62" i="7"/>
  <c r="E49" i="7"/>
  <c r="F49" i="7"/>
  <c r="E50" i="7"/>
  <c r="E51" i="7"/>
  <c r="E69" i="7" l="1"/>
  <c r="C71" i="10" l="1"/>
  <c r="E71" i="10"/>
  <c r="F71" i="10"/>
  <c r="C71" i="9"/>
  <c r="E71" i="9"/>
  <c r="C71" i="4"/>
  <c r="C70" i="4"/>
  <c r="C71" i="11"/>
  <c r="C70" i="11"/>
  <c r="F71" i="11"/>
  <c r="F71" i="6"/>
  <c r="F70" i="6"/>
  <c r="F71" i="9" l="1"/>
  <c r="B34" i="8"/>
  <c r="B34" i="7"/>
  <c r="B34" i="10"/>
  <c r="B34" i="9"/>
  <c r="B34" i="11"/>
  <c r="B34" i="6"/>
  <c r="B34" i="4"/>
  <c r="F21" i="8" l="1"/>
  <c r="F37" i="8" s="1"/>
  <c r="F22" i="8"/>
  <c r="F23" i="8"/>
  <c r="F24" i="8"/>
  <c r="E21" i="8"/>
  <c r="F15" i="8"/>
  <c r="F17" i="8"/>
  <c r="E15" i="8"/>
  <c r="C37" i="7"/>
  <c r="E37" i="7"/>
  <c r="E39" i="7" s="1"/>
  <c r="F37" i="7"/>
  <c r="F39" i="7" s="1"/>
  <c r="C38" i="7"/>
  <c r="E38" i="7"/>
  <c r="F38" i="7"/>
  <c r="C45" i="7"/>
  <c r="C46" i="7"/>
  <c r="C49" i="7"/>
  <c r="C54" i="7"/>
  <c r="E54" i="7"/>
  <c r="F54" i="7"/>
  <c r="C55" i="7"/>
  <c r="E55" i="7"/>
  <c r="F55" i="7"/>
  <c r="F62" i="7"/>
  <c r="C25" i="7"/>
  <c r="C59" i="7" s="1"/>
  <c r="E25" i="7"/>
  <c r="E59" i="7" s="1"/>
  <c r="F25" i="7"/>
  <c r="F59" i="7" s="1"/>
  <c r="D22" i="7"/>
  <c r="D23" i="7"/>
  <c r="D24" i="7"/>
  <c r="B24" i="7" s="1"/>
  <c r="D21" i="7"/>
  <c r="D37" i="7" s="1"/>
  <c r="D16" i="7"/>
  <c r="B16" i="7" s="1"/>
  <c r="D17" i="7"/>
  <c r="B17" i="7" s="1"/>
  <c r="D18" i="7"/>
  <c r="B18" i="7" s="1"/>
  <c r="D15" i="7"/>
  <c r="D62" i="7" s="1"/>
  <c r="F67" i="10"/>
  <c r="B29" i="10"/>
  <c r="E21" i="10"/>
  <c r="E37" i="10" s="1"/>
  <c r="F21" i="10"/>
  <c r="F37" i="10" s="1"/>
  <c r="E22" i="10"/>
  <c r="F22" i="10"/>
  <c r="E23" i="10"/>
  <c r="F23" i="10"/>
  <c r="F68" i="10" s="1"/>
  <c r="E24" i="10"/>
  <c r="F24" i="10"/>
  <c r="D24" i="10" s="1"/>
  <c r="F15" i="10"/>
  <c r="F16" i="10"/>
  <c r="F70" i="10" s="1"/>
  <c r="F17" i="10"/>
  <c r="F18" i="10"/>
  <c r="F54" i="10" s="1"/>
  <c r="C67" i="9"/>
  <c r="E67" i="9"/>
  <c r="F67" i="9"/>
  <c r="C68" i="9"/>
  <c r="E68" i="9"/>
  <c r="F68" i="9"/>
  <c r="C54" i="9"/>
  <c r="E54" i="9"/>
  <c r="E56" i="9" s="1"/>
  <c r="F54" i="9"/>
  <c r="C55" i="9"/>
  <c r="E55" i="9"/>
  <c r="F55" i="9"/>
  <c r="F56" i="9" s="1"/>
  <c r="E59" i="9"/>
  <c r="F59" i="9"/>
  <c r="C62" i="9"/>
  <c r="E62" i="9"/>
  <c r="F62" i="9"/>
  <c r="C37" i="9"/>
  <c r="C39" i="9" s="1"/>
  <c r="E37" i="9"/>
  <c r="E39" i="9" s="1"/>
  <c r="F37" i="9"/>
  <c r="F39" i="9" s="1"/>
  <c r="C38" i="9"/>
  <c r="E38" i="9"/>
  <c r="F38" i="9"/>
  <c r="E40" i="9"/>
  <c r="C45" i="9"/>
  <c r="C46" i="9"/>
  <c r="D46" i="9"/>
  <c r="C49" i="9"/>
  <c r="E49" i="9"/>
  <c r="E51" i="9" s="1"/>
  <c r="F49" i="9"/>
  <c r="C50" i="9"/>
  <c r="E50" i="9"/>
  <c r="D22" i="9"/>
  <c r="D23" i="9"/>
  <c r="D68" i="9" s="1"/>
  <c r="D24" i="9"/>
  <c r="D25" i="9"/>
  <c r="D59" i="9" s="1"/>
  <c r="D21" i="9"/>
  <c r="D37" i="9" s="1"/>
  <c r="D39" i="9" s="1"/>
  <c r="B23" i="9"/>
  <c r="B25" i="9" s="1"/>
  <c r="B24" i="9"/>
  <c r="B21" i="9"/>
  <c r="D16" i="9"/>
  <c r="B16" i="9" s="1"/>
  <c r="D17" i="9"/>
  <c r="D62" i="9" s="1"/>
  <c r="D18" i="9"/>
  <c r="B18" i="9" s="1"/>
  <c r="D15" i="9"/>
  <c r="B15" i="9" s="1"/>
  <c r="C25" i="9"/>
  <c r="C59" i="9" s="1"/>
  <c r="E25" i="9"/>
  <c r="F25" i="9"/>
  <c r="F62" i="11"/>
  <c r="C45" i="11"/>
  <c r="C46" i="11"/>
  <c r="F49" i="11"/>
  <c r="B29" i="11"/>
  <c r="F21" i="11"/>
  <c r="F37" i="11" s="1"/>
  <c r="F39" i="11" s="1"/>
  <c r="F22" i="11"/>
  <c r="F23" i="11"/>
  <c r="F55" i="11" s="1"/>
  <c r="F24" i="11"/>
  <c r="E21" i="11"/>
  <c r="E37" i="11" s="1"/>
  <c r="C21" i="11"/>
  <c r="C37" i="11" s="1"/>
  <c r="C17" i="11"/>
  <c r="C18" i="11"/>
  <c r="C54" i="11" s="1"/>
  <c r="F15" i="11"/>
  <c r="F70" i="11"/>
  <c r="F17" i="11"/>
  <c r="F18" i="11"/>
  <c r="C67" i="6"/>
  <c r="E67" i="6"/>
  <c r="F67" i="6"/>
  <c r="C68" i="6"/>
  <c r="C69" i="6" s="1"/>
  <c r="E68" i="6"/>
  <c r="F68" i="6"/>
  <c r="C70" i="6"/>
  <c r="E70" i="6"/>
  <c r="C71" i="6"/>
  <c r="E71" i="6"/>
  <c r="C54" i="6"/>
  <c r="E54" i="6"/>
  <c r="E56" i="6" s="1"/>
  <c r="F54" i="6"/>
  <c r="C55" i="6"/>
  <c r="E55" i="6"/>
  <c r="F55" i="6"/>
  <c r="C62" i="6"/>
  <c r="E62" i="6"/>
  <c r="F62" i="6"/>
  <c r="C37" i="6"/>
  <c r="C39" i="6" s="1"/>
  <c r="E37" i="6"/>
  <c r="E39" i="6" s="1"/>
  <c r="F37" i="6"/>
  <c r="C38" i="6"/>
  <c r="C40" i="6" s="1"/>
  <c r="C64" i="6" s="1"/>
  <c r="E38" i="6"/>
  <c r="E63" i="6" s="1"/>
  <c r="F38" i="6"/>
  <c r="F63" i="6" s="1"/>
  <c r="F39" i="6"/>
  <c r="C45" i="6"/>
  <c r="C46" i="6"/>
  <c r="D46" i="6"/>
  <c r="C49" i="6"/>
  <c r="E49" i="6"/>
  <c r="F49" i="6"/>
  <c r="C50" i="6"/>
  <c r="E50" i="6"/>
  <c r="E51" i="6" s="1"/>
  <c r="F50" i="6"/>
  <c r="F51" i="6" s="1"/>
  <c r="C51" i="6"/>
  <c r="B15" i="6"/>
  <c r="D22" i="6"/>
  <c r="D23" i="6"/>
  <c r="D25" i="6" s="1"/>
  <c r="D59" i="6" s="1"/>
  <c r="D24" i="6"/>
  <c r="B24" i="6" s="1"/>
  <c r="D21" i="6"/>
  <c r="D37" i="6" s="1"/>
  <c r="D39" i="6" s="1"/>
  <c r="D16" i="6"/>
  <c r="D45" i="6" s="1"/>
  <c r="D17" i="6"/>
  <c r="D18" i="6"/>
  <c r="B18" i="6" s="1"/>
  <c r="D15" i="6"/>
  <c r="E25" i="6"/>
  <c r="E59" i="6" s="1"/>
  <c r="F25" i="6"/>
  <c r="F59" i="6" s="1"/>
  <c r="C67" i="4"/>
  <c r="E67" i="4"/>
  <c r="F67" i="4"/>
  <c r="C68" i="4"/>
  <c r="E68" i="4"/>
  <c r="F68" i="4"/>
  <c r="E70" i="4"/>
  <c r="F70" i="4"/>
  <c r="E71" i="4"/>
  <c r="F71" i="4"/>
  <c r="C62" i="4"/>
  <c r="E62" i="4"/>
  <c r="F62" i="4"/>
  <c r="C49" i="4"/>
  <c r="D49" i="4"/>
  <c r="E49" i="4"/>
  <c r="F49" i="4"/>
  <c r="C50" i="4"/>
  <c r="C51" i="4" s="1"/>
  <c r="E50" i="4"/>
  <c r="E51" i="4" s="1"/>
  <c r="F50" i="4"/>
  <c r="F51" i="4" s="1"/>
  <c r="C54" i="4"/>
  <c r="E54" i="4"/>
  <c r="F54" i="4"/>
  <c r="C55" i="4"/>
  <c r="E55" i="4"/>
  <c r="E56" i="4" s="1"/>
  <c r="F55" i="4"/>
  <c r="C45" i="4"/>
  <c r="C46" i="4"/>
  <c r="C37" i="4"/>
  <c r="C39" i="4" s="1"/>
  <c r="E37" i="4"/>
  <c r="E39" i="4" s="1"/>
  <c r="F37" i="4"/>
  <c r="F39" i="4" s="1"/>
  <c r="C38" i="4"/>
  <c r="C40" i="4" s="1"/>
  <c r="D38" i="4"/>
  <c r="E38" i="4"/>
  <c r="F38" i="4"/>
  <c r="B28" i="4"/>
  <c r="B22" i="4"/>
  <c r="D22" i="4"/>
  <c r="D67" i="4" s="1"/>
  <c r="D23" i="4"/>
  <c r="D68" i="4" s="1"/>
  <c r="D24" i="4"/>
  <c r="B24" i="4" s="1"/>
  <c r="D21" i="4"/>
  <c r="D37" i="4" s="1"/>
  <c r="D25" i="4"/>
  <c r="D59" i="4" s="1"/>
  <c r="E25" i="4"/>
  <c r="E59" i="4" s="1"/>
  <c r="F25" i="4"/>
  <c r="F59" i="4" s="1"/>
  <c r="B16" i="4"/>
  <c r="B17" i="4"/>
  <c r="D16" i="4"/>
  <c r="D45" i="4" s="1"/>
  <c r="D17" i="4"/>
  <c r="D18" i="4"/>
  <c r="B18" i="4" s="1"/>
  <c r="D15" i="4"/>
  <c r="B15" i="4" s="1"/>
  <c r="F56" i="6" l="1"/>
  <c r="F49" i="10"/>
  <c r="D54" i="4"/>
  <c r="F54" i="11"/>
  <c r="F56" i="11" s="1"/>
  <c r="D67" i="6"/>
  <c r="B16" i="6"/>
  <c r="D54" i="6"/>
  <c r="C51" i="9"/>
  <c r="D70" i="9"/>
  <c r="E40" i="7"/>
  <c r="C40" i="7"/>
  <c r="F56" i="7"/>
  <c r="E56" i="7"/>
  <c r="D68" i="7"/>
  <c r="D71" i="7"/>
  <c r="B22" i="7"/>
  <c r="D70" i="7"/>
  <c r="D67" i="7"/>
  <c r="B70" i="7"/>
  <c r="D15" i="8"/>
  <c r="E64" i="9"/>
  <c r="C63" i="9"/>
  <c r="D49" i="9"/>
  <c r="D51" i="9" s="1"/>
  <c r="D54" i="9"/>
  <c r="D67" i="9"/>
  <c r="B22" i="9"/>
  <c r="D50" i="9"/>
  <c r="D45" i="9"/>
  <c r="E63" i="9"/>
  <c r="D55" i="9"/>
  <c r="E69" i="9"/>
  <c r="F62" i="10"/>
  <c r="F63" i="9"/>
  <c r="B17" i="9"/>
  <c r="D38" i="9"/>
  <c r="F39" i="10"/>
  <c r="D71" i="9"/>
  <c r="F40" i="9"/>
  <c r="F64" i="9" s="1"/>
  <c r="C69" i="9"/>
  <c r="C40" i="9"/>
  <c r="C64" i="9" s="1"/>
  <c r="C56" i="9"/>
  <c r="B21" i="6"/>
  <c r="F69" i="6"/>
  <c r="D50" i="6"/>
  <c r="B23" i="6"/>
  <c r="B25" i="6" s="1"/>
  <c r="D38" i="6"/>
  <c r="D62" i="6"/>
  <c r="D55" i="6"/>
  <c r="D71" i="6"/>
  <c r="D68" i="6"/>
  <c r="B22" i="6"/>
  <c r="B28" i="6" s="1"/>
  <c r="F40" i="6"/>
  <c r="F64" i="6" s="1"/>
  <c r="D22" i="10"/>
  <c r="E40" i="6"/>
  <c r="E64" i="6" s="1"/>
  <c r="D21" i="10"/>
  <c r="D37" i="10" s="1"/>
  <c r="D49" i="6"/>
  <c r="E69" i="6"/>
  <c r="B17" i="6"/>
  <c r="D70" i="6"/>
  <c r="F68" i="11"/>
  <c r="C56" i="6"/>
  <c r="C49" i="11"/>
  <c r="C63" i="6"/>
  <c r="F63" i="4"/>
  <c r="E63" i="4"/>
  <c r="F40" i="4"/>
  <c r="D55" i="4"/>
  <c r="D56" i="4" s="1"/>
  <c r="D50" i="4"/>
  <c r="E40" i="4"/>
  <c r="E64" i="4" s="1"/>
  <c r="D21" i="11"/>
  <c r="D37" i="11" s="1"/>
  <c r="F67" i="11"/>
  <c r="D23" i="10"/>
  <c r="F50" i="10"/>
  <c r="F51" i="10" s="1"/>
  <c r="F69" i="10" s="1"/>
  <c r="B21" i="4"/>
  <c r="F56" i="4"/>
  <c r="E50" i="10"/>
  <c r="F38" i="10"/>
  <c r="F55" i="10"/>
  <c r="F56" i="10" s="1"/>
  <c r="F38" i="11"/>
  <c r="F25" i="10"/>
  <c r="F59" i="10" s="1"/>
  <c r="E38" i="10"/>
  <c r="E55" i="10"/>
  <c r="B23" i="4"/>
  <c r="B25" i="4" s="1"/>
  <c r="D51" i="4"/>
  <c r="D69" i="4" s="1"/>
  <c r="F50" i="11"/>
  <c r="F51" i="11" s="1"/>
  <c r="E25" i="10"/>
  <c r="E59" i="10" s="1"/>
  <c r="F25" i="11"/>
  <c r="F59" i="11" s="1"/>
  <c r="C56" i="4"/>
  <c r="F69" i="4"/>
  <c r="D70" i="4"/>
  <c r="D39" i="4"/>
  <c r="D46" i="4"/>
  <c r="E69" i="4"/>
  <c r="D40" i="4"/>
  <c r="D62" i="4"/>
  <c r="D71" i="4"/>
  <c r="F64" i="4"/>
  <c r="C64" i="4"/>
  <c r="C69" i="4"/>
  <c r="D63" i="4"/>
  <c r="C63" i="4"/>
  <c r="B21" i="7"/>
  <c r="F63" i="7"/>
  <c r="D21" i="8"/>
  <c r="D37" i="8" s="1"/>
  <c r="D39" i="8" s="1"/>
  <c r="C39" i="7"/>
  <c r="D39" i="7"/>
  <c r="B15" i="7"/>
  <c r="F55" i="8"/>
  <c r="D50" i="7"/>
  <c r="D51" i="7" s="1"/>
  <c r="F49" i="8"/>
  <c r="D45" i="7"/>
  <c r="C56" i="7"/>
  <c r="F40" i="7"/>
  <c r="F64" i="7" s="1"/>
  <c r="B23" i="7"/>
  <c r="B25" i="7" s="1"/>
  <c r="D38" i="7"/>
  <c r="D63" i="7" s="1"/>
  <c r="D55" i="7"/>
  <c r="D25" i="7"/>
  <c r="D59" i="7" s="1"/>
  <c r="D49" i="7"/>
  <c r="D46" i="7"/>
  <c r="D54" i="7"/>
  <c r="F39" i="8"/>
  <c r="F38" i="8"/>
  <c r="F50" i="8"/>
  <c r="F68" i="8"/>
  <c r="F25" i="8"/>
  <c r="F59" i="8" s="1"/>
  <c r="F54" i="8"/>
  <c r="F67" i="8"/>
  <c r="F62" i="8"/>
  <c r="E37" i="8"/>
  <c r="E39" i="8" s="1"/>
  <c r="D56" i="6" l="1"/>
  <c r="D40" i="7"/>
  <c r="D64" i="7" s="1"/>
  <c r="D69" i="7"/>
  <c r="D63" i="9"/>
  <c r="D40" i="9"/>
  <c r="D64" i="9" s="1"/>
  <c r="D69" i="9"/>
  <c r="F51" i="8"/>
  <c r="F69" i="8" s="1"/>
  <c r="D56" i="9"/>
  <c r="D63" i="6"/>
  <c r="D40" i="6"/>
  <c r="D64" i="6" s="1"/>
  <c r="F69" i="11"/>
  <c r="D51" i="6"/>
  <c r="D69" i="6" s="1"/>
  <c r="D64" i="4"/>
  <c r="B21" i="11"/>
  <c r="E63" i="10"/>
  <c r="F56" i="8"/>
  <c r="F63" i="10"/>
  <c r="F40" i="10"/>
  <c r="F64" i="10" s="1"/>
  <c r="F63" i="11"/>
  <c r="F40" i="11"/>
  <c r="F64" i="11" s="1"/>
  <c r="D25" i="10"/>
  <c r="D59" i="10" s="1"/>
  <c r="D55" i="10"/>
  <c r="D38" i="10"/>
  <c r="D50" i="10"/>
  <c r="D56" i="7"/>
  <c r="F63" i="8"/>
  <c r="F40" i="8"/>
  <c r="F64" i="8" s="1"/>
  <c r="C16" i="10"/>
  <c r="C70" i="10" s="1"/>
  <c r="C17" i="10"/>
  <c r="C45" i="10" l="1"/>
  <c r="C46" i="10"/>
  <c r="C49" i="10"/>
  <c r="D63" i="10"/>
  <c r="C46" i="8"/>
  <c r="C49" i="8"/>
  <c r="C45" i="8"/>
  <c r="E24" i="8"/>
  <c r="D24" i="8" s="1"/>
  <c r="E23" i="8"/>
  <c r="E22" i="8"/>
  <c r="D18" i="8"/>
  <c r="E17" i="8"/>
  <c r="D16" i="8" l="1"/>
  <c r="B16" i="8" s="1"/>
  <c r="E49" i="8"/>
  <c r="E62" i="8"/>
  <c r="E54" i="8"/>
  <c r="E67" i="8"/>
  <c r="D22" i="8"/>
  <c r="E55" i="8"/>
  <c r="E25" i="8"/>
  <c r="E59" i="8" s="1"/>
  <c r="D23" i="8"/>
  <c r="D71" i="8" s="1"/>
  <c r="E50" i="8"/>
  <c r="E38" i="8"/>
  <c r="E68" i="8"/>
  <c r="E15" i="10"/>
  <c r="E16" i="10"/>
  <c r="E70" i="10" s="1"/>
  <c r="E17" i="10"/>
  <c r="E18" i="10"/>
  <c r="D18" i="10" s="1"/>
  <c r="E24" i="11"/>
  <c r="D24" i="11" s="1"/>
  <c r="E22" i="11"/>
  <c r="E23" i="11"/>
  <c r="E15" i="11"/>
  <c r="D16" i="11"/>
  <c r="B16" i="11" s="1"/>
  <c r="E17" i="11"/>
  <c r="E18" i="11"/>
  <c r="D18" i="11" s="1"/>
  <c r="B18" i="11" s="1"/>
  <c r="D70" i="8" l="1"/>
  <c r="D15" i="10"/>
  <c r="D39" i="10" s="1"/>
  <c r="E39" i="10"/>
  <c r="E49" i="10"/>
  <c r="E51" i="10" s="1"/>
  <c r="E62" i="10"/>
  <c r="D17" i="10"/>
  <c r="E54" i="10"/>
  <c r="E56" i="10" s="1"/>
  <c r="E68" i="10"/>
  <c r="E40" i="10"/>
  <c r="E67" i="10"/>
  <c r="D16" i="10"/>
  <c r="E54" i="11"/>
  <c r="D17" i="11"/>
  <c r="E62" i="11"/>
  <c r="E49" i="11"/>
  <c r="D45" i="11"/>
  <c r="D15" i="11"/>
  <c r="D39" i="11" s="1"/>
  <c r="E39" i="11"/>
  <c r="E70" i="11"/>
  <c r="E67" i="11"/>
  <c r="D22" i="11"/>
  <c r="E25" i="11"/>
  <c r="E59" i="11" s="1"/>
  <c r="E68" i="11"/>
  <c r="E50" i="11"/>
  <c r="E38" i="11"/>
  <c r="E55" i="11"/>
  <c r="D23" i="11"/>
  <c r="E71" i="11"/>
  <c r="E51" i="8"/>
  <c r="E69" i="8" s="1"/>
  <c r="E56" i="8"/>
  <c r="D67" i="8"/>
  <c r="D25" i="8"/>
  <c r="D59" i="8" s="1"/>
  <c r="D50" i="8"/>
  <c r="D38" i="8"/>
  <c r="D68" i="8"/>
  <c r="D55" i="8"/>
  <c r="E63" i="8"/>
  <c r="E40" i="8"/>
  <c r="E64" i="8" s="1"/>
  <c r="D45" i="8"/>
  <c r="B70" i="8"/>
  <c r="D49" i="8"/>
  <c r="D62" i="8"/>
  <c r="D54" i="8"/>
  <c r="D46" i="8"/>
  <c r="E51" i="11" l="1"/>
  <c r="E69" i="10"/>
  <c r="E64" i="10"/>
  <c r="D49" i="10"/>
  <c r="D51" i="10" s="1"/>
  <c r="D62" i="10"/>
  <c r="D54" i="10"/>
  <c r="D56" i="10" s="1"/>
  <c r="D46" i="10"/>
  <c r="D71" i="10"/>
  <c r="D68" i="10"/>
  <c r="D69" i="10" s="1"/>
  <c r="B17" i="10"/>
  <c r="D40" i="10"/>
  <c r="D64" i="10" s="1"/>
  <c r="D45" i="10"/>
  <c r="D67" i="10"/>
  <c r="D70" i="10"/>
  <c r="B16" i="10"/>
  <c r="D54" i="11"/>
  <c r="D49" i="11"/>
  <c r="D46" i="11"/>
  <c r="D62" i="11"/>
  <c r="B17" i="11"/>
  <c r="E56" i="11"/>
  <c r="E69" i="11"/>
  <c r="E63" i="11"/>
  <c r="E40" i="11"/>
  <c r="E64" i="11" s="1"/>
  <c r="D70" i="11"/>
  <c r="D67" i="11"/>
  <c r="D50" i="11"/>
  <c r="D38" i="11"/>
  <c r="D55" i="11"/>
  <c r="D71" i="11"/>
  <c r="D25" i="11"/>
  <c r="D59" i="11" s="1"/>
  <c r="D68" i="11"/>
  <c r="D51" i="8"/>
  <c r="D69" i="8" s="1"/>
  <c r="C54" i="8"/>
  <c r="D56" i="8"/>
  <c r="D63" i="8"/>
  <c r="D40" i="8"/>
  <c r="D64" i="8" s="1"/>
  <c r="B37" i="6"/>
  <c r="B74" i="6"/>
  <c r="B59" i="6"/>
  <c r="C15" i="11"/>
  <c r="C25" i="6"/>
  <c r="C59" i="6" s="1"/>
  <c r="C25" i="4"/>
  <c r="C59" i="4" s="1"/>
  <c r="C24" i="11"/>
  <c r="B24" i="11" s="1"/>
  <c r="C22" i="11"/>
  <c r="C23" i="11"/>
  <c r="C24" i="10"/>
  <c r="B24" i="10" s="1"/>
  <c r="C22" i="10"/>
  <c r="C23" i="10"/>
  <c r="C21" i="10"/>
  <c r="C24" i="8"/>
  <c r="B24" i="8" s="1"/>
  <c r="C22" i="8"/>
  <c r="C23" i="8"/>
  <c r="C21" i="8"/>
  <c r="C18" i="10"/>
  <c r="C15" i="10"/>
  <c r="C15" i="8"/>
  <c r="B59" i="7"/>
  <c r="B37" i="7"/>
  <c r="B38" i="9"/>
  <c r="B28" i="9"/>
  <c r="B74" i="9" s="1"/>
  <c r="B37" i="9"/>
  <c r="B62" i="9"/>
  <c r="B59" i="4"/>
  <c r="B37" i="4"/>
  <c r="B29" i="8"/>
  <c r="D51" i="11" l="1"/>
  <c r="D69" i="11" s="1"/>
  <c r="B15" i="10"/>
  <c r="C62" i="10"/>
  <c r="B18" i="10"/>
  <c r="C54" i="10"/>
  <c r="D56" i="11"/>
  <c r="B15" i="11"/>
  <c r="C39" i="11"/>
  <c r="C62" i="11"/>
  <c r="D63" i="11"/>
  <c r="D40" i="11"/>
  <c r="D64" i="11" s="1"/>
  <c r="C25" i="11"/>
  <c r="C59" i="11" s="1"/>
  <c r="C68" i="11"/>
  <c r="C55" i="11"/>
  <c r="C56" i="11" s="1"/>
  <c r="B23" i="11"/>
  <c r="B25" i="11" s="1"/>
  <c r="C38" i="11"/>
  <c r="C50" i="11"/>
  <c r="C51" i="11" s="1"/>
  <c r="B22" i="11"/>
  <c r="B28" i="11" s="1"/>
  <c r="C67" i="11"/>
  <c r="C55" i="10"/>
  <c r="C68" i="10"/>
  <c r="C50" i="10"/>
  <c r="C51" i="10" s="1"/>
  <c r="B23" i="10"/>
  <c r="B25" i="10" s="1"/>
  <c r="C25" i="10"/>
  <c r="C59" i="10" s="1"/>
  <c r="C38" i="10"/>
  <c r="C37" i="10"/>
  <c r="C39" i="10" s="1"/>
  <c r="B21" i="10"/>
  <c r="B22" i="10"/>
  <c r="C67" i="10"/>
  <c r="C37" i="8"/>
  <c r="C39" i="8" s="1"/>
  <c r="B21" i="8"/>
  <c r="B37" i="8" s="1"/>
  <c r="C25" i="8"/>
  <c r="C59" i="8" s="1"/>
  <c r="C50" i="8"/>
  <c r="C51" i="8" s="1"/>
  <c r="B23" i="8"/>
  <c r="B25" i="8" s="1"/>
  <c r="C38" i="8"/>
  <c r="C68" i="8"/>
  <c r="C55" i="8"/>
  <c r="C56" i="8" s="1"/>
  <c r="C67" i="8"/>
  <c r="B22" i="8"/>
  <c r="B28" i="8" s="1"/>
  <c r="B15" i="8"/>
  <c r="C62" i="8"/>
  <c r="B37" i="10"/>
  <c r="B45" i="10"/>
  <c r="B46" i="6"/>
  <c r="B38" i="4"/>
  <c r="B40" i="4" s="1"/>
  <c r="B45" i="7"/>
  <c r="B46" i="4"/>
  <c r="B39" i="7"/>
  <c r="B45" i="9"/>
  <c r="B45" i="4"/>
  <c r="B45" i="8"/>
  <c r="B55" i="6"/>
  <c r="B38" i="6"/>
  <c r="B63" i="6" s="1"/>
  <c r="B54" i="6"/>
  <c r="B54" i="9"/>
  <c r="B70" i="9"/>
  <c r="B46" i="11"/>
  <c r="B62" i="6"/>
  <c r="B68" i="6"/>
  <c r="B49" i="9"/>
  <c r="B71" i="6"/>
  <c r="B62" i="4"/>
  <c r="B55" i="7"/>
  <c r="B45" i="6"/>
  <c r="B50" i="6"/>
  <c r="B39" i="4"/>
  <c r="B67" i="7"/>
  <c r="B46" i="7"/>
  <c r="B62" i="7"/>
  <c r="B39" i="9"/>
  <c r="B46" i="9"/>
  <c r="B75" i="6"/>
  <c r="B49" i="6"/>
  <c r="B39" i="6"/>
  <c r="B55" i="4"/>
  <c r="B75" i="4"/>
  <c r="B50" i="4"/>
  <c r="B67" i="4"/>
  <c r="B37" i="11"/>
  <c r="B49" i="4"/>
  <c r="B74" i="4"/>
  <c r="B68" i="4"/>
  <c r="B68" i="9"/>
  <c r="B38" i="7"/>
  <c r="B63" i="7" s="1"/>
  <c r="B67" i="6"/>
  <c r="B71" i="7"/>
  <c r="B71" i="4"/>
  <c r="B70" i="4"/>
  <c r="B54" i="4"/>
  <c r="B54" i="7"/>
  <c r="B67" i="9"/>
  <c r="B70" i="6"/>
  <c r="B55" i="9"/>
  <c r="B68" i="7"/>
  <c r="B59" i="9"/>
  <c r="B28" i="7"/>
  <c r="B74" i="7" s="1"/>
  <c r="B50" i="7"/>
  <c r="B49" i="7"/>
  <c r="B40" i="9"/>
  <c r="B63" i="9"/>
  <c r="B50" i="9"/>
  <c r="B75" i="9"/>
  <c r="B71" i="9"/>
  <c r="C56" i="10" l="1"/>
  <c r="C69" i="10"/>
  <c r="C63" i="11"/>
  <c r="C40" i="11"/>
  <c r="C64" i="11" s="1"/>
  <c r="C63" i="10"/>
  <c r="C40" i="10"/>
  <c r="C64" i="10" s="1"/>
  <c r="C69" i="11"/>
  <c r="C69" i="8"/>
  <c r="C63" i="8"/>
  <c r="C40" i="8"/>
  <c r="C64" i="8" s="1"/>
  <c r="B75" i="8"/>
  <c r="B63" i="4"/>
  <c r="B39" i="8"/>
  <c r="B39" i="11"/>
  <c r="B40" i="6"/>
  <c r="B64" i="6" s="1"/>
  <c r="B56" i="7"/>
  <c r="B56" i="9"/>
  <c r="B64" i="4"/>
  <c r="B54" i="11"/>
  <c r="B62" i="11"/>
  <c r="B38" i="8"/>
  <c r="B40" i="8" s="1"/>
  <c r="B62" i="8"/>
  <c r="B49" i="8"/>
  <c r="B40" i="7"/>
  <c r="B64" i="7" s="1"/>
  <c r="B51" i="4"/>
  <c r="B69" i="4" s="1"/>
  <c r="B56" i="6"/>
  <c r="B59" i="10"/>
  <c r="B55" i="11"/>
  <c r="B55" i="8"/>
  <c r="B68" i="8"/>
  <c r="B51" i="6"/>
  <c r="B69" i="6" s="1"/>
  <c r="B64" i="9"/>
  <c r="B56" i="4"/>
  <c r="B39" i="10"/>
  <c r="B51" i="9"/>
  <c r="B69" i="9" s="1"/>
  <c r="B59" i="11"/>
  <c r="B70" i="10"/>
  <c r="B67" i="10"/>
  <c r="B59" i="8"/>
  <c r="B38" i="11"/>
  <c r="B71" i="11"/>
  <c r="B75" i="11"/>
  <c r="B68" i="11"/>
  <c r="B28" i="10"/>
  <c r="B74" i="10" s="1"/>
  <c r="B54" i="8"/>
  <c r="B46" i="8"/>
  <c r="B51" i="7"/>
  <c r="B69" i="7" s="1"/>
  <c r="B67" i="8"/>
  <c r="B74" i="8"/>
  <c r="B50" i="8"/>
  <c r="B45" i="11"/>
  <c r="B49" i="11"/>
  <c r="B55" i="10"/>
  <c r="B75" i="10"/>
  <c r="B50" i="10"/>
  <c r="B71" i="10"/>
  <c r="B38" i="10"/>
  <c r="B68" i="10"/>
  <c r="B54" i="10"/>
  <c r="B62" i="10"/>
  <c r="B49" i="10"/>
  <c r="B46" i="10"/>
  <c r="B70" i="11"/>
  <c r="B74" i="11"/>
  <c r="B67" i="11"/>
  <c r="B50" i="11"/>
  <c r="B64" i="8" l="1"/>
  <c r="B56" i="11"/>
  <c r="B51" i="8"/>
  <c r="B69" i="8" s="1"/>
  <c r="B63" i="8"/>
  <c r="B56" i="10"/>
  <c r="B56" i="8"/>
  <c r="B40" i="11"/>
  <c r="B64" i="11" s="1"/>
  <c r="B63" i="11"/>
  <c r="B63" i="10"/>
  <c r="B40" i="10"/>
  <c r="B64" i="10" s="1"/>
  <c r="B51" i="10"/>
  <c r="B69" i="10" s="1"/>
  <c r="B51" i="11"/>
  <c r="B69" i="11" s="1"/>
</calcChain>
</file>

<file path=xl/sharedStrings.xml><?xml version="1.0" encoding="utf-8"?>
<sst xmlns="http://schemas.openxmlformats.org/spreadsheetml/2006/main" count="428" uniqueCount="120">
  <si>
    <t>Indicador</t>
  </si>
  <si>
    <t>Productos</t>
  </si>
  <si>
    <t>Insumos</t>
  </si>
  <si>
    <t xml:space="preserve">Beneficiarios </t>
  </si>
  <si>
    <t>Gasto FODESAF</t>
  </si>
  <si>
    <t>Ingresos FODESAF</t>
  </si>
  <si>
    <t>Otros insumos</t>
  </si>
  <si>
    <t>Población objetivo</t>
  </si>
  <si>
    <t>Cálculos intermedios</t>
  </si>
  <si>
    <t>Indicadores</t>
  </si>
  <si>
    <t>De Cobertura Potencial</t>
  </si>
  <si>
    <t>Cobertura Programada</t>
  </si>
  <si>
    <t>Cobertura Efectiva</t>
  </si>
  <si>
    <t>De resultado</t>
  </si>
  <si>
    <t>Índice efectividad en beneficiarios (IEB)</t>
  </si>
  <si>
    <t xml:space="preserve">Índice efectividad en gasto (IEG) </t>
  </si>
  <si>
    <t>Índice efectividad total (IET)</t>
  </si>
  <si>
    <t xml:space="preserve">De avance </t>
  </si>
  <si>
    <t xml:space="preserve">Índice avance beneficiarios (IAB) </t>
  </si>
  <si>
    <t>Índice avance gasto (IAG)</t>
  </si>
  <si>
    <t xml:space="preserve">Índice avance total (IAT) </t>
  </si>
  <si>
    <t>Índice transferencia efectiva del gasto (ITG)</t>
  </si>
  <si>
    <t>De expansión</t>
  </si>
  <si>
    <t xml:space="preserve">Índice de crecimiento beneficiarios (ICB) </t>
  </si>
  <si>
    <t xml:space="preserve">Índice de crecimiento del gasto real (ICGR) </t>
  </si>
  <si>
    <t xml:space="preserve">Índice de crecimiento del gasto real por beneficiario (ICGRB) </t>
  </si>
  <si>
    <t>De gasto medio</t>
  </si>
  <si>
    <t xml:space="preserve">Índice de eficiencia (IE) </t>
  </si>
  <si>
    <t>De giro de recursos</t>
  </si>
  <si>
    <t>Índice de giro efectivo (IGE)</t>
  </si>
  <si>
    <t xml:space="preserve">Índice de uso de recursos (IUR) </t>
  </si>
  <si>
    <t>De composición</t>
  </si>
  <si>
    <t>De Composición</t>
  </si>
  <si>
    <t xml:space="preserve">Gasto programado mensual por beneficiario (GPB) </t>
  </si>
  <si>
    <t xml:space="preserve">Gasto efectivo mensual por beneficiario (GEB) </t>
  </si>
  <si>
    <t xml:space="preserve">Gasto programado trimestral por beneficiario (GPB) </t>
  </si>
  <si>
    <t xml:space="preserve">Gasto efectivo trimestral por beneficiario (GEB) </t>
  </si>
  <si>
    <t xml:space="preserve">Gasto programado semestral por beneficiario (GPB) </t>
  </si>
  <si>
    <t xml:space="preserve">Gasto efectivo semestral por beneficiario (GEB) </t>
  </si>
  <si>
    <t xml:space="preserve">Gasto programado anual por beneficiario (GPB) </t>
  </si>
  <si>
    <t xml:space="preserve">Gasto efectivo anual por beneficiario (GEB) </t>
  </si>
  <si>
    <t>Total programa</t>
  </si>
  <si>
    <t>Acceso a servicios</t>
  </si>
  <si>
    <t>Alternativas Residenciales Ley 8783</t>
  </si>
  <si>
    <t>n.d.</t>
  </si>
  <si>
    <t>Efectivos 1T 2022</t>
  </si>
  <si>
    <t>IPC (1T 2022)</t>
  </si>
  <si>
    <t>Gasto efectivo real 1T 2022</t>
  </si>
  <si>
    <t>Gasto efectivo real por beneficiario 1T 2022</t>
  </si>
  <si>
    <t xml:space="preserve">Total Alternativas Residenciales </t>
  </si>
  <si>
    <t>Alternativas Residenciales</t>
  </si>
  <si>
    <t>Efectivos 2T 2022</t>
  </si>
  <si>
    <t>IPC (2T 2022)</t>
  </si>
  <si>
    <t>Gasto efectivo real 2T 2022</t>
  </si>
  <si>
    <t>Gasto efectivo real por beneficiario 2T 2022</t>
  </si>
  <si>
    <t>Efectivos IS 2022</t>
  </si>
  <si>
    <t>IPC (IS 2022)</t>
  </si>
  <si>
    <t>Gasto efectivo real  2022</t>
  </si>
  <si>
    <t>Gasto efectivo real por beneficiario  2022</t>
  </si>
  <si>
    <t>Efectivos 3T 2022</t>
  </si>
  <si>
    <t>IPC (3T 2022)</t>
  </si>
  <si>
    <t>Gasto efectivo real 3T 2022</t>
  </si>
  <si>
    <t>Gasto efectivo real por beneficiario 3T 2022</t>
  </si>
  <si>
    <t>Programados 3 TA 2022</t>
  </si>
  <si>
    <t>Efectivos 3 TA 2022</t>
  </si>
  <si>
    <t>IPC (3 TA 2022)</t>
  </si>
  <si>
    <t>Efectivos 4T 2022</t>
  </si>
  <si>
    <t>IPC (4T 2022)</t>
  </si>
  <si>
    <t>Gasto efectivo real 4T 2022</t>
  </si>
  <si>
    <t>Gasto efectivo real por beneficiario 4T 2022</t>
  </si>
  <si>
    <t>Efectivos 2022</t>
  </si>
  <si>
    <t>IPC (2022)</t>
  </si>
  <si>
    <t>Gasto efectivo real 2022</t>
  </si>
  <si>
    <t>Gasto efectivo real por beneficiario 2022</t>
  </si>
  <si>
    <t>Programados 1T 2023</t>
  </si>
  <si>
    <t>Efectivos 1T 2023</t>
  </si>
  <si>
    <t>Programados año 2023</t>
  </si>
  <si>
    <t>En transferencias 1T 2023</t>
  </si>
  <si>
    <t>IPC (1T 2023)</t>
  </si>
  <si>
    <t>Gasto efectivo real 1T 2023</t>
  </si>
  <si>
    <t>Gasto efectivo real por beneficiario 1T 2023</t>
  </si>
  <si>
    <r>
      <rPr>
        <b/>
        <sz val="11"/>
        <color theme="1"/>
        <rFont val="Palatino Linotype"/>
        <family val="1"/>
      </rPr>
      <t xml:space="preserve">Fuentes: </t>
    </r>
    <r>
      <rPr>
        <sz val="11"/>
        <color theme="1"/>
        <rFont val="Palatino Linotype"/>
        <family val="1"/>
      </rPr>
      <t xml:space="preserve"> Informes Trimestrales CONAPDIS 2022 y 2023 - Cronogramas de Metas e Inversión - Modificaciones 2023 - IPC, INEC 2022 y 2023.</t>
    </r>
  </si>
  <si>
    <r>
      <rPr>
        <b/>
        <sz val="11"/>
        <color theme="1"/>
        <rFont val="Palatino Linotype"/>
        <family val="1"/>
      </rPr>
      <t xml:space="preserve">Nota: </t>
    </r>
    <r>
      <rPr>
        <sz val="11"/>
        <color theme="1"/>
        <rFont val="Palatino Linotype"/>
        <family val="1"/>
      </rPr>
      <t>El día lunes 28 de agosto de 2023 los datos que están en color azul se modificaron, esto dado que la UE del programa realizó una modificación al reporte de ejcución del I T</t>
    </r>
  </si>
  <si>
    <t>Programados 2T 2023</t>
  </si>
  <si>
    <t>Efectivos 2T 2023</t>
  </si>
  <si>
    <t>Programados año 20223</t>
  </si>
  <si>
    <t>En transferencias 2T 2023</t>
  </si>
  <si>
    <t>IPC (2T 2023)</t>
  </si>
  <si>
    <t>Gasto efectivo real 2T 2023</t>
  </si>
  <si>
    <t>Gasto efectivo real por beneficiario 2T 2023</t>
  </si>
  <si>
    <t>Programados IS 2023</t>
  </si>
  <si>
    <t>Efectivos IS 2023</t>
  </si>
  <si>
    <t>En transferencias IS 2023</t>
  </si>
  <si>
    <t>IPC (IS 2023)</t>
  </si>
  <si>
    <t>Gasto efectivo real 2023</t>
  </si>
  <si>
    <t>Gasto efectivo real por beneficiario 2023</t>
  </si>
  <si>
    <t>Programados 3T 2023</t>
  </si>
  <si>
    <t>Efectivos 3T 2023</t>
  </si>
  <si>
    <t>En transferencias 3T 2023</t>
  </si>
  <si>
    <t>IPC (3T 2023)</t>
  </si>
  <si>
    <t>Gasto efectivo real 3T 2023</t>
  </si>
  <si>
    <t>Gasto efectivo real por beneficiario 3T 2023</t>
  </si>
  <si>
    <t>Programados 3 TA 2023</t>
  </si>
  <si>
    <t>Efectivos 3TA 2023</t>
  </si>
  <si>
    <t>Efectivos 3 TA 2023</t>
  </si>
  <si>
    <t>En transferencias 3 TA 2023</t>
  </si>
  <si>
    <t>IPC (3 TA 2023)</t>
  </si>
  <si>
    <t>Gasto efectivo real  2023</t>
  </si>
  <si>
    <t>Gasto efectivo real por beneficiario  2023</t>
  </si>
  <si>
    <t>Programados 4T 2023</t>
  </si>
  <si>
    <t>Efectivos 4T 2023</t>
  </si>
  <si>
    <t>En transferencias 4T 2023</t>
  </si>
  <si>
    <t>IPC (4T 2023)</t>
  </si>
  <si>
    <t>Gasto efectivo real 4T 2023</t>
  </si>
  <si>
    <t>Gasto efectivo real por beneficiario 4T 2023</t>
  </si>
  <si>
    <t>Programados 2023</t>
  </si>
  <si>
    <t>Efectivos 2023</t>
  </si>
  <si>
    <t>En transferencias 2023</t>
  </si>
  <si>
    <t>IPC (2023)</t>
  </si>
  <si>
    <r>
      <rPr>
        <b/>
        <sz val="11"/>
        <color theme="1"/>
        <rFont val="Palatino Linotype"/>
        <family val="1"/>
      </rPr>
      <t xml:space="preserve">Nota: </t>
    </r>
    <r>
      <rPr>
        <sz val="11"/>
        <color theme="1"/>
        <rFont val="Palatino Linotype"/>
        <family val="1"/>
      </rPr>
      <t xml:space="preserve">El dato de los beneficiarios programados se modificó, dado varios cambios que se realizaron al Cronograma de Metas e Inversión (en una reunión con la analista del programa). Por este motivo, el dato puede variar con respecto a los datos que se utilizaron en los indicadores trimestrales ya elaborados.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</si>
</sst>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_ * #,##0_ ;_ * \-#,##0_ ;_ * &quot;-&quot;??_ ;_ @_ "/>
  </numFmts>
  <fonts count="6" x14ac:knownFonts="1">
    <font>
      <sz val="11"/>
      <color theme="1"/>
      <name val="Calibri"/>
      <family val="2"/>
      <scheme val="minor"/>
    </font>
    <font>
      <sz val="11"/>
      <color theme="1"/>
      <name val="Calibri"/>
      <family val="2"/>
      <scheme val="minor"/>
    </font>
    <font>
      <sz val="11"/>
      <color theme="1"/>
      <name val="Calibri"/>
      <family val="2"/>
    </font>
    <font>
      <b/>
      <sz val="11"/>
      <color theme="1"/>
      <name val="Palatino Linotype"/>
      <family val="1"/>
    </font>
    <font>
      <sz val="11"/>
      <color theme="1"/>
      <name val="Palatino Linotype"/>
      <family val="1"/>
    </font>
    <font>
      <b/>
      <sz val="11"/>
      <color rgb="FF0070C0"/>
      <name val="Palatino Linotype"/>
      <family val="1"/>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s>
  <cellStyleXfs count="2">
    <xf numFmtId="0" fontId="0" fillId="0" borderId="0"/>
    <xf numFmtId="164" fontId="1" fillId="0" borderId="0" applyFont="0" applyFill="0" applyBorder="0" applyAlignment="0" applyProtection="0"/>
  </cellStyleXfs>
  <cellXfs count="45">
    <xf numFmtId="0" fontId="0" fillId="0" borderId="0" xfId="0"/>
    <xf numFmtId="166" fontId="0" fillId="0" borderId="0" xfId="1" applyNumberFormat="1" applyFont="1" applyFill="1"/>
    <xf numFmtId="165" fontId="0" fillId="0" borderId="0" xfId="1" applyNumberFormat="1" applyFont="1" applyFill="1"/>
    <xf numFmtId="4" fontId="0" fillId="0" borderId="0" xfId="0" applyNumberFormat="1" applyFont="1" applyFill="1"/>
    <xf numFmtId="4" fontId="0" fillId="0" borderId="0" xfId="0" applyNumberFormat="1" applyFont="1" applyFill="1" applyBorder="1"/>
    <xf numFmtId="4" fontId="4" fillId="0" borderId="0" xfId="0" applyNumberFormat="1" applyFont="1" applyFill="1"/>
    <xf numFmtId="4" fontId="3" fillId="0" borderId="0" xfId="0" applyNumberFormat="1" applyFont="1" applyFill="1"/>
    <xf numFmtId="3" fontId="4" fillId="0" borderId="0" xfId="0" applyNumberFormat="1" applyFont="1" applyFill="1" applyAlignment="1">
      <alignment horizontal="right"/>
    </xf>
    <xf numFmtId="3" fontId="4" fillId="0" borderId="0" xfId="1" applyNumberFormat="1" applyFont="1" applyFill="1" applyBorder="1" applyAlignment="1">
      <alignment horizontal="right" vertical="center" wrapText="1"/>
    </xf>
    <xf numFmtId="3" fontId="4" fillId="0" borderId="0" xfId="0" applyNumberFormat="1" applyFont="1" applyFill="1" applyBorder="1" applyAlignment="1">
      <alignment horizontal="right"/>
    </xf>
    <xf numFmtId="4" fontId="4" fillId="0" borderId="0" xfId="0" applyNumberFormat="1" applyFont="1" applyFill="1" applyAlignment="1">
      <alignment horizontal="right"/>
    </xf>
    <xf numFmtId="4" fontId="4" fillId="0" borderId="3" xfId="0" applyNumberFormat="1" applyFont="1" applyFill="1" applyBorder="1"/>
    <xf numFmtId="4" fontId="4" fillId="0" borderId="3" xfId="0" applyNumberFormat="1" applyFont="1" applyFill="1" applyBorder="1" applyAlignment="1">
      <alignment horizontal="right"/>
    </xf>
    <xf numFmtId="2" fontId="4" fillId="0" borderId="0" xfId="0" applyNumberFormat="1" applyFont="1" applyFill="1" applyAlignment="1">
      <alignment horizontal="right"/>
    </xf>
    <xf numFmtId="4" fontId="3" fillId="2" borderId="3" xfId="0" applyNumberFormat="1" applyFont="1" applyFill="1" applyBorder="1" applyAlignment="1">
      <alignment horizontal="center" vertical="center" wrapText="1"/>
    </xf>
    <xf numFmtId="4" fontId="4" fillId="2" borderId="0" xfId="0" applyNumberFormat="1" applyFont="1" applyFill="1" applyAlignment="1">
      <alignment horizontal="right"/>
    </xf>
    <xf numFmtId="4" fontId="4" fillId="2" borderId="0" xfId="0" applyNumberFormat="1" applyFont="1" applyFill="1"/>
    <xf numFmtId="3" fontId="4" fillId="2" borderId="0" xfId="0" applyNumberFormat="1" applyFont="1" applyFill="1" applyAlignment="1">
      <alignment horizontal="right"/>
    </xf>
    <xf numFmtId="3" fontId="4" fillId="2" borderId="0" xfId="0" applyNumberFormat="1" applyFont="1" applyFill="1" applyBorder="1" applyAlignment="1">
      <alignment horizontal="right"/>
    </xf>
    <xf numFmtId="4" fontId="4" fillId="2" borderId="3" xfId="0" applyNumberFormat="1" applyFont="1" applyFill="1" applyBorder="1" applyAlignment="1">
      <alignment horizontal="right"/>
    </xf>
    <xf numFmtId="164" fontId="4" fillId="0" borderId="0" xfId="1" applyFont="1" applyFill="1" applyAlignment="1">
      <alignment horizontal="right"/>
    </xf>
    <xf numFmtId="164" fontId="4" fillId="2" borderId="0" xfId="1" applyFont="1" applyFill="1" applyAlignment="1">
      <alignment horizontal="right"/>
    </xf>
    <xf numFmtId="2" fontId="4" fillId="2" borderId="0" xfId="0" applyNumberFormat="1" applyFont="1" applyFill="1" applyAlignment="1">
      <alignment horizontal="right"/>
    </xf>
    <xf numFmtId="164" fontId="4" fillId="0" borderId="0" xfId="1" applyFont="1" applyFill="1" applyAlignment="1">
      <alignment horizontal="right" vertical="center"/>
    </xf>
    <xf numFmtId="4" fontId="0" fillId="0" borderId="0" xfId="0" applyNumberFormat="1" applyFill="1"/>
    <xf numFmtId="164" fontId="4" fillId="2" borderId="0" xfId="1" applyFont="1" applyFill="1" applyAlignment="1">
      <alignment horizontal="right" vertical="center"/>
    </xf>
    <xf numFmtId="4" fontId="0" fillId="0" borderId="0" xfId="0" applyNumberFormat="1"/>
    <xf numFmtId="4" fontId="3" fillId="0" borderId="3" xfId="0" applyNumberFormat="1" applyFont="1" applyBorder="1" applyAlignment="1">
      <alignment horizontal="center" vertical="center" wrapText="1"/>
    </xf>
    <xf numFmtId="4" fontId="3" fillId="0" borderId="3" xfId="0" applyNumberFormat="1" applyFont="1" applyBorder="1" applyAlignment="1">
      <alignment horizontal="center" wrapText="1"/>
    </xf>
    <xf numFmtId="4" fontId="4" fillId="0" borderId="0" xfId="0" applyNumberFormat="1" applyFont="1"/>
    <xf numFmtId="4" fontId="3" fillId="0" borderId="0" xfId="0" applyNumberFormat="1" applyFont="1"/>
    <xf numFmtId="4" fontId="4" fillId="0" borderId="3" xfId="0" applyNumberFormat="1" applyFont="1" applyBorder="1"/>
    <xf numFmtId="0" fontId="2" fillId="0" borderId="0" xfId="0" applyFont="1" applyAlignment="1">
      <alignment vertical="top" wrapText="1"/>
    </xf>
    <xf numFmtId="3" fontId="4" fillId="0" borderId="0" xfId="0" applyNumberFormat="1" applyFont="1" applyAlignment="1">
      <alignment horizontal="right"/>
    </xf>
    <xf numFmtId="3" fontId="5" fillId="0" borderId="0" xfId="0" applyNumberFormat="1" applyFont="1" applyAlignment="1">
      <alignment horizontal="right"/>
    </xf>
    <xf numFmtId="3" fontId="0" fillId="0" borderId="0" xfId="0" applyNumberFormat="1"/>
    <xf numFmtId="4" fontId="0" fillId="0" borderId="0" xfId="0" applyNumberFormat="1" applyFont="1"/>
    <xf numFmtId="0" fontId="4" fillId="0" borderId="0" xfId="0" applyFont="1" applyAlignment="1">
      <alignment horizontal="left" vertical="top" wrapText="1"/>
    </xf>
    <xf numFmtId="4" fontId="3" fillId="0" borderId="2" xfId="0" applyNumberFormat="1" applyFont="1" applyBorder="1" applyAlignment="1">
      <alignment horizontal="center"/>
    </xf>
    <xf numFmtId="4" fontId="3" fillId="0" borderId="1" xfId="0" applyNumberFormat="1" applyFont="1" applyBorder="1" applyAlignment="1">
      <alignment horizontal="center" vertical="center"/>
    </xf>
    <xf numFmtId="4" fontId="3" fillId="0" borderId="3" xfId="0" applyNumberFormat="1" applyFont="1" applyBorder="1" applyAlignment="1">
      <alignment horizontal="center" vertical="center"/>
    </xf>
    <xf numFmtId="4" fontId="3" fillId="0" borderId="1"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0" fontId="4" fillId="0" borderId="4" xfId="0" applyFont="1" applyBorder="1" applyAlignment="1">
      <alignment horizontal="left" vertical="top" wrapText="1"/>
    </xf>
    <xf numFmtId="4" fontId="4" fillId="0" borderId="0" xfId="0" applyNumberFormat="1" applyFont="1" applyAlignment="1">
      <alignment horizontal="left" wrapText="1"/>
    </xf>
  </cellXfs>
  <cellStyles count="2">
    <cellStyle name="Millares" xfId="1" builtinId="3"/>
    <cellStyle name="Normal" xfId="0" builtinId="0"/>
  </cellStyles>
  <dxfs count="0"/>
  <tableStyles count="0" defaultTableStyle="TableStyleMedium2" defaultPivotStyle="PivotStyleLight16"/>
  <colors>
    <mruColors>
      <color rgb="FF192952"/>
      <color rgb="FF0035A0"/>
      <color rgb="FFC1C5C8"/>
      <color rgb="FF102D7C"/>
      <color rgb="FF4071B9"/>
      <color rgb="FFA2B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Indicadores de cobertura potencial 2023</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Anual!$A$45</c:f>
              <c:strCache>
                <c:ptCount val="1"/>
                <c:pt idx="0">
                  <c:v>Cobertura Programada</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c:f>
              <c:strCache>
                <c:ptCount val="3"/>
                <c:pt idx="0">
                  <c:v>Total programa</c:v>
                </c:pt>
                <c:pt idx="1">
                  <c:v>Acceso a servicios</c:v>
                </c:pt>
                <c:pt idx="2">
                  <c:v>Total Alternativas Residenciales </c:v>
                </c:pt>
              </c:strCache>
            </c:strRef>
          </c:cat>
          <c:val>
            <c:numRef>
              <c:f>Anual!$B$45:$D$45</c:f>
              <c:numCache>
                <c:formatCode>#,##0.00</c:formatCode>
                <c:ptCount val="3"/>
                <c:pt idx="0">
                  <c:v>3.1683535919607144</c:v>
                </c:pt>
                <c:pt idx="1">
                  <c:v>1.8091941117764472</c:v>
                </c:pt>
                <c:pt idx="2">
                  <c:v>9.7852327594060302</c:v>
                </c:pt>
              </c:numCache>
            </c:numRef>
          </c:val>
          <c:extLst>
            <c:ext xmlns:c16="http://schemas.microsoft.com/office/drawing/2014/chart" uri="{C3380CC4-5D6E-409C-BE32-E72D297353CC}">
              <c16:uniqueId val="{00000000-AE63-45A5-94D0-97419380CC1F}"/>
            </c:ext>
          </c:extLst>
        </c:ser>
        <c:ser>
          <c:idx val="1"/>
          <c:order val="1"/>
          <c:tx>
            <c:strRef>
              <c:f>Anual!$A$46</c:f>
              <c:strCache>
                <c:ptCount val="1"/>
                <c:pt idx="0">
                  <c:v>Cobertura Efectiva</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c:f>
              <c:strCache>
                <c:ptCount val="3"/>
                <c:pt idx="0">
                  <c:v>Total programa</c:v>
                </c:pt>
                <c:pt idx="1">
                  <c:v>Acceso a servicios</c:v>
                </c:pt>
                <c:pt idx="2">
                  <c:v>Total Alternativas Residenciales </c:v>
                </c:pt>
              </c:strCache>
            </c:strRef>
          </c:cat>
          <c:val>
            <c:numRef>
              <c:f>Anual!$B$46:$D$46</c:f>
              <c:numCache>
                <c:formatCode>#,##0.00</c:formatCode>
                <c:ptCount val="3"/>
                <c:pt idx="0">
                  <c:v>4.2193830821056553</c:v>
                </c:pt>
                <c:pt idx="1">
                  <c:v>2.5402320359281436</c:v>
                </c:pt>
                <c:pt idx="2">
                  <c:v>12.394096747745285</c:v>
                </c:pt>
              </c:numCache>
            </c:numRef>
          </c:val>
          <c:extLst>
            <c:ext xmlns:c16="http://schemas.microsoft.com/office/drawing/2014/chart" uri="{C3380CC4-5D6E-409C-BE32-E72D297353CC}">
              <c16:uniqueId val="{00000001-AE63-45A5-94D0-97419380CC1F}"/>
            </c:ext>
          </c:extLst>
        </c:ser>
        <c:dLbls>
          <c:showLegendKey val="0"/>
          <c:showVal val="0"/>
          <c:showCatName val="0"/>
          <c:showSerName val="0"/>
          <c:showPercent val="0"/>
          <c:showBubbleSize val="0"/>
        </c:dLbls>
        <c:gapWidth val="100"/>
        <c:shape val="box"/>
        <c:axId val="78990336"/>
        <c:axId val="79008512"/>
        <c:axId val="0"/>
      </c:bar3DChart>
      <c:catAx>
        <c:axId val="7899033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79008512"/>
        <c:crosses val="autoZero"/>
        <c:auto val="1"/>
        <c:lblAlgn val="ctr"/>
        <c:lblOffset val="100"/>
        <c:noMultiLvlLbl val="0"/>
      </c:catAx>
      <c:valAx>
        <c:axId val="79008512"/>
        <c:scaling>
          <c:orientation val="minMax"/>
          <c:max val="20"/>
        </c:scaling>
        <c:delete val="0"/>
        <c:axPos val="l"/>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78990336"/>
        <c:crosses val="autoZero"/>
        <c:crossBetween val="between"/>
        <c:majorUnit val="5"/>
      </c:valAx>
    </c:plotArea>
    <c:legend>
      <c:legendPos val="b"/>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alatino Linotype" panose="02040502050505030304" pitchFamily="18" charset="0"/>
        </a:defRPr>
      </a:pPr>
      <a:endParaRPr lang="es-CR"/>
    </a:p>
  </c:txPr>
  <c:printSettings>
    <c:headerFooter/>
    <c:pageMargins b="0.750000000000001" l="0.70000000000000062" r="0.70000000000000062" t="0.75000000000000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Indicadores de resultado 2023</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6.1421955134992018E-2"/>
          <c:y val="0.1559679638884692"/>
          <c:w val="0.91729630849468813"/>
          <c:h val="0.55924548954651265"/>
        </c:manualLayout>
      </c:layout>
      <c:bar3DChart>
        <c:barDir val="col"/>
        <c:grouping val="clustered"/>
        <c:varyColors val="0"/>
        <c:ser>
          <c:idx val="0"/>
          <c:order val="0"/>
          <c:tx>
            <c:strRef>
              <c:f>Anual!$A$49</c:f>
              <c:strCache>
                <c:ptCount val="1"/>
                <c:pt idx="0">
                  <c:v>Índice efectividad en beneficiarios (IEB)</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wrap="square" lIns="38100" tIns="19050" rIns="38100" bIns="19050" anchor="ctr">
                <a:spAutoFit/>
              </a:bodyPr>
              <a:lstStyle/>
              <a:p>
                <a:pPr>
                  <a:defRPr sz="900"/>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(Anual!$B$9,Anual!$C$10,Anual!$D$10,Anual!$E$10,Anual!$F$10)</c:f>
              <c:strCache>
                <c:ptCount val="5"/>
                <c:pt idx="0">
                  <c:v>Total programa</c:v>
                </c:pt>
                <c:pt idx="1">
                  <c:v>Acceso a servicios</c:v>
                </c:pt>
                <c:pt idx="2">
                  <c:v>Total Alternativas Residenciales </c:v>
                </c:pt>
                <c:pt idx="3">
                  <c:v>Alternativas Residenciales</c:v>
                </c:pt>
                <c:pt idx="4">
                  <c:v>Alternativas Residenciales Ley 8783</c:v>
                </c:pt>
              </c:strCache>
            </c:strRef>
          </c:cat>
          <c:val>
            <c:numRef>
              <c:f>Anual!$B$49:$F$49</c:f>
              <c:numCache>
                <c:formatCode>#,##0.00</c:formatCode>
                <c:ptCount val="5"/>
                <c:pt idx="0">
                  <c:v>133.1727333973011</c:v>
                </c:pt>
                <c:pt idx="1">
                  <c:v>140.40682640923978</c:v>
                </c:pt>
                <c:pt idx="2">
                  <c:v>126.66123588967764</c:v>
                </c:pt>
                <c:pt idx="3">
                  <c:v>161.44536046307664</c:v>
                </c:pt>
                <c:pt idx="4">
                  <c:v>58.091286307053949</c:v>
                </c:pt>
              </c:numCache>
            </c:numRef>
          </c:val>
          <c:extLst>
            <c:ext xmlns:c16="http://schemas.microsoft.com/office/drawing/2014/chart" uri="{C3380CC4-5D6E-409C-BE32-E72D297353CC}">
              <c16:uniqueId val="{00000000-E0FA-4B41-8451-A2AB5B55355C}"/>
            </c:ext>
          </c:extLst>
        </c:ser>
        <c:ser>
          <c:idx val="1"/>
          <c:order val="1"/>
          <c:tx>
            <c:strRef>
              <c:f>Anual!$A$50</c:f>
              <c:strCache>
                <c:ptCount val="1"/>
                <c:pt idx="0">
                  <c:v>Índice efectividad en gasto (IEG)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wrap="square" lIns="38100" tIns="19050" rIns="38100" bIns="19050" anchor="ctr">
                <a:spAutoFit/>
              </a:bodyPr>
              <a:lstStyle/>
              <a:p>
                <a:pPr>
                  <a:defRPr sz="900"/>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(Anual!$B$9,Anual!$C$10,Anual!$D$10,Anual!$E$10,Anual!$F$10)</c:f>
              <c:strCache>
                <c:ptCount val="5"/>
                <c:pt idx="0">
                  <c:v>Total programa</c:v>
                </c:pt>
                <c:pt idx="1">
                  <c:v>Acceso a servicios</c:v>
                </c:pt>
                <c:pt idx="2">
                  <c:v>Total Alternativas Residenciales </c:v>
                </c:pt>
                <c:pt idx="3">
                  <c:v>Alternativas Residenciales</c:v>
                </c:pt>
                <c:pt idx="4">
                  <c:v>Alternativas Residenciales Ley 8783</c:v>
                </c:pt>
              </c:strCache>
            </c:strRef>
          </c:cat>
          <c:val>
            <c:numRef>
              <c:f>Anual!$B$50:$F$50</c:f>
              <c:numCache>
                <c:formatCode>#,##0.00</c:formatCode>
                <c:ptCount val="5"/>
                <c:pt idx="0">
                  <c:v>100.00189784317625</c:v>
                </c:pt>
                <c:pt idx="1">
                  <c:v>137.71503860339072</c:v>
                </c:pt>
                <c:pt idx="2">
                  <c:v>96.053243336725274</c:v>
                </c:pt>
                <c:pt idx="3">
                  <c:v>90.516003561473966</c:v>
                </c:pt>
                <c:pt idx="4">
                  <c:v>116.60935975541133</c:v>
                </c:pt>
              </c:numCache>
            </c:numRef>
          </c:val>
          <c:extLst>
            <c:ext xmlns:c16="http://schemas.microsoft.com/office/drawing/2014/chart" uri="{C3380CC4-5D6E-409C-BE32-E72D297353CC}">
              <c16:uniqueId val="{00000001-E0FA-4B41-8451-A2AB5B55355C}"/>
            </c:ext>
          </c:extLst>
        </c:ser>
        <c:ser>
          <c:idx val="2"/>
          <c:order val="2"/>
          <c:tx>
            <c:strRef>
              <c:f>Anual!$A$51</c:f>
              <c:strCache>
                <c:ptCount val="1"/>
                <c:pt idx="0">
                  <c:v>Índice efectividad total (IET)</c:v>
                </c:pt>
              </c:strCache>
            </c:strRef>
          </c:tx>
          <c:spPr>
            <a:solidFill>
              <a:srgbClr val="C1C5C8"/>
            </a:solidFill>
            <a:ln>
              <a:solidFill>
                <a:srgbClr val="C1C5C8"/>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wrap="square" lIns="38100" tIns="19050" rIns="38100" bIns="19050" anchor="ctr">
                <a:spAutoFit/>
              </a:bodyPr>
              <a:lstStyle/>
              <a:p>
                <a:pPr>
                  <a:defRPr sz="900"/>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(Anual!$B$9,Anual!$C$10,Anual!$D$10,Anual!$E$10,Anual!$F$10)</c:f>
              <c:strCache>
                <c:ptCount val="5"/>
                <c:pt idx="0">
                  <c:v>Total programa</c:v>
                </c:pt>
                <c:pt idx="1">
                  <c:v>Acceso a servicios</c:v>
                </c:pt>
                <c:pt idx="2">
                  <c:v>Total Alternativas Residenciales </c:v>
                </c:pt>
                <c:pt idx="3">
                  <c:v>Alternativas Residenciales</c:v>
                </c:pt>
                <c:pt idx="4">
                  <c:v>Alternativas Residenciales Ley 8783</c:v>
                </c:pt>
              </c:strCache>
            </c:strRef>
          </c:cat>
          <c:val>
            <c:numRef>
              <c:f>Anual!$B$51:$F$51</c:f>
              <c:numCache>
                <c:formatCode>#,##0.00</c:formatCode>
                <c:ptCount val="5"/>
                <c:pt idx="0">
                  <c:v>116.58731562023868</c:v>
                </c:pt>
                <c:pt idx="1">
                  <c:v>139.06093250631525</c:v>
                </c:pt>
                <c:pt idx="2">
                  <c:v>111.35723961320146</c:v>
                </c:pt>
                <c:pt idx="3">
                  <c:v>125.98068201227531</c:v>
                </c:pt>
                <c:pt idx="4">
                  <c:v>87.350323031232648</c:v>
                </c:pt>
              </c:numCache>
            </c:numRef>
          </c:val>
          <c:extLst>
            <c:ext xmlns:c16="http://schemas.microsoft.com/office/drawing/2014/chart" uri="{C3380CC4-5D6E-409C-BE32-E72D297353CC}">
              <c16:uniqueId val="{00000002-E0FA-4B41-8451-A2AB5B55355C}"/>
            </c:ext>
          </c:extLst>
        </c:ser>
        <c:dLbls>
          <c:showLegendKey val="0"/>
          <c:showVal val="1"/>
          <c:showCatName val="0"/>
          <c:showSerName val="0"/>
          <c:showPercent val="0"/>
          <c:showBubbleSize val="0"/>
        </c:dLbls>
        <c:gapWidth val="100"/>
        <c:shape val="box"/>
        <c:axId val="78459264"/>
        <c:axId val="78460800"/>
        <c:axId val="0"/>
      </c:bar3DChart>
      <c:catAx>
        <c:axId val="7845926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78460800"/>
        <c:crosses val="autoZero"/>
        <c:auto val="1"/>
        <c:lblAlgn val="ctr"/>
        <c:lblOffset val="100"/>
        <c:noMultiLvlLbl val="0"/>
      </c:catAx>
      <c:valAx>
        <c:axId val="78460800"/>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78459264"/>
        <c:crosses val="autoZero"/>
        <c:crossBetween val="between"/>
        <c:majorUnit val="50"/>
      </c:valAx>
    </c:plotArea>
    <c:legend>
      <c:legendPos val="b"/>
      <c:layout>
        <c:manualLayout>
          <c:xMode val="edge"/>
          <c:yMode val="edge"/>
          <c:x val="0"/>
          <c:y val="0.90624890638670164"/>
          <c:w val="1"/>
          <c:h val="9.3751093613298322E-2"/>
        </c:manualLayout>
      </c:layout>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alatino Linotype" panose="02040502050505030304" pitchFamily="18" charset="0"/>
        </a:defRPr>
      </a:pPr>
      <a:endParaRPr lang="es-CR"/>
    </a:p>
  </c:txPr>
  <c:printSettings>
    <c:headerFooter/>
    <c:pageMargins b="0.750000000000001" l="0.70000000000000062" r="0.70000000000000062" t="0.75000000000000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Indicadores de avance 2023</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4.1440318635537376E-2"/>
          <c:y val="0.11015334301402083"/>
          <c:w val="0.94420126613060551"/>
          <c:h val="0.59330455696992168"/>
        </c:manualLayout>
      </c:layout>
      <c:bar3DChart>
        <c:barDir val="col"/>
        <c:grouping val="clustered"/>
        <c:varyColors val="0"/>
        <c:ser>
          <c:idx val="0"/>
          <c:order val="0"/>
          <c:tx>
            <c:strRef>
              <c:f>Anual!$A$54</c:f>
              <c:strCache>
                <c:ptCount val="1"/>
                <c:pt idx="0">
                  <c:v>Índice avance beneficiarios (IAB)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(Anual!$B$9,Anual!$C$10,Anual!$D$10,Anual!$E$10,Anual!$F$10)</c:f>
              <c:strCache>
                <c:ptCount val="5"/>
                <c:pt idx="0">
                  <c:v>Total programa</c:v>
                </c:pt>
                <c:pt idx="1">
                  <c:v>Acceso a servicios</c:v>
                </c:pt>
                <c:pt idx="2">
                  <c:v>Total Alternativas Residenciales </c:v>
                </c:pt>
                <c:pt idx="3">
                  <c:v>Alternativas Residenciales</c:v>
                </c:pt>
                <c:pt idx="4">
                  <c:v>Alternativas Residenciales Ley 8783</c:v>
                </c:pt>
              </c:strCache>
            </c:strRef>
          </c:cat>
          <c:val>
            <c:numRef>
              <c:f>Anual!$B$54:$F$54</c:f>
              <c:numCache>
                <c:formatCode>#,##0.00</c:formatCode>
                <c:ptCount val="5"/>
                <c:pt idx="0">
                  <c:v>133.17001469867711</c:v>
                </c:pt>
                <c:pt idx="1">
                  <c:v>140.38262668045502</c:v>
                </c:pt>
                <c:pt idx="2">
                  <c:v>126.67597765363128</c:v>
                </c:pt>
                <c:pt idx="3">
                  <c:v>161.47368421052633</c:v>
                </c:pt>
                <c:pt idx="4">
                  <c:v>58.091286307053949</c:v>
                </c:pt>
              </c:numCache>
            </c:numRef>
          </c:val>
          <c:extLst>
            <c:ext xmlns:c16="http://schemas.microsoft.com/office/drawing/2014/chart" uri="{C3380CC4-5D6E-409C-BE32-E72D297353CC}">
              <c16:uniqueId val="{00000000-2CDC-49A7-BDA5-5AF7116F3080}"/>
            </c:ext>
          </c:extLst>
        </c:ser>
        <c:ser>
          <c:idx val="1"/>
          <c:order val="1"/>
          <c:tx>
            <c:strRef>
              <c:f>Anual!$A$55</c:f>
              <c:strCache>
                <c:ptCount val="1"/>
                <c:pt idx="0">
                  <c:v>Índice avance gasto (IAG)</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(Anual!$B$9,Anual!$C$10,Anual!$D$10,Anual!$E$10,Anual!$F$10)</c:f>
              <c:strCache>
                <c:ptCount val="5"/>
                <c:pt idx="0">
                  <c:v>Total programa</c:v>
                </c:pt>
                <c:pt idx="1">
                  <c:v>Acceso a servicios</c:v>
                </c:pt>
                <c:pt idx="2">
                  <c:v>Total Alternativas Residenciales </c:v>
                </c:pt>
                <c:pt idx="3">
                  <c:v>Alternativas Residenciales</c:v>
                </c:pt>
                <c:pt idx="4">
                  <c:v>Alternativas Residenciales Ley 8783</c:v>
                </c:pt>
              </c:strCache>
            </c:strRef>
          </c:cat>
          <c:val>
            <c:numRef>
              <c:f>Anual!$B$55:$F$55</c:f>
              <c:numCache>
                <c:formatCode>#,##0.00</c:formatCode>
                <c:ptCount val="5"/>
                <c:pt idx="0">
                  <c:v>100.00189784317625</c:v>
                </c:pt>
                <c:pt idx="1">
                  <c:v>137.71503860339072</c:v>
                </c:pt>
                <c:pt idx="2">
                  <c:v>96.053243336725274</c:v>
                </c:pt>
                <c:pt idx="3">
                  <c:v>90.516003561473966</c:v>
                </c:pt>
                <c:pt idx="4">
                  <c:v>116.60935975541133</c:v>
                </c:pt>
              </c:numCache>
            </c:numRef>
          </c:val>
          <c:extLst>
            <c:ext xmlns:c16="http://schemas.microsoft.com/office/drawing/2014/chart" uri="{C3380CC4-5D6E-409C-BE32-E72D297353CC}">
              <c16:uniqueId val="{00000001-2CDC-49A7-BDA5-5AF7116F3080}"/>
            </c:ext>
          </c:extLst>
        </c:ser>
        <c:ser>
          <c:idx val="2"/>
          <c:order val="2"/>
          <c:tx>
            <c:strRef>
              <c:f>Anual!$A$56</c:f>
              <c:strCache>
                <c:ptCount val="1"/>
                <c:pt idx="0">
                  <c:v>Índice avance total (IAT) </c:v>
                </c:pt>
              </c:strCache>
            </c:strRef>
          </c:tx>
          <c:spPr>
            <a:solidFill>
              <a:srgbClr val="C1C5C8"/>
            </a:solidFill>
            <a:ln>
              <a:solidFill>
                <a:srgbClr val="C1C5C8"/>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(Anual!$B$9,Anual!$C$10,Anual!$D$10,Anual!$E$10,Anual!$F$10)</c:f>
              <c:strCache>
                <c:ptCount val="5"/>
                <c:pt idx="0">
                  <c:v>Total programa</c:v>
                </c:pt>
                <c:pt idx="1">
                  <c:v>Acceso a servicios</c:v>
                </c:pt>
                <c:pt idx="2">
                  <c:v>Total Alternativas Residenciales </c:v>
                </c:pt>
                <c:pt idx="3">
                  <c:v>Alternativas Residenciales</c:v>
                </c:pt>
                <c:pt idx="4">
                  <c:v>Alternativas Residenciales Ley 8783</c:v>
                </c:pt>
              </c:strCache>
            </c:strRef>
          </c:cat>
          <c:val>
            <c:numRef>
              <c:f>Anual!$B$56:$F$56</c:f>
              <c:numCache>
                <c:formatCode>#,##0.00</c:formatCode>
                <c:ptCount val="5"/>
                <c:pt idx="0">
                  <c:v>116.58595627092669</c:v>
                </c:pt>
                <c:pt idx="1">
                  <c:v>139.04883264192287</c:v>
                </c:pt>
                <c:pt idx="2">
                  <c:v>111.36461049517828</c:v>
                </c:pt>
                <c:pt idx="3">
                  <c:v>125.99484388600015</c:v>
                </c:pt>
                <c:pt idx="4">
                  <c:v>87.350323031232648</c:v>
                </c:pt>
              </c:numCache>
            </c:numRef>
          </c:val>
          <c:extLst>
            <c:ext xmlns:c16="http://schemas.microsoft.com/office/drawing/2014/chart" uri="{C3380CC4-5D6E-409C-BE32-E72D297353CC}">
              <c16:uniqueId val="{00000002-2CDC-49A7-BDA5-5AF7116F3080}"/>
            </c:ext>
          </c:extLst>
        </c:ser>
        <c:dLbls>
          <c:showLegendKey val="0"/>
          <c:showVal val="1"/>
          <c:showCatName val="0"/>
          <c:showSerName val="0"/>
          <c:showPercent val="0"/>
          <c:showBubbleSize val="0"/>
        </c:dLbls>
        <c:gapWidth val="100"/>
        <c:shape val="box"/>
        <c:axId val="78505472"/>
        <c:axId val="78507008"/>
        <c:axId val="0"/>
      </c:bar3DChart>
      <c:catAx>
        <c:axId val="7850547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78507008"/>
        <c:crosses val="autoZero"/>
        <c:auto val="1"/>
        <c:lblAlgn val="ctr"/>
        <c:lblOffset val="100"/>
        <c:noMultiLvlLbl val="0"/>
      </c:catAx>
      <c:valAx>
        <c:axId val="78507008"/>
        <c:scaling>
          <c:orientation val="minMax"/>
          <c:max val="200"/>
          <c:min val="0"/>
        </c:scaling>
        <c:delete val="0"/>
        <c:axPos val="l"/>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78505472"/>
        <c:crosses val="autoZero"/>
        <c:crossBetween val="between"/>
        <c:majorUnit val="50"/>
      </c:valAx>
    </c:plotArea>
    <c:legend>
      <c:legendPos val="b"/>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alatino Linotype" panose="02040502050505030304" pitchFamily="18" charset="0"/>
        </a:defRPr>
      </a:pPr>
      <a:endParaRPr lang="es-CR"/>
    </a:p>
  </c:txPr>
  <c:printSettings>
    <c:headerFooter/>
    <c:pageMargins b="0.750000000000001" l="0.70000000000000062" r="0.70000000000000062" t="0.75000000000000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Indicadores de expansión 2023</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manualLayout>
          <c:layoutTarget val="inner"/>
          <c:xMode val="edge"/>
          <c:yMode val="edge"/>
          <c:x val="4.3102518330621446E-2"/>
          <c:y val="0.14831622509944145"/>
          <c:w val="0.94113393709476856"/>
          <c:h val="0.54204619859918812"/>
        </c:manualLayout>
      </c:layout>
      <c:bar3DChart>
        <c:barDir val="col"/>
        <c:grouping val="clustered"/>
        <c:varyColors val="0"/>
        <c:ser>
          <c:idx val="0"/>
          <c:order val="0"/>
          <c:tx>
            <c:strRef>
              <c:f>Anual!$A$62</c:f>
              <c:strCache>
                <c:ptCount val="1"/>
                <c:pt idx="0">
                  <c:v>Índice de crecimiento beneficiarios (ICB)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(Anual!$B$9,Anual!$C$10,Anual!$D$10,Anual!$E$10,Anual!$F$10)</c:f>
              <c:strCache>
                <c:ptCount val="5"/>
                <c:pt idx="0">
                  <c:v>Total programa</c:v>
                </c:pt>
                <c:pt idx="1">
                  <c:v>Acceso a servicios</c:v>
                </c:pt>
                <c:pt idx="2">
                  <c:v>Total Alternativas Residenciales </c:v>
                </c:pt>
                <c:pt idx="3">
                  <c:v>Alternativas Residenciales</c:v>
                </c:pt>
                <c:pt idx="4">
                  <c:v>Alternativas Residenciales Ley 8783</c:v>
                </c:pt>
              </c:strCache>
            </c:strRef>
          </c:cat>
          <c:val>
            <c:numRef>
              <c:f>Anual!$B$62:$F$62</c:f>
              <c:numCache>
                <c:formatCode>#,##0.00</c:formatCode>
                <c:ptCount val="5"/>
                <c:pt idx="0">
                  <c:v>8.7635054021608649</c:v>
                </c:pt>
                <c:pt idx="1">
                  <c:v>5.7242990654205572</c:v>
                </c:pt>
                <c:pt idx="2">
                  <c:v>11.975308641975314</c:v>
                </c:pt>
                <c:pt idx="3">
                  <c:v>11.644832605531285</c:v>
                </c:pt>
                <c:pt idx="4">
                  <c:v>13.821138211382111</c:v>
                </c:pt>
              </c:numCache>
            </c:numRef>
          </c:val>
          <c:extLst>
            <c:ext xmlns:c16="http://schemas.microsoft.com/office/drawing/2014/chart" uri="{C3380CC4-5D6E-409C-BE32-E72D297353CC}">
              <c16:uniqueId val="{00000000-B0A8-42DA-8DD0-66DA3C5722B2}"/>
            </c:ext>
          </c:extLst>
        </c:ser>
        <c:ser>
          <c:idx val="1"/>
          <c:order val="1"/>
          <c:tx>
            <c:strRef>
              <c:f>Anual!$A$63</c:f>
              <c:strCache>
                <c:ptCount val="1"/>
                <c:pt idx="0">
                  <c:v>Índice de crecimiento del gasto real (ICGR)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(Anual!$B$9,Anual!$C$10,Anual!$D$10,Anual!$E$10,Anual!$F$10)</c:f>
              <c:strCache>
                <c:ptCount val="5"/>
                <c:pt idx="0">
                  <c:v>Total programa</c:v>
                </c:pt>
                <c:pt idx="1">
                  <c:v>Acceso a servicios</c:v>
                </c:pt>
                <c:pt idx="2">
                  <c:v>Total Alternativas Residenciales </c:v>
                </c:pt>
                <c:pt idx="3">
                  <c:v>Alternativas Residenciales</c:v>
                </c:pt>
                <c:pt idx="4">
                  <c:v>Alternativas Residenciales Ley 8783</c:v>
                </c:pt>
              </c:strCache>
            </c:strRef>
          </c:cat>
          <c:val>
            <c:numRef>
              <c:f>Anual!$B$63:$F$63</c:f>
              <c:numCache>
                <c:formatCode>#,##0.00</c:formatCode>
                <c:ptCount val="5"/>
                <c:pt idx="0">
                  <c:v>16.440967043698219</c:v>
                </c:pt>
                <c:pt idx="1">
                  <c:v>28.197105014180224</c:v>
                </c:pt>
                <c:pt idx="2">
                  <c:v>14.859790925436499</c:v>
                </c:pt>
                <c:pt idx="3">
                  <c:v>12.219411485810983</c:v>
                </c:pt>
                <c:pt idx="4">
                  <c:v>23.213850829658966</c:v>
                </c:pt>
              </c:numCache>
            </c:numRef>
          </c:val>
          <c:extLst>
            <c:ext xmlns:c16="http://schemas.microsoft.com/office/drawing/2014/chart" uri="{C3380CC4-5D6E-409C-BE32-E72D297353CC}">
              <c16:uniqueId val="{00000001-B0A8-42DA-8DD0-66DA3C5722B2}"/>
            </c:ext>
          </c:extLst>
        </c:ser>
        <c:ser>
          <c:idx val="2"/>
          <c:order val="2"/>
          <c:tx>
            <c:strRef>
              <c:f>Anual!$A$64</c:f>
              <c:strCache>
                <c:ptCount val="1"/>
                <c:pt idx="0">
                  <c:v>Índice de crecimiento del gasto real por beneficiario (ICGRB) </c:v>
                </c:pt>
              </c:strCache>
            </c:strRef>
          </c:tx>
          <c:spPr>
            <a:solidFill>
              <a:srgbClr val="C1C5C8"/>
            </a:solidFill>
            <a:ln>
              <a:solidFill>
                <a:srgbClr val="C1C5C8"/>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(Anual!$B$9,Anual!$C$10,Anual!$D$10,Anual!$E$10,Anual!$F$10)</c:f>
              <c:strCache>
                <c:ptCount val="5"/>
                <c:pt idx="0">
                  <c:v>Total programa</c:v>
                </c:pt>
                <c:pt idx="1">
                  <c:v>Acceso a servicios</c:v>
                </c:pt>
                <c:pt idx="2">
                  <c:v>Total Alternativas Residenciales </c:v>
                </c:pt>
                <c:pt idx="3">
                  <c:v>Alternativas Residenciales</c:v>
                </c:pt>
                <c:pt idx="4">
                  <c:v>Alternativas Residenciales Ley 8783</c:v>
                </c:pt>
              </c:strCache>
            </c:strRef>
          </c:cat>
          <c:val>
            <c:numRef>
              <c:f>Anual!$B$64:$F$64</c:f>
              <c:numCache>
                <c:formatCode>#,##0.00</c:formatCode>
                <c:ptCount val="5"/>
                <c:pt idx="0">
                  <c:v>7.0588582200889594</c:v>
                </c:pt>
                <c:pt idx="1">
                  <c:v>21.256046289655561</c:v>
                </c:pt>
                <c:pt idx="2">
                  <c:v>2.5759985111395434</c:v>
                </c:pt>
                <c:pt idx="3">
                  <c:v>0.51464887972900719</c:v>
                </c:pt>
                <c:pt idx="4">
                  <c:v>8.2521689432003775</c:v>
                </c:pt>
              </c:numCache>
            </c:numRef>
          </c:val>
          <c:extLst>
            <c:ext xmlns:c16="http://schemas.microsoft.com/office/drawing/2014/chart" uri="{C3380CC4-5D6E-409C-BE32-E72D297353CC}">
              <c16:uniqueId val="{00000002-B0A8-42DA-8DD0-66DA3C5722B2}"/>
            </c:ext>
          </c:extLst>
        </c:ser>
        <c:dLbls>
          <c:showLegendKey val="0"/>
          <c:showVal val="0"/>
          <c:showCatName val="0"/>
          <c:showSerName val="0"/>
          <c:showPercent val="0"/>
          <c:showBubbleSize val="0"/>
        </c:dLbls>
        <c:gapWidth val="100"/>
        <c:shape val="box"/>
        <c:axId val="79270272"/>
        <c:axId val="79271808"/>
        <c:axId val="0"/>
      </c:bar3DChart>
      <c:catAx>
        <c:axId val="79270272"/>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vert="horz"/>
          <a:lstStyle/>
          <a:p>
            <a:pPr>
              <a:defRPr/>
            </a:pPr>
            <a:endParaRPr lang="es-CR"/>
          </a:p>
        </c:txPr>
        <c:crossAx val="79271808"/>
        <c:crosses val="autoZero"/>
        <c:auto val="1"/>
        <c:lblAlgn val="ctr"/>
        <c:lblOffset val="100"/>
        <c:noMultiLvlLbl val="0"/>
      </c:catAx>
      <c:valAx>
        <c:axId val="79271808"/>
        <c:scaling>
          <c:orientation val="minMax"/>
          <c:max val="60"/>
          <c:min val="-10"/>
        </c:scaling>
        <c:delete val="0"/>
        <c:axPos val="l"/>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79270272"/>
        <c:crosses val="autoZero"/>
        <c:crossBetween val="between"/>
        <c:majorUnit val="20"/>
      </c:valAx>
    </c:plotArea>
    <c:legend>
      <c:legendPos val="b"/>
      <c:layout>
        <c:manualLayout>
          <c:xMode val="edge"/>
          <c:yMode val="edge"/>
          <c:x val="4.6823279800767168E-3"/>
          <c:y val="0.89992370407138111"/>
          <c:w val="0.99271785173466698"/>
          <c:h val="6.330176206769747E-2"/>
        </c:manualLayout>
      </c:layout>
      <c:overlay val="0"/>
      <c:spPr>
        <a:noFill/>
        <a:ln>
          <a:noFill/>
        </a:ln>
        <a:effectLst/>
      </c:spPr>
      <c:txPr>
        <a:bodyPr rot="0" vert="horz"/>
        <a:lstStyle/>
        <a:p>
          <a:pPr>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alatino Linotype" panose="02040502050505030304" pitchFamily="18" charset="0"/>
        </a:defRPr>
      </a:pPr>
      <a:endParaRPr lang="es-CR"/>
    </a:p>
  </c:txPr>
  <c:printSettings>
    <c:headerFooter/>
    <c:pageMargins b="0.750000000000001" l="0.70000000000000062" r="0.70000000000000062" t="0.75000000000000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R"/>
              <a:t>Indicadores de gasto medio 2023</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Anual!$A$67</c:f>
              <c:strCache>
                <c:ptCount val="1"/>
                <c:pt idx="0">
                  <c:v>Gasto programado anual por beneficiario (GPB)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(Anual!$B$9,Anual!$C$10,Anual!$D$10,Anual!$E$10,Anual!$F$10)</c:f>
              <c:strCache>
                <c:ptCount val="5"/>
                <c:pt idx="0">
                  <c:v>Total programa</c:v>
                </c:pt>
                <c:pt idx="1">
                  <c:v>Acceso a servicios</c:v>
                </c:pt>
                <c:pt idx="2">
                  <c:v>Total Alternativas Residenciales </c:v>
                </c:pt>
                <c:pt idx="3">
                  <c:v>Alternativas Residenciales</c:v>
                </c:pt>
                <c:pt idx="4">
                  <c:v>Alternativas Residenciales Ley 8783</c:v>
                </c:pt>
              </c:strCache>
            </c:strRef>
          </c:cat>
          <c:val>
            <c:numRef>
              <c:f>Anual!$B$67:$F$67</c:f>
              <c:numCache>
                <c:formatCode>#,##0.00</c:formatCode>
                <c:ptCount val="5"/>
                <c:pt idx="0">
                  <c:v>2071665.1817918001</c:v>
                </c:pt>
                <c:pt idx="1">
                  <c:v>414489.22599551798</c:v>
                </c:pt>
                <c:pt idx="2">
                  <c:v>3563309.9654644378</c:v>
                </c:pt>
                <c:pt idx="3">
                  <c:v>4231150.7517691487</c:v>
                </c:pt>
                <c:pt idx="4">
                  <c:v>2246795.3310511755</c:v>
                </c:pt>
              </c:numCache>
            </c:numRef>
          </c:val>
          <c:extLst>
            <c:ext xmlns:c16="http://schemas.microsoft.com/office/drawing/2014/chart" uri="{C3380CC4-5D6E-409C-BE32-E72D297353CC}">
              <c16:uniqueId val="{00000000-1BB4-4C8E-81A3-E69680FFA4CA}"/>
            </c:ext>
          </c:extLst>
        </c:ser>
        <c:ser>
          <c:idx val="1"/>
          <c:order val="1"/>
          <c:tx>
            <c:strRef>
              <c:f>Anual!$A$68</c:f>
              <c:strCache>
                <c:ptCount val="1"/>
                <c:pt idx="0">
                  <c:v>Gasto efectivo anual por beneficiario (GEB) </c:v>
                </c:pt>
              </c:strCache>
            </c:strRef>
          </c:tx>
          <c:spPr>
            <a:solidFill>
              <a:srgbClr val="0035A0"/>
            </a:solidFill>
            <a:ln>
              <a:solidFill>
                <a:srgbClr val="0035A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(Anual!$B$9,Anual!$C$10,Anual!$D$10,Anual!$E$10,Anual!$F$10)</c:f>
              <c:strCache>
                <c:ptCount val="5"/>
                <c:pt idx="0">
                  <c:v>Total programa</c:v>
                </c:pt>
                <c:pt idx="1">
                  <c:v>Acceso a servicios</c:v>
                </c:pt>
                <c:pt idx="2">
                  <c:v>Total Alternativas Residenciales </c:v>
                </c:pt>
                <c:pt idx="3">
                  <c:v>Alternativas Residenciales</c:v>
                </c:pt>
                <c:pt idx="4">
                  <c:v>Alternativas Residenciales Ley 8783</c:v>
                </c:pt>
              </c:strCache>
            </c:strRef>
          </c:cat>
          <c:val>
            <c:numRef>
              <c:f>Anual!$B$68:$F$68</c:f>
              <c:numCache>
                <c:formatCode>#,##0.00</c:formatCode>
                <c:ptCount val="5"/>
                <c:pt idx="0">
                  <c:v>1555652.1563370368</c:v>
                </c:pt>
                <c:pt idx="1">
                  <c:v>406542.9097605893</c:v>
                </c:pt>
                <c:pt idx="2">
                  <c:v>2702227.5346740652</c:v>
                </c:pt>
                <c:pt idx="3">
                  <c:v>2372238.2322894968</c:v>
                </c:pt>
                <c:pt idx="4">
                  <c:v>4510097.4984523803</c:v>
                </c:pt>
              </c:numCache>
            </c:numRef>
          </c:val>
          <c:extLst>
            <c:ext xmlns:c16="http://schemas.microsoft.com/office/drawing/2014/chart" uri="{C3380CC4-5D6E-409C-BE32-E72D297353CC}">
              <c16:uniqueId val="{00000001-1BB4-4C8E-81A3-E69680FFA4CA}"/>
            </c:ext>
          </c:extLst>
        </c:ser>
        <c:dLbls>
          <c:showLegendKey val="0"/>
          <c:showVal val="0"/>
          <c:showCatName val="0"/>
          <c:showSerName val="0"/>
          <c:showPercent val="0"/>
          <c:showBubbleSize val="0"/>
        </c:dLbls>
        <c:gapWidth val="150"/>
        <c:shape val="box"/>
        <c:axId val="79388672"/>
        <c:axId val="79390208"/>
        <c:axId val="0"/>
      </c:bar3DChart>
      <c:catAx>
        <c:axId val="7938867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79390208"/>
        <c:crosses val="autoZero"/>
        <c:auto val="1"/>
        <c:lblAlgn val="ctr"/>
        <c:lblOffset val="100"/>
        <c:noMultiLvlLbl val="0"/>
      </c:catAx>
      <c:valAx>
        <c:axId val="79390208"/>
        <c:scaling>
          <c:orientation val="minMax"/>
          <c:max val="6000000"/>
        </c:scaling>
        <c:delete val="0"/>
        <c:axPos val="l"/>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79388672"/>
        <c:crosses val="autoZero"/>
        <c:crossBetween val="between"/>
        <c:majorUnit val="2000000"/>
      </c:valAx>
      <c:dTable>
        <c:showHorzBorder val="1"/>
        <c:showVertBorder val="1"/>
        <c:showOutline val="1"/>
        <c:showKeys val="1"/>
      </c:dTable>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alatino Linotype" panose="02040502050505030304" pitchFamily="18" charset="0"/>
        </a:defRPr>
      </a:pPr>
      <a:endParaRPr lang="es-CR"/>
    </a:p>
  </c:txPr>
  <c:printSettings>
    <c:headerFooter/>
    <c:pageMargins b="0.750000000000001" l="0.70000000000000062" r="0.70000000000000062" t="0.75000000000000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Índice de eficiencia (IE) 2023 </a:t>
            </a:r>
          </a:p>
        </c:rich>
      </c:tx>
      <c:overlay val="0"/>
      <c:spPr>
        <a:noFill/>
        <a:ln>
          <a:noFill/>
        </a:ln>
        <a:effectLst/>
      </c:spPr>
    </c:title>
    <c:autoTitleDeleted val="0"/>
    <c:view3D>
      <c:rotX val="0"/>
      <c:rotY val="0"/>
      <c:rAngAx val="0"/>
      <c:perspective val="10"/>
    </c:view3D>
    <c:floor>
      <c:thickness val="0"/>
    </c:floor>
    <c:sideWall>
      <c:thickness val="0"/>
      <c:spPr>
        <a:noFill/>
        <a:ln>
          <a:noFill/>
        </a:ln>
        <a:effectLst/>
      </c:spPr>
    </c:sideWall>
    <c:backWall>
      <c:thickness val="0"/>
      <c:spPr>
        <a:noFill/>
        <a:ln>
          <a:noFill/>
        </a:ln>
        <a:effectLst/>
      </c:spPr>
    </c:backWall>
    <c:plotArea>
      <c:layout/>
      <c:bar3DChart>
        <c:barDir val="col"/>
        <c:grouping val="clustered"/>
        <c:varyColors val="0"/>
        <c:ser>
          <c:idx val="0"/>
          <c:order val="0"/>
          <c:tx>
            <c:strRef>
              <c:f>Anual!$A$69</c:f>
              <c:strCache>
                <c:ptCount val="1"/>
                <c:pt idx="0">
                  <c:v>Índice de eficiencia (IE) </c:v>
                </c:pt>
              </c:strCache>
            </c:strRef>
          </c:tx>
          <c:spPr>
            <a:solidFill>
              <a:srgbClr val="192952"/>
            </a:solidFill>
            <a:ln>
              <a:solidFill>
                <a:srgbClr val="192952"/>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(Anual!$B$9,Anual!$C$10,Anual!$D$10,Anual!$E$10,Anual!$F$10)</c:f>
              <c:strCache>
                <c:ptCount val="5"/>
                <c:pt idx="0">
                  <c:v>Total programa</c:v>
                </c:pt>
                <c:pt idx="1">
                  <c:v>Acceso a servicios</c:v>
                </c:pt>
                <c:pt idx="2">
                  <c:v>Total Alternativas Residenciales </c:v>
                </c:pt>
                <c:pt idx="3">
                  <c:v>Alternativas Residenciales</c:v>
                </c:pt>
                <c:pt idx="4">
                  <c:v>Alternativas Residenciales Ley 8783</c:v>
                </c:pt>
              </c:strCache>
            </c:strRef>
          </c:cat>
          <c:val>
            <c:numRef>
              <c:f>Anual!$B$69:$F$69</c:f>
              <c:numCache>
                <c:formatCode>#,##0.00</c:formatCode>
                <c:ptCount val="5"/>
                <c:pt idx="0">
                  <c:v>87.547597237360151</c:v>
                </c:pt>
                <c:pt idx="1">
                  <c:v>136.39494729773665</c:v>
                </c:pt>
                <c:pt idx="2">
                  <c:v>84.447494600394634</c:v>
                </c:pt>
                <c:pt idx="3">
                  <c:v>70.632366448882976</c:v>
                </c:pt>
                <c:pt idx="4">
                  <c:v>175.34239454194258</c:v>
                </c:pt>
              </c:numCache>
            </c:numRef>
          </c:val>
          <c:extLst>
            <c:ext xmlns:c16="http://schemas.microsoft.com/office/drawing/2014/chart" uri="{C3380CC4-5D6E-409C-BE32-E72D297353CC}">
              <c16:uniqueId val="{00000000-4A60-437E-960A-E79434ED407B}"/>
            </c:ext>
          </c:extLst>
        </c:ser>
        <c:dLbls>
          <c:showLegendKey val="0"/>
          <c:showVal val="0"/>
          <c:showCatName val="0"/>
          <c:showSerName val="0"/>
          <c:showPercent val="0"/>
          <c:showBubbleSize val="0"/>
        </c:dLbls>
        <c:gapWidth val="100"/>
        <c:shape val="box"/>
        <c:axId val="79423744"/>
        <c:axId val="79433728"/>
        <c:axId val="0"/>
      </c:bar3DChart>
      <c:catAx>
        <c:axId val="7942374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vert="horz"/>
          <a:lstStyle/>
          <a:p>
            <a:pPr>
              <a:defRPr/>
            </a:pPr>
            <a:endParaRPr lang="es-CR"/>
          </a:p>
        </c:txPr>
        <c:crossAx val="79433728"/>
        <c:crosses val="autoZero"/>
        <c:auto val="1"/>
        <c:lblAlgn val="ctr"/>
        <c:lblOffset val="100"/>
        <c:noMultiLvlLbl val="0"/>
      </c:catAx>
      <c:valAx>
        <c:axId val="79433728"/>
        <c:scaling>
          <c:orientation val="minMax"/>
          <c:max val="250"/>
          <c:min val="0"/>
        </c:scaling>
        <c:delete val="0"/>
        <c:axPos val="l"/>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noFill/>
          </a:ln>
          <a:effectLst/>
        </c:spPr>
        <c:txPr>
          <a:bodyPr rot="-60000000" vert="horz"/>
          <a:lstStyle/>
          <a:p>
            <a:pPr>
              <a:defRPr/>
            </a:pPr>
            <a:endParaRPr lang="es-CR"/>
          </a:p>
        </c:txPr>
        <c:crossAx val="79423744"/>
        <c:crosses val="autoZero"/>
        <c:crossBetween val="between"/>
        <c:majorUnit val="50"/>
      </c:valAx>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Palatino Linotype" panose="02040502050505030304" pitchFamily="18" charset="0"/>
        </a:defRPr>
      </a:pPr>
      <a:endParaRPr lang="es-CR"/>
    </a:p>
  </c:txPr>
  <c:printSettings>
    <c:headerFooter/>
    <c:pageMargins b="0.750000000000001" l="0.70000000000000062" r="0.70000000000000062" t="0.75000000000000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Palatino Linotype" panose="02040502050505030304" pitchFamily="18" charset="0"/>
                <a:ea typeface="+mn-ea"/>
                <a:cs typeface="+mn-cs"/>
              </a:defRPr>
            </a:pPr>
            <a:r>
              <a:rPr lang="es-CR" sz="1800" b="1"/>
              <a:t>Indicadores de giro de recursos 2023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Palatino Linotype" panose="02040502050505030304" pitchFamily="18" charset="0"/>
              <a:ea typeface="+mn-ea"/>
              <a:cs typeface="+mn-cs"/>
            </a:defRPr>
          </a:pPr>
          <a:endParaRPr lang="es-CR"/>
        </a:p>
      </c:txPr>
    </c:title>
    <c:autoTitleDeleted val="0"/>
    <c:plotArea>
      <c:layout/>
      <c:barChart>
        <c:barDir val="bar"/>
        <c:grouping val="clustered"/>
        <c:varyColors val="0"/>
        <c:ser>
          <c:idx val="0"/>
          <c:order val="0"/>
          <c:spPr>
            <a:solidFill>
              <a:schemeClr val="accent1"/>
            </a:solidFill>
            <a:ln w="19050">
              <a:solidFill>
                <a:schemeClr val="lt1"/>
              </a:solidFill>
            </a:ln>
            <a:effectLst/>
          </c:spPr>
          <c:invertIfNegative val="0"/>
          <c:dPt>
            <c:idx val="0"/>
            <c:invertIfNegative val="0"/>
            <c:bubble3D val="0"/>
            <c:spPr>
              <a:solidFill>
                <a:srgbClr val="0035A0"/>
              </a:solidFill>
              <a:ln w="19050">
                <a:solidFill>
                  <a:srgbClr val="0035A0"/>
                </a:solidFill>
              </a:ln>
              <a:effectLst/>
            </c:spPr>
            <c:extLst>
              <c:ext xmlns:c16="http://schemas.microsoft.com/office/drawing/2014/chart" uri="{C3380CC4-5D6E-409C-BE32-E72D297353CC}">
                <c16:uniqueId val="{00000002-8CF8-414F-B6DE-D15257EA22F1}"/>
              </c:ext>
            </c:extLst>
          </c:dPt>
          <c:dPt>
            <c:idx val="1"/>
            <c:invertIfNegative val="0"/>
            <c:bubble3D val="0"/>
            <c:spPr>
              <a:solidFill>
                <a:srgbClr val="192952"/>
              </a:solidFill>
              <a:ln w="19050">
                <a:solidFill>
                  <a:srgbClr val="192952"/>
                </a:solidFill>
              </a:ln>
              <a:effectLst/>
            </c:spPr>
            <c:extLst>
              <c:ext xmlns:c16="http://schemas.microsoft.com/office/drawing/2014/chart" uri="{C3380CC4-5D6E-409C-BE32-E72D297353CC}">
                <c16:uniqueId val="{00000000-2AA5-4759-8A08-332965A0EAB4}"/>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Anual!$A$74:$A$75</c:f>
              <c:strCache>
                <c:ptCount val="2"/>
                <c:pt idx="0">
                  <c:v>Índice de giro efectivo (IGE)</c:v>
                </c:pt>
                <c:pt idx="1">
                  <c:v>Índice de uso de recursos (IUR) </c:v>
                </c:pt>
              </c:strCache>
            </c:strRef>
          </c:cat>
          <c:val>
            <c:numRef>
              <c:f>Anual!$B$74:$B$75</c:f>
              <c:numCache>
                <c:formatCode>#,##0.00</c:formatCode>
                <c:ptCount val="2"/>
                <c:pt idx="0">
                  <c:v>100.00189784317625</c:v>
                </c:pt>
                <c:pt idx="1">
                  <c:v>100</c:v>
                </c:pt>
              </c:numCache>
            </c:numRef>
          </c:val>
          <c:extLst>
            <c:ext xmlns:c16="http://schemas.microsoft.com/office/drawing/2014/chart" uri="{C3380CC4-5D6E-409C-BE32-E72D297353CC}">
              <c16:uniqueId val="{00000001-2AA5-4759-8A08-332965A0EAB4}"/>
            </c:ext>
          </c:extLst>
        </c:ser>
        <c:dLbls>
          <c:showLegendKey val="0"/>
          <c:showVal val="0"/>
          <c:showCatName val="0"/>
          <c:showSerName val="0"/>
          <c:showPercent val="0"/>
          <c:showBubbleSize val="0"/>
        </c:dLbls>
        <c:gapWidth val="100"/>
        <c:axId val="497020384"/>
        <c:axId val="497019072"/>
      </c:barChart>
      <c:valAx>
        <c:axId val="497019072"/>
        <c:scaling>
          <c:orientation val="minMax"/>
          <c:min val="0"/>
        </c:scaling>
        <c:delete val="0"/>
        <c:axPos val="b"/>
        <c:majorGridlines>
          <c:spPr>
            <a:ln w="9525" cap="flat" cmpd="sng" algn="ctr">
              <a:solidFill>
                <a:schemeClr val="bg1">
                  <a:lumMod val="7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crossAx val="497020384"/>
        <c:crosses val="autoZero"/>
        <c:crossBetween val="between"/>
        <c:majorUnit val="30"/>
      </c:valAx>
      <c:catAx>
        <c:axId val="497020384"/>
        <c:scaling>
          <c:orientation val="minMax"/>
        </c:scaling>
        <c:delete val="1"/>
        <c:axPos val="l"/>
        <c:numFmt formatCode="General" sourceLinked="1"/>
        <c:majorTickMark val="out"/>
        <c:minorTickMark val="none"/>
        <c:tickLblPos val="nextTo"/>
        <c:crossAx val="49701907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Palatino Linotype" panose="02040502050505030304" pitchFamily="18" charset="0"/>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latin typeface="Palatino Linotype" panose="02040502050505030304" pitchFamily="18" charset="0"/>
        </a:defRPr>
      </a:pPr>
      <a:endParaRPr lang="es-CR"/>
    </a:p>
  </c:txPr>
  <c:printSettings>
    <c:headerFooter/>
    <c:pageMargins b="0.750000000000001" l="0.70000000000000062" r="0.70000000000000062" t="0.750000000000001"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5</xdr:row>
      <xdr:rowOff>178592</xdr:rowOff>
    </xdr:to>
    <xdr:sp macro="" textlink="">
      <xdr:nvSpPr>
        <xdr:cNvPr id="10" name="Rectángulo 9">
          <a:extLst>
            <a:ext uri="{FF2B5EF4-FFF2-40B4-BE49-F238E27FC236}">
              <a16:creationId xmlns:a16="http://schemas.microsoft.com/office/drawing/2014/main" id="{EDEDCA5E-E807-470F-B0B0-4A8550B4D60F}"/>
            </a:ext>
          </a:extLst>
        </xdr:cNvPr>
        <xdr:cNvSpPr/>
      </xdr:nvSpPr>
      <xdr:spPr>
        <a:xfrm>
          <a:off x="0" y="0"/>
          <a:ext cx="12382500"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178350</xdr:colOff>
      <xdr:row>0</xdr:row>
      <xdr:rowOff>154781</xdr:rowOff>
    </xdr:from>
    <xdr:to>
      <xdr:col>0</xdr:col>
      <xdr:colOff>3679031</xdr:colOff>
      <xdr:row>5</xdr:row>
      <xdr:rowOff>119062</xdr:rowOff>
    </xdr:to>
    <xdr:pic>
      <xdr:nvPicPr>
        <xdr:cNvPr id="11" name="Imagen 10">
          <a:extLst>
            <a:ext uri="{FF2B5EF4-FFF2-40B4-BE49-F238E27FC236}">
              <a16:creationId xmlns:a16="http://schemas.microsoft.com/office/drawing/2014/main" id="{A4911036-9A69-41D8-B889-ECF795F412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8350" y="154781"/>
          <a:ext cx="3500681" cy="916781"/>
        </a:xfrm>
        <a:prstGeom prst="rect">
          <a:avLst/>
        </a:prstGeom>
      </xdr:spPr>
    </xdr:pic>
    <xdr:clientData/>
  </xdr:twoCellAnchor>
  <xdr:twoCellAnchor editAs="oneCell">
    <xdr:from>
      <xdr:col>0</xdr:col>
      <xdr:colOff>3690937</xdr:colOff>
      <xdr:row>0</xdr:row>
      <xdr:rowOff>166687</xdr:rowOff>
    </xdr:from>
    <xdr:to>
      <xdr:col>2</xdr:col>
      <xdr:colOff>297656</xdr:colOff>
      <xdr:row>4</xdr:row>
      <xdr:rowOff>166686</xdr:rowOff>
    </xdr:to>
    <xdr:pic>
      <xdr:nvPicPr>
        <xdr:cNvPr id="12" name="Imagen 11">
          <a:extLst>
            <a:ext uri="{FF2B5EF4-FFF2-40B4-BE49-F238E27FC236}">
              <a16:creationId xmlns:a16="http://schemas.microsoft.com/office/drawing/2014/main" id="{A36D3353-AA0A-4E3C-BB02-44386F0BB73D}"/>
            </a:ext>
          </a:extLst>
        </xdr:cNvPr>
        <xdr:cNvPicPr>
          <a:picLocks noChangeAspect="1"/>
        </xdr:cNvPicPr>
      </xdr:nvPicPr>
      <xdr:blipFill rotWithShape="1">
        <a:blip xmlns:r="http://schemas.openxmlformats.org/officeDocument/2006/relationships" r:embed="rId2"/>
        <a:srcRect l="63388" r="1826" b="1724"/>
        <a:stretch/>
      </xdr:blipFill>
      <xdr:spPr>
        <a:xfrm>
          <a:off x="3690937" y="166687"/>
          <a:ext cx="2416969" cy="761999"/>
        </a:xfrm>
        <a:prstGeom prst="rect">
          <a:avLst/>
        </a:prstGeom>
      </xdr:spPr>
    </xdr:pic>
    <xdr:clientData/>
  </xdr:twoCellAnchor>
  <xdr:twoCellAnchor>
    <xdr:from>
      <xdr:col>0</xdr:col>
      <xdr:colOff>0</xdr:colOff>
      <xdr:row>6</xdr:row>
      <xdr:rowOff>0</xdr:rowOff>
    </xdr:from>
    <xdr:to>
      <xdr:col>6</xdr:col>
      <xdr:colOff>0</xdr:colOff>
      <xdr:row>8</xdr:row>
      <xdr:rowOff>0</xdr:rowOff>
    </xdr:to>
    <xdr:sp macro="" textlink="">
      <xdr:nvSpPr>
        <xdr:cNvPr id="13" name="Rectángulo 12">
          <a:extLst>
            <a:ext uri="{FF2B5EF4-FFF2-40B4-BE49-F238E27FC236}">
              <a16:creationId xmlns:a16="http://schemas.microsoft.com/office/drawing/2014/main" id="{2A8476A5-0DE0-431B-8B47-82505537F230}"/>
            </a:ext>
          </a:extLst>
        </xdr:cNvPr>
        <xdr:cNvSpPr/>
      </xdr:nvSpPr>
      <xdr:spPr>
        <a:xfrm>
          <a:off x="0" y="1143000"/>
          <a:ext cx="12382500" cy="523875"/>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107154</xdr:colOff>
      <xdr:row>6</xdr:row>
      <xdr:rowOff>11906</xdr:rowOff>
    </xdr:from>
    <xdr:to>
      <xdr:col>6</xdr:col>
      <xdr:colOff>79374</xdr:colOff>
      <xdr:row>7</xdr:row>
      <xdr:rowOff>238125</xdr:rowOff>
    </xdr:to>
    <xdr:sp macro="" textlink="">
      <xdr:nvSpPr>
        <xdr:cNvPr id="7" name="CuadroTexto 6">
          <a:extLst>
            <a:ext uri="{FF2B5EF4-FFF2-40B4-BE49-F238E27FC236}">
              <a16:creationId xmlns:a16="http://schemas.microsoft.com/office/drawing/2014/main" id="{105A2F59-0C63-4E17-938A-EF977095CAE1}"/>
            </a:ext>
          </a:extLst>
        </xdr:cNvPr>
        <xdr:cNvSpPr txBox="1"/>
      </xdr:nvSpPr>
      <xdr:spPr>
        <a:xfrm>
          <a:off x="107154" y="1154906"/>
          <a:ext cx="12354720" cy="488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Consejo Nacional de Personas con Discapacidad    </a:t>
          </a:r>
          <a:r>
            <a:rPr lang="es-CR" sz="1100" b="1" baseline="0">
              <a:solidFill>
                <a:schemeClr val="bg1"/>
              </a:solidFill>
              <a:effectLst/>
              <a:latin typeface="Palatino Linotype" panose="02040502050505030304" pitchFamily="18" charset="0"/>
              <a:ea typeface="+mn-ea"/>
              <a:cs typeface="+mn-cs"/>
            </a:rPr>
            <a:t>Programa  Pobreza y Discapacidad </a:t>
          </a:r>
          <a:r>
            <a:rPr lang="es-CR" sz="1100" b="1" baseline="0">
              <a:solidFill>
                <a:schemeClr val="dk1"/>
              </a:solidFill>
              <a:effectLst/>
              <a:latin typeface="Palatino Linotype" panose="02040502050505030304" pitchFamily="18" charset="0"/>
              <a:ea typeface="+mn-ea"/>
              <a:cs typeface="+mn-cs"/>
            </a:rPr>
            <a:t>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 Trimestre 2023</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20-06-2023</a:t>
          </a: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5</xdr:row>
      <xdr:rowOff>178592</xdr:rowOff>
    </xdr:to>
    <xdr:sp macro="" textlink="">
      <xdr:nvSpPr>
        <xdr:cNvPr id="10" name="Rectángulo 9">
          <a:extLst>
            <a:ext uri="{FF2B5EF4-FFF2-40B4-BE49-F238E27FC236}">
              <a16:creationId xmlns:a16="http://schemas.microsoft.com/office/drawing/2014/main" id="{8A5D6CB9-D32A-4A57-B937-43887D93D7CB}"/>
            </a:ext>
          </a:extLst>
        </xdr:cNvPr>
        <xdr:cNvSpPr/>
      </xdr:nvSpPr>
      <xdr:spPr>
        <a:xfrm>
          <a:off x="0" y="0"/>
          <a:ext cx="12401550"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178350</xdr:colOff>
      <xdr:row>0</xdr:row>
      <xdr:rowOff>154781</xdr:rowOff>
    </xdr:from>
    <xdr:to>
      <xdr:col>0</xdr:col>
      <xdr:colOff>3679031</xdr:colOff>
      <xdr:row>5</xdr:row>
      <xdr:rowOff>119062</xdr:rowOff>
    </xdr:to>
    <xdr:pic>
      <xdr:nvPicPr>
        <xdr:cNvPr id="11" name="Imagen 10">
          <a:extLst>
            <a:ext uri="{FF2B5EF4-FFF2-40B4-BE49-F238E27FC236}">
              <a16:creationId xmlns:a16="http://schemas.microsoft.com/office/drawing/2014/main" id="{E9F64B34-E61E-4A13-8894-003EAC5465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8350" y="154781"/>
          <a:ext cx="3500681" cy="916781"/>
        </a:xfrm>
        <a:prstGeom prst="rect">
          <a:avLst/>
        </a:prstGeom>
      </xdr:spPr>
    </xdr:pic>
    <xdr:clientData/>
  </xdr:twoCellAnchor>
  <xdr:twoCellAnchor editAs="oneCell">
    <xdr:from>
      <xdr:col>0</xdr:col>
      <xdr:colOff>3690937</xdr:colOff>
      <xdr:row>0</xdr:row>
      <xdr:rowOff>166687</xdr:rowOff>
    </xdr:from>
    <xdr:to>
      <xdr:col>2</xdr:col>
      <xdr:colOff>297656</xdr:colOff>
      <xdr:row>4</xdr:row>
      <xdr:rowOff>166686</xdr:rowOff>
    </xdr:to>
    <xdr:pic>
      <xdr:nvPicPr>
        <xdr:cNvPr id="12" name="Imagen 11">
          <a:extLst>
            <a:ext uri="{FF2B5EF4-FFF2-40B4-BE49-F238E27FC236}">
              <a16:creationId xmlns:a16="http://schemas.microsoft.com/office/drawing/2014/main" id="{D5F5C984-2DD8-4067-89E6-17520089DB81}"/>
            </a:ext>
          </a:extLst>
        </xdr:cNvPr>
        <xdr:cNvPicPr>
          <a:picLocks noChangeAspect="1"/>
        </xdr:cNvPicPr>
      </xdr:nvPicPr>
      <xdr:blipFill rotWithShape="1">
        <a:blip xmlns:r="http://schemas.openxmlformats.org/officeDocument/2006/relationships" r:embed="rId2"/>
        <a:srcRect l="63388" r="1826" b="1724"/>
        <a:stretch/>
      </xdr:blipFill>
      <xdr:spPr>
        <a:xfrm>
          <a:off x="3690937" y="166687"/>
          <a:ext cx="2426494" cy="761999"/>
        </a:xfrm>
        <a:prstGeom prst="rect">
          <a:avLst/>
        </a:prstGeom>
      </xdr:spPr>
    </xdr:pic>
    <xdr:clientData/>
  </xdr:twoCellAnchor>
  <xdr:twoCellAnchor>
    <xdr:from>
      <xdr:col>0</xdr:col>
      <xdr:colOff>0</xdr:colOff>
      <xdr:row>6</xdr:row>
      <xdr:rowOff>0</xdr:rowOff>
    </xdr:from>
    <xdr:to>
      <xdr:col>6</xdr:col>
      <xdr:colOff>0</xdr:colOff>
      <xdr:row>8</xdr:row>
      <xdr:rowOff>0</xdr:rowOff>
    </xdr:to>
    <xdr:sp macro="" textlink="">
      <xdr:nvSpPr>
        <xdr:cNvPr id="13" name="Rectángulo 12">
          <a:extLst>
            <a:ext uri="{FF2B5EF4-FFF2-40B4-BE49-F238E27FC236}">
              <a16:creationId xmlns:a16="http://schemas.microsoft.com/office/drawing/2014/main" id="{27D06569-00A1-47A3-B284-012E8C26AFEB}"/>
            </a:ext>
          </a:extLst>
        </xdr:cNvPr>
        <xdr:cNvSpPr/>
      </xdr:nvSpPr>
      <xdr:spPr>
        <a:xfrm>
          <a:off x="0" y="1143000"/>
          <a:ext cx="12401550" cy="533400"/>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47623</xdr:colOff>
      <xdr:row>5</xdr:row>
      <xdr:rowOff>190499</xdr:rowOff>
    </xdr:from>
    <xdr:to>
      <xdr:col>6</xdr:col>
      <xdr:colOff>19843</xdr:colOff>
      <xdr:row>7</xdr:row>
      <xdr:rowOff>226218</xdr:rowOff>
    </xdr:to>
    <xdr:sp macro="" textlink="">
      <xdr:nvSpPr>
        <xdr:cNvPr id="7" name="CuadroTexto 6">
          <a:extLst>
            <a:ext uri="{FF2B5EF4-FFF2-40B4-BE49-F238E27FC236}">
              <a16:creationId xmlns:a16="http://schemas.microsoft.com/office/drawing/2014/main" id="{0F16177E-785C-4C04-8ED3-7DB40FA6E02C}"/>
            </a:ext>
          </a:extLst>
        </xdr:cNvPr>
        <xdr:cNvSpPr txBox="1"/>
      </xdr:nvSpPr>
      <xdr:spPr>
        <a:xfrm>
          <a:off x="47623" y="1142999"/>
          <a:ext cx="12354720" cy="488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Consejo Nacional de Personas con Discapacidad    </a:t>
          </a:r>
          <a:r>
            <a:rPr lang="es-CR" sz="1100" b="1" baseline="0">
              <a:solidFill>
                <a:schemeClr val="bg1"/>
              </a:solidFill>
              <a:effectLst/>
              <a:latin typeface="Palatino Linotype" panose="02040502050505030304" pitchFamily="18" charset="0"/>
              <a:ea typeface="+mn-ea"/>
              <a:cs typeface="+mn-cs"/>
            </a:rPr>
            <a:t>Programa  Pobreza y Discapacidad </a:t>
          </a:r>
          <a:r>
            <a:rPr lang="es-CR" sz="1100" b="1" baseline="0">
              <a:solidFill>
                <a:schemeClr val="dk1"/>
              </a:solidFill>
              <a:effectLst/>
              <a:latin typeface="Palatino Linotype" panose="02040502050505030304" pitchFamily="18" charset="0"/>
              <a:ea typeface="+mn-ea"/>
              <a:cs typeface="+mn-cs"/>
            </a:rPr>
            <a:t>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 Trimestre 2023</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28-08-2023</a:t>
          </a: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5</xdr:row>
      <xdr:rowOff>178592</xdr:rowOff>
    </xdr:to>
    <xdr:sp macro="" textlink="">
      <xdr:nvSpPr>
        <xdr:cNvPr id="6" name="Rectángulo 5">
          <a:extLst>
            <a:ext uri="{FF2B5EF4-FFF2-40B4-BE49-F238E27FC236}">
              <a16:creationId xmlns:a16="http://schemas.microsoft.com/office/drawing/2014/main" id="{CCD6EBCE-45DD-472E-9D50-29521EEC0D94}"/>
            </a:ext>
          </a:extLst>
        </xdr:cNvPr>
        <xdr:cNvSpPr/>
      </xdr:nvSpPr>
      <xdr:spPr>
        <a:xfrm>
          <a:off x="0" y="0"/>
          <a:ext cx="12411075"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178350</xdr:colOff>
      <xdr:row>0</xdr:row>
      <xdr:rowOff>154781</xdr:rowOff>
    </xdr:from>
    <xdr:to>
      <xdr:col>0</xdr:col>
      <xdr:colOff>3679031</xdr:colOff>
      <xdr:row>5</xdr:row>
      <xdr:rowOff>119062</xdr:rowOff>
    </xdr:to>
    <xdr:pic>
      <xdr:nvPicPr>
        <xdr:cNvPr id="7" name="Imagen 6">
          <a:extLst>
            <a:ext uri="{FF2B5EF4-FFF2-40B4-BE49-F238E27FC236}">
              <a16:creationId xmlns:a16="http://schemas.microsoft.com/office/drawing/2014/main" id="{9C45AEA2-CC87-42B7-82F9-F9C080B7A5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8350" y="154781"/>
          <a:ext cx="3500681" cy="916781"/>
        </a:xfrm>
        <a:prstGeom prst="rect">
          <a:avLst/>
        </a:prstGeom>
      </xdr:spPr>
    </xdr:pic>
    <xdr:clientData/>
  </xdr:twoCellAnchor>
  <xdr:twoCellAnchor editAs="oneCell">
    <xdr:from>
      <xdr:col>0</xdr:col>
      <xdr:colOff>3690937</xdr:colOff>
      <xdr:row>0</xdr:row>
      <xdr:rowOff>166687</xdr:rowOff>
    </xdr:from>
    <xdr:to>
      <xdr:col>2</xdr:col>
      <xdr:colOff>297656</xdr:colOff>
      <xdr:row>4</xdr:row>
      <xdr:rowOff>166686</xdr:rowOff>
    </xdr:to>
    <xdr:pic>
      <xdr:nvPicPr>
        <xdr:cNvPr id="12" name="Imagen 11">
          <a:extLst>
            <a:ext uri="{FF2B5EF4-FFF2-40B4-BE49-F238E27FC236}">
              <a16:creationId xmlns:a16="http://schemas.microsoft.com/office/drawing/2014/main" id="{0094E514-2751-49B6-91ED-2931A45E81B8}"/>
            </a:ext>
          </a:extLst>
        </xdr:cNvPr>
        <xdr:cNvPicPr>
          <a:picLocks noChangeAspect="1"/>
        </xdr:cNvPicPr>
      </xdr:nvPicPr>
      <xdr:blipFill rotWithShape="1">
        <a:blip xmlns:r="http://schemas.openxmlformats.org/officeDocument/2006/relationships" r:embed="rId2"/>
        <a:srcRect l="63388" r="1826" b="1724"/>
        <a:stretch/>
      </xdr:blipFill>
      <xdr:spPr>
        <a:xfrm>
          <a:off x="3690937" y="166687"/>
          <a:ext cx="2426494" cy="761999"/>
        </a:xfrm>
        <a:prstGeom prst="rect">
          <a:avLst/>
        </a:prstGeom>
      </xdr:spPr>
    </xdr:pic>
    <xdr:clientData/>
  </xdr:twoCellAnchor>
  <xdr:twoCellAnchor>
    <xdr:from>
      <xdr:col>0</xdr:col>
      <xdr:colOff>0</xdr:colOff>
      <xdr:row>6</xdr:row>
      <xdr:rowOff>0</xdr:rowOff>
    </xdr:from>
    <xdr:to>
      <xdr:col>6</xdr:col>
      <xdr:colOff>0</xdr:colOff>
      <xdr:row>8</xdr:row>
      <xdr:rowOff>0</xdr:rowOff>
    </xdr:to>
    <xdr:sp macro="" textlink="">
      <xdr:nvSpPr>
        <xdr:cNvPr id="13" name="Rectángulo 12">
          <a:extLst>
            <a:ext uri="{FF2B5EF4-FFF2-40B4-BE49-F238E27FC236}">
              <a16:creationId xmlns:a16="http://schemas.microsoft.com/office/drawing/2014/main" id="{47890C91-6C21-479E-B8C8-6E1C3324C83E}"/>
            </a:ext>
          </a:extLst>
        </xdr:cNvPr>
        <xdr:cNvSpPr/>
      </xdr:nvSpPr>
      <xdr:spPr>
        <a:xfrm>
          <a:off x="0" y="1143000"/>
          <a:ext cx="12411075" cy="533400"/>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95248</xdr:colOff>
      <xdr:row>6</xdr:row>
      <xdr:rowOff>23812</xdr:rowOff>
    </xdr:from>
    <xdr:to>
      <xdr:col>6</xdr:col>
      <xdr:colOff>67468</xdr:colOff>
      <xdr:row>7</xdr:row>
      <xdr:rowOff>250031</xdr:rowOff>
    </xdr:to>
    <xdr:sp macro="" textlink="">
      <xdr:nvSpPr>
        <xdr:cNvPr id="9" name="CuadroTexto 8">
          <a:extLst>
            <a:ext uri="{FF2B5EF4-FFF2-40B4-BE49-F238E27FC236}">
              <a16:creationId xmlns:a16="http://schemas.microsoft.com/office/drawing/2014/main" id="{97A159B3-31AA-41F0-ABC5-D1A426C537D3}"/>
            </a:ext>
          </a:extLst>
        </xdr:cNvPr>
        <xdr:cNvSpPr txBox="1"/>
      </xdr:nvSpPr>
      <xdr:spPr>
        <a:xfrm>
          <a:off x="95248" y="1166812"/>
          <a:ext cx="12354720" cy="488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Consejo Nacional de Personas con Discapacidad    </a:t>
          </a:r>
          <a:r>
            <a:rPr lang="es-CR" sz="1100" b="1" baseline="0">
              <a:solidFill>
                <a:schemeClr val="bg1"/>
              </a:solidFill>
              <a:effectLst/>
              <a:latin typeface="Palatino Linotype" panose="02040502050505030304" pitchFamily="18" charset="0"/>
              <a:ea typeface="+mn-ea"/>
              <a:cs typeface="+mn-cs"/>
            </a:rPr>
            <a:t>Programa  Pobreza y Discapacidad </a:t>
          </a:r>
          <a:r>
            <a:rPr lang="es-CR" sz="1100" b="1" baseline="0">
              <a:solidFill>
                <a:schemeClr val="dk1"/>
              </a:solidFill>
              <a:effectLst/>
              <a:latin typeface="Palatino Linotype" panose="02040502050505030304" pitchFamily="18" charset="0"/>
              <a:ea typeface="+mn-ea"/>
              <a:cs typeface="+mn-cs"/>
            </a:rPr>
            <a:t>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 Semestre 2023</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28-08-2023</a:t>
          </a: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5</xdr:row>
      <xdr:rowOff>178592</xdr:rowOff>
    </xdr:to>
    <xdr:sp macro="" textlink="">
      <xdr:nvSpPr>
        <xdr:cNvPr id="10" name="Rectángulo 9">
          <a:extLst>
            <a:ext uri="{FF2B5EF4-FFF2-40B4-BE49-F238E27FC236}">
              <a16:creationId xmlns:a16="http://schemas.microsoft.com/office/drawing/2014/main" id="{6B09D02E-B9E6-41E2-A28B-501589CC60A4}"/>
            </a:ext>
          </a:extLst>
        </xdr:cNvPr>
        <xdr:cNvSpPr/>
      </xdr:nvSpPr>
      <xdr:spPr>
        <a:xfrm>
          <a:off x="0" y="0"/>
          <a:ext cx="12411075"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178350</xdr:colOff>
      <xdr:row>0</xdr:row>
      <xdr:rowOff>154781</xdr:rowOff>
    </xdr:from>
    <xdr:to>
      <xdr:col>0</xdr:col>
      <xdr:colOff>3679031</xdr:colOff>
      <xdr:row>5</xdr:row>
      <xdr:rowOff>119062</xdr:rowOff>
    </xdr:to>
    <xdr:pic>
      <xdr:nvPicPr>
        <xdr:cNvPr id="11" name="Imagen 10">
          <a:extLst>
            <a:ext uri="{FF2B5EF4-FFF2-40B4-BE49-F238E27FC236}">
              <a16:creationId xmlns:a16="http://schemas.microsoft.com/office/drawing/2014/main" id="{E4047AE2-FD7B-4E34-8B7B-C0F0BCBEFD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8350" y="154781"/>
          <a:ext cx="3500681" cy="916781"/>
        </a:xfrm>
        <a:prstGeom prst="rect">
          <a:avLst/>
        </a:prstGeom>
      </xdr:spPr>
    </xdr:pic>
    <xdr:clientData/>
  </xdr:twoCellAnchor>
  <xdr:twoCellAnchor editAs="oneCell">
    <xdr:from>
      <xdr:col>0</xdr:col>
      <xdr:colOff>3690937</xdr:colOff>
      <xdr:row>0</xdr:row>
      <xdr:rowOff>166687</xdr:rowOff>
    </xdr:from>
    <xdr:to>
      <xdr:col>2</xdr:col>
      <xdr:colOff>297656</xdr:colOff>
      <xdr:row>4</xdr:row>
      <xdr:rowOff>166686</xdr:rowOff>
    </xdr:to>
    <xdr:pic>
      <xdr:nvPicPr>
        <xdr:cNvPr id="12" name="Imagen 11">
          <a:extLst>
            <a:ext uri="{FF2B5EF4-FFF2-40B4-BE49-F238E27FC236}">
              <a16:creationId xmlns:a16="http://schemas.microsoft.com/office/drawing/2014/main" id="{89BA41CA-A94C-46C9-A696-5FA92CDCDE2B}"/>
            </a:ext>
          </a:extLst>
        </xdr:cNvPr>
        <xdr:cNvPicPr>
          <a:picLocks noChangeAspect="1"/>
        </xdr:cNvPicPr>
      </xdr:nvPicPr>
      <xdr:blipFill rotWithShape="1">
        <a:blip xmlns:r="http://schemas.openxmlformats.org/officeDocument/2006/relationships" r:embed="rId2"/>
        <a:srcRect l="63388" r="1826" b="1724"/>
        <a:stretch/>
      </xdr:blipFill>
      <xdr:spPr>
        <a:xfrm>
          <a:off x="3690937" y="166687"/>
          <a:ext cx="2426494" cy="761999"/>
        </a:xfrm>
        <a:prstGeom prst="rect">
          <a:avLst/>
        </a:prstGeom>
      </xdr:spPr>
    </xdr:pic>
    <xdr:clientData/>
  </xdr:twoCellAnchor>
  <xdr:twoCellAnchor>
    <xdr:from>
      <xdr:col>0</xdr:col>
      <xdr:colOff>0</xdr:colOff>
      <xdr:row>6</xdr:row>
      <xdr:rowOff>0</xdr:rowOff>
    </xdr:from>
    <xdr:to>
      <xdr:col>6</xdr:col>
      <xdr:colOff>0</xdr:colOff>
      <xdr:row>8</xdr:row>
      <xdr:rowOff>0</xdr:rowOff>
    </xdr:to>
    <xdr:sp macro="" textlink="">
      <xdr:nvSpPr>
        <xdr:cNvPr id="13" name="Rectángulo 12">
          <a:extLst>
            <a:ext uri="{FF2B5EF4-FFF2-40B4-BE49-F238E27FC236}">
              <a16:creationId xmlns:a16="http://schemas.microsoft.com/office/drawing/2014/main" id="{28F8BE8D-5B57-42AB-980E-C7BB5E76EFA1}"/>
            </a:ext>
          </a:extLst>
        </xdr:cNvPr>
        <xdr:cNvSpPr/>
      </xdr:nvSpPr>
      <xdr:spPr>
        <a:xfrm>
          <a:off x="0" y="1143000"/>
          <a:ext cx="12411075" cy="533400"/>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154779</xdr:colOff>
      <xdr:row>6</xdr:row>
      <xdr:rowOff>35717</xdr:rowOff>
    </xdr:from>
    <xdr:to>
      <xdr:col>6</xdr:col>
      <xdr:colOff>126999</xdr:colOff>
      <xdr:row>7</xdr:row>
      <xdr:rowOff>261936</xdr:rowOff>
    </xdr:to>
    <xdr:sp macro="" textlink="">
      <xdr:nvSpPr>
        <xdr:cNvPr id="7" name="CuadroTexto 6">
          <a:extLst>
            <a:ext uri="{FF2B5EF4-FFF2-40B4-BE49-F238E27FC236}">
              <a16:creationId xmlns:a16="http://schemas.microsoft.com/office/drawing/2014/main" id="{39366D57-0EE8-4710-9C61-963B1B319C0B}"/>
            </a:ext>
          </a:extLst>
        </xdr:cNvPr>
        <xdr:cNvSpPr txBox="1"/>
      </xdr:nvSpPr>
      <xdr:spPr>
        <a:xfrm>
          <a:off x="154779" y="1178717"/>
          <a:ext cx="12354720" cy="488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Consejo Nacional de Personas con Discapacidad    </a:t>
          </a:r>
          <a:r>
            <a:rPr lang="es-CR" sz="1100" b="1" baseline="0">
              <a:solidFill>
                <a:schemeClr val="bg1"/>
              </a:solidFill>
              <a:effectLst/>
              <a:latin typeface="Palatino Linotype" panose="02040502050505030304" pitchFamily="18" charset="0"/>
              <a:ea typeface="+mn-ea"/>
              <a:cs typeface="+mn-cs"/>
            </a:rPr>
            <a:t>Programa  Pobreza y Discapacidad </a:t>
          </a:r>
          <a:r>
            <a:rPr lang="es-CR" sz="1100" b="1" baseline="0">
              <a:solidFill>
                <a:schemeClr val="dk1"/>
              </a:solidFill>
              <a:effectLst/>
              <a:latin typeface="Palatino Linotype" panose="02040502050505030304" pitchFamily="18" charset="0"/>
              <a:ea typeface="+mn-ea"/>
              <a:cs typeface="+mn-cs"/>
            </a:rPr>
            <a:t>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III Trimestre 2023</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27-11-2023</a:t>
          </a: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5</xdr:row>
      <xdr:rowOff>178592</xdr:rowOff>
    </xdr:to>
    <xdr:sp macro="" textlink="">
      <xdr:nvSpPr>
        <xdr:cNvPr id="10" name="Rectángulo 9">
          <a:extLst>
            <a:ext uri="{FF2B5EF4-FFF2-40B4-BE49-F238E27FC236}">
              <a16:creationId xmlns:a16="http://schemas.microsoft.com/office/drawing/2014/main" id="{998D7D1A-FFE3-4D4E-ADDA-395AFC17BE47}"/>
            </a:ext>
          </a:extLst>
        </xdr:cNvPr>
        <xdr:cNvSpPr/>
      </xdr:nvSpPr>
      <xdr:spPr>
        <a:xfrm>
          <a:off x="0" y="0"/>
          <a:ext cx="12411075"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178350</xdr:colOff>
      <xdr:row>0</xdr:row>
      <xdr:rowOff>154781</xdr:rowOff>
    </xdr:from>
    <xdr:to>
      <xdr:col>0</xdr:col>
      <xdr:colOff>3679031</xdr:colOff>
      <xdr:row>5</xdr:row>
      <xdr:rowOff>119062</xdr:rowOff>
    </xdr:to>
    <xdr:pic>
      <xdr:nvPicPr>
        <xdr:cNvPr id="11" name="Imagen 10">
          <a:extLst>
            <a:ext uri="{FF2B5EF4-FFF2-40B4-BE49-F238E27FC236}">
              <a16:creationId xmlns:a16="http://schemas.microsoft.com/office/drawing/2014/main" id="{8F1103ED-8A47-4F58-A899-E2786F9478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8350" y="154781"/>
          <a:ext cx="3500681" cy="916781"/>
        </a:xfrm>
        <a:prstGeom prst="rect">
          <a:avLst/>
        </a:prstGeom>
      </xdr:spPr>
    </xdr:pic>
    <xdr:clientData/>
  </xdr:twoCellAnchor>
  <xdr:twoCellAnchor editAs="oneCell">
    <xdr:from>
      <xdr:col>0</xdr:col>
      <xdr:colOff>3690937</xdr:colOff>
      <xdr:row>0</xdr:row>
      <xdr:rowOff>166687</xdr:rowOff>
    </xdr:from>
    <xdr:to>
      <xdr:col>2</xdr:col>
      <xdr:colOff>297656</xdr:colOff>
      <xdr:row>4</xdr:row>
      <xdr:rowOff>166686</xdr:rowOff>
    </xdr:to>
    <xdr:pic>
      <xdr:nvPicPr>
        <xdr:cNvPr id="12" name="Imagen 11">
          <a:extLst>
            <a:ext uri="{FF2B5EF4-FFF2-40B4-BE49-F238E27FC236}">
              <a16:creationId xmlns:a16="http://schemas.microsoft.com/office/drawing/2014/main" id="{5DFB1656-F68A-47FA-BBE7-B0B438200905}"/>
            </a:ext>
          </a:extLst>
        </xdr:cNvPr>
        <xdr:cNvPicPr>
          <a:picLocks noChangeAspect="1"/>
        </xdr:cNvPicPr>
      </xdr:nvPicPr>
      <xdr:blipFill rotWithShape="1">
        <a:blip xmlns:r="http://schemas.openxmlformats.org/officeDocument/2006/relationships" r:embed="rId2"/>
        <a:srcRect l="63388" r="1826" b="1724"/>
        <a:stretch/>
      </xdr:blipFill>
      <xdr:spPr>
        <a:xfrm>
          <a:off x="3690937" y="166687"/>
          <a:ext cx="2426494" cy="761999"/>
        </a:xfrm>
        <a:prstGeom prst="rect">
          <a:avLst/>
        </a:prstGeom>
      </xdr:spPr>
    </xdr:pic>
    <xdr:clientData/>
  </xdr:twoCellAnchor>
  <xdr:twoCellAnchor>
    <xdr:from>
      <xdr:col>0</xdr:col>
      <xdr:colOff>0</xdr:colOff>
      <xdr:row>6</xdr:row>
      <xdr:rowOff>0</xdr:rowOff>
    </xdr:from>
    <xdr:to>
      <xdr:col>6</xdr:col>
      <xdr:colOff>0</xdr:colOff>
      <xdr:row>8</xdr:row>
      <xdr:rowOff>0</xdr:rowOff>
    </xdr:to>
    <xdr:sp macro="" textlink="">
      <xdr:nvSpPr>
        <xdr:cNvPr id="13" name="Rectángulo 12">
          <a:extLst>
            <a:ext uri="{FF2B5EF4-FFF2-40B4-BE49-F238E27FC236}">
              <a16:creationId xmlns:a16="http://schemas.microsoft.com/office/drawing/2014/main" id="{A9B2B8B2-8B2D-4A87-899E-8F653049DDFA}"/>
            </a:ext>
          </a:extLst>
        </xdr:cNvPr>
        <xdr:cNvSpPr/>
      </xdr:nvSpPr>
      <xdr:spPr>
        <a:xfrm>
          <a:off x="0" y="1143000"/>
          <a:ext cx="12411075" cy="533400"/>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95248</xdr:colOff>
      <xdr:row>6</xdr:row>
      <xdr:rowOff>23811</xdr:rowOff>
    </xdr:from>
    <xdr:to>
      <xdr:col>6</xdr:col>
      <xdr:colOff>67468</xdr:colOff>
      <xdr:row>7</xdr:row>
      <xdr:rowOff>250030</xdr:rowOff>
    </xdr:to>
    <xdr:sp macro="" textlink="">
      <xdr:nvSpPr>
        <xdr:cNvPr id="7" name="CuadroTexto 6">
          <a:extLst>
            <a:ext uri="{FF2B5EF4-FFF2-40B4-BE49-F238E27FC236}">
              <a16:creationId xmlns:a16="http://schemas.microsoft.com/office/drawing/2014/main" id="{17ACEF7E-0A0D-4D58-893C-0428484F09C7}"/>
            </a:ext>
          </a:extLst>
        </xdr:cNvPr>
        <xdr:cNvSpPr txBox="1"/>
      </xdr:nvSpPr>
      <xdr:spPr>
        <a:xfrm>
          <a:off x="95248" y="1166811"/>
          <a:ext cx="12354720" cy="488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Consejo Nacional de Personas con Discapacidad    </a:t>
          </a:r>
          <a:r>
            <a:rPr lang="es-CR" sz="1100" b="1" baseline="0">
              <a:solidFill>
                <a:schemeClr val="bg1"/>
              </a:solidFill>
              <a:effectLst/>
              <a:latin typeface="Palatino Linotype" panose="02040502050505030304" pitchFamily="18" charset="0"/>
              <a:ea typeface="+mn-ea"/>
              <a:cs typeface="+mn-cs"/>
            </a:rPr>
            <a:t>Programa  Pobreza y Discapacidad </a:t>
          </a:r>
          <a:r>
            <a:rPr lang="es-CR" sz="1100" b="1" baseline="0">
              <a:solidFill>
                <a:schemeClr val="dk1"/>
              </a:solidFill>
              <a:effectLst/>
              <a:latin typeface="Palatino Linotype" panose="02040502050505030304" pitchFamily="18" charset="0"/>
              <a:ea typeface="+mn-ea"/>
              <a:cs typeface="+mn-cs"/>
            </a:rPr>
            <a:t>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III Trimestre Acumulado 2023</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27-11-2023</a:t>
          </a: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5</xdr:row>
      <xdr:rowOff>178592</xdr:rowOff>
    </xdr:to>
    <xdr:sp macro="" textlink="">
      <xdr:nvSpPr>
        <xdr:cNvPr id="10" name="Rectángulo 9">
          <a:extLst>
            <a:ext uri="{FF2B5EF4-FFF2-40B4-BE49-F238E27FC236}">
              <a16:creationId xmlns:a16="http://schemas.microsoft.com/office/drawing/2014/main" id="{93D042AF-FC07-49B7-B5A2-33A2651A4C47}"/>
            </a:ext>
          </a:extLst>
        </xdr:cNvPr>
        <xdr:cNvSpPr/>
      </xdr:nvSpPr>
      <xdr:spPr>
        <a:xfrm>
          <a:off x="0" y="0"/>
          <a:ext cx="12411075"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178350</xdr:colOff>
      <xdr:row>0</xdr:row>
      <xdr:rowOff>154781</xdr:rowOff>
    </xdr:from>
    <xdr:to>
      <xdr:col>0</xdr:col>
      <xdr:colOff>3679031</xdr:colOff>
      <xdr:row>5</xdr:row>
      <xdr:rowOff>119062</xdr:rowOff>
    </xdr:to>
    <xdr:pic>
      <xdr:nvPicPr>
        <xdr:cNvPr id="11" name="Imagen 10">
          <a:extLst>
            <a:ext uri="{FF2B5EF4-FFF2-40B4-BE49-F238E27FC236}">
              <a16:creationId xmlns:a16="http://schemas.microsoft.com/office/drawing/2014/main" id="{E5A38584-64E5-4235-88A5-5E3F1795DE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78350" y="154781"/>
          <a:ext cx="3500681" cy="916781"/>
        </a:xfrm>
        <a:prstGeom prst="rect">
          <a:avLst/>
        </a:prstGeom>
      </xdr:spPr>
    </xdr:pic>
    <xdr:clientData/>
  </xdr:twoCellAnchor>
  <xdr:twoCellAnchor editAs="oneCell">
    <xdr:from>
      <xdr:col>0</xdr:col>
      <xdr:colOff>3690937</xdr:colOff>
      <xdr:row>0</xdr:row>
      <xdr:rowOff>166687</xdr:rowOff>
    </xdr:from>
    <xdr:to>
      <xdr:col>2</xdr:col>
      <xdr:colOff>297656</xdr:colOff>
      <xdr:row>4</xdr:row>
      <xdr:rowOff>166686</xdr:rowOff>
    </xdr:to>
    <xdr:pic>
      <xdr:nvPicPr>
        <xdr:cNvPr id="12" name="Imagen 11">
          <a:extLst>
            <a:ext uri="{FF2B5EF4-FFF2-40B4-BE49-F238E27FC236}">
              <a16:creationId xmlns:a16="http://schemas.microsoft.com/office/drawing/2014/main" id="{5BE4928D-E685-424C-818D-8AFAC04F65B6}"/>
            </a:ext>
          </a:extLst>
        </xdr:cNvPr>
        <xdr:cNvPicPr>
          <a:picLocks noChangeAspect="1"/>
        </xdr:cNvPicPr>
      </xdr:nvPicPr>
      <xdr:blipFill rotWithShape="1">
        <a:blip xmlns:r="http://schemas.openxmlformats.org/officeDocument/2006/relationships" r:embed="rId2"/>
        <a:srcRect l="63388" r="1826" b="1724"/>
        <a:stretch/>
      </xdr:blipFill>
      <xdr:spPr>
        <a:xfrm>
          <a:off x="3690937" y="166687"/>
          <a:ext cx="2426494" cy="761999"/>
        </a:xfrm>
        <a:prstGeom prst="rect">
          <a:avLst/>
        </a:prstGeom>
      </xdr:spPr>
    </xdr:pic>
    <xdr:clientData/>
  </xdr:twoCellAnchor>
  <xdr:twoCellAnchor>
    <xdr:from>
      <xdr:col>0</xdr:col>
      <xdr:colOff>0</xdr:colOff>
      <xdr:row>6</xdr:row>
      <xdr:rowOff>0</xdr:rowOff>
    </xdr:from>
    <xdr:to>
      <xdr:col>6</xdr:col>
      <xdr:colOff>0</xdr:colOff>
      <xdr:row>8</xdr:row>
      <xdr:rowOff>0</xdr:rowOff>
    </xdr:to>
    <xdr:sp macro="" textlink="">
      <xdr:nvSpPr>
        <xdr:cNvPr id="13" name="Rectángulo 12">
          <a:extLst>
            <a:ext uri="{FF2B5EF4-FFF2-40B4-BE49-F238E27FC236}">
              <a16:creationId xmlns:a16="http://schemas.microsoft.com/office/drawing/2014/main" id="{6664B153-7320-4341-A03E-89E2412573CA}"/>
            </a:ext>
          </a:extLst>
        </xdr:cNvPr>
        <xdr:cNvSpPr/>
      </xdr:nvSpPr>
      <xdr:spPr>
        <a:xfrm>
          <a:off x="0" y="1143000"/>
          <a:ext cx="12411075" cy="533400"/>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0</xdr:colOff>
      <xdr:row>6</xdr:row>
      <xdr:rowOff>11905</xdr:rowOff>
    </xdr:from>
    <xdr:to>
      <xdr:col>5</xdr:col>
      <xdr:colOff>1615282</xdr:colOff>
      <xdr:row>7</xdr:row>
      <xdr:rowOff>238124</xdr:rowOff>
    </xdr:to>
    <xdr:sp macro="" textlink="">
      <xdr:nvSpPr>
        <xdr:cNvPr id="7" name="CuadroTexto 6">
          <a:extLst>
            <a:ext uri="{FF2B5EF4-FFF2-40B4-BE49-F238E27FC236}">
              <a16:creationId xmlns:a16="http://schemas.microsoft.com/office/drawing/2014/main" id="{7E0D87F0-5AAA-42BF-B02E-6AA0C05D8493}"/>
            </a:ext>
          </a:extLst>
        </xdr:cNvPr>
        <xdr:cNvSpPr txBox="1"/>
      </xdr:nvSpPr>
      <xdr:spPr>
        <a:xfrm>
          <a:off x="0" y="1154905"/>
          <a:ext cx="12354720" cy="488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Consejo Nacional de Personas con Discapacidad    </a:t>
          </a:r>
          <a:r>
            <a:rPr lang="es-CR" sz="1100" b="1" baseline="0">
              <a:solidFill>
                <a:schemeClr val="bg1"/>
              </a:solidFill>
              <a:effectLst/>
              <a:latin typeface="Palatino Linotype" panose="02040502050505030304" pitchFamily="18" charset="0"/>
              <a:ea typeface="+mn-ea"/>
              <a:cs typeface="+mn-cs"/>
            </a:rPr>
            <a:t>Programa  Pobreza y Discapacidad </a:t>
          </a:r>
          <a:r>
            <a:rPr lang="es-CR" sz="1100" b="1" baseline="0">
              <a:solidFill>
                <a:schemeClr val="dk1"/>
              </a:solidFill>
              <a:effectLst/>
              <a:latin typeface="Palatino Linotype" panose="02040502050505030304" pitchFamily="18" charset="0"/>
              <a:ea typeface="+mn-ea"/>
              <a:cs typeface="+mn-cs"/>
            </a:rPr>
            <a:t>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IV Trimestre 2023</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29-02-2024</a:t>
          </a: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448468</xdr:colOff>
      <xdr:row>13</xdr:row>
      <xdr:rowOff>139700</xdr:rowOff>
    </xdr:from>
    <xdr:to>
      <xdr:col>16</xdr:col>
      <xdr:colOff>178594</xdr:colOff>
      <xdr:row>31</xdr:row>
      <xdr:rowOff>76200</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436560</xdr:colOff>
      <xdr:row>31</xdr:row>
      <xdr:rowOff>190762</xdr:rowOff>
    </xdr:from>
    <xdr:to>
      <xdr:col>19</xdr:col>
      <xdr:colOff>544286</xdr:colOff>
      <xdr:row>48</xdr:row>
      <xdr:rowOff>108857</xdr:rowOff>
    </xdr:to>
    <xdr:graphicFrame macro="">
      <xdr:nvGraphicFramePr>
        <xdr:cNvPr id="3" name="Gráfico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457729</xdr:colOff>
      <xdr:row>50</xdr:row>
      <xdr:rowOff>84931</xdr:rowOff>
    </xdr:from>
    <xdr:to>
      <xdr:col>19</xdr:col>
      <xdr:colOff>607786</xdr:colOff>
      <xdr:row>67</xdr:row>
      <xdr:rowOff>154781</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257970</xdr:colOff>
      <xdr:row>13</xdr:row>
      <xdr:rowOff>101600</xdr:rowOff>
    </xdr:from>
    <xdr:to>
      <xdr:col>27</xdr:col>
      <xdr:colOff>371928</xdr:colOff>
      <xdr:row>31</xdr:row>
      <xdr:rowOff>81642</xdr:rowOff>
    </xdr:to>
    <xdr:graphicFrame macro="">
      <xdr:nvGraphicFramePr>
        <xdr:cNvPr id="6" name="Gráfico 5">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51592</xdr:colOff>
      <xdr:row>31</xdr:row>
      <xdr:rowOff>179499</xdr:rowOff>
    </xdr:from>
    <xdr:to>
      <xdr:col>31</xdr:col>
      <xdr:colOff>127000</xdr:colOff>
      <xdr:row>50</xdr:row>
      <xdr:rowOff>18144</xdr:rowOff>
    </xdr:to>
    <xdr:graphicFrame macro="">
      <xdr:nvGraphicFramePr>
        <xdr:cNvPr id="7" name="Gráfico 6">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334657</xdr:colOff>
      <xdr:row>69</xdr:row>
      <xdr:rowOff>98422</xdr:rowOff>
    </xdr:from>
    <xdr:to>
      <xdr:col>25</xdr:col>
      <xdr:colOff>0</xdr:colOff>
      <xdr:row>83</xdr:row>
      <xdr:rowOff>0</xdr:rowOff>
    </xdr:to>
    <xdr:graphicFrame macro="">
      <xdr:nvGraphicFramePr>
        <xdr:cNvPr id="8" name="Gráfico 7">
          <a:extLst>
            <a:ext uri="{FF2B5EF4-FFF2-40B4-BE49-F238E27FC236}">
              <a16:creationId xmlns:a16="http://schemas.microsoft.com/office/drawing/2014/main"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20</xdr:col>
      <xdr:colOff>67089</xdr:colOff>
      <xdr:row>50</xdr:row>
      <xdr:rowOff>70758</xdr:rowOff>
    </xdr:from>
    <xdr:to>
      <xdr:col>29</xdr:col>
      <xdr:colOff>480786</xdr:colOff>
      <xdr:row>67</xdr:row>
      <xdr:rowOff>54429</xdr:rowOff>
    </xdr:to>
    <xdr:graphicFrame macro="">
      <xdr:nvGraphicFramePr>
        <xdr:cNvPr id="9" name="Gráfico 8">
          <a:extLst>
            <a:ext uri="{FF2B5EF4-FFF2-40B4-BE49-F238E27FC236}">
              <a16:creationId xmlns:a16="http://schemas.microsoft.com/office/drawing/2014/main" id="{00000000-0008-0000-0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0</xdr:row>
      <xdr:rowOff>0</xdr:rowOff>
    </xdr:from>
    <xdr:to>
      <xdr:col>6</xdr:col>
      <xdr:colOff>0</xdr:colOff>
      <xdr:row>5</xdr:row>
      <xdr:rowOff>178592</xdr:rowOff>
    </xdr:to>
    <xdr:sp macro="" textlink="">
      <xdr:nvSpPr>
        <xdr:cNvPr id="17" name="Rectángulo 16">
          <a:extLst>
            <a:ext uri="{FF2B5EF4-FFF2-40B4-BE49-F238E27FC236}">
              <a16:creationId xmlns:a16="http://schemas.microsoft.com/office/drawing/2014/main" id="{24070338-F208-48AD-8E69-2A010282564A}"/>
            </a:ext>
          </a:extLst>
        </xdr:cNvPr>
        <xdr:cNvSpPr/>
      </xdr:nvSpPr>
      <xdr:spPr>
        <a:xfrm>
          <a:off x="0" y="0"/>
          <a:ext cx="12411075" cy="1131092"/>
        </a:xfrm>
        <a:prstGeom prst="rect">
          <a:avLst/>
        </a:prstGeom>
        <a:solidFill>
          <a:srgbClr val="0035A0"/>
        </a:solidFill>
        <a:ln>
          <a:solidFill>
            <a:srgbClr val="0035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editAs="oneCell">
    <xdr:from>
      <xdr:col>0</xdr:col>
      <xdr:colOff>178350</xdr:colOff>
      <xdr:row>0</xdr:row>
      <xdr:rowOff>154781</xdr:rowOff>
    </xdr:from>
    <xdr:to>
      <xdr:col>0</xdr:col>
      <xdr:colOff>3679031</xdr:colOff>
      <xdr:row>5</xdr:row>
      <xdr:rowOff>119062</xdr:rowOff>
    </xdr:to>
    <xdr:pic>
      <xdr:nvPicPr>
        <xdr:cNvPr id="18" name="Imagen 17">
          <a:extLst>
            <a:ext uri="{FF2B5EF4-FFF2-40B4-BE49-F238E27FC236}">
              <a16:creationId xmlns:a16="http://schemas.microsoft.com/office/drawing/2014/main" id="{9DEBAB5B-254A-4074-9E86-A9473456AA6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78350" y="154781"/>
          <a:ext cx="3500681" cy="916781"/>
        </a:xfrm>
        <a:prstGeom prst="rect">
          <a:avLst/>
        </a:prstGeom>
      </xdr:spPr>
    </xdr:pic>
    <xdr:clientData/>
  </xdr:twoCellAnchor>
  <xdr:twoCellAnchor editAs="oneCell">
    <xdr:from>
      <xdr:col>0</xdr:col>
      <xdr:colOff>3690937</xdr:colOff>
      <xdr:row>0</xdr:row>
      <xdr:rowOff>166687</xdr:rowOff>
    </xdr:from>
    <xdr:to>
      <xdr:col>2</xdr:col>
      <xdr:colOff>297656</xdr:colOff>
      <xdr:row>4</xdr:row>
      <xdr:rowOff>166686</xdr:rowOff>
    </xdr:to>
    <xdr:pic>
      <xdr:nvPicPr>
        <xdr:cNvPr id="19" name="Imagen 18">
          <a:extLst>
            <a:ext uri="{FF2B5EF4-FFF2-40B4-BE49-F238E27FC236}">
              <a16:creationId xmlns:a16="http://schemas.microsoft.com/office/drawing/2014/main" id="{5AFDEBD8-8AAC-4576-91C8-69476A052AE1}"/>
            </a:ext>
          </a:extLst>
        </xdr:cNvPr>
        <xdr:cNvPicPr>
          <a:picLocks noChangeAspect="1"/>
        </xdr:cNvPicPr>
      </xdr:nvPicPr>
      <xdr:blipFill rotWithShape="1">
        <a:blip xmlns:r="http://schemas.openxmlformats.org/officeDocument/2006/relationships" r:embed="rId9"/>
        <a:srcRect l="63388" r="1826" b="1724"/>
        <a:stretch/>
      </xdr:blipFill>
      <xdr:spPr>
        <a:xfrm>
          <a:off x="3690937" y="166687"/>
          <a:ext cx="2426494" cy="761999"/>
        </a:xfrm>
        <a:prstGeom prst="rect">
          <a:avLst/>
        </a:prstGeom>
      </xdr:spPr>
    </xdr:pic>
    <xdr:clientData/>
  </xdr:twoCellAnchor>
  <xdr:twoCellAnchor>
    <xdr:from>
      <xdr:col>0</xdr:col>
      <xdr:colOff>0</xdr:colOff>
      <xdr:row>6</xdr:row>
      <xdr:rowOff>0</xdr:rowOff>
    </xdr:from>
    <xdr:to>
      <xdr:col>6</xdr:col>
      <xdr:colOff>0</xdr:colOff>
      <xdr:row>8</xdr:row>
      <xdr:rowOff>0</xdr:rowOff>
    </xdr:to>
    <xdr:sp macro="" textlink="">
      <xdr:nvSpPr>
        <xdr:cNvPr id="20" name="Rectángulo 19">
          <a:extLst>
            <a:ext uri="{FF2B5EF4-FFF2-40B4-BE49-F238E27FC236}">
              <a16:creationId xmlns:a16="http://schemas.microsoft.com/office/drawing/2014/main" id="{42E9BB31-8FF7-4E8B-A1C1-0DB11F5AFA0D}"/>
            </a:ext>
          </a:extLst>
        </xdr:cNvPr>
        <xdr:cNvSpPr/>
      </xdr:nvSpPr>
      <xdr:spPr>
        <a:xfrm>
          <a:off x="0" y="1143000"/>
          <a:ext cx="12411075" cy="533400"/>
        </a:xfrm>
        <a:prstGeom prst="rect">
          <a:avLst/>
        </a:prstGeom>
        <a:solidFill>
          <a:srgbClr val="192952"/>
        </a:solidFill>
        <a:ln>
          <a:solidFill>
            <a:srgbClr val="19295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clientData/>
  </xdr:twoCellAnchor>
  <xdr:twoCellAnchor>
    <xdr:from>
      <xdr:col>0</xdr:col>
      <xdr:colOff>59530</xdr:colOff>
      <xdr:row>6</xdr:row>
      <xdr:rowOff>35718</xdr:rowOff>
    </xdr:from>
    <xdr:to>
      <xdr:col>6</xdr:col>
      <xdr:colOff>31750</xdr:colOff>
      <xdr:row>8</xdr:row>
      <xdr:rowOff>0</xdr:rowOff>
    </xdr:to>
    <xdr:sp macro="" textlink="">
      <xdr:nvSpPr>
        <xdr:cNvPr id="14" name="CuadroTexto 13">
          <a:extLst>
            <a:ext uri="{FF2B5EF4-FFF2-40B4-BE49-F238E27FC236}">
              <a16:creationId xmlns:a16="http://schemas.microsoft.com/office/drawing/2014/main" id="{7FB43E9F-C234-4FA8-B93E-BFBA35D9DCA3}"/>
            </a:ext>
          </a:extLst>
        </xdr:cNvPr>
        <xdr:cNvSpPr txBox="1"/>
      </xdr:nvSpPr>
      <xdr:spPr>
        <a:xfrm>
          <a:off x="59530" y="1178718"/>
          <a:ext cx="12354720" cy="488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 Consejo Nacional de Personas con Discapacidad    </a:t>
          </a:r>
          <a:r>
            <a:rPr lang="es-CR" sz="1100" b="1" baseline="0">
              <a:solidFill>
                <a:schemeClr val="bg1"/>
              </a:solidFill>
              <a:effectLst/>
              <a:latin typeface="Palatino Linotype" panose="02040502050505030304" pitchFamily="18" charset="0"/>
              <a:ea typeface="+mn-ea"/>
              <a:cs typeface="+mn-cs"/>
            </a:rPr>
            <a:t>Programa  Pobreza y Discapacidad </a:t>
          </a:r>
          <a:r>
            <a:rPr lang="es-CR" sz="1100" b="1" baseline="0">
              <a:solidFill>
                <a:schemeClr val="dk1"/>
              </a:solidFill>
              <a:effectLst/>
              <a:latin typeface="Palatino Linotype" panose="02040502050505030304" pitchFamily="18" charset="0"/>
              <a:ea typeface="+mn-ea"/>
              <a:cs typeface="+mn-cs"/>
            </a:rPr>
            <a:t>   </a:t>
          </a:r>
        </a:p>
        <a:p>
          <a:pPr marL="0" marR="0" indent="0" algn="ctr" defTabSz="914400" eaLnBrk="1" fontAlgn="auto" latinLnBrk="0" hangingPunct="1">
            <a:lnSpc>
              <a:spcPct val="100000"/>
            </a:lnSpc>
            <a:spcBef>
              <a:spcPts val="0"/>
            </a:spcBef>
            <a:spcAft>
              <a:spcPts val="0"/>
            </a:spcAft>
            <a:buClrTx/>
            <a:buSzTx/>
            <a:buFontTx/>
            <a:buNone/>
            <a:tabLst/>
            <a:defRPr/>
          </a:pPr>
          <a:r>
            <a:rPr lang="es-CR" sz="1100" b="1">
              <a:solidFill>
                <a:schemeClr val="bg1"/>
              </a:solidFill>
              <a:effectLst/>
              <a:latin typeface="Palatino Linotype" panose="02040502050505030304" pitchFamily="18" charset="0"/>
              <a:ea typeface="+mn-ea"/>
              <a:cs typeface="+mn-cs"/>
            </a:rPr>
            <a:t>Período</a:t>
          </a:r>
          <a:r>
            <a:rPr lang="es-CR" sz="1100" b="1" baseline="0">
              <a:solidFill>
                <a:schemeClr val="bg1"/>
              </a:solidFill>
              <a:effectLst/>
              <a:latin typeface="Palatino Linotype" panose="02040502050505030304" pitchFamily="18" charset="0"/>
              <a:ea typeface="+mn-ea"/>
              <a:cs typeface="+mn-cs"/>
            </a:rPr>
            <a:t>:  Anual 2023</a:t>
          </a:r>
          <a:r>
            <a:rPr lang="es-CR" sz="1100" b="1" baseline="0">
              <a:solidFill>
                <a:schemeClr val="dk1"/>
              </a:solidFill>
              <a:effectLst/>
              <a:latin typeface="Palatino Linotype" panose="02040502050505030304" pitchFamily="18" charset="0"/>
              <a:ea typeface="+mn-ea"/>
              <a:cs typeface="+mn-cs"/>
            </a:rPr>
            <a:t>   </a:t>
          </a:r>
          <a:r>
            <a:rPr lang="es-CR" sz="1100" b="1" baseline="0">
              <a:solidFill>
                <a:schemeClr val="bg1"/>
              </a:solidFill>
              <a:effectLst/>
              <a:latin typeface="Palatino Linotype" panose="02040502050505030304" pitchFamily="18" charset="0"/>
              <a:ea typeface="+mn-ea"/>
              <a:cs typeface="+mn-cs"/>
            </a:rPr>
            <a:t>Fecha Actualización: 29-02-2024</a:t>
          </a:r>
          <a:endParaRPr lang="es-CR">
            <a:solidFill>
              <a:schemeClr val="bg1"/>
            </a:solidFill>
            <a:effectLst/>
            <a:latin typeface="Palatino Linotype" panose="02040502050505030304" pitchFamily="18" charset="0"/>
          </a:endParaRPr>
        </a:p>
        <a:p>
          <a:pPr marL="0" marR="0" indent="0" defTabSz="914400" eaLnBrk="1" fontAlgn="auto" latinLnBrk="0" hangingPunct="1">
            <a:lnSpc>
              <a:spcPct val="100000"/>
            </a:lnSpc>
            <a:spcBef>
              <a:spcPts val="0"/>
            </a:spcBef>
            <a:spcAft>
              <a:spcPts val="0"/>
            </a:spcAft>
            <a:buClrTx/>
            <a:buSzTx/>
            <a:buFontTx/>
            <a:buNone/>
            <a:tabLst/>
            <a:defRPr/>
          </a:pPr>
          <a:endParaRPr lang="es-CR" sz="1100" b="1" baseline="0">
            <a:solidFill>
              <a:schemeClr val="bg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s-CR">
            <a:solidFill>
              <a:schemeClr val="bg1"/>
            </a:solidFill>
            <a:effectLst/>
          </a:endParaRPr>
        </a:p>
        <a:p>
          <a:endParaRPr lang="es-CR" sz="1100">
            <a:solidFill>
              <a:schemeClr val="bg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73"/>
  <sheetViews>
    <sheetView showGridLines="0" tabSelected="1" zoomScale="80" zoomScaleNormal="80" workbookViewId="0">
      <pane ySplit="10" topLeftCell="A11" activePane="bottomLeft" state="frozen"/>
      <selection pane="bottomLeft" activeCell="A9" sqref="A9:A10"/>
    </sheetView>
  </sheetViews>
  <sheetFormatPr baseColWidth="10" defaultColWidth="11.44140625" defaultRowHeight="14.4" x14ac:dyDescent="0.3"/>
  <cols>
    <col min="1" max="1" width="62.5546875" style="3" customWidth="1"/>
    <col min="2" max="5" width="24.6640625" style="3" customWidth="1"/>
    <col min="6" max="6" width="24.5546875" style="3" customWidth="1"/>
    <col min="7" max="7" width="12.6640625" style="3" bestFit="1" customWidth="1"/>
    <col min="8" max="16384" width="11.44140625" style="3"/>
  </cols>
  <sheetData>
    <row r="1" spans="1:6" s="26" customFormat="1" x14ac:dyDescent="0.3"/>
    <row r="2" spans="1:6" s="26" customFormat="1" x14ac:dyDescent="0.3"/>
    <row r="3" spans="1:6" s="26" customFormat="1" x14ac:dyDescent="0.3"/>
    <row r="4" spans="1:6" s="26" customFormat="1" x14ac:dyDescent="0.3"/>
    <row r="5" spans="1:6" s="26" customFormat="1" x14ac:dyDescent="0.3"/>
    <row r="6" spans="1:6" s="26" customFormat="1" x14ac:dyDescent="0.3"/>
    <row r="7" spans="1:6" s="26" customFormat="1" ht="21" customHeight="1" x14ac:dyDescent="0.3"/>
    <row r="8" spans="1:6" s="26" customFormat="1" ht="21" customHeight="1" x14ac:dyDescent="0.3"/>
    <row r="9" spans="1:6" s="26" customFormat="1" ht="15.6" x14ac:dyDescent="0.35">
      <c r="A9" s="39" t="s">
        <v>0</v>
      </c>
      <c r="B9" s="41" t="s">
        <v>41</v>
      </c>
      <c r="C9" s="38" t="s">
        <v>1</v>
      </c>
      <c r="D9" s="38"/>
      <c r="E9" s="38"/>
      <c r="F9" s="38"/>
    </row>
    <row r="10" spans="1:6" s="26" customFormat="1" ht="31.8" thickBot="1" x14ac:dyDescent="0.4">
      <c r="A10" s="40"/>
      <c r="B10" s="42"/>
      <c r="C10" s="27" t="s">
        <v>42</v>
      </c>
      <c r="D10" s="14" t="s">
        <v>49</v>
      </c>
      <c r="E10" s="28" t="s">
        <v>50</v>
      </c>
      <c r="F10" s="28" t="s">
        <v>43</v>
      </c>
    </row>
    <row r="11" spans="1:6" s="26" customFormat="1" ht="16.2" thickTop="1" x14ac:dyDescent="0.35">
      <c r="A11" s="29"/>
      <c r="B11" s="29"/>
      <c r="C11" s="29"/>
      <c r="D11" s="16"/>
    </row>
    <row r="12" spans="1:6" s="26" customFormat="1" ht="15.6" x14ac:dyDescent="0.35">
      <c r="A12" s="30" t="s">
        <v>2</v>
      </c>
      <c r="B12" s="29"/>
      <c r="C12" s="29"/>
      <c r="D12" s="16"/>
    </row>
    <row r="13" spans="1:6" ht="15.6" x14ac:dyDescent="0.35">
      <c r="A13" s="5"/>
      <c r="B13" s="5"/>
      <c r="C13" s="5"/>
      <c r="D13" s="16"/>
    </row>
    <row r="14" spans="1:6" ht="15.6" x14ac:dyDescent="0.35">
      <c r="A14" s="30" t="s">
        <v>3</v>
      </c>
      <c r="B14" s="5"/>
      <c r="C14" s="5"/>
      <c r="D14" s="16"/>
    </row>
    <row r="15" spans="1:6" ht="15.6" x14ac:dyDescent="0.35">
      <c r="A15" s="29" t="s">
        <v>45</v>
      </c>
      <c r="B15" s="7">
        <f>SUM(C15:D15)</f>
        <v>4609</v>
      </c>
      <c r="C15" s="33">
        <v>2365</v>
      </c>
      <c r="D15" s="17">
        <f>+E15+F15</f>
        <v>2244</v>
      </c>
      <c r="E15" s="33">
        <v>1942</v>
      </c>
      <c r="F15" s="33">
        <v>302</v>
      </c>
    </row>
    <row r="16" spans="1:6" ht="15.6" x14ac:dyDescent="0.35">
      <c r="A16" s="5" t="s">
        <v>74</v>
      </c>
      <c r="B16" s="7">
        <f t="shared" ref="B16:B18" si="0">SUM(C16:D16)</f>
        <v>4870</v>
      </c>
      <c r="C16" s="7">
        <v>2519</v>
      </c>
      <c r="D16" s="17">
        <f t="shared" ref="D16:D18" si="1">+E16+F16</f>
        <v>2351</v>
      </c>
      <c r="E16" s="7">
        <v>1523</v>
      </c>
      <c r="F16" s="7">
        <v>828</v>
      </c>
    </row>
    <row r="17" spans="1:6" ht="15.6" x14ac:dyDescent="0.35">
      <c r="A17" s="29" t="s">
        <v>75</v>
      </c>
      <c r="B17" s="7">
        <f t="shared" si="0"/>
        <v>4945</v>
      </c>
      <c r="C17" s="33">
        <v>2490</v>
      </c>
      <c r="D17" s="17">
        <f t="shared" si="1"/>
        <v>2455</v>
      </c>
      <c r="E17" s="33">
        <v>2090</v>
      </c>
      <c r="F17" s="33">
        <v>365</v>
      </c>
    </row>
    <row r="18" spans="1:6" ht="15.6" x14ac:dyDescent="0.35">
      <c r="A18" s="5" t="s">
        <v>76</v>
      </c>
      <c r="B18" s="7">
        <f t="shared" si="0"/>
        <v>4082</v>
      </c>
      <c r="C18" s="7">
        <v>1934</v>
      </c>
      <c r="D18" s="17">
        <f t="shared" si="1"/>
        <v>2148</v>
      </c>
      <c r="E18" s="7">
        <v>1425</v>
      </c>
      <c r="F18" s="7">
        <v>723</v>
      </c>
    </row>
    <row r="19" spans="1:6" ht="15.6" x14ac:dyDescent="0.35">
      <c r="A19" s="29"/>
      <c r="B19" s="7"/>
      <c r="C19" s="7"/>
      <c r="D19" s="17"/>
    </row>
    <row r="20" spans="1:6" ht="15.6" x14ac:dyDescent="0.35">
      <c r="A20" s="30" t="s">
        <v>4</v>
      </c>
      <c r="B20" s="7"/>
      <c r="C20" s="7"/>
      <c r="D20" s="17"/>
    </row>
    <row r="21" spans="1:6" ht="15.6" x14ac:dyDescent="0.35">
      <c r="A21" s="29" t="s">
        <v>45</v>
      </c>
      <c r="B21" s="7">
        <f>+SUM(C21:D21)</f>
        <v>2597707759</v>
      </c>
      <c r="C21" s="8">
        <v>264147500</v>
      </c>
      <c r="D21" s="17">
        <f>+E21+F21</f>
        <v>2333560259</v>
      </c>
      <c r="E21" s="33">
        <v>1944848295</v>
      </c>
      <c r="F21" s="33">
        <v>388711964</v>
      </c>
    </row>
    <row r="22" spans="1:6" ht="15.6" x14ac:dyDescent="0.35">
      <c r="A22" s="29" t="s">
        <v>74</v>
      </c>
      <c r="B22" s="7">
        <f t="shared" ref="B22:B24" si="2">+SUM(C22:D22)</f>
        <v>2940895617.1620541</v>
      </c>
      <c r="C22" s="33">
        <v>302280000</v>
      </c>
      <c r="D22" s="17">
        <f t="shared" ref="D22:D24" si="3">+E22+F22</f>
        <v>2638615617.1620541</v>
      </c>
      <c r="E22" s="33">
        <v>1554137558.0820544</v>
      </c>
      <c r="F22" s="33">
        <v>1084478059.0799999</v>
      </c>
    </row>
    <row r="23" spans="1:6" ht="15.6" x14ac:dyDescent="0.35">
      <c r="A23" s="29" t="s">
        <v>75</v>
      </c>
      <c r="B23" s="7">
        <f t="shared" si="2"/>
        <v>2282439853.0820565</v>
      </c>
      <c r="C23" s="8">
        <v>278908700</v>
      </c>
      <c r="D23" s="17">
        <f t="shared" si="3"/>
        <v>2003531153.0820565</v>
      </c>
      <c r="E23" s="34">
        <v>1554137558.0820565</v>
      </c>
      <c r="F23" s="33">
        <v>449393595</v>
      </c>
    </row>
    <row r="24" spans="1:6" ht="15.6" x14ac:dyDescent="0.35">
      <c r="A24" s="29" t="s">
        <v>76</v>
      </c>
      <c r="B24" s="7">
        <f t="shared" si="2"/>
        <v>6689675897.3109436</v>
      </c>
      <c r="C24" s="33">
        <v>801484000</v>
      </c>
      <c r="D24" s="17">
        <f t="shared" si="3"/>
        <v>5888191897.3109436</v>
      </c>
      <c r="E24" s="33">
        <v>4263758872.9609437</v>
      </c>
      <c r="F24" s="33">
        <v>1624433024.3499999</v>
      </c>
    </row>
    <row r="25" spans="1:6" ht="15.6" x14ac:dyDescent="0.35">
      <c r="A25" s="29" t="s">
        <v>77</v>
      </c>
      <c r="B25" s="7">
        <f>B23</f>
        <v>2282439853.0820565</v>
      </c>
      <c r="C25" s="7">
        <f>C23</f>
        <v>278908700</v>
      </c>
      <c r="D25" s="17">
        <f t="shared" ref="D25:F25" si="4">D23</f>
        <v>2003531153.0820565</v>
      </c>
      <c r="E25" s="7">
        <f t="shared" si="4"/>
        <v>1554137558.0820565</v>
      </c>
      <c r="F25" s="7">
        <f t="shared" si="4"/>
        <v>449393595</v>
      </c>
    </row>
    <row r="26" spans="1:6" ht="15.6" x14ac:dyDescent="0.35">
      <c r="A26" s="29"/>
      <c r="B26" s="7"/>
      <c r="C26" s="7"/>
      <c r="D26" s="17"/>
    </row>
    <row r="27" spans="1:6" ht="15.6" x14ac:dyDescent="0.35">
      <c r="A27" s="30" t="s">
        <v>5</v>
      </c>
      <c r="B27" s="7"/>
      <c r="C27" s="7"/>
      <c r="D27" s="17"/>
    </row>
    <row r="28" spans="1:6" ht="15.6" x14ac:dyDescent="0.35">
      <c r="A28" s="29" t="s">
        <v>74</v>
      </c>
      <c r="B28" s="7">
        <f>B22</f>
        <v>2940895617.1620541</v>
      </c>
      <c r="C28" s="7"/>
      <c r="D28" s="17"/>
    </row>
    <row r="29" spans="1:6" ht="15.6" x14ac:dyDescent="0.35">
      <c r="A29" s="29" t="s">
        <v>75</v>
      </c>
      <c r="B29" s="34">
        <v>2940895617.1620564</v>
      </c>
      <c r="C29" s="7"/>
      <c r="D29" s="17"/>
    </row>
    <row r="30" spans="1:6" ht="15.6" x14ac:dyDescent="0.35">
      <c r="A30" s="29"/>
      <c r="B30" s="10"/>
      <c r="C30" s="10"/>
      <c r="D30" s="15"/>
    </row>
    <row r="31" spans="1:6" ht="15.6" x14ac:dyDescent="0.35">
      <c r="A31" s="30" t="s">
        <v>6</v>
      </c>
      <c r="B31" s="10"/>
      <c r="C31" s="10"/>
      <c r="D31" s="15"/>
    </row>
    <row r="32" spans="1:6" ht="15.6" x14ac:dyDescent="0.35">
      <c r="A32" s="29" t="s">
        <v>46</v>
      </c>
      <c r="B32" s="23">
        <v>1.0573999999999999</v>
      </c>
      <c r="C32" s="23">
        <v>1.0573999999999999</v>
      </c>
      <c r="D32" s="25">
        <v>1.0573999999999999</v>
      </c>
      <c r="E32" s="23">
        <v>1.0573999999999999</v>
      </c>
      <c r="F32" s="23">
        <v>1.0573999999999999</v>
      </c>
    </row>
    <row r="33" spans="1:6" ht="15.6" x14ac:dyDescent="0.35">
      <c r="A33" s="29" t="s">
        <v>78</v>
      </c>
      <c r="B33" s="23">
        <v>1.1041000000000001</v>
      </c>
      <c r="C33" s="23">
        <v>1.1041000000000001</v>
      </c>
      <c r="D33" s="25">
        <v>1.1041000000000001</v>
      </c>
      <c r="E33" s="23">
        <v>1.1041000000000001</v>
      </c>
      <c r="F33" s="23">
        <v>1.1041000000000001</v>
      </c>
    </row>
    <row r="34" spans="1:6" ht="15.6" x14ac:dyDescent="0.35">
      <c r="A34" s="29" t="s">
        <v>7</v>
      </c>
      <c r="B34" s="7">
        <f>C34+D34</f>
        <v>128834</v>
      </c>
      <c r="C34" s="9">
        <v>106880</v>
      </c>
      <c r="D34" s="18">
        <v>21954</v>
      </c>
    </row>
    <row r="35" spans="1:6" ht="15.6" x14ac:dyDescent="0.35">
      <c r="A35" s="29"/>
      <c r="B35" s="7"/>
      <c r="C35" s="7"/>
      <c r="D35" s="17"/>
    </row>
    <row r="36" spans="1:6" ht="15.6" x14ac:dyDescent="0.35">
      <c r="A36" s="30" t="s">
        <v>8</v>
      </c>
      <c r="B36" s="7"/>
      <c r="C36" s="7"/>
      <c r="D36" s="17"/>
    </row>
    <row r="37" spans="1:6" ht="15.6" x14ac:dyDescent="0.35">
      <c r="A37" s="29" t="s">
        <v>47</v>
      </c>
      <c r="B37" s="7">
        <f>B21/B32</f>
        <v>2456693549.2717991</v>
      </c>
      <c r="C37" s="7">
        <f t="shared" ref="C37:F37" si="5">C21/C32</f>
        <v>249808492.52884436</v>
      </c>
      <c r="D37" s="17">
        <f t="shared" si="5"/>
        <v>2206885056.7429547</v>
      </c>
      <c r="E37" s="7">
        <f t="shared" si="5"/>
        <v>1839273969.1696615</v>
      </c>
      <c r="F37" s="7">
        <f t="shared" si="5"/>
        <v>367611087.57329303</v>
      </c>
    </row>
    <row r="38" spans="1:6" ht="15.6" x14ac:dyDescent="0.35">
      <c r="A38" s="29" t="s">
        <v>79</v>
      </c>
      <c r="B38" s="7">
        <f>B23/B33</f>
        <v>2067240153.1401651</v>
      </c>
      <c r="C38" s="7">
        <f t="shared" ref="C38:F38" si="6">C23/C33</f>
        <v>252611810.524409</v>
      </c>
      <c r="D38" s="17">
        <f t="shared" si="6"/>
        <v>1814628342.6157563</v>
      </c>
      <c r="E38" s="7">
        <f t="shared" si="6"/>
        <v>1407605794.8392866</v>
      </c>
      <c r="F38" s="7">
        <f t="shared" si="6"/>
        <v>407022547.77646947</v>
      </c>
    </row>
    <row r="39" spans="1:6" ht="15.6" x14ac:dyDescent="0.35">
      <c r="A39" s="29" t="s">
        <v>48</v>
      </c>
      <c r="B39" s="7">
        <f>B37/B15</f>
        <v>533020.94798693841</v>
      </c>
      <c r="C39" s="7">
        <f t="shared" ref="C39:F39" si="7">C37/C15</f>
        <v>105627.26956822172</v>
      </c>
      <c r="D39" s="17">
        <f t="shared" si="7"/>
        <v>983460.36396744859</v>
      </c>
      <c r="E39" s="7">
        <f t="shared" si="7"/>
        <v>947102.97073617997</v>
      </c>
      <c r="F39" s="7">
        <f t="shared" si="7"/>
        <v>1217255.2568652087</v>
      </c>
    </row>
    <row r="40" spans="1:6" ht="15.6" x14ac:dyDescent="0.35">
      <c r="A40" s="29" t="s">
        <v>80</v>
      </c>
      <c r="B40" s="7">
        <f>B38/B17</f>
        <v>418046.54259659559</v>
      </c>
      <c r="C40" s="7">
        <f t="shared" ref="C40:F40" si="8">C38/C17</f>
        <v>101450.52631502369</v>
      </c>
      <c r="D40" s="17">
        <f t="shared" si="8"/>
        <v>739156.14770499233</v>
      </c>
      <c r="E40" s="7">
        <f t="shared" si="8"/>
        <v>673495.59561688348</v>
      </c>
      <c r="F40" s="7">
        <f t="shared" si="8"/>
        <v>1115130.2678807382</v>
      </c>
    </row>
    <row r="41" spans="1:6" ht="15.6" x14ac:dyDescent="0.35">
      <c r="A41" s="29"/>
      <c r="B41" s="10"/>
      <c r="C41" s="10"/>
      <c r="D41" s="15"/>
    </row>
    <row r="42" spans="1:6" ht="15.6" x14ac:dyDescent="0.35">
      <c r="A42" s="30" t="s">
        <v>9</v>
      </c>
      <c r="B42" s="10"/>
      <c r="C42" s="10"/>
      <c r="D42" s="15"/>
    </row>
    <row r="43" spans="1:6" ht="15.6" x14ac:dyDescent="0.35">
      <c r="A43" s="30"/>
      <c r="B43" s="10"/>
      <c r="C43" s="10"/>
      <c r="D43" s="15"/>
    </row>
    <row r="44" spans="1:6" ht="15.6" x14ac:dyDescent="0.35">
      <c r="A44" s="30" t="s">
        <v>10</v>
      </c>
      <c r="B44" s="10"/>
      <c r="C44" s="10"/>
      <c r="D44" s="15"/>
    </row>
    <row r="45" spans="1:6" ht="15.6" x14ac:dyDescent="0.35">
      <c r="A45" s="29" t="s">
        <v>11</v>
      </c>
      <c r="B45" s="10">
        <f>B16/B34*100</f>
        <v>3.7800580592079731</v>
      </c>
      <c r="C45" s="10">
        <f t="shared" ref="C45:D45" si="9">C16/C34*100</f>
        <v>2.3568488023952097</v>
      </c>
      <c r="D45" s="15">
        <f t="shared" si="9"/>
        <v>10.708754668853055</v>
      </c>
      <c r="E45" s="10"/>
      <c r="F45" s="10"/>
    </row>
    <row r="46" spans="1:6" ht="15.6" x14ac:dyDescent="0.35">
      <c r="A46" s="29" t="s">
        <v>12</v>
      </c>
      <c r="B46" s="10">
        <f>B17/B34*100</f>
        <v>3.8382725057050155</v>
      </c>
      <c r="C46" s="10">
        <f t="shared" ref="C46:D46" si="10">C17/C34*100</f>
        <v>2.3297155688622757</v>
      </c>
      <c r="D46" s="15">
        <f t="shared" si="10"/>
        <v>11.18247244237952</v>
      </c>
      <c r="E46" s="10"/>
      <c r="F46" s="10"/>
    </row>
    <row r="47" spans="1:6" ht="15.6" x14ac:dyDescent="0.35">
      <c r="A47" s="29"/>
      <c r="B47" s="10"/>
      <c r="C47" s="10"/>
      <c r="D47" s="15"/>
    </row>
    <row r="48" spans="1:6" ht="15.6" x14ac:dyDescent="0.35">
      <c r="A48" s="30" t="s">
        <v>13</v>
      </c>
      <c r="B48" s="10"/>
      <c r="C48" s="10"/>
      <c r="D48" s="15"/>
    </row>
    <row r="49" spans="1:6" ht="15.6" x14ac:dyDescent="0.35">
      <c r="A49" s="29" t="s">
        <v>14</v>
      </c>
      <c r="B49" s="10">
        <f>B17/B16*100</f>
        <v>101.54004106776181</v>
      </c>
      <c r="C49" s="10">
        <f t="shared" ref="C49:F49" si="11">C17/C16*100</f>
        <v>98.848749503771344</v>
      </c>
      <c r="D49" s="15">
        <f t="shared" si="11"/>
        <v>104.42364951084645</v>
      </c>
      <c r="E49" s="10">
        <f t="shared" si="11"/>
        <v>137.22915298752463</v>
      </c>
      <c r="F49" s="10">
        <f t="shared" si="11"/>
        <v>44.082125603864739</v>
      </c>
    </row>
    <row r="50" spans="1:6" ht="15.6" x14ac:dyDescent="0.35">
      <c r="A50" s="29" t="s">
        <v>15</v>
      </c>
      <c r="B50" s="10">
        <f>B23/B22*100</f>
        <v>77.610366031440336</v>
      </c>
      <c r="C50" s="10">
        <f t="shared" ref="C50:F50" si="12">C23/C22*100</f>
        <v>92.26832737858939</v>
      </c>
      <c r="D50" s="15">
        <f t="shared" si="12"/>
        <v>75.931148896819664</v>
      </c>
      <c r="E50" s="10">
        <f t="shared" si="12"/>
        <v>100.00000000000013</v>
      </c>
      <c r="F50" s="10">
        <f t="shared" si="12"/>
        <v>41.438698665903487</v>
      </c>
    </row>
    <row r="51" spans="1:6" ht="15.6" x14ac:dyDescent="0.35">
      <c r="A51" s="29" t="s">
        <v>16</v>
      </c>
      <c r="B51" s="10">
        <f>AVERAGE(B49:B50)</f>
        <v>89.575203549601071</v>
      </c>
      <c r="C51" s="10">
        <f t="shared" ref="C51:F51" si="13">AVERAGE(C49:C50)</f>
        <v>95.55853844118036</v>
      </c>
      <c r="D51" s="15">
        <f t="shared" si="13"/>
        <v>90.177399203833062</v>
      </c>
      <c r="E51" s="10">
        <f t="shared" si="13"/>
        <v>118.61457649376237</v>
      </c>
      <c r="F51" s="10">
        <f t="shared" si="13"/>
        <v>42.760412134884113</v>
      </c>
    </row>
    <row r="52" spans="1:6" ht="15.6" x14ac:dyDescent="0.35">
      <c r="A52" s="29"/>
      <c r="B52" s="10"/>
      <c r="C52" s="10"/>
      <c r="D52" s="15"/>
      <c r="E52" s="10"/>
      <c r="F52" s="10"/>
    </row>
    <row r="53" spans="1:6" ht="15.6" x14ac:dyDescent="0.35">
      <c r="A53" s="30" t="s">
        <v>17</v>
      </c>
      <c r="B53" s="10"/>
      <c r="C53" s="10"/>
      <c r="D53" s="15"/>
      <c r="E53" s="10"/>
      <c r="F53" s="10"/>
    </row>
    <row r="54" spans="1:6" ht="15.6" x14ac:dyDescent="0.35">
      <c r="A54" s="29" t="s">
        <v>18</v>
      </c>
      <c r="B54" s="10">
        <f>(B17/B18)*100</f>
        <v>121.14159725624694</v>
      </c>
      <c r="C54" s="10">
        <f t="shared" ref="C54:F54" si="14">(C17/C18)*100</f>
        <v>128.74870734229575</v>
      </c>
      <c r="D54" s="15">
        <f t="shared" si="14"/>
        <v>114.29236499068902</v>
      </c>
      <c r="E54" s="10">
        <f t="shared" si="14"/>
        <v>146.66666666666666</v>
      </c>
      <c r="F54" s="10">
        <f t="shared" si="14"/>
        <v>50.484094052558781</v>
      </c>
    </row>
    <row r="55" spans="1:6" ht="15.6" x14ac:dyDescent="0.35">
      <c r="A55" s="29" t="s">
        <v>19</v>
      </c>
      <c r="B55" s="10">
        <f>B23/B24*100</f>
        <v>34.118840555482386</v>
      </c>
      <c r="C55" s="10">
        <f t="shared" ref="C55:F55" si="15">C23/C24*100</f>
        <v>34.799035289537905</v>
      </c>
      <c r="D55" s="15">
        <f t="shared" si="15"/>
        <v>34.026254375252982</v>
      </c>
      <c r="E55" s="10">
        <f t="shared" si="15"/>
        <v>36.449940167530961</v>
      </c>
      <c r="F55" s="10">
        <f t="shared" si="15"/>
        <v>27.664642879309859</v>
      </c>
    </row>
    <row r="56" spans="1:6" ht="15.6" x14ac:dyDescent="0.35">
      <c r="A56" s="29" t="s">
        <v>20</v>
      </c>
      <c r="B56" s="10">
        <f>(B54+B55)/2</f>
        <v>77.630218905864666</v>
      </c>
      <c r="C56" s="10">
        <f t="shared" ref="C56:F56" si="16">(C54+C55)/2</f>
        <v>81.773871315916821</v>
      </c>
      <c r="D56" s="15">
        <f t="shared" si="16"/>
        <v>74.159309682970999</v>
      </c>
      <c r="E56" s="10">
        <f t="shared" si="16"/>
        <v>91.558303417098813</v>
      </c>
      <c r="F56" s="10">
        <f t="shared" si="16"/>
        <v>39.07436846593432</v>
      </c>
    </row>
    <row r="57" spans="1:6" ht="15.6" x14ac:dyDescent="0.35">
      <c r="A57" s="29"/>
      <c r="B57" s="10"/>
      <c r="C57" s="10"/>
      <c r="D57" s="15"/>
    </row>
    <row r="58" spans="1:6" ht="15.6" x14ac:dyDescent="0.35">
      <c r="A58" s="30" t="s">
        <v>31</v>
      </c>
      <c r="B58" s="10"/>
      <c r="C58" s="10"/>
      <c r="D58" s="15"/>
    </row>
    <row r="59" spans="1:6" ht="15.6" x14ac:dyDescent="0.35">
      <c r="A59" s="29" t="s">
        <v>21</v>
      </c>
      <c r="B59" s="10">
        <f>B25/B23*100</f>
        <v>100</v>
      </c>
      <c r="C59" s="10">
        <f t="shared" ref="C59:F59" si="17">C25/C23*100</f>
        <v>100</v>
      </c>
      <c r="D59" s="15">
        <f t="shared" si="17"/>
        <v>100</v>
      </c>
      <c r="E59" s="10">
        <f t="shared" si="17"/>
        <v>100</v>
      </c>
      <c r="F59" s="10">
        <f t="shared" si="17"/>
        <v>100</v>
      </c>
    </row>
    <row r="60" spans="1:6" ht="15.6" x14ac:dyDescent="0.35">
      <c r="A60" s="29"/>
      <c r="B60" s="10"/>
      <c r="C60" s="10"/>
      <c r="D60" s="15"/>
      <c r="E60" s="10"/>
      <c r="F60" s="10"/>
    </row>
    <row r="61" spans="1:6" ht="15.6" x14ac:dyDescent="0.35">
      <c r="A61" s="30" t="s">
        <v>22</v>
      </c>
      <c r="B61" s="10"/>
      <c r="C61" s="10"/>
      <c r="D61" s="15"/>
      <c r="E61" s="10"/>
      <c r="F61" s="10"/>
    </row>
    <row r="62" spans="1:6" ht="15.6" x14ac:dyDescent="0.35">
      <c r="A62" s="29" t="s">
        <v>23</v>
      </c>
      <c r="B62" s="10">
        <f>((B17/B15)-1)*100</f>
        <v>7.2900846170535827</v>
      </c>
      <c r="C62" s="10">
        <f t="shared" ref="C62:F62" si="18">((C17/C15)-1)*100</f>
        <v>5.2854122621564414</v>
      </c>
      <c r="D62" s="15">
        <f t="shared" si="18"/>
        <v>9.4028520499108694</v>
      </c>
      <c r="E62" s="10">
        <f t="shared" si="18"/>
        <v>7.6210092687950537</v>
      </c>
      <c r="F62" s="10">
        <f t="shared" si="18"/>
        <v>20.860927152317888</v>
      </c>
    </row>
    <row r="63" spans="1:6" ht="15.6" x14ac:dyDescent="0.35">
      <c r="A63" s="29" t="s">
        <v>24</v>
      </c>
      <c r="B63" s="10">
        <f>((B38/B37)-1)*100</f>
        <v>-15.852746316164412</v>
      </c>
      <c r="C63" s="10">
        <f t="shared" ref="C63:F63" si="19">((C38/C37)-1)*100</f>
        <v>1.1221868268713742</v>
      </c>
      <c r="D63" s="15">
        <f t="shared" si="19"/>
        <v>-17.774224938842664</v>
      </c>
      <c r="E63" s="10">
        <f t="shared" si="19"/>
        <v>-23.469487502465501</v>
      </c>
      <c r="F63" s="10">
        <f t="shared" si="19"/>
        <v>10.720966133895171</v>
      </c>
    </row>
    <row r="64" spans="1:6" ht="15.6" x14ac:dyDescent="0.35">
      <c r="A64" s="29" t="s">
        <v>25</v>
      </c>
      <c r="B64" s="10">
        <f>((B40/B39)-1)*100</f>
        <v>-21.570335241901272</v>
      </c>
      <c r="C64" s="10">
        <f t="shared" ref="C64:F64" si="20">((C40/C39)-1)*100</f>
        <v>-3.9542281744776031</v>
      </c>
      <c r="D64" s="15">
        <f t="shared" si="20"/>
        <v>-24.841287479740515</v>
      </c>
      <c r="E64" s="10">
        <f t="shared" si="20"/>
        <v>-28.888873076453592</v>
      </c>
      <c r="F64" s="10">
        <f t="shared" si="20"/>
        <v>-8.3897759659278375</v>
      </c>
    </row>
    <row r="65" spans="1:7" ht="15.6" x14ac:dyDescent="0.35">
      <c r="A65" s="29"/>
      <c r="B65" s="10"/>
      <c r="C65" s="10"/>
      <c r="D65" s="15"/>
    </row>
    <row r="66" spans="1:7" ht="15.6" x14ac:dyDescent="0.35">
      <c r="A66" s="30" t="s">
        <v>26</v>
      </c>
      <c r="B66" s="10"/>
      <c r="C66" s="10"/>
      <c r="D66" s="15"/>
    </row>
    <row r="67" spans="1:7" ht="15.6" x14ac:dyDescent="0.35">
      <c r="A67" s="29" t="s">
        <v>35</v>
      </c>
      <c r="B67" s="10">
        <f t="shared" ref="B67:B68" si="21">B22/B16</f>
        <v>603880.0035240358</v>
      </c>
      <c r="C67" s="10">
        <f t="shared" ref="C67:F67" si="22">C22/C16</f>
        <v>120000</v>
      </c>
      <c r="D67" s="15">
        <f t="shared" si="22"/>
        <v>1122337.5657856462</v>
      </c>
      <c r="E67" s="10">
        <f t="shared" si="22"/>
        <v>1020444.883835886</v>
      </c>
      <c r="F67" s="10">
        <f t="shared" si="22"/>
        <v>1309756.1099999999</v>
      </c>
    </row>
    <row r="68" spans="1:7" ht="15.6" x14ac:dyDescent="0.35">
      <c r="A68" s="29" t="s">
        <v>36</v>
      </c>
      <c r="B68" s="10">
        <f t="shared" si="21"/>
        <v>461565.1876809012</v>
      </c>
      <c r="C68" s="10">
        <f t="shared" ref="C68:F68" si="23">C23/C17</f>
        <v>112011.52610441767</v>
      </c>
      <c r="D68" s="15">
        <f t="shared" si="23"/>
        <v>816102.30268108204</v>
      </c>
      <c r="E68" s="10">
        <f t="shared" si="23"/>
        <v>743606.48712060123</v>
      </c>
      <c r="F68" s="10">
        <f t="shared" si="23"/>
        <v>1231215.3287671234</v>
      </c>
    </row>
    <row r="69" spans="1:7" ht="15.6" x14ac:dyDescent="0.35">
      <c r="A69" s="29" t="s">
        <v>27</v>
      </c>
      <c r="B69" s="10">
        <f>(B68/B67)*B51</f>
        <v>68.46525037532713</v>
      </c>
      <c r="C69" s="10">
        <f t="shared" ref="C69:F69" si="24">(C68/C67)*C51</f>
        <v>89.197147692535623</v>
      </c>
      <c r="D69" s="15">
        <f t="shared" si="24"/>
        <v>65.572057270062871</v>
      </c>
      <c r="E69" s="10">
        <f t="shared" si="24"/>
        <v>86.435406698564748</v>
      </c>
      <c r="F69" s="10">
        <f t="shared" si="24"/>
        <v>40.196243012654506</v>
      </c>
    </row>
    <row r="70" spans="1:7" ht="15.6" x14ac:dyDescent="0.35">
      <c r="A70" s="29" t="s">
        <v>33</v>
      </c>
      <c r="B70" s="10">
        <f t="shared" ref="B70:B71" si="25">B22/(B16*3)</f>
        <v>201293.3345080119</v>
      </c>
      <c r="C70" s="10">
        <f>C22/(C16*2)</f>
        <v>60000</v>
      </c>
      <c r="D70" s="15">
        <f t="shared" ref="D70:F70" si="26">D22/(D16*3)</f>
        <v>374112.5219285487</v>
      </c>
      <c r="E70" s="10">
        <f t="shared" si="26"/>
        <v>340148.29461196199</v>
      </c>
      <c r="F70" s="10">
        <f t="shared" si="26"/>
        <v>436585.37</v>
      </c>
    </row>
    <row r="71" spans="1:7" ht="15.6" x14ac:dyDescent="0.35">
      <c r="A71" s="29" t="s">
        <v>34</v>
      </c>
      <c r="B71" s="10">
        <f t="shared" si="25"/>
        <v>153855.0625603004</v>
      </c>
      <c r="C71" s="10">
        <f>C23/(C17*2)</f>
        <v>56005.763052208837</v>
      </c>
      <c r="D71" s="15">
        <f t="shared" ref="D71:F71" si="27">D23/(D17*3)</f>
        <v>272034.10089369403</v>
      </c>
      <c r="E71" s="10">
        <f t="shared" si="27"/>
        <v>247868.82904020039</v>
      </c>
      <c r="F71" s="10">
        <f t="shared" si="27"/>
        <v>410405.10958904109</v>
      </c>
    </row>
    <row r="72" spans="1:7" ht="15.6" x14ac:dyDescent="0.35">
      <c r="A72" s="29"/>
      <c r="B72" s="10"/>
      <c r="C72" s="10"/>
      <c r="D72" s="15"/>
    </row>
    <row r="73" spans="1:7" ht="15.6" x14ac:dyDescent="0.35">
      <c r="A73" s="30" t="s">
        <v>28</v>
      </c>
      <c r="B73" s="10"/>
      <c r="C73" s="10"/>
      <c r="D73" s="15"/>
    </row>
    <row r="74" spans="1:7" ht="15.6" x14ac:dyDescent="0.35">
      <c r="A74" s="29" t="s">
        <v>29</v>
      </c>
      <c r="B74" s="10">
        <f>(B29/B28)*100</f>
        <v>100.00000000000009</v>
      </c>
      <c r="C74" s="10"/>
      <c r="D74" s="15"/>
    </row>
    <row r="75" spans="1:7" ht="16.2" thickBot="1" x14ac:dyDescent="0.4">
      <c r="A75" s="31" t="s">
        <v>30</v>
      </c>
      <c r="B75" s="12">
        <f>(B23/B29)*100</f>
        <v>77.610366031440279</v>
      </c>
      <c r="C75" s="12"/>
      <c r="D75" s="19"/>
      <c r="E75" s="4"/>
    </row>
    <row r="76" spans="1:7" s="26" customFormat="1" ht="20.25" customHeight="1" thickTop="1" x14ac:dyDescent="0.3">
      <c r="A76" s="43" t="s">
        <v>81</v>
      </c>
      <c r="B76" s="43"/>
      <c r="C76" s="43"/>
      <c r="D76" s="43"/>
      <c r="E76" s="43"/>
      <c r="F76" s="43"/>
      <c r="G76" s="32"/>
    </row>
    <row r="77" spans="1:7" s="26" customFormat="1" ht="15.6" x14ac:dyDescent="0.3">
      <c r="A77" s="37" t="s">
        <v>82</v>
      </c>
      <c r="B77" s="37"/>
      <c r="C77" s="37"/>
      <c r="D77" s="37"/>
      <c r="E77" s="37"/>
      <c r="F77" s="37"/>
    </row>
    <row r="78" spans="1:7" s="26" customFormat="1" x14ac:dyDescent="0.3"/>
    <row r="79" spans="1:7" s="26" customFormat="1" x14ac:dyDescent="0.3"/>
    <row r="80" spans="1:7" s="26" customFormat="1" x14ac:dyDescent="0.3"/>
    <row r="81" spans="1:4" s="26" customFormat="1" x14ac:dyDescent="0.3"/>
    <row r="82" spans="1:4" s="26" customFormat="1" ht="15.6" x14ac:dyDescent="0.35">
      <c r="A82" s="29"/>
      <c r="B82" s="29"/>
      <c r="C82" s="29"/>
      <c r="D82" s="29"/>
    </row>
    <row r="83" spans="1:4" s="26" customFormat="1" ht="15.6" x14ac:dyDescent="0.35">
      <c r="A83" s="29"/>
      <c r="B83" s="29"/>
      <c r="C83" s="29"/>
      <c r="D83" s="29"/>
    </row>
    <row r="84" spans="1:4" s="26" customFormat="1" ht="15.6" x14ac:dyDescent="0.35">
      <c r="A84" s="29"/>
      <c r="B84" s="29"/>
      <c r="C84" s="29"/>
      <c r="D84" s="29"/>
    </row>
    <row r="85" spans="1:4" s="26" customFormat="1" ht="15.6" x14ac:dyDescent="0.35">
      <c r="A85" s="29"/>
      <c r="B85" s="29"/>
      <c r="C85" s="29"/>
      <c r="D85" s="29"/>
    </row>
    <row r="86" spans="1:4" ht="15.6" x14ac:dyDescent="0.35">
      <c r="A86" s="5"/>
      <c r="B86" s="5"/>
      <c r="C86" s="5"/>
      <c r="D86" s="5"/>
    </row>
    <row r="87" spans="1:4" ht="15.6" x14ac:dyDescent="0.35">
      <c r="A87" s="5"/>
      <c r="B87" s="5"/>
      <c r="C87" s="5"/>
      <c r="D87" s="5"/>
    </row>
    <row r="88" spans="1:4" ht="15.6" x14ac:dyDescent="0.35">
      <c r="A88" s="5"/>
      <c r="B88" s="5"/>
      <c r="C88" s="5"/>
      <c r="D88" s="5"/>
    </row>
    <row r="89" spans="1:4" ht="15.6" x14ac:dyDescent="0.35">
      <c r="A89" s="5"/>
      <c r="B89" s="5"/>
      <c r="C89" s="5"/>
      <c r="D89" s="5"/>
    </row>
    <row r="171" spans="9:13" x14ac:dyDescent="0.3">
      <c r="I171" s="2"/>
      <c r="J171" s="2"/>
      <c r="K171" s="2"/>
      <c r="L171" s="2"/>
      <c r="M171" s="2"/>
    </row>
    <row r="172" spans="9:13" x14ac:dyDescent="0.3">
      <c r="I172" s="2"/>
      <c r="J172" s="2"/>
      <c r="K172" s="2"/>
      <c r="L172" s="2"/>
      <c r="M172" s="2"/>
    </row>
    <row r="173" spans="9:13" x14ac:dyDescent="0.3">
      <c r="I173" s="2"/>
      <c r="J173" s="2"/>
      <c r="K173" s="2"/>
      <c r="L173" s="2"/>
      <c r="M173" s="2"/>
    </row>
  </sheetData>
  <mergeCells count="5">
    <mergeCell ref="A77:F77"/>
    <mergeCell ref="C9:F9"/>
    <mergeCell ref="A9:A10"/>
    <mergeCell ref="B9:B10"/>
    <mergeCell ref="A76:F76"/>
  </mergeCells>
  <pageMargins left="0.7" right="0.7" top="0.75" bottom="0.75" header="0.3" footer="0.3"/>
  <pageSetup orientation="portrait" r:id="rId1"/>
  <ignoredErrors>
    <ignoredError sqref="C70:C71"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91"/>
  <sheetViews>
    <sheetView showGridLines="0" zoomScale="80" zoomScaleNormal="80" workbookViewId="0">
      <pane ySplit="10" topLeftCell="A11" activePane="bottomLeft" state="frozen"/>
      <selection pane="bottomLeft" activeCell="A9" sqref="A9:A10"/>
    </sheetView>
  </sheetViews>
  <sheetFormatPr baseColWidth="10" defaultColWidth="11.44140625" defaultRowHeight="14.4" x14ac:dyDescent="0.3"/>
  <cols>
    <col min="1" max="1" width="62.5546875" style="3" customWidth="1"/>
    <col min="2" max="6" width="24.6640625" style="3" customWidth="1"/>
    <col min="7" max="16384" width="11.44140625" style="3"/>
  </cols>
  <sheetData>
    <row r="1" spans="1:6" s="26" customFormat="1" x14ac:dyDescent="0.3"/>
    <row r="2" spans="1:6" s="26" customFormat="1" x14ac:dyDescent="0.3"/>
    <row r="3" spans="1:6" s="26" customFormat="1" x14ac:dyDescent="0.3"/>
    <row r="4" spans="1:6" s="26" customFormat="1" x14ac:dyDescent="0.3"/>
    <row r="5" spans="1:6" s="26" customFormat="1" x14ac:dyDescent="0.3"/>
    <row r="6" spans="1:6" s="26" customFormat="1" x14ac:dyDescent="0.3"/>
    <row r="7" spans="1:6" s="26" customFormat="1" ht="21" customHeight="1" x14ac:dyDescent="0.3"/>
    <row r="8" spans="1:6" s="26" customFormat="1" ht="21" customHeight="1" x14ac:dyDescent="0.3"/>
    <row r="9" spans="1:6" s="26" customFormat="1" ht="15.6" x14ac:dyDescent="0.35">
      <c r="A9" s="39" t="s">
        <v>0</v>
      </c>
      <c r="B9" s="41" t="s">
        <v>41</v>
      </c>
      <c r="C9" s="38" t="s">
        <v>1</v>
      </c>
      <c r="D9" s="38"/>
      <c r="E9" s="38"/>
      <c r="F9" s="38"/>
    </row>
    <row r="10" spans="1:6" s="26" customFormat="1" ht="31.8" thickBot="1" x14ac:dyDescent="0.4">
      <c r="A10" s="40"/>
      <c r="B10" s="42"/>
      <c r="C10" s="27" t="s">
        <v>42</v>
      </c>
      <c r="D10" s="14" t="s">
        <v>49</v>
      </c>
      <c r="E10" s="28" t="s">
        <v>50</v>
      </c>
      <c r="F10" s="28" t="s">
        <v>43</v>
      </c>
    </row>
    <row r="11" spans="1:6" s="26" customFormat="1" ht="16.2" thickTop="1" x14ac:dyDescent="0.35">
      <c r="A11" s="29"/>
      <c r="B11" s="29"/>
      <c r="C11" s="29"/>
      <c r="D11" s="16"/>
    </row>
    <row r="12" spans="1:6" s="26" customFormat="1" ht="15.6" x14ac:dyDescent="0.35">
      <c r="A12" s="30" t="s">
        <v>2</v>
      </c>
      <c r="B12" s="29"/>
      <c r="C12" s="29"/>
      <c r="D12" s="16"/>
    </row>
    <row r="13" spans="1:6" ht="15.6" x14ac:dyDescent="0.35">
      <c r="A13" s="5"/>
      <c r="B13" s="5"/>
      <c r="C13" s="5"/>
      <c r="D13" s="16"/>
    </row>
    <row r="14" spans="1:6" ht="15.6" x14ac:dyDescent="0.35">
      <c r="A14" s="30" t="s">
        <v>3</v>
      </c>
      <c r="B14" s="5"/>
      <c r="C14" s="5"/>
      <c r="D14" s="16"/>
    </row>
    <row r="15" spans="1:6" ht="15.6" x14ac:dyDescent="0.35">
      <c r="A15" s="29" t="s">
        <v>51</v>
      </c>
      <c r="B15" s="7">
        <f>+SUM(C15:D15)</f>
        <v>4812</v>
      </c>
      <c r="C15" s="33">
        <v>2485</v>
      </c>
      <c r="D15" s="17">
        <f>+E15+F15</f>
        <v>2327</v>
      </c>
      <c r="E15" s="33">
        <v>1999</v>
      </c>
      <c r="F15" s="33">
        <v>328</v>
      </c>
    </row>
    <row r="16" spans="1:6" ht="15.6" x14ac:dyDescent="0.35">
      <c r="A16" s="5" t="s">
        <v>83</v>
      </c>
      <c r="B16" s="7">
        <f t="shared" ref="B16:B18" si="0">+SUM(C16:D16)</f>
        <v>4661</v>
      </c>
      <c r="C16" s="7">
        <v>2519</v>
      </c>
      <c r="D16" s="17">
        <f t="shared" ref="D16:D18" si="1">+E16+F16</f>
        <v>2142</v>
      </c>
      <c r="E16" s="7">
        <v>1523</v>
      </c>
      <c r="F16" s="7">
        <v>619</v>
      </c>
    </row>
    <row r="17" spans="1:6" ht="15.6" x14ac:dyDescent="0.35">
      <c r="A17" s="29" t="s">
        <v>84</v>
      </c>
      <c r="B17" s="7">
        <f t="shared" si="0"/>
        <v>5259</v>
      </c>
      <c r="C17" s="33">
        <v>2685</v>
      </c>
      <c r="D17" s="17">
        <f t="shared" si="1"/>
        <v>2574</v>
      </c>
      <c r="E17" s="33">
        <v>2178</v>
      </c>
      <c r="F17" s="33">
        <v>396</v>
      </c>
    </row>
    <row r="18" spans="1:6" ht="15.6" x14ac:dyDescent="0.35">
      <c r="A18" s="5" t="s">
        <v>76</v>
      </c>
      <c r="B18" s="7">
        <f t="shared" si="0"/>
        <v>4082</v>
      </c>
      <c r="C18" s="7">
        <v>1934</v>
      </c>
      <c r="D18" s="17">
        <f t="shared" si="1"/>
        <v>2148</v>
      </c>
      <c r="E18" s="7">
        <v>1425</v>
      </c>
      <c r="F18" s="7">
        <v>723</v>
      </c>
    </row>
    <row r="19" spans="1:6" ht="15.6" x14ac:dyDescent="0.35">
      <c r="A19" s="29"/>
      <c r="B19" s="7"/>
      <c r="C19" s="33"/>
      <c r="D19" s="17"/>
      <c r="E19" s="33"/>
      <c r="F19" s="35"/>
    </row>
    <row r="20" spans="1:6" ht="15.6" x14ac:dyDescent="0.35">
      <c r="A20" s="30" t="s">
        <v>4</v>
      </c>
      <c r="B20" s="7"/>
      <c r="C20" s="33"/>
      <c r="D20" s="17"/>
      <c r="E20" s="33"/>
      <c r="F20" s="35"/>
    </row>
    <row r="21" spans="1:6" ht="15.6" x14ac:dyDescent="0.35">
      <c r="A21" s="29" t="s">
        <v>51</v>
      </c>
      <c r="B21" s="7">
        <f>SUM(C21:D21)</f>
        <v>2763583926</v>
      </c>
      <c r="C21" s="33">
        <v>404191100</v>
      </c>
      <c r="D21" s="17">
        <f>+E21+F21</f>
        <v>2359392826</v>
      </c>
      <c r="E21" s="33">
        <v>1960609784</v>
      </c>
      <c r="F21" s="33">
        <v>398783042</v>
      </c>
    </row>
    <row r="22" spans="1:6" ht="15.6" x14ac:dyDescent="0.35">
      <c r="A22" s="29" t="s">
        <v>83</v>
      </c>
      <c r="B22" s="7">
        <f t="shared" ref="B22:B24" si="2">SUM(C22:D22)</f>
        <v>2547512523.3520546</v>
      </c>
      <c r="C22" s="33">
        <v>453420000</v>
      </c>
      <c r="D22" s="17">
        <f t="shared" ref="D22:D24" si="3">+E22+F22</f>
        <v>2094092523.3520544</v>
      </c>
      <c r="E22" s="33">
        <v>1554137558.0820544</v>
      </c>
      <c r="F22" s="33">
        <v>539954965.26999998</v>
      </c>
    </row>
    <row r="23" spans="1:6" ht="15.6" x14ac:dyDescent="0.35">
      <c r="A23" s="29" t="s">
        <v>84</v>
      </c>
      <c r="B23" s="7">
        <f t="shared" si="2"/>
        <v>2472182559.0820565</v>
      </c>
      <c r="C23" s="33">
        <v>439551240</v>
      </c>
      <c r="D23" s="17">
        <f t="shared" si="3"/>
        <v>2032631319.0820565</v>
      </c>
      <c r="E23" s="33">
        <v>1554137558.0820565</v>
      </c>
      <c r="F23" s="33">
        <v>478493761</v>
      </c>
    </row>
    <row r="24" spans="1:6" ht="15.6" x14ac:dyDescent="0.35">
      <c r="A24" s="29" t="s">
        <v>85</v>
      </c>
      <c r="B24" s="7">
        <f t="shared" si="2"/>
        <v>6689675897.3109436</v>
      </c>
      <c r="C24" s="33">
        <v>801484000</v>
      </c>
      <c r="D24" s="17">
        <f t="shared" si="3"/>
        <v>5888191897.3109436</v>
      </c>
      <c r="E24" s="33">
        <v>4263758872.9609437</v>
      </c>
      <c r="F24" s="33">
        <v>1624433024.3499999</v>
      </c>
    </row>
    <row r="25" spans="1:6" ht="15.6" x14ac:dyDescent="0.35">
      <c r="A25" s="29" t="s">
        <v>86</v>
      </c>
      <c r="B25" s="7">
        <f>B23</f>
        <v>2472182559.0820565</v>
      </c>
      <c r="C25" s="7">
        <f>C23</f>
        <v>439551240</v>
      </c>
      <c r="D25" s="17">
        <f>D23</f>
        <v>2032631319.0820565</v>
      </c>
      <c r="E25" s="7">
        <f t="shared" ref="E25:F25" si="4">E23</f>
        <v>1554137558.0820565</v>
      </c>
      <c r="F25" s="7">
        <f t="shared" si="4"/>
        <v>478493761</v>
      </c>
    </row>
    <row r="26" spans="1:6" ht="15.6" x14ac:dyDescent="0.35">
      <c r="A26" s="29"/>
      <c r="B26" s="7"/>
      <c r="C26" s="7"/>
      <c r="D26" s="17"/>
    </row>
    <row r="27" spans="1:6" ht="15.6" x14ac:dyDescent="0.35">
      <c r="A27" s="30" t="s">
        <v>5</v>
      </c>
      <c r="B27" s="7"/>
      <c r="C27" s="7"/>
      <c r="D27" s="17"/>
    </row>
    <row r="28" spans="1:6" ht="15.6" x14ac:dyDescent="0.35">
      <c r="A28" s="29" t="s">
        <v>83</v>
      </c>
      <c r="B28" s="7">
        <f>B22</f>
        <v>2547512523.3520546</v>
      </c>
      <c r="C28" s="7"/>
      <c r="D28" s="17"/>
    </row>
    <row r="29" spans="1:6" ht="15.6" x14ac:dyDescent="0.35">
      <c r="A29" s="29" t="s">
        <v>84</v>
      </c>
      <c r="B29" s="33">
        <v>2547512523.3520565</v>
      </c>
      <c r="C29" s="7"/>
      <c r="D29" s="17"/>
    </row>
    <row r="30" spans="1:6" ht="15.6" x14ac:dyDescent="0.35">
      <c r="A30" s="29"/>
      <c r="B30" s="10"/>
      <c r="C30" s="10"/>
      <c r="D30" s="15"/>
    </row>
    <row r="31" spans="1:6" ht="15.6" x14ac:dyDescent="0.35">
      <c r="A31" s="30" t="s">
        <v>6</v>
      </c>
      <c r="B31" s="10"/>
      <c r="C31" s="10"/>
      <c r="D31" s="15"/>
    </row>
    <row r="32" spans="1:6" ht="15.6" x14ac:dyDescent="0.35">
      <c r="A32" s="29" t="s">
        <v>52</v>
      </c>
      <c r="B32" s="20">
        <v>1.121</v>
      </c>
      <c r="C32" s="20">
        <v>1.121</v>
      </c>
      <c r="D32" s="21">
        <v>1.121</v>
      </c>
      <c r="E32" s="20">
        <v>1.121</v>
      </c>
      <c r="F32" s="20">
        <v>1.121</v>
      </c>
    </row>
    <row r="33" spans="1:6" ht="15.6" x14ac:dyDescent="0.35">
      <c r="A33" s="29" t="s">
        <v>87</v>
      </c>
      <c r="B33" s="20">
        <v>1.0973999999999999</v>
      </c>
      <c r="C33" s="20">
        <v>1.0973999999999999</v>
      </c>
      <c r="D33" s="21">
        <v>1.0973999999999999</v>
      </c>
      <c r="E33" s="20">
        <v>1.0973999999999999</v>
      </c>
      <c r="F33" s="20">
        <v>1.0973999999999999</v>
      </c>
    </row>
    <row r="34" spans="1:6" ht="15.6" x14ac:dyDescent="0.35">
      <c r="A34" s="29" t="s">
        <v>7</v>
      </c>
      <c r="B34" s="7">
        <f>C34+D34</f>
        <v>128834</v>
      </c>
      <c r="C34" s="9">
        <v>106880</v>
      </c>
      <c r="D34" s="18">
        <v>21954</v>
      </c>
    </row>
    <row r="35" spans="1:6" ht="15.6" x14ac:dyDescent="0.35">
      <c r="A35" s="29"/>
      <c r="B35" s="7"/>
      <c r="C35" s="7"/>
      <c r="D35" s="17"/>
    </row>
    <row r="36" spans="1:6" ht="15.6" x14ac:dyDescent="0.35">
      <c r="A36" s="30" t="s">
        <v>8</v>
      </c>
      <c r="B36" s="7"/>
      <c r="C36" s="7"/>
      <c r="D36" s="17"/>
    </row>
    <row r="37" spans="1:6" ht="15.6" x14ac:dyDescent="0.35">
      <c r="A37" s="29" t="s">
        <v>53</v>
      </c>
      <c r="B37" s="7">
        <f>B21/B32</f>
        <v>2465284501.3380909</v>
      </c>
      <c r="C37" s="7">
        <f t="shared" ref="C37:F37" si="5">C21/C32</f>
        <v>360562979.4826048</v>
      </c>
      <c r="D37" s="17">
        <f t="shared" si="5"/>
        <v>2104721521.8554862</v>
      </c>
      <c r="E37" s="7">
        <f t="shared" si="5"/>
        <v>1748982858.1623549</v>
      </c>
      <c r="F37" s="7">
        <f t="shared" si="5"/>
        <v>355738663.69313115</v>
      </c>
    </row>
    <row r="38" spans="1:6" ht="15.6" x14ac:dyDescent="0.35">
      <c r="A38" s="29" t="s">
        <v>88</v>
      </c>
      <c r="B38" s="7">
        <f>B23/B33</f>
        <v>2252763403.5739536</v>
      </c>
      <c r="C38" s="7">
        <f t="shared" ref="C38:F38" si="6">C23/C33</f>
        <v>400538764.35210502</v>
      </c>
      <c r="D38" s="17">
        <f t="shared" si="6"/>
        <v>1852224639.2218485</v>
      </c>
      <c r="E38" s="7">
        <f t="shared" si="6"/>
        <v>1416199706.6539609</v>
      </c>
      <c r="F38" s="7">
        <f t="shared" si="6"/>
        <v>436024932.56788778</v>
      </c>
    </row>
    <row r="39" spans="1:6" ht="15.6" x14ac:dyDescent="0.35">
      <c r="A39" s="29" t="s">
        <v>54</v>
      </c>
      <c r="B39" s="7">
        <f>B37/B15</f>
        <v>512320.13743518101</v>
      </c>
      <c r="C39" s="7">
        <f t="shared" ref="C39:F39" si="7">C37/C15</f>
        <v>145095.76639139027</v>
      </c>
      <c r="D39" s="17">
        <f t="shared" si="7"/>
        <v>904478.52249913453</v>
      </c>
      <c r="E39" s="7">
        <f t="shared" si="7"/>
        <v>874928.89352794143</v>
      </c>
      <c r="F39" s="7">
        <f t="shared" si="7"/>
        <v>1084569.0966253998</v>
      </c>
    </row>
    <row r="40" spans="1:6" ht="15.6" x14ac:dyDescent="0.35">
      <c r="A40" s="29" t="s">
        <v>89</v>
      </c>
      <c r="B40" s="7">
        <f>B38/B17</f>
        <v>428363.45380755916</v>
      </c>
      <c r="C40" s="7">
        <f t="shared" ref="C40:F40" si="8">C38/C17</f>
        <v>149176.44854827004</v>
      </c>
      <c r="D40" s="17">
        <f t="shared" si="8"/>
        <v>719589.99192768009</v>
      </c>
      <c r="E40" s="7">
        <f t="shared" si="8"/>
        <v>650229.43372541829</v>
      </c>
      <c r="F40" s="7">
        <f t="shared" si="8"/>
        <v>1101073.0620401206</v>
      </c>
    </row>
    <row r="41" spans="1:6" ht="15.6" x14ac:dyDescent="0.35">
      <c r="A41" s="29"/>
      <c r="B41" s="10"/>
      <c r="C41" s="10"/>
      <c r="D41" s="15"/>
      <c r="E41" s="10"/>
      <c r="F41" s="10"/>
    </row>
    <row r="42" spans="1:6" ht="15.6" x14ac:dyDescent="0.35">
      <c r="A42" s="30" t="s">
        <v>9</v>
      </c>
      <c r="B42" s="10"/>
      <c r="C42" s="10"/>
      <c r="D42" s="15"/>
      <c r="E42" s="10"/>
      <c r="F42" s="10"/>
    </row>
    <row r="43" spans="1:6" ht="15.6" x14ac:dyDescent="0.35">
      <c r="A43" s="29"/>
      <c r="B43" s="10"/>
      <c r="C43" s="10"/>
      <c r="D43" s="15"/>
      <c r="E43" s="10"/>
      <c r="F43" s="10"/>
    </row>
    <row r="44" spans="1:6" ht="15.6" x14ac:dyDescent="0.35">
      <c r="A44" s="30" t="s">
        <v>10</v>
      </c>
      <c r="B44" s="10"/>
      <c r="C44" s="10"/>
      <c r="D44" s="15"/>
      <c r="E44" s="10"/>
      <c r="F44" s="10"/>
    </row>
    <row r="45" spans="1:6" ht="15.6" x14ac:dyDescent="0.35">
      <c r="A45" s="29" t="s">
        <v>11</v>
      </c>
      <c r="B45" s="10">
        <f>B16/B34*100</f>
        <v>3.6178338016362139</v>
      </c>
      <c r="C45" s="10">
        <f t="shared" ref="C45:D45" si="9">C16/C34*100</f>
        <v>2.3568488023952097</v>
      </c>
      <c r="D45" s="15">
        <f t="shared" si="9"/>
        <v>9.7567641432085264</v>
      </c>
      <c r="E45" s="10"/>
      <c r="F45" s="10"/>
    </row>
    <row r="46" spans="1:6" ht="15.6" x14ac:dyDescent="0.35">
      <c r="A46" s="29" t="s">
        <v>12</v>
      </c>
      <c r="B46" s="10">
        <f>B17/B34*100</f>
        <v>4.0819969883726346</v>
      </c>
      <c r="C46" s="10">
        <f t="shared" ref="C46:D46" si="10">C17/C34*100</f>
        <v>2.5121631736526946</v>
      </c>
      <c r="D46" s="15">
        <f t="shared" si="10"/>
        <v>11.724514894779995</v>
      </c>
      <c r="E46" s="10"/>
      <c r="F46" s="10"/>
    </row>
    <row r="47" spans="1:6" ht="15.6" x14ac:dyDescent="0.35">
      <c r="A47" s="29"/>
      <c r="B47" s="10"/>
      <c r="C47" s="10"/>
      <c r="D47" s="15"/>
      <c r="E47" s="10"/>
      <c r="F47" s="10"/>
    </row>
    <row r="48" spans="1:6" ht="15.6" x14ac:dyDescent="0.35">
      <c r="A48" s="30" t="s">
        <v>13</v>
      </c>
      <c r="B48" s="10"/>
      <c r="C48" s="10"/>
      <c r="D48" s="15"/>
      <c r="E48" s="10"/>
      <c r="F48" s="10"/>
    </row>
    <row r="49" spans="1:6" ht="15.6" x14ac:dyDescent="0.35">
      <c r="A49" s="29" t="s">
        <v>14</v>
      </c>
      <c r="B49" s="10">
        <f>B17/B16*100</f>
        <v>112.82986483587214</v>
      </c>
      <c r="C49" s="10">
        <f t="shared" ref="C49:F49" si="11">C17/C16*100</f>
        <v>106.58991663358475</v>
      </c>
      <c r="D49" s="15">
        <f t="shared" si="11"/>
        <v>120.16806722689076</v>
      </c>
      <c r="E49" s="10">
        <f t="shared" si="11"/>
        <v>143.00722258699935</v>
      </c>
      <c r="F49" s="10">
        <f t="shared" si="11"/>
        <v>63.974151857835217</v>
      </c>
    </row>
    <row r="50" spans="1:6" ht="15.6" x14ac:dyDescent="0.35">
      <c r="A50" s="29" t="s">
        <v>15</v>
      </c>
      <c r="B50" s="10">
        <f>B23/B22*100</f>
        <v>97.042999255961348</v>
      </c>
      <c r="C50" s="10">
        <f t="shared" ref="C50:F50" si="12">C23/C22*100</f>
        <v>96.941299457456665</v>
      </c>
      <c r="D50" s="15">
        <f t="shared" si="12"/>
        <v>97.065019640506819</v>
      </c>
      <c r="E50" s="10">
        <f t="shared" si="12"/>
        <v>100.00000000000013</v>
      </c>
      <c r="F50" s="10">
        <f t="shared" si="12"/>
        <v>88.617346219000538</v>
      </c>
    </row>
    <row r="51" spans="1:6" ht="15.6" x14ac:dyDescent="0.35">
      <c r="A51" s="29" t="s">
        <v>16</v>
      </c>
      <c r="B51" s="10">
        <f>AVERAGE(B49:B50)</f>
        <v>104.93643204591675</v>
      </c>
      <c r="C51" s="10">
        <f t="shared" ref="C51:F51" si="13">AVERAGE(C49:C50)</f>
        <v>101.76560804552071</v>
      </c>
      <c r="D51" s="15">
        <f t="shared" si="13"/>
        <v>108.61654343369878</v>
      </c>
      <c r="E51" s="10">
        <f t="shared" si="13"/>
        <v>121.50361129349974</v>
      </c>
      <c r="F51" s="10">
        <f t="shared" si="13"/>
        <v>76.295749038417881</v>
      </c>
    </row>
    <row r="52" spans="1:6" ht="15.6" x14ac:dyDescent="0.35">
      <c r="A52" s="29"/>
      <c r="B52" s="10"/>
      <c r="C52" s="10"/>
      <c r="D52" s="15"/>
      <c r="E52" s="10"/>
      <c r="F52" s="10"/>
    </row>
    <row r="53" spans="1:6" ht="15.6" x14ac:dyDescent="0.35">
      <c r="A53" s="30" t="s">
        <v>17</v>
      </c>
      <c r="B53" s="10"/>
      <c r="C53" s="10"/>
      <c r="D53" s="15"/>
      <c r="E53" s="10"/>
      <c r="F53" s="10"/>
    </row>
    <row r="54" spans="1:6" ht="15.6" x14ac:dyDescent="0.35">
      <c r="A54" s="29" t="s">
        <v>18</v>
      </c>
      <c r="B54" s="10">
        <f>(B17/B18)*100</f>
        <v>128.83390494855462</v>
      </c>
      <c r="C54" s="10">
        <f t="shared" ref="C54:F54" si="14">(C17/C18)*100</f>
        <v>138.83143743536712</v>
      </c>
      <c r="D54" s="15">
        <f t="shared" si="14"/>
        <v>119.83240223463687</v>
      </c>
      <c r="E54" s="10">
        <f t="shared" si="14"/>
        <v>152.84210526315789</v>
      </c>
      <c r="F54" s="10">
        <f t="shared" si="14"/>
        <v>54.77178423236515</v>
      </c>
    </row>
    <row r="55" spans="1:6" ht="15.6" x14ac:dyDescent="0.35">
      <c r="A55" s="29" t="s">
        <v>19</v>
      </c>
      <c r="B55" s="10">
        <f>B23/B24*100</f>
        <v>36.955191806464086</v>
      </c>
      <c r="C55" s="10">
        <f t="shared" ref="C55:F55" si="15">C23/C24*100</f>
        <v>54.842172769512551</v>
      </c>
      <c r="D55" s="15">
        <f t="shared" si="15"/>
        <v>34.520466631026942</v>
      </c>
      <c r="E55" s="10">
        <f t="shared" si="15"/>
        <v>36.449940167530961</v>
      </c>
      <c r="F55" s="10">
        <f t="shared" si="15"/>
        <v>29.456047360983955</v>
      </c>
    </row>
    <row r="56" spans="1:6" ht="15.6" x14ac:dyDescent="0.35">
      <c r="A56" s="29" t="s">
        <v>20</v>
      </c>
      <c r="B56" s="10">
        <f>(B54+B55)/2</f>
        <v>82.894548377509352</v>
      </c>
      <c r="C56" s="10">
        <f t="shared" ref="C56:F56" si="16">(C54+C55)/2</f>
        <v>96.83680510243984</v>
      </c>
      <c r="D56" s="15">
        <f t="shared" si="16"/>
        <v>77.176434432831911</v>
      </c>
      <c r="E56" s="10">
        <f t="shared" si="16"/>
        <v>94.646022715344429</v>
      </c>
      <c r="F56" s="10">
        <f t="shared" si="16"/>
        <v>42.113915796674554</v>
      </c>
    </row>
    <row r="57" spans="1:6" ht="15.6" x14ac:dyDescent="0.35">
      <c r="A57" s="29"/>
      <c r="B57" s="10"/>
      <c r="C57" s="10"/>
      <c r="D57" s="15"/>
      <c r="E57" s="10"/>
      <c r="F57" s="10"/>
    </row>
    <row r="58" spans="1:6" ht="15.6" x14ac:dyDescent="0.35">
      <c r="A58" s="30" t="s">
        <v>31</v>
      </c>
      <c r="B58" s="10"/>
      <c r="C58" s="10"/>
      <c r="D58" s="15"/>
      <c r="E58" s="10"/>
      <c r="F58" s="10"/>
    </row>
    <row r="59" spans="1:6" ht="15.6" x14ac:dyDescent="0.35">
      <c r="A59" s="29" t="s">
        <v>21</v>
      </c>
      <c r="B59" s="10">
        <f>B25/B23*100</f>
        <v>100</v>
      </c>
      <c r="C59" s="10">
        <f t="shared" ref="C59:F59" si="17">C25/C23*100</f>
        <v>100</v>
      </c>
      <c r="D59" s="15">
        <f t="shared" si="17"/>
        <v>100</v>
      </c>
      <c r="E59" s="10">
        <f t="shared" si="17"/>
        <v>100</v>
      </c>
      <c r="F59" s="10">
        <f t="shared" si="17"/>
        <v>100</v>
      </c>
    </row>
    <row r="60" spans="1:6" ht="15.6" x14ac:dyDescent="0.35">
      <c r="A60" s="29"/>
      <c r="B60" s="10"/>
      <c r="C60" s="10"/>
      <c r="D60" s="15"/>
      <c r="E60" s="10"/>
      <c r="F60" s="10"/>
    </row>
    <row r="61" spans="1:6" ht="15.6" x14ac:dyDescent="0.35">
      <c r="A61" s="30" t="s">
        <v>22</v>
      </c>
      <c r="B61" s="10"/>
      <c r="C61" s="10"/>
      <c r="D61" s="15"/>
      <c r="E61" s="10"/>
      <c r="F61" s="10"/>
    </row>
    <row r="62" spans="1:6" ht="15.6" x14ac:dyDescent="0.35">
      <c r="A62" s="29" t="s">
        <v>23</v>
      </c>
      <c r="B62" s="10">
        <f>((B17/B15)-1)*100</f>
        <v>9.2892768079800412</v>
      </c>
      <c r="C62" s="10">
        <f t="shared" ref="C62:F62" si="18">((C17/C15)-1)*100</f>
        <v>8.0482897384305918</v>
      </c>
      <c r="D62" s="15">
        <f t="shared" si="18"/>
        <v>10.61452513966481</v>
      </c>
      <c r="E62" s="10">
        <f t="shared" si="18"/>
        <v>8.9544772386193081</v>
      </c>
      <c r="F62" s="10">
        <f t="shared" si="18"/>
        <v>20.731707317073166</v>
      </c>
    </row>
    <row r="63" spans="1:6" ht="15.6" x14ac:dyDescent="0.35">
      <c r="A63" s="29" t="s">
        <v>24</v>
      </c>
      <c r="B63" s="10">
        <f>((B38/B37)-1)*100</f>
        <v>-8.6205505956325261</v>
      </c>
      <c r="C63" s="10">
        <f t="shared" ref="C63:F63" si="19">((C38/C37)-1)*100</f>
        <v>11.087046409163825</v>
      </c>
      <c r="D63" s="15">
        <f t="shared" si="19"/>
        <v>-11.996688398522238</v>
      </c>
      <c r="E63" s="10">
        <f t="shared" si="19"/>
        <v>-19.027239172489494</v>
      </c>
      <c r="F63" s="10">
        <f t="shared" si="19"/>
        <v>22.568890331249889</v>
      </c>
    </row>
    <row r="64" spans="1:6" ht="15.6" x14ac:dyDescent="0.35">
      <c r="A64" s="29" t="s">
        <v>25</v>
      </c>
      <c r="B64" s="10">
        <f>((B40/B39)-1)*100</f>
        <v>-16.387543157669469</v>
      </c>
      <c r="C64" s="10">
        <f t="shared" ref="C64:F64" si="20">((C40/C39)-1)*100</f>
        <v>2.8124060807344975</v>
      </c>
      <c r="D64" s="15">
        <f t="shared" si="20"/>
        <v>-20.441450622906455</v>
      </c>
      <c r="E64" s="10">
        <f t="shared" si="20"/>
        <v>-25.682025301104904</v>
      </c>
      <c r="F64" s="10">
        <f t="shared" si="20"/>
        <v>1.5217071430554618</v>
      </c>
    </row>
    <row r="65" spans="1:7" ht="15.6" x14ac:dyDescent="0.35">
      <c r="A65" s="29"/>
      <c r="B65" s="10"/>
      <c r="C65" s="10"/>
      <c r="D65" s="15"/>
      <c r="E65" s="10"/>
      <c r="F65" s="10"/>
    </row>
    <row r="66" spans="1:7" ht="15.6" x14ac:dyDescent="0.35">
      <c r="A66" s="30" t="s">
        <v>26</v>
      </c>
      <c r="B66" s="10"/>
      <c r="C66" s="10"/>
      <c r="D66" s="15"/>
      <c r="E66" s="10"/>
      <c r="F66" s="10"/>
    </row>
    <row r="67" spans="1:7" ht="15.6" x14ac:dyDescent="0.35">
      <c r="A67" s="29" t="s">
        <v>35</v>
      </c>
      <c r="B67" s="10">
        <f t="shared" ref="B67" si="21">B22/B16</f>
        <v>546559.21977087634</v>
      </c>
      <c r="C67" s="10">
        <f t="shared" ref="C67:F67" si="22">C22/C16</f>
        <v>180000</v>
      </c>
      <c r="D67" s="15">
        <f t="shared" si="22"/>
        <v>977634.23125679477</v>
      </c>
      <c r="E67" s="10">
        <f t="shared" si="22"/>
        <v>1020444.883835886</v>
      </c>
      <c r="F67" s="10">
        <f t="shared" si="22"/>
        <v>872302.0440549273</v>
      </c>
    </row>
    <row r="68" spans="1:7" ht="15.6" x14ac:dyDescent="0.35">
      <c r="A68" s="29" t="s">
        <v>36</v>
      </c>
      <c r="B68" s="10">
        <f>B23/B17</f>
        <v>470086.05420841539</v>
      </c>
      <c r="C68" s="10">
        <f t="shared" ref="C68:F68" si="23">C23/C17</f>
        <v>163706.23463687152</v>
      </c>
      <c r="D68" s="15">
        <f t="shared" si="23"/>
        <v>789678.05714143615</v>
      </c>
      <c r="E68" s="10">
        <f t="shared" si="23"/>
        <v>713561.78057027387</v>
      </c>
      <c r="F68" s="10">
        <f t="shared" si="23"/>
        <v>1208317.5782828282</v>
      </c>
    </row>
    <row r="69" spans="1:7" ht="15.6" x14ac:dyDescent="0.35">
      <c r="A69" s="29" t="s">
        <v>27</v>
      </c>
      <c r="B69" s="10">
        <f>(B68/B67)*B51</f>
        <v>90.253995356356526</v>
      </c>
      <c r="C69" s="10">
        <f t="shared" ref="C69:F69" si="24">(C68/C67)*C51</f>
        <v>92.553691714799513</v>
      </c>
      <c r="D69" s="15">
        <f t="shared" si="24"/>
        <v>87.734347110450088</v>
      </c>
      <c r="E69" s="10">
        <f t="shared" si="24"/>
        <v>84.963269054178312</v>
      </c>
      <c r="F69" s="10">
        <f t="shared" si="24"/>
        <v>105.68529024972743</v>
      </c>
    </row>
    <row r="70" spans="1:7" ht="15.6" x14ac:dyDescent="0.35">
      <c r="A70" s="29" t="s">
        <v>33</v>
      </c>
      <c r="B70" s="10">
        <f t="shared" ref="B70:B71" si="25">B22/(B16*3)</f>
        <v>182186.40659029211</v>
      </c>
      <c r="C70" s="10">
        <f t="shared" ref="C70:E70" si="26">C22/(C16*3)</f>
        <v>60000</v>
      </c>
      <c r="D70" s="15">
        <f t="shared" si="26"/>
        <v>325878.07708559826</v>
      </c>
      <c r="E70" s="10">
        <f t="shared" si="26"/>
        <v>340148.29461196199</v>
      </c>
      <c r="F70" s="10">
        <f>F22/(F16*2)</f>
        <v>436151.02202746365</v>
      </c>
    </row>
    <row r="71" spans="1:7" ht="15.6" x14ac:dyDescent="0.35">
      <c r="A71" s="29" t="s">
        <v>34</v>
      </c>
      <c r="B71" s="10">
        <f t="shared" si="25"/>
        <v>156695.35140280513</v>
      </c>
      <c r="C71" s="10">
        <f t="shared" ref="C71:E71" si="27">C23/(C17*3)</f>
        <v>54568.744878957172</v>
      </c>
      <c r="D71" s="15">
        <f t="shared" si="27"/>
        <v>263226.01904714538</v>
      </c>
      <c r="E71" s="10">
        <f t="shared" si="27"/>
        <v>237853.92685675796</v>
      </c>
      <c r="F71" s="10">
        <f>F23/(F17*2)</f>
        <v>604158.7891414141</v>
      </c>
    </row>
    <row r="72" spans="1:7" ht="15.6" x14ac:dyDescent="0.35">
      <c r="A72" s="29"/>
      <c r="B72" s="10"/>
      <c r="C72" s="10"/>
      <c r="D72" s="15"/>
    </row>
    <row r="73" spans="1:7" ht="15.6" x14ac:dyDescent="0.35">
      <c r="A73" s="30" t="s">
        <v>28</v>
      </c>
      <c r="B73" s="10"/>
      <c r="C73" s="10"/>
      <c r="D73" s="15"/>
    </row>
    <row r="74" spans="1:7" ht="15.6" x14ac:dyDescent="0.35">
      <c r="A74" s="29" t="s">
        <v>29</v>
      </c>
      <c r="B74" s="10">
        <f>(B29/B28)*100</f>
        <v>100.00000000000007</v>
      </c>
      <c r="C74" s="10"/>
      <c r="D74" s="15"/>
    </row>
    <row r="75" spans="1:7" ht="16.2" thickBot="1" x14ac:dyDescent="0.4">
      <c r="A75" s="31" t="s">
        <v>30</v>
      </c>
      <c r="B75" s="12">
        <f>(B23/B29)*100</f>
        <v>97.042999255961277</v>
      </c>
      <c r="C75" s="12"/>
      <c r="D75" s="19"/>
      <c r="E75" s="4"/>
      <c r="F75" s="4"/>
    </row>
    <row r="76" spans="1:7" s="26" customFormat="1" ht="20.25" customHeight="1" thickTop="1" x14ac:dyDescent="0.3">
      <c r="A76" s="43" t="s">
        <v>81</v>
      </c>
      <c r="B76" s="43"/>
      <c r="C76" s="43"/>
      <c r="D76" s="43"/>
      <c r="E76" s="43"/>
      <c r="F76" s="43"/>
      <c r="G76" s="32"/>
    </row>
    <row r="77" spans="1:7" s="26" customFormat="1" x14ac:dyDescent="0.3"/>
    <row r="78" spans="1:7" s="26" customFormat="1" x14ac:dyDescent="0.3"/>
    <row r="79" spans="1:7" s="26" customFormat="1" x14ac:dyDescent="0.3"/>
    <row r="80" spans="1:7" s="26" customFormat="1" x14ac:dyDescent="0.3"/>
    <row r="81" s="26" customFormat="1" x14ac:dyDescent="0.3"/>
    <row r="82" s="26" customFormat="1" x14ac:dyDescent="0.3"/>
    <row r="83" s="26" customFormat="1" x14ac:dyDescent="0.3"/>
    <row r="84" s="26" customFormat="1" x14ac:dyDescent="0.3"/>
    <row r="85" s="26" customFormat="1" x14ac:dyDescent="0.3"/>
    <row r="86" s="26" customFormat="1" x14ac:dyDescent="0.3"/>
    <row r="87" s="26" customFormat="1" x14ac:dyDescent="0.3"/>
    <row r="88" s="26" customFormat="1" x14ac:dyDescent="0.3"/>
    <row r="89" s="26" customFormat="1" x14ac:dyDescent="0.3"/>
    <row r="90" s="26" customFormat="1" x14ac:dyDescent="0.3"/>
    <row r="91" s="26" customFormat="1" x14ac:dyDescent="0.3"/>
  </sheetData>
  <mergeCells count="4">
    <mergeCell ref="A9:A10"/>
    <mergeCell ref="B9:B10"/>
    <mergeCell ref="C9:F9"/>
    <mergeCell ref="A76:F76"/>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8"/>
  <sheetViews>
    <sheetView showGridLines="0" zoomScale="80" zoomScaleNormal="80" workbookViewId="0">
      <pane ySplit="10" topLeftCell="A11" activePane="bottomLeft" state="frozen"/>
      <selection pane="bottomLeft" activeCell="A9" sqref="A9:A10"/>
    </sheetView>
  </sheetViews>
  <sheetFormatPr baseColWidth="10" defaultColWidth="11.44140625" defaultRowHeight="14.4" x14ac:dyDescent="0.3"/>
  <cols>
    <col min="1" max="1" width="62.5546875" style="3" customWidth="1"/>
    <col min="2" max="6" width="24.6640625" style="3" customWidth="1"/>
    <col min="7" max="16384" width="11.44140625" style="3"/>
  </cols>
  <sheetData>
    <row r="1" spans="1:6" s="26" customFormat="1" x14ac:dyDescent="0.3"/>
    <row r="2" spans="1:6" s="26" customFormat="1" x14ac:dyDescent="0.3"/>
    <row r="3" spans="1:6" s="26" customFormat="1" x14ac:dyDescent="0.3"/>
    <row r="4" spans="1:6" s="26" customFormat="1" x14ac:dyDescent="0.3"/>
    <row r="5" spans="1:6" s="26" customFormat="1" x14ac:dyDescent="0.3"/>
    <row r="6" spans="1:6" s="26" customFormat="1" x14ac:dyDescent="0.3"/>
    <row r="7" spans="1:6" s="26" customFormat="1" ht="21" customHeight="1" x14ac:dyDescent="0.3"/>
    <row r="8" spans="1:6" s="26" customFormat="1" ht="21" customHeight="1" x14ac:dyDescent="0.3"/>
    <row r="9" spans="1:6" s="26" customFormat="1" ht="15.6" x14ac:dyDescent="0.35">
      <c r="A9" s="39" t="s">
        <v>0</v>
      </c>
      <c r="B9" s="41" t="s">
        <v>41</v>
      </c>
      <c r="C9" s="38" t="s">
        <v>1</v>
      </c>
      <c r="D9" s="38"/>
      <c r="E9" s="38"/>
      <c r="F9" s="38"/>
    </row>
    <row r="10" spans="1:6" s="26" customFormat="1" ht="31.8" thickBot="1" x14ac:dyDescent="0.4">
      <c r="A10" s="40"/>
      <c r="B10" s="42"/>
      <c r="C10" s="27" t="s">
        <v>42</v>
      </c>
      <c r="D10" s="14" t="s">
        <v>49</v>
      </c>
      <c r="E10" s="28" t="s">
        <v>50</v>
      </c>
      <c r="F10" s="28" t="s">
        <v>43</v>
      </c>
    </row>
    <row r="11" spans="1:6" s="26" customFormat="1" ht="16.2" thickTop="1" x14ac:dyDescent="0.35">
      <c r="A11" s="29"/>
      <c r="B11" s="29"/>
      <c r="C11" s="29"/>
      <c r="D11" s="16"/>
    </row>
    <row r="12" spans="1:6" s="26" customFormat="1" ht="15.6" x14ac:dyDescent="0.35">
      <c r="A12" s="30" t="s">
        <v>2</v>
      </c>
      <c r="B12" s="29"/>
      <c r="C12" s="29"/>
      <c r="D12" s="16"/>
    </row>
    <row r="13" spans="1:6" s="26" customFormat="1" ht="15.6" x14ac:dyDescent="0.35">
      <c r="A13" s="29"/>
      <c r="B13" s="29"/>
      <c r="C13" s="29"/>
      <c r="D13" s="16"/>
    </row>
    <row r="14" spans="1:6" s="26" customFormat="1" ht="15.6" x14ac:dyDescent="0.35">
      <c r="A14" s="30" t="s">
        <v>3</v>
      </c>
      <c r="B14" s="29"/>
      <c r="C14" s="29"/>
      <c r="D14" s="16"/>
    </row>
    <row r="15" spans="1:6" ht="15.6" x14ac:dyDescent="0.35">
      <c r="A15" s="29" t="s">
        <v>55</v>
      </c>
      <c r="B15" s="7">
        <f>SUM(C15:D15)</f>
        <v>4812</v>
      </c>
      <c r="C15" s="7">
        <f>+'II Trimestre'!C15</f>
        <v>2485</v>
      </c>
      <c r="D15" s="17">
        <f>+E15+F15</f>
        <v>2327</v>
      </c>
      <c r="E15" s="7">
        <f>+'II Trimestre'!E15</f>
        <v>1999</v>
      </c>
      <c r="F15" s="7">
        <f>+'II Trimestre'!F15</f>
        <v>328</v>
      </c>
    </row>
    <row r="16" spans="1:6" ht="15.6" x14ac:dyDescent="0.35">
      <c r="A16" s="29" t="s">
        <v>90</v>
      </c>
      <c r="B16" s="7">
        <f>SUM(C16:D16)</f>
        <v>4765.5</v>
      </c>
      <c r="C16" s="7">
        <f>+AVERAGE('I Trimestre'!C16,'II Trimestre'!C16)</f>
        <v>2519</v>
      </c>
      <c r="D16" s="17">
        <f>+E16+F16</f>
        <v>2246.5</v>
      </c>
      <c r="E16" s="7">
        <f>+AVERAGE('I Trimestre'!E16,'II Trimestre'!E16)</f>
        <v>1523</v>
      </c>
      <c r="F16" s="7">
        <f>+AVERAGE('I Trimestre'!F16,'II Trimestre'!F16)</f>
        <v>723.5</v>
      </c>
    </row>
    <row r="17" spans="1:6" ht="15.6" x14ac:dyDescent="0.35">
      <c r="A17" s="29" t="s">
        <v>91</v>
      </c>
      <c r="B17" s="7">
        <f t="shared" ref="B17:B18" si="0">SUM(C17:D17)</f>
        <v>5259</v>
      </c>
      <c r="C17" s="7">
        <f>+'II Trimestre'!C17</f>
        <v>2685</v>
      </c>
      <c r="D17" s="17">
        <f>+E17+F17</f>
        <v>2574</v>
      </c>
      <c r="E17" s="7">
        <f>+'II Trimestre'!E17</f>
        <v>2178</v>
      </c>
      <c r="F17" s="7">
        <f>+'II Trimestre'!F17</f>
        <v>396</v>
      </c>
    </row>
    <row r="18" spans="1:6" ht="15.6" x14ac:dyDescent="0.35">
      <c r="A18" s="29" t="s">
        <v>76</v>
      </c>
      <c r="B18" s="7">
        <f t="shared" si="0"/>
        <v>4082</v>
      </c>
      <c r="C18" s="7">
        <f>+'II Trimestre'!C18</f>
        <v>1934</v>
      </c>
      <c r="D18" s="17">
        <f>+E18+F18</f>
        <v>2148</v>
      </c>
      <c r="E18" s="7">
        <f>+'II Trimestre'!E18</f>
        <v>1425</v>
      </c>
      <c r="F18" s="7">
        <f>+'II Trimestre'!F18</f>
        <v>723</v>
      </c>
    </row>
    <row r="19" spans="1:6" ht="15.6" x14ac:dyDescent="0.35">
      <c r="A19" s="29"/>
      <c r="B19" s="7"/>
      <c r="C19" s="7"/>
      <c r="D19" s="17"/>
    </row>
    <row r="20" spans="1:6" ht="15.6" x14ac:dyDescent="0.35">
      <c r="A20" s="30" t="s">
        <v>4</v>
      </c>
      <c r="B20" s="7"/>
      <c r="C20" s="7"/>
      <c r="D20" s="17"/>
    </row>
    <row r="21" spans="1:6" ht="15.6" x14ac:dyDescent="0.35">
      <c r="A21" s="29" t="s">
        <v>55</v>
      </c>
      <c r="B21" s="7">
        <f>SUM(C21:D21)</f>
        <v>5361291685</v>
      </c>
      <c r="C21" s="7">
        <f>+'I Trimestre'!C21+'II Trimestre'!C21</f>
        <v>668338600</v>
      </c>
      <c r="D21" s="17">
        <f>+E21+F21</f>
        <v>4692953085</v>
      </c>
      <c r="E21" s="7">
        <f>+'I Trimestre'!E21+'II Trimestre'!E21</f>
        <v>3905458079</v>
      </c>
      <c r="F21" s="7">
        <f>+'I Trimestre'!F21+'II Trimestre'!F21</f>
        <v>787495006</v>
      </c>
    </row>
    <row r="22" spans="1:6" ht="15.6" x14ac:dyDescent="0.35">
      <c r="A22" s="29" t="s">
        <v>90</v>
      </c>
      <c r="B22" s="7">
        <f t="shared" ref="B22:B24" si="1">SUM(C22:D22)</f>
        <v>5488408140.5141087</v>
      </c>
      <c r="C22" s="7">
        <f>+'I Trimestre'!C22+'II Trimestre'!C22</f>
        <v>755700000</v>
      </c>
      <c r="D22" s="17">
        <f>+E22+F22</f>
        <v>4732708140.5141087</v>
      </c>
      <c r="E22" s="7">
        <f>+'I Trimestre'!E22+'II Trimestre'!E22</f>
        <v>3108275116.1641088</v>
      </c>
      <c r="F22" s="7">
        <f>+'I Trimestre'!F22+'II Trimestre'!F22</f>
        <v>1624433024.3499999</v>
      </c>
    </row>
    <row r="23" spans="1:6" ht="15.6" x14ac:dyDescent="0.35">
      <c r="A23" s="29" t="s">
        <v>91</v>
      </c>
      <c r="B23" s="7">
        <f t="shared" si="1"/>
        <v>4754622412.164113</v>
      </c>
      <c r="C23" s="7">
        <f>+'I Trimestre'!C23+'II Trimestre'!C23</f>
        <v>718459940</v>
      </c>
      <c r="D23" s="17">
        <f>+E23+F23</f>
        <v>4036162472.164113</v>
      </c>
      <c r="E23" s="7">
        <f>+'I Trimestre'!E23+'II Trimestre'!E23</f>
        <v>3108275116.164113</v>
      </c>
      <c r="F23" s="7">
        <f>+'I Trimestre'!F23+'II Trimestre'!F23</f>
        <v>927887356</v>
      </c>
    </row>
    <row r="24" spans="1:6" ht="15.6" x14ac:dyDescent="0.35">
      <c r="A24" s="29" t="s">
        <v>76</v>
      </c>
      <c r="B24" s="7">
        <f t="shared" si="1"/>
        <v>6689675897.3109436</v>
      </c>
      <c r="C24" s="7">
        <f>'II Trimestre'!C24</f>
        <v>801484000</v>
      </c>
      <c r="D24" s="17">
        <f>+E24+F24</f>
        <v>5888191897.3109436</v>
      </c>
      <c r="E24" s="7">
        <f>'II Trimestre'!E24</f>
        <v>4263758872.9609437</v>
      </c>
      <c r="F24" s="7">
        <f>'II Trimestre'!F24</f>
        <v>1624433024.3499999</v>
      </c>
    </row>
    <row r="25" spans="1:6" ht="15.6" x14ac:dyDescent="0.35">
      <c r="A25" s="29" t="s">
        <v>92</v>
      </c>
      <c r="B25" s="7">
        <f>+B23</f>
        <v>4754622412.164113</v>
      </c>
      <c r="C25" s="7">
        <f>+C23</f>
        <v>718459940</v>
      </c>
      <c r="D25" s="17">
        <f t="shared" ref="D25" si="2">+D23</f>
        <v>4036162472.164113</v>
      </c>
      <c r="E25" s="7">
        <f>+E23</f>
        <v>3108275116.164113</v>
      </c>
      <c r="F25" s="7">
        <f>+F23</f>
        <v>927887356</v>
      </c>
    </row>
    <row r="26" spans="1:6" ht="15.6" x14ac:dyDescent="0.35">
      <c r="A26" s="29"/>
      <c r="B26" s="7"/>
      <c r="C26" s="7"/>
      <c r="D26" s="17"/>
    </row>
    <row r="27" spans="1:6" ht="15.6" x14ac:dyDescent="0.35">
      <c r="A27" s="30" t="s">
        <v>5</v>
      </c>
      <c r="B27" s="7"/>
      <c r="C27" s="7"/>
      <c r="D27" s="17"/>
    </row>
    <row r="28" spans="1:6" ht="15.6" x14ac:dyDescent="0.35">
      <c r="A28" s="29" t="s">
        <v>90</v>
      </c>
      <c r="B28" s="7">
        <f>B22</f>
        <v>5488408140.5141087</v>
      </c>
      <c r="C28" s="7"/>
      <c r="D28" s="17"/>
    </row>
    <row r="29" spans="1:6" ht="15.6" x14ac:dyDescent="0.35">
      <c r="A29" s="29" t="s">
        <v>91</v>
      </c>
      <c r="B29" s="7">
        <f>'I Trimestre'!B29+'II Trimestre'!B29</f>
        <v>5488408140.5141125</v>
      </c>
      <c r="C29" s="7"/>
      <c r="D29" s="17"/>
    </row>
    <row r="30" spans="1:6" ht="15.6" x14ac:dyDescent="0.35">
      <c r="A30" s="29"/>
      <c r="B30" s="10"/>
      <c r="C30" s="10"/>
      <c r="D30" s="15"/>
    </row>
    <row r="31" spans="1:6" ht="15.6" x14ac:dyDescent="0.35">
      <c r="A31" s="30" t="s">
        <v>6</v>
      </c>
      <c r="B31" s="10"/>
      <c r="C31" s="10"/>
      <c r="D31" s="15"/>
    </row>
    <row r="32" spans="1:6" ht="15.6" x14ac:dyDescent="0.35">
      <c r="A32" s="29" t="s">
        <v>56</v>
      </c>
      <c r="B32" s="20">
        <v>1.121</v>
      </c>
      <c r="C32" s="20">
        <v>1.121</v>
      </c>
      <c r="D32" s="21">
        <v>1.121</v>
      </c>
      <c r="E32" s="20">
        <v>1.121</v>
      </c>
      <c r="F32" s="20">
        <v>1.121</v>
      </c>
    </row>
    <row r="33" spans="1:6" ht="15.6" x14ac:dyDescent="0.35">
      <c r="A33" s="29" t="s">
        <v>93</v>
      </c>
      <c r="B33" s="20">
        <v>1.0973999999999999</v>
      </c>
      <c r="C33" s="20">
        <v>1.0973999999999999</v>
      </c>
      <c r="D33" s="21">
        <v>1.0973999999999999</v>
      </c>
      <c r="E33" s="20">
        <v>1.0973999999999999</v>
      </c>
      <c r="F33" s="20">
        <v>1.0973999999999999</v>
      </c>
    </row>
    <row r="34" spans="1:6" ht="15.6" x14ac:dyDescent="0.35">
      <c r="A34" s="29" t="s">
        <v>7</v>
      </c>
      <c r="B34" s="7">
        <f>C34+D34</f>
        <v>128834</v>
      </c>
      <c r="C34" s="9">
        <v>106880</v>
      </c>
      <c r="D34" s="18">
        <v>21954</v>
      </c>
    </row>
    <row r="35" spans="1:6" ht="15.6" x14ac:dyDescent="0.35">
      <c r="A35" s="29"/>
      <c r="B35" s="7"/>
      <c r="C35" s="7"/>
      <c r="D35" s="17"/>
    </row>
    <row r="36" spans="1:6" ht="15.6" x14ac:dyDescent="0.35">
      <c r="A36" s="30" t="s">
        <v>8</v>
      </c>
      <c r="B36" s="7"/>
      <c r="C36" s="7"/>
      <c r="D36" s="17"/>
    </row>
    <row r="37" spans="1:6" ht="15.6" x14ac:dyDescent="0.35">
      <c r="A37" s="29" t="s">
        <v>72</v>
      </c>
      <c r="B37" s="7">
        <f>B21/B32</f>
        <v>4782597399.6431761</v>
      </c>
      <c r="C37" s="7">
        <f t="shared" ref="C37:F37" si="3">C21/C32</f>
        <v>596198572.7029438</v>
      </c>
      <c r="D37" s="17">
        <f t="shared" si="3"/>
        <v>4186398826.9402318</v>
      </c>
      <c r="E37" s="7">
        <f t="shared" si="3"/>
        <v>3483905512.042819</v>
      </c>
      <c r="F37" s="7">
        <f t="shared" si="3"/>
        <v>702493314.89741302</v>
      </c>
    </row>
    <row r="38" spans="1:6" ht="15.6" x14ac:dyDescent="0.35">
      <c r="A38" s="29" t="s">
        <v>94</v>
      </c>
      <c r="B38" s="7">
        <f>B23/B33</f>
        <v>4332624760.4921751</v>
      </c>
      <c r="C38" s="7">
        <f t="shared" ref="C38:F38" si="4">C23/C33</f>
        <v>654692855.841079</v>
      </c>
      <c r="D38" s="17">
        <f t="shared" si="4"/>
        <v>3677931904.6510963</v>
      </c>
      <c r="E38" s="7">
        <f t="shared" si="4"/>
        <v>2832399413.3079219</v>
      </c>
      <c r="F38" s="7">
        <f t="shared" si="4"/>
        <v>845532491.34317482</v>
      </c>
    </row>
    <row r="39" spans="1:6" ht="15.6" x14ac:dyDescent="0.35">
      <c r="A39" s="29" t="s">
        <v>73</v>
      </c>
      <c r="B39" s="7">
        <f>B37/B15</f>
        <v>993889.73392418458</v>
      </c>
      <c r="C39" s="7">
        <f t="shared" ref="C39:F39" si="5">C37/C15</f>
        <v>239918.94273760315</v>
      </c>
      <c r="D39" s="17">
        <f t="shared" si="5"/>
        <v>1799054.0726000136</v>
      </c>
      <c r="E39" s="7">
        <f t="shared" si="5"/>
        <v>1742824.1681054623</v>
      </c>
      <c r="F39" s="7">
        <f t="shared" si="5"/>
        <v>2141747.9112726008</v>
      </c>
    </row>
    <row r="40" spans="1:6" ht="15.6" x14ac:dyDescent="0.35">
      <c r="A40" s="29" t="s">
        <v>95</v>
      </c>
      <c r="B40" s="7">
        <f>B38/B17</f>
        <v>823849.54563456459</v>
      </c>
      <c r="C40" s="7">
        <f t="shared" ref="C40:F40" si="6">C38/C17</f>
        <v>243833.46586259926</v>
      </c>
      <c r="D40" s="17">
        <f t="shared" si="6"/>
        <v>1428877.9738349249</v>
      </c>
      <c r="E40" s="7">
        <f t="shared" si="6"/>
        <v>1300458.8674508366</v>
      </c>
      <c r="F40" s="7">
        <f t="shared" si="6"/>
        <v>2135183.0589474114</v>
      </c>
    </row>
    <row r="41" spans="1:6" ht="15.6" x14ac:dyDescent="0.35">
      <c r="A41" s="29"/>
      <c r="B41" s="10"/>
      <c r="C41" s="10"/>
      <c r="D41" s="15"/>
      <c r="E41" s="10"/>
      <c r="F41" s="10"/>
    </row>
    <row r="42" spans="1:6" ht="15.6" x14ac:dyDescent="0.35">
      <c r="A42" s="30" t="s">
        <v>9</v>
      </c>
      <c r="B42" s="10"/>
      <c r="C42" s="10"/>
      <c r="D42" s="15"/>
      <c r="E42" s="10"/>
      <c r="F42" s="10"/>
    </row>
    <row r="43" spans="1:6" ht="15.6" x14ac:dyDescent="0.35">
      <c r="A43" s="29"/>
      <c r="B43" s="10"/>
      <c r="C43" s="10"/>
      <c r="D43" s="15"/>
      <c r="E43" s="10"/>
      <c r="F43" s="10"/>
    </row>
    <row r="44" spans="1:6" ht="15.6" x14ac:dyDescent="0.35">
      <c r="A44" s="30" t="s">
        <v>10</v>
      </c>
      <c r="B44" s="10"/>
      <c r="C44" s="10"/>
      <c r="D44" s="15"/>
      <c r="E44" s="10"/>
      <c r="F44" s="10"/>
    </row>
    <row r="45" spans="1:6" ht="15.6" x14ac:dyDescent="0.35">
      <c r="A45" s="29" t="s">
        <v>11</v>
      </c>
      <c r="B45" s="10">
        <f>B16/B34*100</f>
        <v>3.6989459304220937</v>
      </c>
      <c r="C45" s="10">
        <f t="shared" ref="C45:D45" si="7">C16/C34*100</f>
        <v>2.3568488023952097</v>
      </c>
      <c r="D45" s="15">
        <f t="shared" si="7"/>
        <v>10.232759406030793</v>
      </c>
      <c r="E45" s="10"/>
      <c r="F45" s="10"/>
    </row>
    <row r="46" spans="1:6" ht="15.6" x14ac:dyDescent="0.35">
      <c r="A46" s="29" t="s">
        <v>12</v>
      </c>
      <c r="B46" s="10">
        <f>B17/B34*100</f>
        <v>4.0819969883726346</v>
      </c>
      <c r="C46" s="10">
        <f t="shared" ref="C46:D46" si="8">C17/C34*100</f>
        <v>2.5121631736526946</v>
      </c>
      <c r="D46" s="15">
        <f t="shared" si="8"/>
        <v>11.724514894779995</v>
      </c>
      <c r="E46" s="10"/>
      <c r="F46" s="10"/>
    </row>
    <row r="47" spans="1:6" ht="15.6" x14ac:dyDescent="0.35">
      <c r="A47" s="29"/>
      <c r="B47" s="10"/>
      <c r="C47" s="10"/>
      <c r="D47" s="15"/>
      <c r="E47" s="10"/>
      <c r="F47" s="10"/>
    </row>
    <row r="48" spans="1:6" ht="15.6" x14ac:dyDescent="0.35">
      <c r="A48" s="30" t="s">
        <v>13</v>
      </c>
      <c r="B48" s="10"/>
      <c r="C48" s="10"/>
      <c r="D48" s="15"/>
      <c r="E48" s="10"/>
      <c r="F48" s="10"/>
    </row>
    <row r="49" spans="1:6" ht="15.6" x14ac:dyDescent="0.35">
      <c r="A49" s="29" t="s">
        <v>14</v>
      </c>
      <c r="B49" s="10">
        <f>B17/B16*100</f>
        <v>110.35568146049732</v>
      </c>
      <c r="C49" s="10">
        <f t="shared" ref="C49:F49" si="9">C17/C16*100</f>
        <v>106.58991663358475</v>
      </c>
      <c r="D49" s="15">
        <f t="shared" si="9"/>
        <v>114.57823280658803</v>
      </c>
      <c r="E49" s="10">
        <f t="shared" si="9"/>
        <v>143.00722258699935</v>
      </c>
      <c r="F49" s="10">
        <f t="shared" si="9"/>
        <v>54.733932273669659</v>
      </c>
    </row>
    <row r="50" spans="1:6" ht="15.6" x14ac:dyDescent="0.35">
      <c r="A50" s="29" t="s">
        <v>15</v>
      </c>
      <c r="B50" s="10">
        <f>B23/B22*100</f>
        <v>86.630263100636313</v>
      </c>
      <c r="C50" s="10">
        <f t="shared" ref="C50:F50" si="10">C23/C22*100</f>
        <v>95.072110625909758</v>
      </c>
      <c r="D50" s="15">
        <f t="shared" si="10"/>
        <v>85.2823024858167</v>
      </c>
      <c r="E50" s="10">
        <f t="shared" si="10"/>
        <v>100.00000000000013</v>
      </c>
      <c r="F50" s="10">
        <f t="shared" si="10"/>
        <v>57.120690240293811</v>
      </c>
    </row>
    <row r="51" spans="1:6" ht="15.6" x14ac:dyDescent="0.35">
      <c r="A51" s="29" t="s">
        <v>16</v>
      </c>
      <c r="B51" s="10">
        <f>AVERAGE(B49:B50)</f>
        <v>98.492972280566818</v>
      </c>
      <c r="C51" s="10">
        <f t="shared" ref="C51:F51" si="11">AVERAGE(C49:C50)</f>
        <v>100.83101362974725</v>
      </c>
      <c r="D51" s="15">
        <f t="shared" si="11"/>
        <v>99.930267646202367</v>
      </c>
      <c r="E51" s="10">
        <f t="shared" si="11"/>
        <v>121.50361129349974</v>
      </c>
      <c r="F51" s="10">
        <f t="shared" si="11"/>
        <v>55.927311256981739</v>
      </c>
    </row>
    <row r="52" spans="1:6" ht="15.6" x14ac:dyDescent="0.35">
      <c r="A52" s="29"/>
      <c r="B52" s="10"/>
      <c r="C52" s="10"/>
      <c r="D52" s="15"/>
      <c r="E52" s="10"/>
      <c r="F52" s="10"/>
    </row>
    <row r="53" spans="1:6" ht="15.6" x14ac:dyDescent="0.35">
      <c r="A53" s="30" t="s">
        <v>17</v>
      </c>
      <c r="B53" s="10"/>
      <c r="C53" s="10"/>
      <c r="D53" s="15"/>
      <c r="E53" s="10"/>
      <c r="F53" s="10"/>
    </row>
    <row r="54" spans="1:6" ht="15.6" x14ac:dyDescent="0.35">
      <c r="A54" s="29" t="s">
        <v>18</v>
      </c>
      <c r="B54" s="10">
        <f>(B17/B18)*100</f>
        <v>128.83390494855462</v>
      </c>
      <c r="C54" s="10">
        <f t="shared" ref="C54:F54" si="12">(C17/C18)*100</f>
        <v>138.83143743536712</v>
      </c>
      <c r="D54" s="15">
        <f t="shared" si="12"/>
        <v>119.83240223463687</v>
      </c>
      <c r="E54" s="10">
        <f t="shared" si="12"/>
        <v>152.84210526315789</v>
      </c>
      <c r="F54" s="10">
        <f t="shared" si="12"/>
        <v>54.77178423236515</v>
      </c>
    </row>
    <row r="55" spans="1:6" ht="15.6" x14ac:dyDescent="0.35">
      <c r="A55" s="29" t="s">
        <v>19</v>
      </c>
      <c r="B55" s="10">
        <f>B23/B24*100</f>
        <v>71.074032361946465</v>
      </c>
      <c r="C55" s="10">
        <f t="shared" ref="C55:F55" si="13">C23/C24*100</f>
        <v>89.641208059050456</v>
      </c>
      <c r="D55" s="15">
        <f t="shared" si="13"/>
        <v>68.546721006279924</v>
      </c>
      <c r="E55" s="10">
        <f t="shared" si="13"/>
        <v>72.899880335061923</v>
      </c>
      <c r="F55" s="10">
        <f t="shared" si="13"/>
        <v>57.120690240293811</v>
      </c>
    </row>
    <row r="56" spans="1:6" ht="15.6" x14ac:dyDescent="0.35">
      <c r="A56" s="29" t="s">
        <v>20</v>
      </c>
      <c r="B56" s="10">
        <f>(B54+B55)/2</f>
        <v>99.953968655250549</v>
      </c>
      <c r="C56" s="10">
        <f t="shared" ref="C56:F56" si="14">(C54+C55)/2</f>
        <v>114.23632274720879</v>
      </c>
      <c r="D56" s="15">
        <f t="shared" si="14"/>
        <v>94.189561620458392</v>
      </c>
      <c r="E56" s="10">
        <f t="shared" si="14"/>
        <v>112.8709927991099</v>
      </c>
      <c r="F56" s="10">
        <f t="shared" si="14"/>
        <v>55.94623723632948</v>
      </c>
    </row>
    <row r="57" spans="1:6" ht="15.6" x14ac:dyDescent="0.35">
      <c r="A57" s="30"/>
      <c r="B57" s="10"/>
      <c r="C57" s="10"/>
      <c r="D57" s="15"/>
    </row>
    <row r="58" spans="1:6" ht="15.6" x14ac:dyDescent="0.35">
      <c r="A58" s="30" t="s">
        <v>32</v>
      </c>
      <c r="B58" s="10"/>
      <c r="C58" s="10"/>
      <c r="D58" s="15"/>
    </row>
    <row r="59" spans="1:6" ht="15.6" x14ac:dyDescent="0.35">
      <c r="A59" s="29" t="s">
        <v>21</v>
      </c>
      <c r="B59" s="10">
        <f>B25/B23*100</f>
        <v>100</v>
      </c>
      <c r="C59" s="10">
        <f t="shared" ref="C59:F59" si="15">C25/C23*100</f>
        <v>100</v>
      </c>
      <c r="D59" s="15">
        <f t="shared" si="15"/>
        <v>100</v>
      </c>
      <c r="E59" s="10">
        <f t="shared" si="15"/>
        <v>100</v>
      </c>
      <c r="F59" s="10">
        <f t="shared" si="15"/>
        <v>100</v>
      </c>
    </row>
    <row r="60" spans="1:6" ht="15.6" x14ac:dyDescent="0.35">
      <c r="A60" s="29"/>
      <c r="B60" s="10"/>
      <c r="C60" s="10"/>
      <c r="D60" s="15"/>
      <c r="E60" s="10"/>
      <c r="F60" s="10"/>
    </row>
    <row r="61" spans="1:6" ht="15.6" x14ac:dyDescent="0.35">
      <c r="A61" s="30" t="s">
        <v>22</v>
      </c>
      <c r="B61" s="10"/>
      <c r="C61" s="10"/>
      <c r="D61" s="15"/>
      <c r="E61" s="10"/>
      <c r="F61" s="10"/>
    </row>
    <row r="62" spans="1:6" ht="15.6" x14ac:dyDescent="0.35">
      <c r="A62" s="29" t="s">
        <v>23</v>
      </c>
      <c r="B62" s="10">
        <f>((B17/B15)-1)*100</f>
        <v>9.2892768079800412</v>
      </c>
      <c r="C62" s="10">
        <f t="shared" ref="C62:F62" si="16">((C17/C15)-1)*100</f>
        <v>8.0482897384305918</v>
      </c>
      <c r="D62" s="15">
        <f t="shared" si="16"/>
        <v>10.61452513966481</v>
      </c>
      <c r="E62" s="10">
        <f t="shared" si="16"/>
        <v>8.9544772386193081</v>
      </c>
      <c r="F62" s="10">
        <f t="shared" si="16"/>
        <v>20.731707317073166</v>
      </c>
    </row>
    <row r="63" spans="1:6" ht="15.6" x14ac:dyDescent="0.35">
      <c r="A63" s="29" t="s">
        <v>24</v>
      </c>
      <c r="B63" s="10">
        <f>((B38/B37)-1)*100</f>
        <v>-9.4085410405770897</v>
      </c>
      <c r="C63" s="10">
        <f t="shared" ref="C63:F63" si="17">((C38/C37)-1)*100</f>
        <v>9.811208180681108</v>
      </c>
      <c r="D63" s="15">
        <f t="shared" si="17"/>
        <v>-12.145687577998043</v>
      </c>
      <c r="E63" s="10">
        <f t="shared" si="17"/>
        <v>-18.700452595021176</v>
      </c>
      <c r="F63" s="10">
        <f t="shared" si="17"/>
        <v>20.361642369030974</v>
      </c>
    </row>
    <row r="64" spans="1:6" ht="15.6" x14ac:dyDescent="0.35">
      <c r="A64" s="29" t="s">
        <v>25</v>
      </c>
      <c r="B64" s="10">
        <f>((B40/B39)-1)*100</f>
        <v>-17.108556662342078</v>
      </c>
      <c r="C64" s="10">
        <f t="shared" ref="C64:F64" si="18">((C40/C39)-1)*100</f>
        <v>1.6316023571666838</v>
      </c>
      <c r="D64" s="15">
        <f t="shared" si="18"/>
        <v>-20.576151901321449</v>
      </c>
      <c r="E64" s="10">
        <f t="shared" si="18"/>
        <v>-25.382095839048358</v>
      </c>
      <c r="F64" s="10">
        <f t="shared" si="18"/>
        <v>-0.30651844181273091</v>
      </c>
    </row>
    <row r="65" spans="1:7" ht="15.6" x14ac:dyDescent="0.35">
      <c r="A65" s="29"/>
      <c r="B65" s="10"/>
      <c r="C65" s="10"/>
      <c r="D65" s="15"/>
      <c r="E65" s="10"/>
      <c r="F65" s="10"/>
    </row>
    <row r="66" spans="1:7" ht="15.6" x14ac:dyDescent="0.35">
      <c r="A66" s="30" t="s">
        <v>26</v>
      </c>
      <c r="B66" s="10"/>
      <c r="C66" s="10"/>
      <c r="D66" s="15"/>
      <c r="E66" s="10"/>
      <c r="F66" s="10"/>
    </row>
    <row r="67" spans="1:7" ht="15.6" x14ac:dyDescent="0.35">
      <c r="A67" s="29" t="s">
        <v>37</v>
      </c>
      <c r="B67" s="10">
        <f t="shared" ref="B67:B68" si="19">B22/B16</f>
        <v>1151696.1788928986</v>
      </c>
      <c r="C67" s="10">
        <f t="shared" ref="C67:F67" si="20">C22/C16</f>
        <v>300000</v>
      </c>
      <c r="D67" s="15">
        <f t="shared" si="20"/>
        <v>2106702.933680885</v>
      </c>
      <c r="E67" s="10">
        <f t="shared" si="20"/>
        <v>2040889.767671772</v>
      </c>
      <c r="F67" s="10">
        <f t="shared" si="20"/>
        <v>2245242.6044920525</v>
      </c>
    </row>
    <row r="68" spans="1:7" ht="15.6" x14ac:dyDescent="0.35">
      <c r="A68" s="29" t="s">
        <v>38</v>
      </c>
      <c r="B68" s="10">
        <f t="shared" si="19"/>
        <v>904092.49137937115</v>
      </c>
      <c r="C68" s="10">
        <f t="shared" ref="C68:F68" si="21">C23/C17</f>
        <v>267582.8454376164</v>
      </c>
      <c r="D68" s="15">
        <f t="shared" si="21"/>
        <v>1568050.6884864464</v>
      </c>
      <c r="E68" s="10">
        <f t="shared" si="21"/>
        <v>1427123.5611405477</v>
      </c>
      <c r="F68" s="10">
        <f t="shared" si="21"/>
        <v>2343149.888888889</v>
      </c>
    </row>
    <row r="69" spans="1:7" ht="15.6" x14ac:dyDescent="0.35">
      <c r="A69" s="29" t="s">
        <v>27</v>
      </c>
      <c r="B69" s="10">
        <f>(B68/B67)*B51</f>
        <v>77.31792318534545</v>
      </c>
      <c r="C69" s="10">
        <f t="shared" ref="C69:F69" si="22">(C68/C67)*C51</f>
        <v>89.935498451356167</v>
      </c>
      <c r="D69" s="15">
        <f t="shared" si="22"/>
        <v>74.379601641072242</v>
      </c>
      <c r="E69" s="10">
        <f t="shared" si="22"/>
        <v>84.963269054178312</v>
      </c>
      <c r="F69" s="10">
        <f t="shared" si="22"/>
        <v>58.366108364177421</v>
      </c>
    </row>
    <row r="70" spans="1:7" ht="15.6" x14ac:dyDescent="0.35">
      <c r="A70" s="29" t="s">
        <v>33</v>
      </c>
      <c r="B70" s="10">
        <f t="shared" ref="B70:B71" si="23">B22/(B16*6)</f>
        <v>191949.36314881645</v>
      </c>
      <c r="C70" s="10">
        <f>C22/(C16*5)</f>
        <v>60000</v>
      </c>
      <c r="D70" s="15">
        <f t="shared" ref="D70:E70" si="24">D22/(D16*6)</f>
        <v>351117.15561348089</v>
      </c>
      <c r="E70" s="10">
        <f t="shared" si="24"/>
        <v>340148.29461196199</v>
      </c>
      <c r="F70" s="10">
        <f>F22/(F16*5)</f>
        <v>449048.52089841047</v>
      </c>
    </row>
    <row r="71" spans="1:7" ht="15.6" x14ac:dyDescent="0.35">
      <c r="A71" s="29" t="s">
        <v>34</v>
      </c>
      <c r="B71" s="10">
        <f t="shared" si="23"/>
        <v>150682.08189656187</v>
      </c>
      <c r="C71" s="10">
        <f>C23/(C17*5)</f>
        <v>53516.569087523276</v>
      </c>
      <c r="D71" s="15">
        <f t="shared" ref="D71:E71" si="25">D23/(D17*6)</f>
        <v>261341.78141440774</v>
      </c>
      <c r="E71" s="10">
        <f t="shared" si="25"/>
        <v>237853.92685675796</v>
      </c>
      <c r="F71" s="10">
        <f>F23/(F17*5)</f>
        <v>468629.97777777776</v>
      </c>
    </row>
    <row r="72" spans="1:7" ht="15.6" x14ac:dyDescent="0.35">
      <c r="A72" s="29"/>
      <c r="B72" s="10"/>
      <c r="C72" s="10"/>
      <c r="D72" s="15"/>
    </row>
    <row r="73" spans="1:7" ht="15.6" x14ac:dyDescent="0.35">
      <c r="A73" s="30" t="s">
        <v>28</v>
      </c>
      <c r="B73" s="10"/>
      <c r="C73" s="10"/>
      <c r="D73" s="15"/>
    </row>
    <row r="74" spans="1:7" ht="15.6" x14ac:dyDescent="0.35">
      <c r="A74" s="29" t="s">
        <v>29</v>
      </c>
      <c r="B74" s="10">
        <f>(B29/B28)*100</f>
        <v>100.00000000000007</v>
      </c>
      <c r="C74" s="10"/>
      <c r="D74" s="15"/>
    </row>
    <row r="75" spans="1:7" ht="16.2" thickBot="1" x14ac:dyDescent="0.4">
      <c r="A75" s="31" t="s">
        <v>30</v>
      </c>
      <c r="B75" s="12">
        <f>(B23/B29)*100</f>
        <v>86.630263100636242</v>
      </c>
      <c r="C75" s="12"/>
      <c r="D75" s="19"/>
    </row>
    <row r="76" spans="1:7" s="26" customFormat="1" ht="20.25" customHeight="1" thickTop="1" x14ac:dyDescent="0.3">
      <c r="A76" s="43" t="s">
        <v>81</v>
      </c>
      <c r="B76" s="43"/>
      <c r="C76" s="43"/>
      <c r="D76" s="43"/>
      <c r="E76" s="43"/>
      <c r="F76" s="43"/>
      <c r="G76" s="32"/>
    </row>
    <row r="77" spans="1:7" s="26" customFormat="1" x14ac:dyDescent="0.3"/>
    <row r="78" spans="1:7" s="26" customFormat="1" x14ac:dyDescent="0.3">
      <c r="A78" s="1"/>
    </row>
    <row r="79" spans="1:7" s="26" customFormat="1" x14ac:dyDescent="0.3"/>
    <row r="80" spans="1:7" s="26" customFormat="1" x14ac:dyDescent="0.3"/>
    <row r="81" spans="1:1" s="26" customFormat="1" x14ac:dyDescent="0.3"/>
    <row r="82" spans="1:1" s="26" customFormat="1" x14ac:dyDescent="0.3"/>
    <row r="83" spans="1:1" s="26" customFormat="1" x14ac:dyDescent="0.3"/>
    <row r="84" spans="1:1" s="26" customFormat="1" x14ac:dyDescent="0.3"/>
    <row r="85" spans="1:1" s="26" customFormat="1" x14ac:dyDescent="0.3"/>
    <row r="86" spans="1:1" s="26" customFormat="1" x14ac:dyDescent="0.3"/>
    <row r="87" spans="1:1" s="26" customFormat="1" x14ac:dyDescent="0.3"/>
    <row r="88" spans="1:1" s="26" customFormat="1" x14ac:dyDescent="0.3">
      <c r="A88" s="1"/>
    </row>
  </sheetData>
  <mergeCells count="4">
    <mergeCell ref="A9:A10"/>
    <mergeCell ref="B9:B10"/>
    <mergeCell ref="C9:F9"/>
    <mergeCell ref="A76:F76"/>
  </mergeCells>
  <pageMargins left="0.7" right="0.7" top="0.75" bottom="0.75" header="0.3" footer="0.3"/>
  <pageSetup orientation="portrait" r:id="rId1"/>
  <ignoredErrors>
    <ignoredError sqref="C70:C71"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8"/>
  <sheetViews>
    <sheetView showGridLines="0" zoomScale="80" zoomScaleNormal="80" workbookViewId="0">
      <pane ySplit="10" topLeftCell="A11" activePane="bottomLeft" state="frozen"/>
      <selection pane="bottomLeft" activeCell="A9" sqref="A9:A10"/>
    </sheetView>
  </sheetViews>
  <sheetFormatPr baseColWidth="10" defaultColWidth="11.44140625" defaultRowHeight="14.4" x14ac:dyDescent="0.3"/>
  <cols>
    <col min="1" max="1" width="62.5546875" style="3" customWidth="1"/>
    <col min="2" max="6" width="24.6640625" style="3" customWidth="1"/>
    <col min="7" max="16384" width="11.44140625" style="3"/>
  </cols>
  <sheetData>
    <row r="1" spans="1:6" s="26" customFormat="1" x14ac:dyDescent="0.3"/>
    <row r="2" spans="1:6" s="26" customFormat="1" x14ac:dyDescent="0.3"/>
    <row r="3" spans="1:6" s="26" customFormat="1" x14ac:dyDescent="0.3"/>
    <row r="4" spans="1:6" s="26" customFormat="1" x14ac:dyDescent="0.3"/>
    <row r="5" spans="1:6" s="26" customFormat="1" x14ac:dyDescent="0.3"/>
    <row r="6" spans="1:6" s="26" customFormat="1" x14ac:dyDescent="0.3"/>
    <row r="7" spans="1:6" s="26" customFormat="1" ht="21" customHeight="1" x14ac:dyDescent="0.3"/>
    <row r="8" spans="1:6" s="26" customFormat="1" ht="21" customHeight="1" x14ac:dyDescent="0.3"/>
    <row r="9" spans="1:6" s="26" customFormat="1" ht="15.6" x14ac:dyDescent="0.35">
      <c r="A9" s="39" t="s">
        <v>0</v>
      </c>
      <c r="B9" s="41" t="s">
        <v>41</v>
      </c>
      <c r="C9" s="38" t="s">
        <v>1</v>
      </c>
      <c r="D9" s="38"/>
      <c r="E9" s="38"/>
      <c r="F9" s="38"/>
    </row>
    <row r="10" spans="1:6" s="26" customFormat="1" ht="31.8" thickBot="1" x14ac:dyDescent="0.4">
      <c r="A10" s="40"/>
      <c r="B10" s="42"/>
      <c r="C10" s="27" t="s">
        <v>42</v>
      </c>
      <c r="D10" s="14" t="s">
        <v>49</v>
      </c>
      <c r="E10" s="28" t="s">
        <v>50</v>
      </c>
      <c r="F10" s="28" t="s">
        <v>43</v>
      </c>
    </row>
    <row r="11" spans="1:6" s="26" customFormat="1" ht="16.2" thickTop="1" x14ac:dyDescent="0.35">
      <c r="A11" s="29"/>
      <c r="B11" s="29"/>
      <c r="C11" s="29"/>
      <c r="D11" s="16"/>
    </row>
    <row r="12" spans="1:6" s="26" customFormat="1" ht="15.6" x14ac:dyDescent="0.35">
      <c r="A12" s="30" t="s">
        <v>2</v>
      </c>
      <c r="B12" s="29"/>
      <c r="C12" s="29"/>
      <c r="D12" s="16"/>
    </row>
    <row r="13" spans="1:6" s="26" customFormat="1" ht="15.6" x14ac:dyDescent="0.35">
      <c r="A13" s="29"/>
      <c r="B13" s="29"/>
      <c r="C13" s="29"/>
      <c r="D13" s="16"/>
    </row>
    <row r="14" spans="1:6" s="26" customFormat="1" ht="15.6" x14ac:dyDescent="0.35">
      <c r="A14" s="30" t="s">
        <v>3</v>
      </c>
      <c r="B14" s="29"/>
      <c r="C14" s="29"/>
      <c r="D14" s="16"/>
    </row>
    <row r="15" spans="1:6" ht="15.6" x14ac:dyDescent="0.35">
      <c r="A15" s="29" t="s">
        <v>59</v>
      </c>
      <c r="B15" s="7">
        <f>+SUM(C15:D15)</f>
        <v>4979</v>
      </c>
      <c r="C15" s="33">
        <v>2568</v>
      </c>
      <c r="D15" s="17">
        <f>+E15+F15</f>
        <v>2411</v>
      </c>
      <c r="E15" s="33">
        <v>2061</v>
      </c>
      <c r="F15" s="33">
        <v>350</v>
      </c>
    </row>
    <row r="16" spans="1:6" ht="15.6" x14ac:dyDescent="0.35">
      <c r="A16" s="5" t="s">
        <v>96</v>
      </c>
      <c r="B16" s="7">
        <f t="shared" ref="B16:B18" si="0">+SUM(C16:D16)</f>
        <v>1895</v>
      </c>
      <c r="C16" s="7">
        <v>763</v>
      </c>
      <c r="D16" s="17">
        <f t="shared" ref="D16:D18" si="1">+E16+F16</f>
        <v>1132</v>
      </c>
      <c r="E16" s="7">
        <v>1132</v>
      </c>
      <c r="F16" s="7">
        <v>0</v>
      </c>
    </row>
    <row r="17" spans="1:6" ht="15.6" x14ac:dyDescent="0.35">
      <c r="A17" s="29" t="s">
        <v>97</v>
      </c>
      <c r="B17" s="7">
        <f t="shared" si="0"/>
        <v>5393</v>
      </c>
      <c r="C17" s="33">
        <v>2713</v>
      </c>
      <c r="D17" s="17">
        <f t="shared" si="1"/>
        <v>2680</v>
      </c>
      <c r="E17" s="33">
        <v>2263</v>
      </c>
      <c r="F17" s="33">
        <v>417</v>
      </c>
    </row>
    <row r="18" spans="1:6" ht="15.6" x14ac:dyDescent="0.35">
      <c r="A18" s="5" t="s">
        <v>76</v>
      </c>
      <c r="B18" s="7">
        <f t="shared" si="0"/>
        <v>4082</v>
      </c>
      <c r="C18" s="7">
        <v>1934</v>
      </c>
      <c r="D18" s="17">
        <f t="shared" si="1"/>
        <v>2148</v>
      </c>
      <c r="E18" s="7">
        <v>1425</v>
      </c>
      <c r="F18" s="7">
        <v>723</v>
      </c>
    </row>
    <row r="19" spans="1:6" ht="15.6" x14ac:dyDescent="0.35">
      <c r="A19" s="29"/>
      <c r="B19" s="7"/>
      <c r="C19" s="33"/>
      <c r="D19" s="17"/>
      <c r="E19" s="33"/>
      <c r="F19" s="35"/>
    </row>
    <row r="20" spans="1:6" ht="15.6" x14ac:dyDescent="0.35">
      <c r="A20" s="30" t="s">
        <v>4</v>
      </c>
      <c r="B20" s="7"/>
      <c r="C20" s="33"/>
      <c r="D20" s="17"/>
      <c r="E20" s="33"/>
      <c r="F20" s="35"/>
    </row>
    <row r="21" spans="1:6" ht="15.6" x14ac:dyDescent="0.35">
      <c r="A21" s="29" t="s">
        <v>59</v>
      </c>
      <c r="B21" s="7">
        <f>SUM(C21:D21)</f>
        <v>1670383148</v>
      </c>
      <c r="C21" s="33">
        <v>208145400</v>
      </c>
      <c r="D21" s="17">
        <f>+E21+F21</f>
        <v>1462237748</v>
      </c>
      <c r="E21" s="33">
        <v>1046225881</v>
      </c>
      <c r="F21" s="33">
        <v>416011867</v>
      </c>
    </row>
    <row r="22" spans="1:6" ht="15.6" x14ac:dyDescent="0.35">
      <c r="A22" s="29" t="s">
        <v>96</v>
      </c>
      <c r="B22" s="7">
        <f t="shared" ref="B22:B24" si="2">SUM(C22:D22)</f>
        <v>1201267756.7968349</v>
      </c>
      <c r="C22" s="33">
        <v>45784000</v>
      </c>
      <c r="D22" s="17">
        <f t="shared" ref="D22:D24" si="3">+E22+F22</f>
        <v>1155483756.7968349</v>
      </c>
      <c r="E22" s="33">
        <v>1155483756.7968349</v>
      </c>
      <c r="F22" s="33">
        <v>0</v>
      </c>
    </row>
    <row r="23" spans="1:6" ht="15.6" x14ac:dyDescent="0.35">
      <c r="A23" s="29" t="s">
        <v>97</v>
      </c>
      <c r="B23" s="7">
        <f t="shared" si="2"/>
        <v>1719880699.3340189</v>
      </c>
      <c r="C23" s="33">
        <v>83024060</v>
      </c>
      <c r="D23" s="17">
        <f t="shared" si="3"/>
        <v>1636856639.3340189</v>
      </c>
      <c r="E23" s="33">
        <v>1155644246.3340189</v>
      </c>
      <c r="F23" s="33">
        <v>481212393</v>
      </c>
    </row>
    <row r="24" spans="1:6" ht="15.6" x14ac:dyDescent="0.35">
      <c r="A24" s="29" t="s">
        <v>76</v>
      </c>
      <c r="B24" s="7">
        <f t="shared" si="2"/>
        <v>6689675897.3109436</v>
      </c>
      <c r="C24" s="33">
        <v>801484000</v>
      </c>
      <c r="D24" s="17">
        <f t="shared" si="3"/>
        <v>5888191897.3109436</v>
      </c>
      <c r="E24" s="33">
        <v>4263758872.9609437</v>
      </c>
      <c r="F24" s="33">
        <v>1624433024.3499999</v>
      </c>
    </row>
    <row r="25" spans="1:6" ht="15.6" x14ac:dyDescent="0.35">
      <c r="A25" s="29" t="s">
        <v>98</v>
      </c>
      <c r="B25" s="7">
        <f t="shared" ref="B25:E25" si="4">B23</f>
        <v>1719880699.3340189</v>
      </c>
      <c r="C25" s="7">
        <f t="shared" si="4"/>
        <v>83024060</v>
      </c>
      <c r="D25" s="17">
        <f t="shared" si="4"/>
        <v>1636856639.3340189</v>
      </c>
      <c r="E25" s="7">
        <f t="shared" si="4"/>
        <v>1155644246.3340189</v>
      </c>
      <c r="F25" s="7">
        <f>F23</f>
        <v>481212393</v>
      </c>
    </row>
    <row r="26" spans="1:6" ht="15.6" x14ac:dyDescent="0.35">
      <c r="A26" s="29"/>
      <c r="B26" s="7"/>
      <c r="C26" s="7"/>
      <c r="D26" s="17"/>
    </row>
    <row r="27" spans="1:6" ht="15.6" x14ac:dyDescent="0.35">
      <c r="A27" s="30" t="s">
        <v>5</v>
      </c>
      <c r="B27" s="7"/>
      <c r="C27" s="7"/>
      <c r="D27" s="17"/>
    </row>
    <row r="28" spans="1:6" ht="15.6" x14ac:dyDescent="0.35">
      <c r="A28" s="29" t="s">
        <v>96</v>
      </c>
      <c r="B28" s="7">
        <f>B22</f>
        <v>1201267756.7968349</v>
      </c>
      <c r="C28" s="7"/>
      <c r="D28" s="17"/>
    </row>
    <row r="29" spans="1:6" ht="15.6" x14ac:dyDescent="0.35">
      <c r="A29" s="29" t="s">
        <v>97</v>
      </c>
      <c r="B29" s="7">
        <v>1201428246.3340189</v>
      </c>
      <c r="C29" s="7"/>
      <c r="D29" s="17"/>
    </row>
    <row r="30" spans="1:6" ht="15.6" x14ac:dyDescent="0.35">
      <c r="A30" s="29"/>
      <c r="B30" s="10"/>
      <c r="C30" s="10"/>
      <c r="D30" s="15"/>
    </row>
    <row r="31" spans="1:6" ht="15.6" x14ac:dyDescent="0.35">
      <c r="A31" s="30" t="s">
        <v>6</v>
      </c>
      <c r="B31" s="10"/>
      <c r="C31" s="10"/>
      <c r="D31" s="15"/>
    </row>
    <row r="32" spans="1:6" ht="15.6" x14ac:dyDescent="0.35">
      <c r="A32" s="29" t="s">
        <v>60</v>
      </c>
      <c r="B32" s="13">
        <v>1.1197999999999999</v>
      </c>
      <c r="C32" s="13">
        <v>1.1197999999999999</v>
      </c>
      <c r="D32" s="22">
        <v>1.1197999999999999</v>
      </c>
      <c r="E32" s="13">
        <v>1.1197999999999999</v>
      </c>
      <c r="F32" s="13">
        <v>1.1197999999999999</v>
      </c>
    </row>
    <row r="33" spans="1:6" ht="15.6" x14ac:dyDescent="0.35">
      <c r="A33" s="29" t="s">
        <v>99</v>
      </c>
      <c r="B33" s="13">
        <v>1.0948</v>
      </c>
      <c r="C33" s="13">
        <v>1.0948</v>
      </c>
      <c r="D33" s="22">
        <v>1.0948</v>
      </c>
      <c r="E33" s="13">
        <v>1.0948</v>
      </c>
      <c r="F33" s="13">
        <v>1.0948</v>
      </c>
    </row>
    <row r="34" spans="1:6" ht="15.6" x14ac:dyDescent="0.35">
      <c r="A34" s="29" t="s">
        <v>7</v>
      </c>
      <c r="B34" s="7">
        <f>C34+D34</f>
        <v>128834</v>
      </c>
      <c r="C34" s="9">
        <v>106880</v>
      </c>
      <c r="D34" s="18">
        <v>21954</v>
      </c>
    </row>
    <row r="35" spans="1:6" ht="15.6" x14ac:dyDescent="0.35">
      <c r="A35" s="29"/>
      <c r="B35" s="7"/>
      <c r="C35" s="7"/>
      <c r="D35" s="17"/>
    </row>
    <row r="36" spans="1:6" ht="15.6" x14ac:dyDescent="0.35">
      <c r="A36" s="30" t="s">
        <v>8</v>
      </c>
      <c r="B36" s="7"/>
      <c r="C36" s="7"/>
      <c r="D36" s="17"/>
    </row>
    <row r="37" spans="1:6" ht="15.6" x14ac:dyDescent="0.35">
      <c r="A37" s="29" t="s">
        <v>61</v>
      </c>
      <c r="B37" s="7">
        <f>B21/B32</f>
        <v>1491679896.4100733</v>
      </c>
      <c r="C37" s="7">
        <f t="shared" ref="C37:F37" si="5">C21/C32</f>
        <v>185877299.51777104</v>
      </c>
      <c r="D37" s="17">
        <f t="shared" si="5"/>
        <v>1305802596.8923023</v>
      </c>
      <c r="E37" s="7">
        <f t="shared" si="5"/>
        <v>934297089.65886772</v>
      </c>
      <c r="F37" s="7">
        <f t="shared" si="5"/>
        <v>371505507.23343456</v>
      </c>
    </row>
    <row r="38" spans="1:6" ht="15.6" x14ac:dyDescent="0.35">
      <c r="A38" s="29" t="s">
        <v>100</v>
      </c>
      <c r="B38" s="7">
        <f>B23/B33</f>
        <v>1570954237.6087129</v>
      </c>
      <c r="C38" s="7">
        <f t="shared" ref="C38:F38" si="6">C23/C33</f>
        <v>75834910.485933498</v>
      </c>
      <c r="D38" s="17">
        <f t="shared" si="6"/>
        <v>1495119327.1227794</v>
      </c>
      <c r="E38" s="7">
        <f t="shared" si="6"/>
        <v>1055575672.5740035</v>
      </c>
      <c r="F38" s="7">
        <f t="shared" si="6"/>
        <v>439543654.54877603</v>
      </c>
    </row>
    <row r="39" spans="1:6" ht="15.6" x14ac:dyDescent="0.35">
      <c r="A39" s="29" t="s">
        <v>62</v>
      </c>
      <c r="B39" s="7">
        <f>B37/B15</f>
        <v>299594.27523801429</v>
      </c>
      <c r="C39" s="7">
        <f t="shared" ref="C39:F39" si="7">C37/C15</f>
        <v>72382.12598044044</v>
      </c>
      <c r="D39" s="17">
        <f t="shared" si="7"/>
        <v>541602.07253932068</v>
      </c>
      <c r="E39" s="7">
        <f t="shared" si="7"/>
        <v>453322.21720469079</v>
      </c>
      <c r="F39" s="7">
        <f t="shared" si="7"/>
        <v>1061444.3063812417</v>
      </c>
    </row>
    <row r="40" spans="1:6" ht="15.6" x14ac:dyDescent="0.35">
      <c r="A40" s="29" t="s">
        <v>101</v>
      </c>
      <c r="B40" s="7">
        <f>B38/B17</f>
        <v>291295.0561113875</v>
      </c>
      <c r="C40" s="7">
        <f t="shared" ref="C40:F40" si="8">C38/C17</f>
        <v>27952.418166580723</v>
      </c>
      <c r="D40" s="17">
        <f t="shared" si="8"/>
        <v>557880.34594133554</v>
      </c>
      <c r="E40" s="7">
        <f t="shared" si="8"/>
        <v>466449.70065134933</v>
      </c>
      <c r="F40" s="7">
        <f t="shared" si="8"/>
        <v>1054061.5216997026</v>
      </c>
    </row>
    <row r="41" spans="1:6" ht="15.6" x14ac:dyDescent="0.35">
      <c r="A41" s="29"/>
      <c r="B41" s="10"/>
      <c r="C41" s="10"/>
      <c r="D41" s="15"/>
      <c r="E41" s="10"/>
      <c r="F41" s="10"/>
    </row>
    <row r="42" spans="1:6" ht="15.6" x14ac:dyDescent="0.35">
      <c r="A42" s="30" t="s">
        <v>9</v>
      </c>
      <c r="B42" s="10"/>
      <c r="C42" s="10"/>
      <c r="D42" s="15"/>
      <c r="E42" s="10"/>
      <c r="F42" s="10"/>
    </row>
    <row r="43" spans="1:6" ht="15.6" x14ac:dyDescent="0.35">
      <c r="A43" s="29"/>
      <c r="B43" s="10"/>
      <c r="C43" s="10"/>
      <c r="D43" s="15"/>
      <c r="E43" s="10"/>
      <c r="F43" s="10"/>
    </row>
    <row r="44" spans="1:6" ht="15.6" x14ac:dyDescent="0.35">
      <c r="A44" s="30" t="s">
        <v>10</v>
      </c>
      <c r="B44" s="10"/>
      <c r="C44" s="10"/>
      <c r="D44" s="15"/>
      <c r="E44" s="10"/>
      <c r="F44" s="10"/>
    </row>
    <row r="45" spans="1:6" ht="15.6" x14ac:dyDescent="0.35">
      <c r="A45" s="29" t="s">
        <v>11</v>
      </c>
      <c r="B45" s="10">
        <f>B16/B34*100</f>
        <v>1.470885014825279</v>
      </c>
      <c r="C45" s="10">
        <f t="shared" ref="C45:D45" si="9">C16/C34*100</f>
        <v>0.71388473053892221</v>
      </c>
      <c r="D45" s="15">
        <f t="shared" si="9"/>
        <v>5.1562357656919016</v>
      </c>
      <c r="E45" s="10"/>
      <c r="F45" s="10"/>
    </row>
    <row r="46" spans="1:6" ht="15.6" x14ac:dyDescent="0.35">
      <c r="A46" s="29" t="s">
        <v>12</v>
      </c>
      <c r="B46" s="10">
        <f>B17/B34*100</f>
        <v>4.1860067994473509</v>
      </c>
      <c r="C46" s="10">
        <f t="shared" ref="C46:D46" si="10">C17/C34*100</f>
        <v>2.5383607784431139</v>
      </c>
      <c r="D46" s="15">
        <f t="shared" si="10"/>
        <v>12.207342625489661</v>
      </c>
      <c r="E46" s="10"/>
      <c r="F46" s="10"/>
    </row>
    <row r="47" spans="1:6" ht="15.6" x14ac:dyDescent="0.35">
      <c r="A47" s="29"/>
      <c r="B47" s="10"/>
      <c r="C47" s="10"/>
      <c r="D47" s="15"/>
      <c r="E47" s="10"/>
      <c r="F47" s="10"/>
    </row>
    <row r="48" spans="1:6" ht="15.6" x14ac:dyDescent="0.35">
      <c r="A48" s="30" t="s">
        <v>13</v>
      </c>
      <c r="B48" s="10"/>
      <c r="C48" s="10"/>
      <c r="D48" s="15"/>
      <c r="E48" s="10"/>
      <c r="F48" s="10"/>
    </row>
    <row r="49" spans="1:6" ht="15.6" x14ac:dyDescent="0.35">
      <c r="A49" s="29" t="s">
        <v>14</v>
      </c>
      <c r="B49" s="10">
        <f>B17/B16*100</f>
        <v>284.59102902374667</v>
      </c>
      <c r="C49" s="10">
        <f t="shared" ref="C49:F49" si="11">C17/C16*100</f>
        <v>355.57011795543906</v>
      </c>
      <c r="D49" s="15">
        <f t="shared" si="11"/>
        <v>236.74911660777386</v>
      </c>
      <c r="E49" s="10">
        <f t="shared" si="11"/>
        <v>199.91166077738515</v>
      </c>
      <c r="F49" s="10" t="e">
        <f t="shared" si="11"/>
        <v>#DIV/0!</v>
      </c>
    </row>
    <row r="50" spans="1:6" ht="15.6" x14ac:dyDescent="0.35">
      <c r="A50" s="29" t="s">
        <v>15</v>
      </c>
      <c r="B50" s="10">
        <f>B23/B22*100</f>
        <v>143.17213540468771</v>
      </c>
      <c r="C50" s="10">
        <f t="shared" ref="C50:E50" si="12">C23/C22*100</f>
        <v>181.33858990040187</v>
      </c>
      <c r="D50" s="15">
        <f t="shared" si="12"/>
        <v>141.65985715555345</v>
      </c>
      <c r="E50" s="10">
        <f t="shared" si="12"/>
        <v>100.01388938063734</v>
      </c>
      <c r="F50" s="10" t="s">
        <v>44</v>
      </c>
    </row>
    <row r="51" spans="1:6" ht="15.6" x14ac:dyDescent="0.35">
      <c r="A51" s="29" t="s">
        <v>16</v>
      </c>
      <c r="B51" s="10">
        <f>AVERAGE(B49:B50)</f>
        <v>213.88158221421719</v>
      </c>
      <c r="C51" s="10">
        <f t="shared" ref="C51:E51" si="13">AVERAGE(C49:C50)</f>
        <v>268.45435392792047</v>
      </c>
      <c r="D51" s="15">
        <f t="shared" si="13"/>
        <v>189.20448688166366</v>
      </c>
      <c r="E51" s="10">
        <f t="shared" si="13"/>
        <v>149.96277507901124</v>
      </c>
      <c r="F51" s="10" t="s">
        <v>44</v>
      </c>
    </row>
    <row r="52" spans="1:6" ht="15.6" x14ac:dyDescent="0.35">
      <c r="A52" s="29"/>
      <c r="B52" s="10"/>
      <c r="C52" s="10"/>
      <c r="D52" s="15"/>
      <c r="E52" s="10"/>
      <c r="F52" s="10"/>
    </row>
    <row r="53" spans="1:6" ht="15.6" x14ac:dyDescent="0.35">
      <c r="A53" s="30" t="s">
        <v>17</v>
      </c>
      <c r="B53" s="10"/>
      <c r="C53" s="10"/>
      <c r="D53" s="15"/>
      <c r="E53" s="10"/>
      <c r="F53" s="10"/>
    </row>
    <row r="54" spans="1:6" ht="15.6" x14ac:dyDescent="0.35">
      <c r="A54" s="29" t="s">
        <v>18</v>
      </c>
      <c r="B54" s="10">
        <f>(B17/B18)*100</f>
        <v>132.11660950514454</v>
      </c>
      <c r="C54" s="10">
        <f t="shared" ref="C54:F54" si="14">(C17/C18)*100</f>
        <v>140.27921406411582</v>
      </c>
      <c r="D54" s="15">
        <f t="shared" si="14"/>
        <v>124.76722532588454</v>
      </c>
      <c r="E54" s="10">
        <f t="shared" si="14"/>
        <v>158.80701754385964</v>
      </c>
      <c r="F54" s="10">
        <f t="shared" si="14"/>
        <v>57.676348547717836</v>
      </c>
    </row>
    <row r="55" spans="1:6" ht="15.6" x14ac:dyDescent="0.35">
      <c r="A55" s="29" t="s">
        <v>19</v>
      </c>
      <c r="B55" s="10">
        <f>B23/B24*100</f>
        <v>25.709477196426828</v>
      </c>
      <c r="C55" s="10">
        <f t="shared" ref="C55:F55" si="15">C23/C24*100</f>
        <v>10.358791940949539</v>
      </c>
      <c r="D55" s="15">
        <f t="shared" si="15"/>
        <v>27.798968985395138</v>
      </c>
      <c r="E55" s="10">
        <f t="shared" si="15"/>
        <v>27.103883703711606</v>
      </c>
      <c r="F55" s="10">
        <f t="shared" si="15"/>
        <v>29.623406184601066</v>
      </c>
    </row>
    <row r="56" spans="1:6" ht="15.6" x14ac:dyDescent="0.35">
      <c r="A56" s="29" t="s">
        <v>20</v>
      </c>
      <c r="B56" s="10">
        <f>(B54+B55)/2</f>
        <v>78.913043350785685</v>
      </c>
      <c r="C56" s="10">
        <f t="shared" ref="C56:F56" si="16">(C54+C55)/2</f>
        <v>75.319003002532682</v>
      </c>
      <c r="D56" s="15">
        <f t="shared" si="16"/>
        <v>76.283097155639837</v>
      </c>
      <c r="E56" s="10">
        <f t="shared" si="16"/>
        <v>92.955450623785623</v>
      </c>
      <c r="F56" s="10">
        <f t="shared" si="16"/>
        <v>43.649877366159451</v>
      </c>
    </row>
    <row r="57" spans="1:6" ht="15.6" x14ac:dyDescent="0.35">
      <c r="A57" s="29"/>
      <c r="B57" s="10"/>
      <c r="C57" s="10"/>
      <c r="D57" s="15"/>
      <c r="E57" s="10"/>
      <c r="F57" s="10"/>
    </row>
    <row r="58" spans="1:6" ht="15.6" x14ac:dyDescent="0.35">
      <c r="A58" s="30" t="s">
        <v>31</v>
      </c>
      <c r="B58" s="10"/>
      <c r="C58" s="10"/>
      <c r="D58" s="15"/>
      <c r="E58" s="10"/>
      <c r="F58" s="10"/>
    </row>
    <row r="59" spans="1:6" ht="15.6" x14ac:dyDescent="0.35">
      <c r="A59" s="29" t="s">
        <v>21</v>
      </c>
      <c r="B59" s="10">
        <f>B25/B23*100</f>
        <v>100</v>
      </c>
      <c r="C59" s="10">
        <f t="shared" ref="C59:F59" si="17">C25/C23*100</f>
        <v>100</v>
      </c>
      <c r="D59" s="15">
        <f t="shared" si="17"/>
        <v>100</v>
      </c>
      <c r="E59" s="10">
        <f t="shared" si="17"/>
        <v>100</v>
      </c>
      <c r="F59" s="10">
        <f t="shared" si="17"/>
        <v>100</v>
      </c>
    </row>
    <row r="60" spans="1:6" ht="15.6" x14ac:dyDescent="0.35">
      <c r="A60" s="29"/>
      <c r="B60" s="10"/>
      <c r="C60" s="10"/>
      <c r="D60" s="15"/>
      <c r="E60" s="10"/>
      <c r="F60" s="10"/>
    </row>
    <row r="61" spans="1:6" ht="15.6" x14ac:dyDescent="0.35">
      <c r="A61" s="30" t="s">
        <v>22</v>
      </c>
      <c r="B61" s="10"/>
      <c r="C61" s="10"/>
      <c r="D61" s="15"/>
      <c r="E61" s="10"/>
      <c r="F61" s="10"/>
    </row>
    <row r="62" spans="1:6" ht="15.6" x14ac:dyDescent="0.35">
      <c r="A62" s="29" t="s">
        <v>23</v>
      </c>
      <c r="B62" s="10">
        <f>((B17/B15)-1)*100</f>
        <v>8.3149226752359908</v>
      </c>
      <c r="C62" s="10">
        <f t="shared" ref="C62:F62" si="18">((C17/C15)-1)*100</f>
        <v>5.6464174454828653</v>
      </c>
      <c r="D62" s="15">
        <f t="shared" si="18"/>
        <v>11.157196184155961</v>
      </c>
      <c r="E62" s="10">
        <f t="shared" si="18"/>
        <v>9.8010674429888311</v>
      </c>
      <c r="F62" s="10">
        <f t="shared" si="18"/>
        <v>19.142857142857149</v>
      </c>
    </row>
    <row r="63" spans="1:6" ht="15.6" x14ac:dyDescent="0.35">
      <c r="A63" s="29" t="s">
        <v>24</v>
      </c>
      <c r="B63" s="10">
        <f>((B38/B37)-1)*100</f>
        <v>5.3144338399561342</v>
      </c>
      <c r="C63" s="10">
        <f t="shared" ref="C63:F63" si="19">((C38/C37)-1)*100</f>
        <v>-59.201628879548473</v>
      </c>
      <c r="D63" s="15">
        <f t="shared" si="19"/>
        <v>14.498112553998176</v>
      </c>
      <c r="E63" s="10">
        <f t="shared" si="19"/>
        <v>12.980730033036615</v>
      </c>
      <c r="F63" s="10">
        <f t="shared" si="19"/>
        <v>18.314169235878875</v>
      </c>
    </row>
    <row r="64" spans="1:6" ht="15.6" x14ac:dyDescent="0.35">
      <c r="A64" s="29" t="s">
        <v>25</v>
      </c>
      <c r="B64" s="10">
        <f>((B40/B39)-1)*100</f>
        <v>-2.7701527741254117</v>
      </c>
      <c r="C64" s="10">
        <f t="shared" ref="C64:F64" si="20">((C40/C39)-1)*100</f>
        <v>-61.382153690630467</v>
      </c>
      <c r="D64" s="15">
        <f t="shared" si="20"/>
        <v>3.0055781222722455</v>
      </c>
      <c r="E64" s="10">
        <f t="shared" si="20"/>
        <v>2.895839415858803</v>
      </c>
      <c r="F64" s="10">
        <f t="shared" si="20"/>
        <v>-0.69554140873476777</v>
      </c>
    </row>
    <row r="65" spans="1:7" ht="15.6" x14ac:dyDescent="0.35">
      <c r="A65" s="29"/>
      <c r="B65" s="10"/>
      <c r="C65" s="10"/>
      <c r="D65" s="15"/>
      <c r="E65" s="10"/>
      <c r="F65" s="10"/>
    </row>
    <row r="66" spans="1:7" ht="15.6" x14ac:dyDescent="0.35">
      <c r="A66" s="30" t="s">
        <v>26</v>
      </c>
      <c r="B66" s="10"/>
      <c r="C66" s="10"/>
      <c r="D66" s="15"/>
      <c r="E66" s="10"/>
      <c r="F66" s="10"/>
    </row>
    <row r="67" spans="1:7" ht="15.6" x14ac:dyDescent="0.35">
      <c r="A67" s="29" t="s">
        <v>35</v>
      </c>
      <c r="B67" s="10">
        <f t="shared" ref="B67:B68" si="21">B22/B16</f>
        <v>633914.38353394985</v>
      </c>
      <c r="C67" s="10">
        <f t="shared" ref="C67:F67" si="22">C22/C16</f>
        <v>60005.242463958057</v>
      </c>
      <c r="D67" s="15">
        <f t="shared" si="22"/>
        <v>1020745.3681950839</v>
      </c>
      <c r="E67" s="10">
        <f t="shared" si="22"/>
        <v>1020745.3681950839</v>
      </c>
      <c r="F67" s="10" t="e">
        <f t="shared" si="22"/>
        <v>#DIV/0!</v>
      </c>
    </row>
    <row r="68" spans="1:7" ht="15.6" x14ac:dyDescent="0.35">
      <c r="A68" s="29" t="s">
        <v>36</v>
      </c>
      <c r="B68" s="10">
        <f t="shared" si="21"/>
        <v>318909.82743074704</v>
      </c>
      <c r="C68" s="10">
        <f t="shared" ref="C68:F68" si="23">C23/C17</f>
        <v>30602.307408772576</v>
      </c>
      <c r="D68" s="15">
        <f t="shared" si="23"/>
        <v>610767.40273657418</v>
      </c>
      <c r="E68" s="10">
        <f t="shared" si="23"/>
        <v>510669.13227309717</v>
      </c>
      <c r="F68" s="10">
        <f t="shared" si="23"/>
        <v>1153986.5539568346</v>
      </c>
    </row>
    <row r="69" spans="1:7" ht="15.6" x14ac:dyDescent="0.35">
      <c r="A69" s="29" t="s">
        <v>27</v>
      </c>
      <c r="B69" s="10">
        <f>(B68/B67)*B51</f>
        <v>107.59960689691172</v>
      </c>
      <c r="C69" s="10">
        <f t="shared" ref="C69:E69" si="24">(C68/C67)*C51</f>
        <v>136.91008196592423</v>
      </c>
      <c r="D69" s="15">
        <f t="shared" si="24"/>
        <v>113.21132247032075</v>
      </c>
      <c r="E69" s="10">
        <f t="shared" si="24"/>
        <v>75.024940214304408</v>
      </c>
      <c r="F69" s="10" t="s">
        <v>44</v>
      </c>
    </row>
    <row r="70" spans="1:7" ht="15.6" x14ac:dyDescent="0.35">
      <c r="A70" s="29" t="s">
        <v>33</v>
      </c>
      <c r="B70" s="10">
        <f t="shared" ref="B70:D71" si="25">B22/(B16*3)</f>
        <v>211304.79451131661</v>
      </c>
      <c r="C70" s="10">
        <f>C22/(C16*1)</f>
        <v>60005.242463958057</v>
      </c>
      <c r="D70" s="15">
        <f>D22/(D16*3)</f>
        <v>340248.45606502797</v>
      </c>
      <c r="E70" s="10">
        <f>E22/(E16*3)</f>
        <v>340248.45606502797</v>
      </c>
      <c r="F70" s="10" t="e">
        <f>F22/(F16*3)</f>
        <v>#DIV/0!</v>
      </c>
    </row>
    <row r="71" spans="1:7" ht="15.6" x14ac:dyDescent="0.35">
      <c r="A71" s="29" t="s">
        <v>34</v>
      </c>
      <c r="B71" s="10">
        <f t="shared" si="25"/>
        <v>106303.27581024902</v>
      </c>
      <c r="C71" s="10">
        <f>C23/(C17*1)</f>
        <v>30602.307408772576</v>
      </c>
      <c r="D71" s="15">
        <f t="shared" si="25"/>
        <v>203589.13424552474</v>
      </c>
      <c r="E71" s="10">
        <f>E23/(E17*3)</f>
        <v>170223.04409103241</v>
      </c>
      <c r="F71" s="10">
        <f>F23/(F17*3)</f>
        <v>384662.1846522782</v>
      </c>
    </row>
    <row r="72" spans="1:7" ht="15.6" x14ac:dyDescent="0.35">
      <c r="A72" s="29"/>
      <c r="B72" s="10"/>
      <c r="C72" s="10"/>
      <c r="D72" s="15"/>
    </row>
    <row r="73" spans="1:7" ht="15.6" x14ac:dyDescent="0.35">
      <c r="A73" s="30" t="s">
        <v>28</v>
      </c>
      <c r="B73" s="10"/>
      <c r="C73" s="10"/>
      <c r="D73" s="15"/>
    </row>
    <row r="74" spans="1:7" ht="15.6" x14ac:dyDescent="0.35">
      <c r="A74" s="29" t="s">
        <v>29</v>
      </c>
      <c r="B74" s="10">
        <f>(B29/B28)*100</f>
        <v>100.01336001372516</v>
      </c>
      <c r="C74" s="10"/>
      <c r="D74" s="15"/>
    </row>
    <row r="75" spans="1:7" ht="16.2" thickBot="1" x14ac:dyDescent="0.4">
      <c r="A75" s="31" t="s">
        <v>30</v>
      </c>
      <c r="B75" s="12">
        <f>(B23/B29)*100</f>
        <v>143.15301014288463</v>
      </c>
      <c r="C75" s="12"/>
      <c r="D75" s="19"/>
      <c r="E75" s="4"/>
      <c r="F75" s="4"/>
    </row>
    <row r="76" spans="1:7" s="26" customFormat="1" ht="20.25" customHeight="1" thickTop="1" x14ac:dyDescent="0.3">
      <c r="A76" s="43" t="s">
        <v>81</v>
      </c>
      <c r="B76" s="43"/>
      <c r="C76" s="43"/>
      <c r="D76" s="43"/>
      <c r="E76" s="43"/>
      <c r="F76" s="43"/>
      <c r="G76" s="32"/>
    </row>
    <row r="77" spans="1:7" s="26" customFormat="1" x14ac:dyDescent="0.3">
      <c r="A77" s="1"/>
    </row>
    <row r="78" spans="1:7" s="26" customFormat="1" x14ac:dyDescent="0.3"/>
    <row r="79" spans="1:7" s="26" customFormat="1" x14ac:dyDescent="0.3"/>
    <row r="80" spans="1:7" s="26" customFormat="1" x14ac:dyDescent="0.3"/>
    <row r="81" s="26" customFormat="1" x14ac:dyDescent="0.3"/>
    <row r="82" s="26" customFormat="1" x14ac:dyDescent="0.3"/>
    <row r="83" s="26" customFormat="1" x14ac:dyDescent="0.3"/>
    <row r="84" s="26" customFormat="1" x14ac:dyDescent="0.3"/>
    <row r="85" s="26" customFormat="1" x14ac:dyDescent="0.3"/>
    <row r="86" s="26" customFormat="1" x14ac:dyDescent="0.3"/>
    <row r="87" s="26" customFormat="1" x14ac:dyDescent="0.3"/>
    <row r="88" s="26" customFormat="1" x14ac:dyDescent="0.3"/>
  </sheetData>
  <mergeCells count="4">
    <mergeCell ref="A9:A10"/>
    <mergeCell ref="B9:B10"/>
    <mergeCell ref="C9:F9"/>
    <mergeCell ref="A76:F76"/>
  </mergeCells>
  <pageMargins left="0.7" right="0.7" top="0.75" bottom="0.75" header="0.3" footer="0.3"/>
  <pageSetup paperSize="9" orientation="portrait" r:id="rId1"/>
  <ignoredErrors>
    <ignoredError sqref="D70:D71 C71"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87"/>
  <sheetViews>
    <sheetView showGridLines="0" zoomScale="80" zoomScaleNormal="80" workbookViewId="0">
      <pane ySplit="10" topLeftCell="A11" activePane="bottomLeft" state="frozen"/>
      <selection pane="bottomLeft" activeCell="A9" sqref="A9:A10"/>
    </sheetView>
  </sheetViews>
  <sheetFormatPr baseColWidth="10" defaultColWidth="11.44140625" defaultRowHeight="14.4" x14ac:dyDescent="0.3"/>
  <cols>
    <col min="1" max="1" width="62.5546875" style="3" customWidth="1"/>
    <col min="2" max="6" width="24.6640625" style="3" customWidth="1"/>
    <col min="7" max="16384" width="11.44140625" style="3"/>
  </cols>
  <sheetData>
    <row r="1" spans="1:6" s="26" customFormat="1" x14ac:dyDescent="0.3"/>
    <row r="2" spans="1:6" s="26" customFormat="1" x14ac:dyDescent="0.3"/>
    <row r="3" spans="1:6" s="26" customFormat="1" x14ac:dyDescent="0.3"/>
    <row r="4" spans="1:6" s="26" customFormat="1" x14ac:dyDescent="0.3"/>
    <row r="5" spans="1:6" s="26" customFormat="1" x14ac:dyDescent="0.3"/>
    <row r="6" spans="1:6" s="26" customFormat="1" x14ac:dyDescent="0.3"/>
    <row r="7" spans="1:6" s="26" customFormat="1" ht="21" customHeight="1" x14ac:dyDescent="0.3"/>
    <row r="8" spans="1:6" s="26" customFormat="1" ht="21" customHeight="1" x14ac:dyDescent="0.3"/>
    <row r="9" spans="1:6" s="26" customFormat="1" ht="15.6" x14ac:dyDescent="0.35">
      <c r="A9" s="39" t="s">
        <v>0</v>
      </c>
      <c r="B9" s="41" t="s">
        <v>41</v>
      </c>
      <c r="C9" s="38" t="s">
        <v>1</v>
      </c>
      <c r="D9" s="38"/>
      <c r="E9" s="38"/>
      <c r="F9" s="38"/>
    </row>
    <row r="10" spans="1:6" s="26" customFormat="1" ht="31.8" thickBot="1" x14ac:dyDescent="0.4">
      <c r="A10" s="40"/>
      <c r="B10" s="42"/>
      <c r="C10" s="27" t="s">
        <v>42</v>
      </c>
      <c r="D10" s="14" t="s">
        <v>49</v>
      </c>
      <c r="E10" s="28" t="s">
        <v>50</v>
      </c>
      <c r="F10" s="28" t="s">
        <v>43</v>
      </c>
    </row>
    <row r="11" spans="1:6" s="26" customFormat="1" ht="16.2" thickTop="1" x14ac:dyDescent="0.35">
      <c r="A11" s="29"/>
      <c r="B11" s="29"/>
      <c r="C11" s="29"/>
      <c r="D11" s="16"/>
    </row>
    <row r="12" spans="1:6" s="26" customFormat="1" ht="15.6" x14ac:dyDescent="0.35">
      <c r="A12" s="30" t="s">
        <v>2</v>
      </c>
      <c r="B12" s="29"/>
      <c r="C12" s="29"/>
      <c r="D12" s="16"/>
    </row>
    <row r="13" spans="1:6" ht="15.6" x14ac:dyDescent="0.35">
      <c r="A13" s="5"/>
      <c r="B13" s="5"/>
      <c r="C13" s="5"/>
      <c r="D13" s="16"/>
    </row>
    <row r="14" spans="1:6" ht="15.6" x14ac:dyDescent="0.35">
      <c r="A14" s="30" t="s">
        <v>3</v>
      </c>
      <c r="B14" s="5"/>
      <c r="C14" s="5"/>
      <c r="D14" s="16"/>
    </row>
    <row r="15" spans="1:6" ht="15.6" x14ac:dyDescent="0.35">
      <c r="A15" s="29" t="s">
        <v>64</v>
      </c>
      <c r="B15" s="7">
        <f>+SUM(C15:D15)</f>
        <v>4979</v>
      </c>
      <c r="C15" s="7">
        <f>+'III Trimestre'!C15</f>
        <v>2568</v>
      </c>
      <c r="D15" s="17">
        <f>+E15+F15</f>
        <v>2411</v>
      </c>
      <c r="E15" s="7">
        <f>'III Trimestre'!E15</f>
        <v>2061</v>
      </c>
      <c r="F15" s="7">
        <f>'III Trimestre'!F15</f>
        <v>350</v>
      </c>
    </row>
    <row r="16" spans="1:6" ht="15.6" x14ac:dyDescent="0.35">
      <c r="A16" s="5" t="s">
        <v>102</v>
      </c>
      <c r="B16" s="7">
        <f t="shared" ref="B16:B18" si="0">+SUM(C16:D16)</f>
        <v>1895</v>
      </c>
      <c r="C16" s="7">
        <f>+'III Trimestre'!C16</f>
        <v>763</v>
      </c>
      <c r="D16" s="17">
        <f t="shared" ref="D16:D18" si="1">+E16+F16</f>
        <v>1132</v>
      </c>
      <c r="E16" s="7">
        <f>+'III Trimestre'!E16</f>
        <v>1132</v>
      </c>
      <c r="F16" s="7">
        <f>+'III Trimestre'!F16</f>
        <v>0</v>
      </c>
    </row>
    <row r="17" spans="1:6" ht="15.6" x14ac:dyDescent="0.35">
      <c r="A17" s="29" t="s">
        <v>103</v>
      </c>
      <c r="B17" s="7">
        <f t="shared" si="0"/>
        <v>5393</v>
      </c>
      <c r="C17" s="7">
        <f>+'III Trimestre'!C17</f>
        <v>2713</v>
      </c>
      <c r="D17" s="17">
        <f t="shared" si="1"/>
        <v>2680</v>
      </c>
      <c r="E17" s="7">
        <f>+'III Trimestre'!E17</f>
        <v>2263</v>
      </c>
      <c r="F17" s="7">
        <f>+'III Trimestre'!F17</f>
        <v>417</v>
      </c>
    </row>
    <row r="18" spans="1:6" ht="15.6" x14ac:dyDescent="0.35">
      <c r="A18" s="5" t="s">
        <v>76</v>
      </c>
      <c r="B18" s="7">
        <f t="shared" si="0"/>
        <v>4082</v>
      </c>
      <c r="C18" s="7">
        <f>+'III Trimestre'!C18</f>
        <v>1934</v>
      </c>
      <c r="D18" s="17">
        <f t="shared" si="1"/>
        <v>2148</v>
      </c>
      <c r="E18" s="7">
        <f>+'III Trimestre'!E18</f>
        <v>1425</v>
      </c>
      <c r="F18" s="7">
        <f>+'III Trimestre'!F18</f>
        <v>723</v>
      </c>
    </row>
    <row r="19" spans="1:6" ht="15.6" x14ac:dyDescent="0.35">
      <c r="A19" s="29"/>
      <c r="B19" s="7"/>
      <c r="C19" s="7"/>
      <c r="D19" s="17"/>
    </row>
    <row r="20" spans="1:6" ht="15.6" x14ac:dyDescent="0.35">
      <c r="A20" s="30" t="s">
        <v>4</v>
      </c>
      <c r="B20" s="7"/>
      <c r="C20" s="7"/>
      <c r="D20" s="17"/>
    </row>
    <row r="21" spans="1:6" ht="15.6" x14ac:dyDescent="0.35">
      <c r="A21" s="29" t="s">
        <v>64</v>
      </c>
      <c r="B21" s="7">
        <f>SUM(C21:D21)</f>
        <v>7031674833</v>
      </c>
      <c r="C21" s="7">
        <f>+'I Trimestre'!C21+'II Trimestre'!C21+'III Trimestre'!C21</f>
        <v>876484000</v>
      </c>
      <c r="D21" s="17">
        <f>+E21+F21</f>
        <v>6155190833</v>
      </c>
      <c r="E21" s="7">
        <f>+'I Trimestre'!E21+'II Trimestre'!E21+'III Trimestre'!E21</f>
        <v>4951683960</v>
      </c>
      <c r="F21" s="7">
        <f>+'I Trimestre'!F21+'II Trimestre'!F21+'III Trimestre'!F21</f>
        <v>1203506873</v>
      </c>
    </row>
    <row r="22" spans="1:6" ht="15.6" x14ac:dyDescent="0.35">
      <c r="A22" s="29" t="s">
        <v>102</v>
      </c>
      <c r="B22" s="7">
        <f t="shared" ref="B22:B24" si="2">SUM(C22:D22)</f>
        <v>6689675897.3109436</v>
      </c>
      <c r="C22" s="7">
        <f>+'I Trimestre'!C22+'II Trimestre'!C22+'III Trimestre'!C22</f>
        <v>801484000</v>
      </c>
      <c r="D22" s="17">
        <f t="shared" ref="D22:D24" si="3">+E22+F22</f>
        <v>5888191897.3109436</v>
      </c>
      <c r="E22" s="7">
        <f>+'I Trimestre'!E22+'II Trimestre'!E22+'III Trimestre'!E22</f>
        <v>4263758872.9609437</v>
      </c>
      <c r="F22" s="7">
        <f>+'I Trimestre'!F22+'II Trimestre'!F22+'III Trimestre'!F22</f>
        <v>1624433024.3499999</v>
      </c>
    </row>
    <row r="23" spans="1:6" ht="15.6" x14ac:dyDescent="0.35">
      <c r="A23" s="29" t="s">
        <v>104</v>
      </c>
      <c r="B23" s="7">
        <f t="shared" si="2"/>
        <v>6474503111.4981318</v>
      </c>
      <c r="C23" s="7">
        <f>+'I Trimestre'!C23+'II Trimestre'!C23+'III Trimestre'!C23</f>
        <v>801484000</v>
      </c>
      <c r="D23" s="17">
        <f t="shared" si="3"/>
        <v>5673019111.4981318</v>
      </c>
      <c r="E23" s="7">
        <f>+'I Trimestre'!E23+'II Trimestre'!E23+'III Trimestre'!E23</f>
        <v>4263919362.4981318</v>
      </c>
      <c r="F23" s="7">
        <f>+'I Trimestre'!F23+'II Trimestre'!F23+'III Trimestre'!F23</f>
        <v>1409099749</v>
      </c>
    </row>
    <row r="24" spans="1:6" ht="15.6" x14ac:dyDescent="0.35">
      <c r="A24" s="29" t="s">
        <v>76</v>
      </c>
      <c r="B24" s="7">
        <f t="shared" si="2"/>
        <v>6689675897.3109436</v>
      </c>
      <c r="C24" s="7">
        <f>+'III Trimestre'!C24</f>
        <v>801484000</v>
      </c>
      <c r="D24" s="17">
        <f t="shared" si="3"/>
        <v>5888191897.3109436</v>
      </c>
      <c r="E24" s="7">
        <f>+'III Trimestre'!E24</f>
        <v>4263758872.9609437</v>
      </c>
      <c r="F24" s="7">
        <f>+'III Trimestre'!F24</f>
        <v>1624433024.3499999</v>
      </c>
    </row>
    <row r="25" spans="1:6" ht="15.6" x14ac:dyDescent="0.35">
      <c r="A25" s="29" t="s">
        <v>105</v>
      </c>
      <c r="B25" s="7">
        <f t="shared" ref="B25:E25" si="4">+B23</f>
        <v>6474503111.4981318</v>
      </c>
      <c r="C25" s="7">
        <f t="shared" si="4"/>
        <v>801484000</v>
      </c>
      <c r="D25" s="17">
        <f t="shared" si="4"/>
        <v>5673019111.4981318</v>
      </c>
      <c r="E25" s="7">
        <f t="shared" si="4"/>
        <v>4263919362.4981318</v>
      </c>
      <c r="F25" s="7">
        <f>+F23</f>
        <v>1409099749</v>
      </c>
    </row>
    <row r="26" spans="1:6" ht="15.6" x14ac:dyDescent="0.35">
      <c r="A26" s="29"/>
      <c r="B26" s="7"/>
      <c r="C26" s="7"/>
      <c r="D26" s="17"/>
    </row>
    <row r="27" spans="1:6" ht="15.6" x14ac:dyDescent="0.35">
      <c r="A27" s="30" t="s">
        <v>5</v>
      </c>
      <c r="B27" s="7"/>
      <c r="C27" s="7"/>
      <c r="D27" s="17"/>
    </row>
    <row r="28" spans="1:6" ht="15.6" x14ac:dyDescent="0.35">
      <c r="A28" s="29" t="s">
        <v>63</v>
      </c>
      <c r="B28" s="7">
        <f>B22</f>
        <v>6689675897.3109436</v>
      </c>
      <c r="C28" s="7"/>
      <c r="D28" s="17"/>
    </row>
    <row r="29" spans="1:6" ht="15.6" x14ac:dyDescent="0.35">
      <c r="A29" s="29" t="s">
        <v>104</v>
      </c>
      <c r="B29" s="7">
        <f>'I Trimestre'!B29+'II Trimestre'!B29+'III Trimestre'!B29</f>
        <v>6689836386.8481312</v>
      </c>
      <c r="C29" s="7"/>
      <c r="D29" s="17"/>
    </row>
    <row r="30" spans="1:6" ht="15.6" x14ac:dyDescent="0.35">
      <c r="A30" s="29"/>
      <c r="B30" s="10"/>
      <c r="C30" s="10"/>
      <c r="D30" s="15"/>
    </row>
    <row r="31" spans="1:6" ht="15.6" x14ac:dyDescent="0.35">
      <c r="A31" s="30" t="s">
        <v>6</v>
      </c>
      <c r="B31" s="10"/>
      <c r="C31" s="10"/>
      <c r="D31" s="15"/>
    </row>
    <row r="32" spans="1:6" ht="15.6" x14ac:dyDescent="0.35">
      <c r="A32" s="29" t="s">
        <v>65</v>
      </c>
      <c r="B32" s="13">
        <v>1.1197999999999999</v>
      </c>
      <c r="C32" s="13">
        <v>1.1197999999999999</v>
      </c>
      <c r="D32" s="22">
        <v>1.1197999999999999</v>
      </c>
      <c r="E32" s="13">
        <v>1.1197999999999999</v>
      </c>
      <c r="F32" s="13">
        <v>1.1197999999999999</v>
      </c>
    </row>
    <row r="33" spans="1:6" ht="15.6" x14ac:dyDescent="0.35">
      <c r="A33" s="29" t="s">
        <v>106</v>
      </c>
      <c r="B33" s="13">
        <v>1.0948</v>
      </c>
      <c r="C33" s="13">
        <v>1.0948</v>
      </c>
      <c r="D33" s="22">
        <v>1.0948</v>
      </c>
      <c r="E33" s="13">
        <v>1.0948</v>
      </c>
      <c r="F33" s="13">
        <v>1.0948</v>
      </c>
    </row>
    <row r="34" spans="1:6" ht="15.6" x14ac:dyDescent="0.35">
      <c r="A34" s="29" t="s">
        <v>7</v>
      </c>
      <c r="B34" s="7">
        <f>C34+D34</f>
        <v>128834</v>
      </c>
      <c r="C34" s="9">
        <v>106880</v>
      </c>
      <c r="D34" s="18">
        <v>21954</v>
      </c>
    </row>
    <row r="35" spans="1:6" ht="15.6" x14ac:dyDescent="0.35">
      <c r="A35" s="29"/>
      <c r="B35" s="7"/>
      <c r="C35" s="7"/>
      <c r="D35" s="17"/>
    </row>
    <row r="36" spans="1:6" ht="15.6" x14ac:dyDescent="0.35">
      <c r="A36" s="30" t="s">
        <v>8</v>
      </c>
      <c r="B36" s="7"/>
      <c r="C36" s="7"/>
      <c r="D36" s="17"/>
    </row>
    <row r="37" spans="1:6" ht="15.6" x14ac:dyDescent="0.35">
      <c r="A37" s="29" t="s">
        <v>57</v>
      </c>
      <c r="B37" s="7">
        <f>B21/B32</f>
        <v>6279402422.7540636</v>
      </c>
      <c r="C37" s="7">
        <f t="shared" ref="C37:F37" si="5">C21/C32</f>
        <v>782714770.49473131</v>
      </c>
      <c r="D37" s="17">
        <f t="shared" si="5"/>
        <v>5496687652.2593327</v>
      </c>
      <c r="E37" s="7">
        <f t="shared" si="5"/>
        <v>4421936024.2900524</v>
      </c>
      <c r="F37" s="7">
        <f t="shared" si="5"/>
        <v>1074751627.9692802</v>
      </c>
    </row>
    <row r="38" spans="1:6" ht="15.6" x14ac:dyDescent="0.35">
      <c r="A38" s="29" t="s">
        <v>107</v>
      </c>
      <c r="B38" s="7">
        <f>B23/B33</f>
        <v>5913868388.2883921</v>
      </c>
      <c r="C38" s="7">
        <f t="shared" ref="C38:F38" si="6">C23/C33</f>
        <v>732082572.15929854</v>
      </c>
      <c r="D38" s="17">
        <f t="shared" si="6"/>
        <v>5181785816.1290941</v>
      </c>
      <c r="E38" s="7">
        <f t="shared" si="6"/>
        <v>3894701646.4177308</v>
      </c>
      <c r="F38" s="7">
        <f t="shared" si="6"/>
        <v>1287084169.7113628</v>
      </c>
    </row>
    <row r="39" spans="1:6" ht="15.6" x14ac:dyDescent="0.35">
      <c r="A39" s="29" t="s">
        <v>58</v>
      </c>
      <c r="B39" s="7">
        <f>B37/B15</f>
        <v>1261177.4297557871</v>
      </c>
      <c r="C39" s="7">
        <f t="shared" ref="C39:F39" si="7">C37/C15</f>
        <v>304795.471376453</v>
      </c>
      <c r="D39" s="17">
        <f t="shared" si="7"/>
        <v>2279837.2676314111</v>
      </c>
      <c r="E39" s="7">
        <f t="shared" si="7"/>
        <v>2145529.3664677595</v>
      </c>
      <c r="F39" s="7">
        <f t="shared" si="7"/>
        <v>3070718.9370550863</v>
      </c>
    </row>
    <row r="40" spans="1:6" ht="15.6" x14ac:dyDescent="0.35">
      <c r="A40" s="29" t="s">
        <v>108</v>
      </c>
      <c r="B40" s="7">
        <f>B38/B17</f>
        <v>1096582.3082307421</v>
      </c>
      <c r="C40" s="7">
        <f t="shared" ref="C40:F40" si="8">C38/C17</f>
        <v>269842.45195698435</v>
      </c>
      <c r="D40" s="17">
        <f t="shared" si="8"/>
        <v>1933502.1701974231</v>
      </c>
      <c r="E40" s="7">
        <f t="shared" si="8"/>
        <v>1721034.7531673578</v>
      </c>
      <c r="F40" s="7">
        <f t="shared" si="8"/>
        <v>3086532.7810824048</v>
      </c>
    </row>
    <row r="41" spans="1:6" ht="15.6" x14ac:dyDescent="0.35">
      <c r="A41" s="29"/>
      <c r="B41" s="10"/>
      <c r="C41" s="10"/>
      <c r="D41" s="15"/>
      <c r="E41" s="10"/>
      <c r="F41" s="10"/>
    </row>
    <row r="42" spans="1:6" ht="15.6" x14ac:dyDescent="0.35">
      <c r="A42" s="30" t="s">
        <v>9</v>
      </c>
      <c r="B42" s="10"/>
      <c r="C42" s="10"/>
      <c r="D42" s="15"/>
      <c r="E42" s="10"/>
      <c r="F42" s="10"/>
    </row>
    <row r="43" spans="1:6" ht="15.6" x14ac:dyDescent="0.35">
      <c r="A43" s="29"/>
      <c r="B43" s="10"/>
      <c r="C43" s="10"/>
      <c r="D43" s="15"/>
      <c r="E43" s="10"/>
      <c r="F43" s="10"/>
    </row>
    <row r="44" spans="1:6" ht="15.6" x14ac:dyDescent="0.35">
      <c r="A44" s="30" t="s">
        <v>10</v>
      </c>
      <c r="B44" s="10"/>
      <c r="C44" s="10"/>
      <c r="D44" s="15"/>
      <c r="E44" s="10"/>
      <c r="F44" s="10"/>
    </row>
    <row r="45" spans="1:6" ht="15.6" x14ac:dyDescent="0.35">
      <c r="A45" s="29" t="s">
        <v>11</v>
      </c>
      <c r="B45" s="10">
        <f>B16/B34*100</f>
        <v>1.470885014825279</v>
      </c>
      <c r="C45" s="10">
        <f t="shared" ref="C45:D45" si="9">C16/C34*100</f>
        <v>0.71388473053892221</v>
      </c>
      <c r="D45" s="15">
        <f t="shared" si="9"/>
        <v>5.1562357656919016</v>
      </c>
      <c r="E45" s="10"/>
      <c r="F45" s="10"/>
    </row>
    <row r="46" spans="1:6" ht="15.6" x14ac:dyDescent="0.35">
      <c r="A46" s="29" t="s">
        <v>12</v>
      </c>
      <c r="B46" s="10">
        <f>B17/B34*100</f>
        <v>4.1860067994473509</v>
      </c>
      <c r="C46" s="10">
        <f t="shared" ref="C46:D46" si="10">C17/C34*100</f>
        <v>2.5383607784431139</v>
      </c>
      <c r="D46" s="15">
        <f t="shared" si="10"/>
        <v>12.207342625489661</v>
      </c>
      <c r="E46" s="10"/>
      <c r="F46" s="10"/>
    </row>
    <row r="47" spans="1:6" ht="15.6" x14ac:dyDescent="0.35">
      <c r="A47" s="29"/>
      <c r="B47" s="10"/>
      <c r="C47" s="10"/>
      <c r="D47" s="15"/>
      <c r="E47" s="10"/>
      <c r="F47" s="10"/>
    </row>
    <row r="48" spans="1:6" ht="15.6" x14ac:dyDescent="0.35">
      <c r="A48" s="30" t="s">
        <v>13</v>
      </c>
      <c r="B48" s="10"/>
      <c r="C48" s="10"/>
      <c r="D48" s="15"/>
      <c r="E48" s="10"/>
      <c r="F48" s="10"/>
    </row>
    <row r="49" spans="1:6" ht="15.6" x14ac:dyDescent="0.35">
      <c r="A49" s="29" t="s">
        <v>14</v>
      </c>
      <c r="B49" s="10">
        <f>B17/B16*100</f>
        <v>284.59102902374667</v>
      </c>
      <c r="C49" s="10">
        <f t="shared" ref="C49:F49" si="11">C17/C16*100</f>
        <v>355.57011795543906</v>
      </c>
      <c r="D49" s="15">
        <f t="shared" si="11"/>
        <v>236.74911660777386</v>
      </c>
      <c r="E49" s="10">
        <f t="shared" si="11"/>
        <v>199.91166077738515</v>
      </c>
      <c r="F49" s="10" t="e">
        <f t="shared" si="11"/>
        <v>#DIV/0!</v>
      </c>
    </row>
    <row r="50" spans="1:6" ht="15.6" x14ac:dyDescent="0.35">
      <c r="A50" s="29" t="s">
        <v>15</v>
      </c>
      <c r="B50" s="10">
        <f>B23/B22*100</f>
        <v>96.783509558373296</v>
      </c>
      <c r="C50" s="10">
        <f t="shared" ref="C50:F50" si="12">C23/C22*100</f>
        <v>100</v>
      </c>
      <c r="D50" s="15">
        <f t="shared" si="12"/>
        <v>96.345689991675059</v>
      </c>
      <c r="E50" s="10">
        <f t="shared" si="12"/>
        <v>100.00376403877354</v>
      </c>
      <c r="F50" s="10">
        <f t="shared" si="12"/>
        <v>86.744096424894877</v>
      </c>
    </row>
    <row r="51" spans="1:6" ht="15.6" x14ac:dyDescent="0.35">
      <c r="A51" s="29" t="s">
        <v>16</v>
      </c>
      <c r="B51" s="10">
        <f>AVERAGE(B49:B50)</f>
        <v>190.68726929105998</v>
      </c>
      <c r="C51" s="10">
        <f t="shared" ref="C51:F51" si="13">AVERAGE(C49:C50)</f>
        <v>227.78505897771953</v>
      </c>
      <c r="D51" s="15">
        <f t="shared" si="13"/>
        <v>166.54740329972446</v>
      </c>
      <c r="E51" s="10">
        <f t="shared" si="13"/>
        <v>149.95771240807935</v>
      </c>
      <c r="F51" s="10" t="e">
        <f t="shared" si="13"/>
        <v>#DIV/0!</v>
      </c>
    </row>
    <row r="52" spans="1:6" ht="15.6" x14ac:dyDescent="0.35">
      <c r="A52" s="29"/>
      <c r="B52" s="10"/>
      <c r="C52" s="10"/>
      <c r="D52" s="15"/>
      <c r="E52" s="10"/>
      <c r="F52" s="10"/>
    </row>
    <row r="53" spans="1:6" ht="15.6" x14ac:dyDescent="0.35">
      <c r="A53" s="30" t="s">
        <v>17</v>
      </c>
      <c r="B53" s="10"/>
      <c r="C53" s="10"/>
      <c r="D53" s="15"/>
      <c r="E53" s="10"/>
      <c r="F53" s="10"/>
    </row>
    <row r="54" spans="1:6" ht="15.6" x14ac:dyDescent="0.35">
      <c r="A54" s="29" t="s">
        <v>18</v>
      </c>
      <c r="B54" s="10">
        <f>(B17/B18)*100</f>
        <v>132.11660950514454</v>
      </c>
      <c r="C54" s="10">
        <f t="shared" ref="C54:F54" si="14">(C17/C18)*100</f>
        <v>140.27921406411582</v>
      </c>
      <c r="D54" s="15">
        <f t="shared" si="14"/>
        <v>124.76722532588454</v>
      </c>
      <c r="E54" s="10">
        <f t="shared" si="14"/>
        <v>158.80701754385964</v>
      </c>
      <c r="F54" s="10">
        <f t="shared" si="14"/>
        <v>57.676348547717836</v>
      </c>
    </row>
    <row r="55" spans="1:6" ht="15.6" x14ac:dyDescent="0.35">
      <c r="A55" s="29" t="s">
        <v>19</v>
      </c>
      <c r="B55" s="10">
        <f>B23/B24*100</f>
        <v>96.783509558373296</v>
      </c>
      <c r="C55" s="10">
        <f t="shared" ref="C55:F55" si="15">C23/C24*100</f>
        <v>100</v>
      </c>
      <c r="D55" s="15">
        <f t="shared" si="15"/>
        <v>96.345689991675059</v>
      </c>
      <c r="E55" s="10">
        <f t="shared" si="15"/>
        <v>100.00376403877354</v>
      </c>
      <c r="F55" s="10">
        <f t="shared" si="15"/>
        <v>86.744096424894877</v>
      </c>
    </row>
    <row r="56" spans="1:6" ht="15.6" x14ac:dyDescent="0.35">
      <c r="A56" s="29" t="s">
        <v>20</v>
      </c>
      <c r="B56" s="10">
        <f>(B54+B55)/2</f>
        <v>114.45005953175891</v>
      </c>
      <c r="C56" s="10">
        <f t="shared" ref="C56:F56" si="16">(C54+C55)/2</f>
        <v>120.13960703205791</v>
      </c>
      <c r="D56" s="15">
        <f t="shared" si="16"/>
        <v>110.55645765877981</v>
      </c>
      <c r="E56" s="10">
        <f t="shared" si="16"/>
        <v>129.40539079131659</v>
      </c>
      <c r="F56" s="10">
        <f t="shared" si="16"/>
        <v>72.21022248630635</v>
      </c>
    </row>
    <row r="57" spans="1:6" ht="15.6" x14ac:dyDescent="0.35">
      <c r="A57" s="30"/>
      <c r="B57" s="10"/>
      <c r="C57" s="10"/>
      <c r="D57" s="15"/>
      <c r="E57" s="10"/>
      <c r="F57" s="10"/>
    </row>
    <row r="58" spans="1:6" ht="15.6" x14ac:dyDescent="0.35">
      <c r="A58" s="30" t="s">
        <v>32</v>
      </c>
      <c r="B58" s="10"/>
      <c r="C58" s="10"/>
      <c r="D58" s="15"/>
      <c r="E58" s="10"/>
      <c r="F58" s="10"/>
    </row>
    <row r="59" spans="1:6" ht="15.6" x14ac:dyDescent="0.35">
      <c r="A59" s="29" t="s">
        <v>21</v>
      </c>
      <c r="B59" s="10">
        <f>B25/B23*100</f>
        <v>100</v>
      </c>
      <c r="C59" s="10">
        <f t="shared" ref="C59:F59" si="17">C25/C23*100</f>
        <v>100</v>
      </c>
      <c r="D59" s="15">
        <f t="shared" si="17"/>
        <v>100</v>
      </c>
      <c r="E59" s="10">
        <f t="shared" si="17"/>
        <v>100</v>
      </c>
      <c r="F59" s="10">
        <f t="shared" si="17"/>
        <v>100</v>
      </c>
    </row>
    <row r="60" spans="1:6" ht="15.6" x14ac:dyDescent="0.35">
      <c r="A60" s="29"/>
      <c r="B60" s="10"/>
      <c r="C60" s="10"/>
      <c r="D60" s="15"/>
      <c r="E60" s="10"/>
      <c r="F60" s="10"/>
    </row>
    <row r="61" spans="1:6" ht="15.6" x14ac:dyDescent="0.35">
      <c r="A61" s="30" t="s">
        <v>22</v>
      </c>
      <c r="B61" s="10"/>
      <c r="C61" s="10"/>
      <c r="D61" s="15"/>
      <c r="E61" s="10"/>
      <c r="F61" s="10"/>
    </row>
    <row r="62" spans="1:6" ht="15.6" x14ac:dyDescent="0.35">
      <c r="A62" s="29" t="s">
        <v>23</v>
      </c>
      <c r="B62" s="10">
        <f>((B17/B15)-1)*100</f>
        <v>8.3149226752359908</v>
      </c>
      <c r="C62" s="10">
        <f t="shared" ref="C62:F62" si="18">((C17/C15)-1)*100</f>
        <v>5.6464174454828653</v>
      </c>
      <c r="D62" s="15">
        <f t="shared" si="18"/>
        <v>11.157196184155961</v>
      </c>
      <c r="E62" s="10">
        <f t="shared" si="18"/>
        <v>9.8010674429888311</v>
      </c>
      <c r="F62" s="10">
        <f t="shared" si="18"/>
        <v>19.142857142857149</v>
      </c>
    </row>
    <row r="63" spans="1:6" ht="15.6" x14ac:dyDescent="0.35">
      <c r="A63" s="29" t="s">
        <v>24</v>
      </c>
      <c r="B63" s="10">
        <f>((B38/B37)-1)*100</f>
        <v>-5.8211595603607336</v>
      </c>
      <c r="C63" s="10">
        <f t="shared" ref="C63:F63" si="19">((C38/C37)-1)*100</f>
        <v>-6.4687930066056669</v>
      </c>
      <c r="D63" s="15">
        <f t="shared" si="19"/>
        <v>-5.7289381542500966</v>
      </c>
      <c r="E63" s="10">
        <f t="shared" si="19"/>
        <v>-11.92315707364784</v>
      </c>
      <c r="F63" s="10">
        <f t="shared" si="19"/>
        <v>19.756428947521609</v>
      </c>
    </row>
    <row r="64" spans="1:6" ht="15.6" x14ac:dyDescent="0.35">
      <c r="A64" s="29" t="s">
        <v>25</v>
      </c>
      <c r="B64" s="10">
        <f>((B40/B39)-1)*100</f>
        <v>-13.050909225113315</v>
      </c>
      <c r="C64" s="10">
        <f t="shared" ref="C64:F64" si="20">((C40/C39)-1)*100</f>
        <v>-11.467696439721099</v>
      </c>
      <c r="D64" s="15">
        <f t="shared" si="20"/>
        <v>-15.191220108170512</v>
      </c>
      <c r="E64" s="10">
        <f t="shared" si="20"/>
        <v>-19.785075885456571</v>
      </c>
      <c r="F64" s="10">
        <f t="shared" si="20"/>
        <v>0.51498832525793681</v>
      </c>
    </row>
    <row r="65" spans="1:7" ht="15.6" x14ac:dyDescent="0.35">
      <c r="A65" s="29"/>
      <c r="B65" s="10"/>
      <c r="C65" s="10"/>
      <c r="D65" s="15"/>
      <c r="E65" s="10"/>
      <c r="F65" s="10"/>
    </row>
    <row r="66" spans="1:7" ht="15.6" x14ac:dyDescent="0.35">
      <c r="A66" s="30" t="s">
        <v>26</v>
      </c>
      <c r="B66" s="10"/>
      <c r="C66" s="10"/>
      <c r="D66" s="15"/>
      <c r="E66" s="10"/>
      <c r="F66" s="10"/>
    </row>
    <row r="67" spans="1:7" ht="15.6" x14ac:dyDescent="0.35">
      <c r="A67" s="29" t="s">
        <v>37</v>
      </c>
      <c r="B67" s="10">
        <f t="shared" ref="B67:B68" si="21">B22/B16</f>
        <v>3530171.9774727933</v>
      </c>
      <c r="C67" s="10">
        <f t="shared" ref="C67:F67" si="22">C22/C16</f>
        <v>1050437.745740498</v>
      </c>
      <c r="D67" s="15">
        <f t="shared" si="22"/>
        <v>5201582.9481545435</v>
      </c>
      <c r="E67" s="10">
        <f t="shared" si="22"/>
        <v>3766571.4425450033</v>
      </c>
      <c r="F67" s="10" t="e">
        <f t="shared" si="22"/>
        <v>#DIV/0!</v>
      </c>
    </row>
    <row r="68" spans="1:7" ht="15.6" x14ac:dyDescent="0.35">
      <c r="A68" s="29" t="s">
        <v>38</v>
      </c>
      <c r="B68" s="10">
        <f t="shared" si="21"/>
        <v>1200538.3110510164</v>
      </c>
      <c r="C68" s="10">
        <f t="shared" ref="C68:F68" si="23">C23/C17</f>
        <v>295423.51640250644</v>
      </c>
      <c r="D68" s="15">
        <f t="shared" si="23"/>
        <v>2116798.1759321387</v>
      </c>
      <c r="E68" s="10">
        <f t="shared" si="23"/>
        <v>1884188.8477676234</v>
      </c>
      <c r="F68" s="10">
        <f t="shared" si="23"/>
        <v>3379136.0887290169</v>
      </c>
    </row>
    <row r="69" spans="1:7" ht="15.6" x14ac:dyDescent="0.35">
      <c r="A69" s="29" t="s">
        <v>27</v>
      </c>
      <c r="B69" s="10">
        <f>(B68/B67)*B51</f>
        <v>64.848787445620644</v>
      </c>
      <c r="C69" s="10">
        <f t="shared" ref="C69:F69" si="24">(C68/C67)*C51</f>
        <v>64.061924069295983</v>
      </c>
      <c r="D69" s="15">
        <f t="shared" si="24"/>
        <v>67.776913878912637</v>
      </c>
      <c r="E69" s="10">
        <f t="shared" si="24"/>
        <v>75.014812188225676</v>
      </c>
      <c r="F69" s="10" t="e">
        <f t="shared" si="24"/>
        <v>#DIV/0!</v>
      </c>
    </row>
    <row r="70" spans="1:7" ht="15.6" x14ac:dyDescent="0.35">
      <c r="A70" s="29" t="s">
        <v>33</v>
      </c>
      <c r="B70" s="10">
        <f t="shared" ref="B70:D71" si="25">B22/(B16*9)</f>
        <v>392241.33083031041</v>
      </c>
      <c r="C70" s="10">
        <f>C22/(C16*6)</f>
        <v>175072.95762341633</v>
      </c>
      <c r="D70" s="15">
        <f>D22/(D16*9)</f>
        <v>577953.66090606048</v>
      </c>
      <c r="E70" s="10">
        <f>E22/(E16*9)</f>
        <v>418507.9380605559</v>
      </c>
      <c r="F70" s="10" t="e">
        <f>F22/(F16*5)</f>
        <v>#DIV/0!</v>
      </c>
    </row>
    <row r="71" spans="1:7" ht="15.6" x14ac:dyDescent="0.35">
      <c r="A71" s="29" t="s">
        <v>34</v>
      </c>
      <c r="B71" s="10">
        <f t="shared" si="25"/>
        <v>133393.14567233517</v>
      </c>
      <c r="C71" s="10">
        <f>C23/(C17*6)</f>
        <v>49237.252733751076</v>
      </c>
      <c r="D71" s="15">
        <f t="shared" si="25"/>
        <v>235199.79732579319</v>
      </c>
      <c r="E71" s="10">
        <f>E23/(E17*9)</f>
        <v>209354.31641862483</v>
      </c>
      <c r="F71" s="10">
        <f>F23/(F17*5)</f>
        <v>675827.21774580341</v>
      </c>
    </row>
    <row r="72" spans="1:7" ht="15.6" x14ac:dyDescent="0.35">
      <c r="A72" s="29"/>
      <c r="B72" s="10"/>
      <c r="C72" s="10"/>
      <c r="D72" s="15"/>
    </row>
    <row r="73" spans="1:7" ht="15.6" x14ac:dyDescent="0.35">
      <c r="A73" s="30" t="s">
        <v>28</v>
      </c>
      <c r="B73" s="10"/>
      <c r="C73" s="10"/>
      <c r="D73" s="15"/>
    </row>
    <row r="74" spans="1:7" ht="15.6" x14ac:dyDescent="0.35">
      <c r="A74" s="29" t="s">
        <v>29</v>
      </c>
      <c r="B74" s="10">
        <f>(B29/B28)*100</f>
        <v>100.00239906296883</v>
      </c>
      <c r="C74" s="10"/>
      <c r="D74" s="15"/>
    </row>
    <row r="75" spans="1:7" ht="16.2" thickBot="1" x14ac:dyDescent="0.4">
      <c r="A75" s="31" t="s">
        <v>30</v>
      </c>
      <c r="B75" s="12">
        <f>(B23/B29)*100</f>
        <v>96.781187716737975</v>
      </c>
      <c r="C75" s="12"/>
      <c r="D75" s="19"/>
    </row>
    <row r="76" spans="1:7" s="26" customFormat="1" ht="20.25" customHeight="1" thickTop="1" x14ac:dyDescent="0.3">
      <c r="A76" s="43" t="s">
        <v>81</v>
      </c>
      <c r="B76" s="43"/>
      <c r="C76" s="43"/>
      <c r="D76" s="43"/>
      <c r="E76" s="43"/>
      <c r="F76" s="43"/>
      <c r="G76" s="32"/>
    </row>
    <row r="77" spans="1:7" s="26" customFormat="1" x14ac:dyDescent="0.3"/>
    <row r="78" spans="1:7" s="26" customFormat="1" x14ac:dyDescent="0.3"/>
    <row r="79" spans="1:7" s="26" customFormat="1" x14ac:dyDescent="0.3"/>
    <row r="80" spans="1:7" s="26" customFormat="1" x14ac:dyDescent="0.3">
      <c r="A80" s="1"/>
    </row>
    <row r="81" spans="1:1" s="26" customFormat="1" x14ac:dyDescent="0.3"/>
    <row r="82" spans="1:1" s="24" customFormat="1" x14ac:dyDescent="0.3"/>
    <row r="87" spans="1:1" x14ac:dyDescent="0.3">
      <c r="A87" s="1"/>
    </row>
  </sheetData>
  <mergeCells count="4">
    <mergeCell ref="A9:A10"/>
    <mergeCell ref="B9:B10"/>
    <mergeCell ref="C9:F9"/>
    <mergeCell ref="A76:F76"/>
  </mergeCells>
  <pageMargins left="0.7" right="0.7" top="0.75" bottom="0.75" header="0.3" footer="0.3"/>
  <ignoredErrors>
    <ignoredError sqref="D70:D71 C70:C71" 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82"/>
  <sheetViews>
    <sheetView showGridLines="0" zoomScale="80" zoomScaleNormal="80" workbookViewId="0">
      <pane ySplit="10" topLeftCell="A11" activePane="bottomLeft" state="frozen"/>
      <selection pane="bottomLeft" activeCell="A9" sqref="A9:A10"/>
    </sheetView>
  </sheetViews>
  <sheetFormatPr baseColWidth="10" defaultColWidth="11.44140625" defaultRowHeight="14.4" x14ac:dyDescent="0.3"/>
  <cols>
    <col min="1" max="1" width="62.5546875" style="3" customWidth="1"/>
    <col min="2" max="6" width="24.6640625" style="3" customWidth="1"/>
    <col min="7" max="16384" width="11.44140625" style="3"/>
  </cols>
  <sheetData>
    <row r="1" spans="1:6" s="26" customFormat="1" x14ac:dyDescent="0.3"/>
    <row r="2" spans="1:6" s="26" customFormat="1" x14ac:dyDescent="0.3"/>
    <row r="3" spans="1:6" s="26" customFormat="1" x14ac:dyDescent="0.3"/>
    <row r="4" spans="1:6" s="26" customFormat="1" x14ac:dyDescent="0.3"/>
    <row r="5" spans="1:6" s="26" customFormat="1" x14ac:dyDescent="0.3"/>
    <row r="6" spans="1:6" s="26" customFormat="1" x14ac:dyDescent="0.3"/>
    <row r="7" spans="1:6" s="26" customFormat="1" ht="21" customHeight="1" x14ac:dyDescent="0.3"/>
    <row r="8" spans="1:6" s="26" customFormat="1" ht="21" customHeight="1" x14ac:dyDescent="0.3"/>
    <row r="9" spans="1:6" s="26" customFormat="1" ht="15.6" x14ac:dyDescent="0.35">
      <c r="A9" s="39" t="s">
        <v>0</v>
      </c>
      <c r="B9" s="41" t="s">
        <v>41</v>
      </c>
      <c r="C9" s="38" t="s">
        <v>1</v>
      </c>
      <c r="D9" s="38"/>
      <c r="E9" s="38"/>
      <c r="F9" s="38"/>
    </row>
    <row r="10" spans="1:6" s="26" customFormat="1" ht="31.8" thickBot="1" x14ac:dyDescent="0.4">
      <c r="A10" s="40"/>
      <c r="B10" s="42"/>
      <c r="C10" s="27" t="s">
        <v>42</v>
      </c>
      <c r="D10" s="14" t="s">
        <v>49</v>
      </c>
      <c r="E10" s="28" t="s">
        <v>50</v>
      </c>
      <c r="F10" s="28" t="s">
        <v>43</v>
      </c>
    </row>
    <row r="11" spans="1:6" s="36" customFormat="1" ht="16.2" thickTop="1" x14ac:dyDescent="0.35">
      <c r="A11" s="29"/>
      <c r="B11" s="29"/>
      <c r="C11" s="29"/>
      <c r="D11" s="16"/>
    </row>
    <row r="12" spans="1:6" s="36" customFormat="1" ht="15.6" x14ac:dyDescent="0.35">
      <c r="A12" s="30" t="s">
        <v>2</v>
      </c>
      <c r="B12" s="29"/>
      <c r="C12" s="29"/>
      <c r="D12" s="16"/>
    </row>
    <row r="13" spans="1:6" ht="15.6" x14ac:dyDescent="0.35">
      <c r="A13" s="5"/>
      <c r="B13" s="5"/>
      <c r="C13" s="5"/>
      <c r="D13" s="16"/>
    </row>
    <row r="14" spans="1:6" ht="15.6" x14ac:dyDescent="0.35">
      <c r="A14" s="6" t="s">
        <v>3</v>
      </c>
      <c r="B14" s="5"/>
      <c r="C14" s="5"/>
      <c r="D14" s="16"/>
    </row>
    <row r="15" spans="1:6" ht="15.6" x14ac:dyDescent="0.35">
      <c r="A15" s="5" t="s">
        <v>66</v>
      </c>
      <c r="B15" s="7">
        <f>SUM(C15:D15)</f>
        <v>4998</v>
      </c>
      <c r="C15" s="7">
        <v>2568</v>
      </c>
      <c r="D15" s="17">
        <f>+E15+F15</f>
        <v>2430</v>
      </c>
      <c r="E15" s="7">
        <v>2061</v>
      </c>
      <c r="F15" s="7">
        <v>369</v>
      </c>
    </row>
    <row r="16" spans="1:6" ht="15.6" x14ac:dyDescent="0.35">
      <c r="A16" s="5" t="s">
        <v>109</v>
      </c>
      <c r="B16" s="7">
        <f>SUM(C16:D16)</f>
        <v>1523</v>
      </c>
      <c r="C16" s="7">
        <v>0</v>
      </c>
      <c r="D16" s="17">
        <f t="shared" ref="D16:D18" si="0">+E16+F16</f>
        <v>1523</v>
      </c>
      <c r="E16" s="7">
        <v>1523</v>
      </c>
      <c r="F16" s="7">
        <v>0</v>
      </c>
    </row>
    <row r="17" spans="1:6" ht="15.6" x14ac:dyDescent="0.35">
      <c r="A17" s="5" t="s">
        <v>110</v>
      </c>
      <c r="B17" s="7">
        <f t="shared" ref="B17:B18" si="1">SUM(C17:D17)</f>
        <v>5436</v>
      </c>
      <c r="C17" s="7">
        <v>2715</v>
      </c>
      <c r="D17" s="17">
        <f t="shared" si="0"/>
        <v>2721</v>
      </c>
      <c r="E17" s="7">
        <v>2301</v>
      </c>
      <c r="F17" s="7">
        <v>420</v>
      </c>
    </row>
    <row r="18" spans="1:6" ht="15.6" x14ac:dyDescent="0.35">
      <c r="A18" s="5" t="s">
        <v>76</v>
      </c>
      <c r="B18" s="7">
        <f t="shared" si="1"/>
        <v>4082</v>
      </c>
      <c r="C18" s="7">
        <v>1934</v>
      </c>
      <c r="D18" s="17">
        <f t="shared" si="0"/>
        <v>2148</v>
      </c>
      <c r="E18" s="7">
        <v>1425</v>
      </c>
      <c r="F18" s="7">
        <v>723</v>
      </c>
    </row>
    <row r="19" spans="1:6" ht="15.6" x14ac:dyDescent="0.35">
      <c r="A19" s="5"/>
      <c r="B19" s="7"/>
      <c r="C19" s="7"/>
      <c r="D19" s="17"/>
      <c r="E19" s="7"/>
      <c r="F19" s="7"/>
    </row>
    <row r="20" spans="1:6" ht="15.6" x14ac:dyDescent="0.35">
      <c r="A20" s="6" t="s">
        <v>4</v>
      </c>
      <c r="B20" s="7"/>
      <c r="C20" s="7"/>
      <c r="D20" s="17"/>
      <c r="E20" s="7"/>
      <c r="F20" s="7"/>
    </row>
    <row r="21" spans="1:6" ht="15.6" x14ac:dyDescent="0.35">
      <c r="A21" s="5" t="s">
        <v>66</v>
      </c>
      <c r="B21" s="7">
        <f>SUM(C21:D21)</f>
        <v>361519553.60000002</v>
      </c>
      <c r="C21" s="7">
        <v>0</v>
      </c>
      <c r="D21" s="17">
        <f>+E21+F21</f>
        <v>361519553.60000002</v>
      </c>
      <c r="E21" s="7">
        <v>0</v>
      </c>
      <c r="F21" s="7">
        <v>361519553.60000002</v>
      </c>
    </row>
    <row r="22" spans="1:6" ht="15.6" x14ac:dyDescent="0.35">
      <c r="A22" s="5" t="s">
        <v>109</v>
      </c>
      <c r="B22" s="7">
        <f t="shared" ref="B22:B24" si="2">SUM(C22:D22)</f>
        <v>1766688735.9980361</v>
      </c>
      <c r="C22" s="7">
        <v>0</v>
      </c>
      <c r="D22" s="17">
        <f t="shared" ref="D22:D24" si="3">+E22+F22</f>
        <v>1766688735.9980361</v>
      </c>
      <c r="E22" s="7">
        <v>1766688735.9980361</v>
      </c>
      <c r="F22" s="7">
        <v>0</v>
      </c>
    </row>
    <row r="23" spans="1:6" ht="15.6" x14ac:dyDescent="0.35">
      <c r="A23" s="5" t="s">
        <v>110</v>
      </c>
      <c r="B23" s="7">
        <f t="shared" si="2"/>
        <v>1982022010.3499999</v>
      </c>
      <c r="C23" s="7">
        <v>302280000</v>
      </c>
      <c r="D23" s="17">
        <f t="shared" si="3"/>
        <v>1679742010.3499999</v>
      </c>
      <c r="E23" s="7">
        <v>1194600810</v>
      </c>
      <c r="F23" s="7">
        <v>485141200.35000002</v>
      </c>
    </row>
    <row r="24" spans="1:6" ht="15.6" x14ac:dyDescent="0.35">
      <c r="A24" s="5" t="s">
        <v>76</v>
      </c>
      <c r="B24" s="7">
        <f t="shared" si="2"/>
        <v>8456364633.308979</v>
      </c>
      <c r="C24" s="7">
        <v>801484000</v>
      </c>
      <c r="D24" s="17">
        <f t="shared" si="3"/>
        <v>7654880633.308979</v>
      </c>
      <c r="E24" s="7">
        <v>6030447608.9589796</v>
      </c>
      <c r="F24" s="7">
        <v>1624433024.3499999</v>
      </c>
    </row>
    <row r="25" spans="1:6" ht="15.6" x14ac:dyDescent="0.35">
      <c r="A25" s="5" t="s">
        <v>111</v>
      </c>
      <c r="B25" s="7">
        <f t="shared" ref="B25:E25" si="4">B23</f>
        <v>1982022010.3499999</v>
      </c>
      <c r="C25" s="7">
        <f t="shared" si="4"/>
        <v>302280000</v>
      </c>
      <c r="D25" s="17">
        <f t="shared" si="4"/>
        <v>1679742010.3499999</v>
      </c>
      <c r="E25" s="7">
        <f t="shared" si="4"/>
        <v>1194600810</v>
      </c>
      <c r="F25" s="7">
        <f t="shared" ref="F25" si="5">F23</f>
        <v>485141200.35000002</v>
      </c>
    </row>
    <row r="26" spans="1:6" ht="15.6" x14ac:dyDescent="0.35">
      <c r="A26" s="5"/>
      <c r="B26" s="7"/>
      <c r="C26" s="7"/>
      <c r="D26" s="17"/>
      <c r="E26" s="5"/>
      <c r="F26" s="5"/>
    </row>
    <row r="27" spans="1:6" ht="15.6" x14ac:dyDescent="0.35">
      <c r="A27" s="6" t="s">
        <v>5</v>
      </c>
      <c r="B27" s="7"/>
      <c r="C27" s="7"/>
      <c r="D27" s="17"/>
      <c r="E27" s="5"/>
      <c r="F27" s="5"/>
    </row>
    <row r="28" spans="1:6" ht="15.6" x14ac:dyDescent="0.35">
      <c r="A28" s="5" t="s">
        <v>109</v>
      </c>
      <c r="B28" s="7">
        <f>B22</f>
        <v>1766688735.9980361</v>
      </c>
      <c r="C28" s="7"/>
      <c r="D28" s="17"/>
      <c r="E28" s="5"/>
      <c r="F28" s="5"/>
    </row>
    <row r="29" spans="1:6" ht="15.6" x14ac:dyDescent="0.35">
      <c r="A29" s="5" t="s">
        <v>110</v>
      </c>
      <c r="B29" s="7">
        <v>1766688735</v>
      </c>
      <c r="C29" s="7"/>
      <c r="D29" s="17"/>
      <c r="E29" s="5"/>
      <c r="F29" s="5"/>
    </row>
    <row r="30" spans="1:6" ht="15.6" x14ac:dyDescent="0.35">
      <c r="A30" s="5"/>
      <c r="B30" s="10"/>
      <c r="C30" s="10"/>
      <c r="D30" s="15"/>
      <c r="E30" s="5"/>
      <c r="F30" s="5"/>
    </row>
    <row r="31" spans="1:6" ht="15.6" x14ac:dyDescent="0.35">
      <c r="A31" s="6" t="s">
        <v>6</v>
      </c>
      <c r="B31" s="10"/>
      <c r="C31" s="10"/>
      <c r="D31" s="15"/>
      <c r="E31" s="5"/>
      <c r="F31" s="5"/>
    </row>
    <row r="32" spans="1:6" ht="15.6" x14ac:dyDescent="0.35">
      <c r="A32" s="5" t="s">
        <v>67</v>
      </c>
      <c r="B32" s="13">
        <v>1.1144000000000001</v>
      </c>
      <c r="C32" s="13">
        <v>1.1144000000000001</v>
      </c>
      <c r="D32" s="15">
        <v>1.1144000000000001</v>
      </c>
      <c r="E32" s="13">
        <v>1.1144000000000001</v>
      </c>
      <c r="F32" s="13">
        <v>1.1144000000000001</v>
      </c>
    </row>
    <row r="33" spans="1:6" ht="15.6" x14ac:dyDescent="0.35">
      <c r="A33" s="5" t="s">
        <v>112</v>
      </c>
      <c r="B33" s="13">
        <v>1.0947</v>
      </c>
      <c r="C33" s="13">
        <v>1.0947</v>
      </c>
      <c r="D33" s="15">
        <v>1.0947</v>
      </c>
      <c r="E33" s="13">
        <v>1.0947</v>
      </c>
      <c r="F33" s="13">
        <v>1.0947</v>
      </c>
    </row>
    <row r="34" spans="1:6" ht="15.6" x14ac:dyDescent="0.35">
      <c r="A34" s="5" t="s">
        <v>7</v>
      </c>
      <c r="B34" s="7">
        <f>C34+D34</f>
        <v>128834</v>
      </c>
      <c r="C34" s="9">
        <v>106880</v>
      </c>
      <c r="D34" s="18">
        <v>21954</v>
      </c>
    </row>
    <row r="35" spans="1:6" ht="15.6" x14ac:dyDescent="0.35">
      <c r="A35" s="5"/>
      <c r="B35" s="7"/>
      <c r="C35" s="7"/>
      <c r="D35" s="17"/>
      <c r="E35" s="5"/>
      <c r="F35" s="5"/>
    </row>
    <row r="36" spans="1:6" ht="15.6" x14ac:dyDescent="0.35">
      <c r="A36" s="6" t="s">
        <v>8</v>
      </c>
      <c r="B36" s="7"/>
      <c r="C36" s="7"/>
      <c r="D36" s="17"/>
      <c r="E36" s="5"/>
      <c r="F36" s="5"/>
    </row>
    <row r="37" spans="1:6" ht="15.6" x14ac:dyDescent="0.35">
      <c r="A37" s="5" t="s">
        <v>68</v>
      </c>
      <c r="B37" s="7">
        <f>B21/B32</f>
        <v>324407352.47666907</v>
      </c>
      <c r="C37" s="7">
        <f t="shared" ref="C37:F37" si="6">C21/C32</f>
        <v>0</v>
      </c>
      <c r="D37" s="17">
        <f t="shared" si="6"/>
        <v>324407352.47666907</v>
      </c>
      <c r="E37" s="7">
        <f t="shared" si="6"/>
        <v>0</v>
      </c>
      <c r="F37" s="7">
        <f t="shared" si="6"/>
        <v>324407352.47666907</v>
      </c>
    </row>
    <row r="38" spans="1:6" ht="15.6" x14ac:dyDescent="0.35">
      <c r="A38" s="5" t="s">
        <v>113</v>
      </c>
      <c r="B38" s="7">
        <f>B23/B33</f>
        <v>1810561807.207454</v>
      </c>
      <c r="C38" s="7">
        <f t="shared" ref="C38:F38" si="7">C23/C33</f>
        <v>276130446.69772542</v>
      </c>
      <c r="D38" s="17">
        <f t="shared" si="7"/>
        <v>1534431360.5097287</v>
      </c>
      <c r="E38" s="7">
        <f t="shared" si="7"/>
        <v>1091258618.7996712</v>
      </c>
      <c r="F38" s="7">
        <f t="shared" si="7"/>
        <v>443172741.71005756</v>
      </c>
    </row>
    <row r="39" spans="1:6" ht="15.6" x14ac:dyDescent="0.35">
      <c r="A39" s="5" t="s">
        <v>69</v>
      </c>
      <c r="B39" s="7">
        <f>B37/B15</f>
        <v>64907.433468721305</v>
      </c>
      <c r="C39" s="7">
        <f t="shared" ref="C39:F39" si="8">C37/C15</f>
        <v>0</v>
      </c>
      <c r="D39" s="17">
        <f t="shared" si="8"/>
        <v>133500.96809739468</v>
      </c>
      <c r="E39" s="7">
        <f t="shared" si="8"/>
        <v>0</v>
      </c>
      <c r="F39" s="7">
        <f t="shared" si="8"/>
        <v>879152.71673894057</v>
      </c>
    </row>
    <row r="40" spans="1:6" ht="15.6" x14ac:dyDescent="0.35">
      <c r="A40" s="5" t="s">
        <v>114</v>
      </c>
      <c r="B40" s="7">
        <f>B38/B17</f>
        <v>333068.76512278401</v>
      </c>
      <c r="C40" s="7">
        <f t="shared" ref="C40:F40" si="9">C38/C17</f>
        <v>101705.50522936479</v>
      </c>
      <c r="D40" s="17">
        <f t="shared" si="9"/>
        <v>563921.85244752979</v>
      </c>
      <c r="E40" s="7">
        <f t="shared" si="9"/>
        <v>474254.07162089145</v>
      </c>
      <c r="F40" s="7">
        <f t="shared" si="9"/>
        <v>1055173.1945477561</v>
      </c>
    </row>
    <row r="41" spans="1:6" ht="15.6" x14ac:dyDescent="0.35">
      <c r="A41" s="5"/>
      <c r="B41" s="10"/>
      <c r="C41" s="10"/>
      <c r="D41" s="15"/>
      <c r="E41" s="10"/>
      <c r="F41" s="10"/>
    </row>
    <row r="42" spans="1:6" ht="15.6" x14ac:dyDescent="0.35">
      <c r="A42" s="6" t="s">
        <v>9</v>
      </c>
      <c r="B42" s="10"/>
      <c r="C42" s="10"/>
      <c r="D42" s="15"/>
      <c r="E42" s="10"/>
      <c r="F42" s="10"/>
    </row>
    <row r="43" spans="1:6" ht="15.6" x14ac:dyDescent="0.35">
      <c r="A43" s="5"/>
      <c r="B43" s="10"/>
      <c r="C43" s="10"/>
      <c r="D43" s="15"/>
      <c r="E43" s="10"/>
      <c r="F43" s="10"/>
    </row>
    <row r="44" spans="1:6" ht="15.6" x14ac:dyDescent="0.35">
      <c r="A44" s="6" t="s">
        <v>10</v>
      </c>
      <c r="B44" s="10"/>
      <c r="C44" s="10"/>
      <c r="D44" s="15"/>
      <c r="E44" s="10"/>
      <c r="F44" s="10"/>
    </row>
    <row r="45" spans="1:6" ht="15.6" x14ac:dyDescent="0.35">
      <c r="A45" s="5" t="s">
        <v>11</v>
      </c>
      <c r="B45" s="10">
        <f>B16/B34*100</f>
        <v>1.1821413601999473</v>
      </c>
      <c r="C45" s="10">
        <f t="shared" ref="C45:D45" si="10">C16/C34*100</f>
        <v>0</v>
      </c>
      <c r="D45" s="15">
        <f t="shared" si="10"/>
        <v>6.9372323950077437</v>
      </c>
      <c r="E45" s="10"/>
      <c r="F45" s="10"/>
    </row>
    <row r="46" spans="1:6" ht="15.6" x14ac:dyDescent="0.35">
      <c r="A46" s="5" t="s">
        <v>12</v>
      </c>
      <c r="B46" s="10">
        <f>B17/B34*100</f>
        <v>4.2193830821056553</v>
      </c>
      <c r="C46" s="10">
        <f t="shared" ref="C46:D46" si="11">C17/C34*100</f>
        <v>2.5402320359281436</v>
      </c>
      <c r="D46" s="15">
        <f t="shared" si="11"/>
        <v>12.394096747745285</v>
      </c>
      <c r="E46" s="10"/>
      <c r="F46" s="10"/>
    </row>
    <row r="47" spans="1:6" ht="15.6" x14ac:dyDescent="0.35">
      <c r="A47" s="5"/>
      <c r="B47" s="10"/>
      <c r="C47" s="10"/>
      <c r="D47" s="15"/>
      <c r="E47" s="10"/>
      <c r="F47" s="10"/>
    </row>
    <row r="48" spans="1:6" ht="15.6" x14ac:dyDescent="0.35">
      <c r="A48" s="6" t="s">
        <v>13</v>
      </c>
      <c r="B48" s="10"/>
      <c r="C48" s="10"/>
      <c r="D48" s="15"/>
      <c r="E48" s="10"/>
      <c r="F48" s="10"/>
    </row>
    <row r="49" spans="1:6" ht="15.6" x14ac:dyDescent="0.35">
      <c r="A49" s="5" t="s">
        <v>14</v>
      </c>
      <c r="B49" s="10">
        <f>B17/B16*100</f>
        <v>356.92711753118846</v>
      </c>
      <c r="C49" s="10" t="e">
        <f t="shared" ref="C49:D49" si="12">C17/C16*100</f>
        <v>#DIV/0!</v>
      </c>
      <c r="D49" s="15">
        <f t="shared" si="12"/>
        <v>178.66053841103087</v>
      </c>
      <c r="E49" s="10">
        <f t="shared" ref="E49:F49" si="13">E17/E16*100</f>
        <v>151.08338804990152</v>
      </c>
      <c r="F49" s="10" t="e">
        <f t="shared" si="13"/>
        <v>#DIV/0!</v>
      </c>
    </row>
    <row r="50" spans="1:6" ht="15.6" x14ac:dyDescent="0.35">
      <c r="A50" s="5" t="s">
        <v>15</v>
      </c>
      <c r="B50" s="10">
        <f>B23/B22*100</f>
        <v>112.18852364677119</v>
      </c>
      <c r="C50" s="10" t="s">
        <v>44</v>
      </c>
      <c r="D50" s="15">
        <f t="shared" ref="D50" si="14">D23/D22*100</f>
        <v>95.078548706605162</v>
      </c>
      <c r="E50" s="10">
        <f t="shared" ref="E50" si="15">E23/E22*100</f>
        <v>67.618069083637835</v>
      </c>
      <c r="F50" s="10" t="s">
        <v>44</v>
      </c>
    </row>
    <row r="51" spans="1:6" ht="15.6" x14ac:dyDescent="0.35">
      <c r="A51" s="5" t="s">
        <v>16</v>
      </c>
      <c r="B51" s="10">
        <f>AVERAGE(B49:B50)</f>
        <v>234.55782058897984</v>
      </c>
      <c r="C51" s="10" t="s">
        <v>44</v>
      </c>
      <c r="D51" s="15">
        <f t="shared" ref="D51" si="16">AVERAGE(D49:D50)</f>
        <v>136.86954355881801</v>
      </c>
      <c r="E51" s="10">
        <f t="shared" ref="E51" si="17">AVERAGE(E49:E50)</f>
        <v>109.35072856676967</v>
      </c>
      <c r="F51" s="10" t="s">
        <v>44</v>
      </c>
    </row>
    <row r="52" spans="1:6" ht="15.6" x14ac:dyDescent="0.35">
      <c r="A52" s="5"/>
      <c r="B52" s="10"/>
      <c r="C52" s="10"/>
      <c r="D52" s="15"/>
      <c r="E52" s="10"/>
      <c r="F52" s="10"/>
    </row>
    <row r="53" spans="1:6" ht="15.6" x14ac:dyDescent="0.35">
      <c r="A53" s="6" t="s">
        <v>17</v>
      </c>
      <c r="B53" s="10"/>
      <c r="C53" s="10"/>
      <c r="D53" s="15"/>
      <c r="E53" s="10"/>
      <c r="F53" s="10"/>
    </row>
    <row r="54" spans="1:6" ht="15.6" x14ac:dyDescent="0.35">
      <c r="A54" s="5" t="s">
        <v>18</v>
      </c>
      <c r="B54" s="10">
        <f>(B17/B18)*100</f>
        <v>133.17001469867711</v>
      </c>
      <c r="C54" s="10">
        <f t="shared" ref="C54:F54" si="18">(C17/C18)*100</f>
        <v>140.38262668045502</v>
      </c>
      <c r="D54" s="15">
        <f t="shared" si="18"/>
        <v>126.67597765363128</v>
      </c>
      <c r="E54" s="10">
        <f t="shared" si="18"/>
        <v>161.47368421052633</v>
      </c>
      <c r="F54" s="10">
        <f t="shared" si="18"/>
        <v>58.091286307053949</v>
      </c>
    </row>
    <row r="55" spans="1:6" ht="15.6" x14ac:dyDescent="0.35">
      <c r="A55" s="5" t="s">
        <v>19</v>
      </c>
      <c r="B55" s="10">
        <f>B23/B24*100</f>
        <v>23.438227847259157</v>
      </c>
      <c r="C55" s="10">
        <f t="shared" ref="C55:F55" si="19">C23/C24*100</f>
        <v>37.71503860339071</v>
      </c>
      <c r="D55" s="15">
        <f t="shared" si="19"/>
        <v>21.943412194317872</v>
      </c>
      <c r="E55" s="10">
        <f t="shared" si="19"/>
        <v>19.809488241391435</v>
      </c>
      <c r="F55" s="10">
        <f t="shared" si="19"/>
        <v>29.865263330516463</v>
      </c>
    </row>
    <row r="56" spans="1:6" ht="15.6" x14ac:dyDescent="0.35">
      <c r="A56" s="5" t="s">
        <v>20</v>
      </c>
      <c r="B56" s="10">
        <f>(B54+B55)/2</f>
        <v>78.304121272968132</v>
      </c>
      <c r="C56" s="10">
        <f t="shared" ref="C56:F56" si="20">(C54+C55)/2</f>
        <v>89.048832641922871</v>
      </c>
      <c r="D56" s="15">
        <f t="shared" si="20"/>
        <v>74.309694923974575</v>
      </c>
      <c r="E56" s="10">
        <f t="shared" si="20"/>
        <v>90.641586225958889</v>
      </c>
      <c r="F56" s="10">
        <f t="shared" si="20"/>
        <v>43.978274818785209</v>
      </c>
    </row>
    <row r="57" spans="1:6" ht="15.6" x14ac:dyDescent="0.35">
      <c r="A57" s="5"/>
      <c r="B57" s="10"/>
      <c r="C57" s="10"/>
      <c r="D57" s="15"/>
      <c r="E57" s="10"/>
      <c r="F57" s="10"/>
    </row>
    <row r="58" spans="1:6" ht="15.6" x14ac:dyDescent="0.35">
      <c r="A58" s="6" t="s">
        <v>31</v>
      </c>
      <c r="B58" s="10"/>
      <c r="C58" s="10"/>
      <c r="D58" s="15"/>
      <c r="E58" s="10"/>
      <c r="F58" s="10"/>
    </row>
    <row r="59" spans="1:6" ht="15.6" x14ac:dyDescent="0.35">
      <c r="A59" s="5" t="s">
        <v>21</v>
      </c>
      <c r="B59" s="10">
        <f>B25/B23*100</f>
        <v>100</v>
      </c>
      <c r="C59" s="10">
        <f>C25/C23*100</f>
        <v>100</v>
      </c>
      <c r="D59" s="15">
        <f t="shared" ref="D59:F59" si="21">D25/D23*100</f>
        <v>100</v>
      </c>
      <c r="E59" s="10">
        <f t="shared" si="21"/>
        <v>100</v>
      </c>
      <c r="F59" s="10">
        <f t="shared" si="21"/>
        <v>100</v>
      </c>
    </row>
    <row r="60" spans="1:6" ht="15.6" x14ac:dyDescent="0.35">
      <c r="A60" s="5"/>
      <c r="B60" s="10"/>
      <c r="C60" s="10"/>
      <c r="D60" s="15"/>
      <c r="E60" s="10"/>
      <c r="F60" s="10"/>
    </row>
    <row r="61" spans="1:6" ht="15.6" x14ac:dyDescent="0.35">
      <c r="A61" s="6" t="s">
        <v>22</v>
      </c>
      <c r="B61" s="10"/>
      <c r="C61" s="10"/>
      <c r="D61" s="15"/>
      <c r="E61" s="10"/>
      <c r="F61" s="10"/>
    </row>
    <row r="62" spans="1:6" ht="15.6" x14ac:dyDescent="0.35">
      <c r="A62" s="5" t="s">
        <v>23</v>
      </c>
      <c r="B62" s="10">
        <f>((B17/B15)-1)*100</f>
        <v>8.7635054021608649</v>
      </c>
      <c r="C62" s="10">
        <f>((C17/C15)-1)*100</f>
        <v>5.7242990654205572</v>
      </c>
      <c r="D62" s="15">
        <f t="shared" ref="D62:F62" si="22">((D17/D15)-1)*100</f>
        <v>11.975308641975314</v>
      </c>
      <c r="E62" s="10">
        <f t="shared" ref="E62" si="23">((E17/E15)-1)*100</f>
        <v>11.644832605531285</v>
      </c>
      <c r="F62" s="10">
        <f t="shared" si="22"/>
        <v>13.821138211382111</v>
      </c>
    </row>
    <row r="63" spans="1:6" ht="15.6" x14ac:dyDescent="0.35">
      <c r="A63" s="5" t="s">
        <v>24</v>
      </c>
      <c r="B63" s="10">
        <f>((B38/B37)-1)*100</f>
        <v>458.11367818417955</v>
      </c>
      <c r="C63" s="10" t="s">
        <v>44</v>
      </c>
      <c r="D63" s="15">
        <f t="shared" ref="D63:F63" si="24">((D38/D37)-1)*100</f>
        <v>372.99524773258116</v>
      </c>
      <c r="E63" s="10" t="s">
        <v>44</v>
      </c>
      <c r="F63" s="10">
        <f t="shared" si="24"/>
        <v>36.609956071180584</v>
      </c>
    </row>
    <row r="64" spans="1:6" ht="15.6" x14ac:dyDescent="0.35">
      <c r="A64" s="5" t="s">
        <v>25</v>
      </c>
      <c r="B64" s="10">
        <f>((B40/B39)-1)*100</f>
        <v>413.14425378302599</v>
      </c>
      <c r="C64" s="10" t="s">
        <v>44</v>
      </c>
      <c r="D64" s="15">
        <f t="shared" ref="D64:F64" si="25">((D40/D39)-1)*100</f>
        <v>322.41030944144507</v>
      </c>
      <c r="E64" s="10" t="s">
        <v>44</v>
      </c>
      <c r="F64" s="10">
        <f t="shared" si="25"/>
        <v>20.021604262537231</v>
      </c>
    </row>
    <row r="65" spans="1:7" ht="15.6" x14ac:dyDescent="0.35">
      <c r="A65" s="5"/>
      <c r="B65" s="10"/>
      <c r="C65" s="10"/>
      <c r="D65" s="15"/>
      <c r="E65" s="10"/>
      <c r="F65" s="10"/>
    </row>
    <row r="66" spans="1:7" ht="15.6" x14ac:dyDescent="0.35">
      <c r="A66" s="6" t="s">
        <v>26</v>
      </c>
      <c r="B66" s="10"/>
      <c r="C66" s="10"/>
      <c r="D66" s="15"/>
      <c r="E66" s="10"/>
      <c r="F66" s="10"/>
    </row>
    <row r="67" spans="1:7" ht="15.6" x14ac:dyDescent="0.35">
      <c r="A67" s="5" t="s">
        <v>35</v>
      </c>
      <c r="B67" s="10">
        <f t="shared" ref="B67:B68" si="26">B22/B16</f>
        <v>1160005.7360459857</v>
      </c>
      <c r="C67" s="10" t="e">
        <f t="shared" ref="C67" si="27">C22/C16</f>
        <v>#DIV/0!</v>
      </c>
      <c r="D67" s="15">
        <f>D22/D16</f>
        <v>1160005.7360459857</v>
      </c>
      <c r="E67" s="10">
        <f t="shared" ref="E67:F67" si="28">E22/E16</f>
        <v>1160005.7360459857</v>
      </c>
      <c r="F67" s="10" t="e">
        <f t="shared" si="28"/>
        <v>#DIV/0!</v>
      </c>
    </row>
    <row r="68" spans="1:7" ht="15.6" x14ac:dyDescent="0.35">
      <c r="A68" s="5" t="s">
        <v>36</v>
      </c>
      <c r="B68" s="10">
        <f t="shared" si="26"/>
        <v>364610.37717991171</v>
      </c>
      <c r="C68" s="10">
        <f t="shared" ref="C68" si="29">C23/C17</f>
        <v>111337.01657458564</v>
      </c>
      <c r="D68" s="15">
        <f>D23/D17</f>
        <v>617325.2518743109</v>
      </c>
      <c r="E68" s="10">
        <f t="shared" ref="E68:F68" si="30">E23/E17</f>
        <v>519165.93220338982</v>
      </c>
      <c r="F68" s="10">
        <f t="shared" si="30"/>
        <v>1155098.0960714286</v>
      </c>
    </row>
    <row r="69" spans="1:7" ht="15.6" x14ac:dyDescent="0.35">
      <c r="A69" s="5" t="s">
        <v>27</v>
      </c>
      <c r="B69" s="10">
        <f>(B68/B67)*B51</f>
        <v>73.72568322546266</v>
      </c>
      <c r="C69" s="10" t="s">
        <v>44</v>
      </c>
      <c r="D69" s="15">
        <f>(D68/D67)*D51</f>
        <v>72.838454867795377</v>
      </c>
      <c r="E69" s="10">
        <f t="shared" ref="E69" si="31">(E68/E67)*E51</f>
        <v>48.940424318071017</v>
      </c>
      <c r="F69" s="10" t="s">
        <v>44</v>
      </c>
    </row>
    <row r="70" spans="1:7" ht="15.6" x14ac:dyDescent="0.35">
      <c r="A70" s="5" t="s">
        <v>33</v>
      </c>
      <c r="B70" s="10">
        <f>B22/(B16*3)</f>
        <v>386668.57868199522</v>
      </c>
      <c r="C70" s="10" t="e">
        <f>C22/(C16*3)</f>
        <v>#DIV/0!</v>
      </c>
      <c r="D70" s="15">
        <f>D22/(D16*3)</f>
        <v>386668.57868199522</v>
      </c>
      <c r="E70" s="10">
        <f>E22/(E16*3)</f>
        <v>386668.57868199522</v>
      </c>
      <c r="F70" s="10" t="e">
        <f>F22/(F16*3)</f>
        <v>#DIV/0!</v>
      </c>
    </row>
    <row r="71" spans="1:7" ht="15.6" x14ac:dyDescent="0.35">
      <c r="A71" s="5" t="s">
        <v>34</v>
      </c>
      <c r="B71" s="10">
        <f t="shared" ref="B71" si="32">B23/(B17*3)</f>
        <v>121536.7923933039</v>
      </c>
      <c r="C71" s="10">
        <f>C23/(C17*3)</f>
        <v>37112.338858195209</v>
      </c>
      <c r="D71" s="15">
        <f>D23/(D17*3)</f>
        <v>205775.08395810361</v>
      </c>
      <c r="E71" s="10">
        <f>E23/(E17*3)</f>
        <v>173055.31073446327</v>
      </c>
      <c r="F71" s="10">
        <f>F23/(F17*3)</f>
        <v>385032.69869047619</v>
      </c>
    </row>
    <row r="72" spans="1:7" ht="15.6" x14ac:dyDescent="0.35">
      <c r="A72" s="5"/>
      <c r="B72" s="10"/>
      <c r="C72" s="10"/>
      <c r="D72" s="15"/>
      <c r="E72" s="5"/>
      <c r="F72" s="5"/>
    </row>
    <row r="73" spans="1:7" ht="15.6" x14ac:dyDescent="0.35">
      <c r="A73" s="6" t="s">
        <v>28</v>
      </c>
      <c r="B73" s="10"/>
      <c r="C73" s="10"/>
      <c r="D73" s="15"/>
      <c r="E73" s="5"/>
      <c r="F73" s="5"/>
    </row>
    <row r="74" spans="1:7" ht="15.6" x14ac:dyDescent="0.35">
      <c r="A74" s="5" t="s">
        <v>29</v>
      </c>
      <c r="B74" s="10">
        <f>(B29/B28)*100</f>
        <v>99.999999943508087</v>
      </c>
      <c r="C74" s="10"/>
      <c r="D74" s="15"/>
      <c r="E74" s="5"/>
      <c r="F74" s="5"/>
    </row>
    <row r="75" spans="1:7" ht="16.2" thickBot="1" x14ac:dyDescent="0.4">
      <c r="A75" s="11" t="s">
        <v>30</v>
      </c>
      <c r="B75" s="12">
        <f>(B23/B29)*100</f>
        <v>112.18852371014863</v>
      </c>
      <c r="C75" s="12"/>
      <c r="D75" s="19"/>
      <c r="E75" s="12"/>
      <c r="F75" s="12"/>
    </row>
    <row r="76" spans="1:7" s="36" customFormat="1" ht="20.25" customHeight="1" thickTop="1" x14ac:dyDescent="0.3">
      <c r="A76" s="43" t="s">
        <v>81</v>
      </c>
      <c r="B76" s="43"/>
      <c r="C76" s="43"/>
      <c r="D76" s="43"/>
      <c r="E76" s="43"/>
      <c r="F76" s="43"/>
      <c r="G76" s="32"/>
    </row>
    <row r="77" spans="1:7" s="36" customFormat="1" x14ac:dyDescent="0.3"/>
    <row r="78" spans="1:7" s="36" customFormat="1" x14ac:dyDescent="0.3"/>
    <row r="79" spans="1:7" s="36" customFormat="1" x14ac:dyDescent="0.3"/>
    <row r="80" spans="1:7" s="36" customFormat="1" x14ac:dyDescent="0.3">
      <c r="A80" s="1"/>
    </row>
    <row r="81" s="36" customFormat="1" x14ac:dyDescent="0.3"/>
    <row r="82" s="3" customFormat="1" x14ac:dyDescent="0.3"/>
  </sheetData>
  <mergeCells count="4">
    <mergeCell ref="A9:A10"/>
    <mergeCell ref="B9:B10"/>
    <mergeCell ref="C9:F9"/>
    <mergeCell ref="A76:F7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80"/>
  <sheetViews>
    <sheetView showGridLines="0" zoomScale="80" zoomScaleNormal="80" workbookViewId="0">
      <pane ySplit="10" topLeftCell="A11" activePane="bottomLeft" state="frozen"/>
      <selection pane="bottomLeft" activeCell="A9" sqref="A9:A10"/>
    </sheetView>
  </sheetViews>
  <sheetFormatPr baseColWidth="10" defaultColWidth="11.44140625" defaultRowHeight="14.4" x14ac:dyDescent="0.3"/>
  <cols>
    <col min="1" max="1" width="62.5546875" style="3" customWidth="1"/>
    <col min="2" max="6" width="24.6640625" style="3" customWidth="1"/>
    <col min="7" max="7" width="11.44140625" style="3" customWidth="1"/>
    <col min="8" max="16384" width="11.44140625" style="3"/>
  </cols>
  <sheetData>
    <row r="1" spans="1:7" s="26" customFormat="1" x14ac:dyDescent="0.3"/>
    <row r="2" spans="1:7" s="26" customFormat="1" x14ac:dyDescent="0.3"/>
    <row r="3" spans="1:7" s="26" customFormat="1" x14ac:dyDescent="0.3"/>
    <row r="4" spans="1:7" s="26" customFormat="1" x14ac:dyDescent="0.3"/>
    <row r="5" spans="1:7" s="26" customFormat="1" x14ac:dyDescent="0.3"/>
    <row r="6" spans="1:7" s="26" customFormat="1" x14ac:dyDescent="0.3"/>
    <row r="7" spans="1:7" s="26" customFormat="1" ht="21" customHeight="1" x14ac:dyDescent="0.3"/>
    <row r="8" spans="1:7" s="26" customFormat="1" ht="21" customHeight="1" x14ac:dyDescent="0.3"/>
    <row r="9" spans="1:7" s="26" customFormat="1" ht="15.6" x14ac:dyDescent="0.35">
      <c r="A9" s="39" t="s">
        <v>0</v>
      </c>
      <c r="B9" s="41" t="s">
        <v>41</v>
      </c>
      <c r="C9" s="38" t="s">
        <v>1</v>
      </c>
      <c r="D9" s="38"/>
      <c r="E9" s="38"/>
      <c r="F9" s="38"/>
    </row>
    <row r="10" spans="1:7" s="26" customFormat="1" ht="31.8" thickBot="1" x14ac:dyDescent="0.4">
      <c r="A10" s="40"/>
      <c r="B10" s="42"/>
      <c r="C10" s="27" t="s">
        <v>42</v>
      </c>
      <c r="D10" s="14" t="s">
        <v>49</v>
      </c>
      <c r="E10" s="28" t="s">
        <v>50</v>
      </c>
      <c r="F10" s="28" t="s">
        <v>43</v>
      </c>
    </row>
    <row r="11" spans="1:7" s="36" customFormat="1" ht="16.2" thickTop="1" x14ac:dyDescent="0.35">
      <c r="A11" s="29"/>
      <c r="B11" s="29"/>
      <c r="C11" s="29"/>
      <c r="D11" s="16"/>
    </row>
    <row r="12" spans="1:7" s="36" customFormat="1" ht="15.6" x14ac:dyDescent="0.35">
      <c r="A12" s="30" t="s">
        <v>2</v>
      </c>
      <c r="B12" s="29"/>
      <c r="C12" s="29"/>
      <c r="D12" s="16"/>
    </row>
    <row r="13" spans="1:7" ht="15.6" x14ac:dyDescent="0.35">
      <c r="A13" s="5"/>
      <c r="B13" s="5"/>
      <c r="C13" s="5"/>
      <c r="D13" s="16"/>
      <c r="E13" s="5"/>
      <c r="F13" s="5"/>
      <c r="G13" s="5"/>
    </row>
    <row r="14" spans="1:7" ht="15.6" x14ac:dyDescent="0.35">
      <c r="A14" s="6" t="s">
        <v>3</v>
      </c>
      <c r="B14" s="5"/>
      <c r="C14" s="5"/>
      <c r="D14" s="16"/>
      <c r="E14" s="5"/>
      <c r="F14" s="5"/>
      <c r="G14" s="5"/>
    </row>
    <row r="15" spans="1:7" ht="15.6" x14ac:dyDescent="0.35">
      <c r="A15" s="5" t="s">
        <v>70</v>
      </c>
      <c r="B15" s="7">
        <f>SUM(C15:D15)</f>
        <v>4998</v>
      </c>
      <c r="C15" s="7">
        <f>+'IV Trimestre'!C15</f>
        <v>2568</v>
      </c>
      <c r="D15" s="17">
        <f>+E15+F15</f>
        <v>2430</v>
      </c>
      <c r="E15" s="7">
        <f>+'IV Trimestre'!E15</f>
        <v>2061</v>
      </c>
      <c r="F15" s="7">
        <f>+'IV Trimestre'!F15</f>
        <v>369</v>
      </c>
      <c r="G15" s="7"/>
    </row>
    <row r="16" spans="1:7" ht="15.6" x14ac:dyDescent="0.35">
      <c r="A16" s="5" t="s">
        <v>115</v>
      </c>
      <c r="B16" s="7">
        <f>SUM(C16:D16)</f>
        <v>4081.916666666667</v>
      </c>
      <c r="C16" s="7">
        <f>+AVERAGE('I Trimestre'!C16,'II Trimestre'!C16,'III Trimestre'!C16)</f>
        <v>1933.6666666666667</v>
      </c>
      <c r="D16" s="17">
        <f t="shared" ref="D16:D18" si="0">+E16+F16</f>
        <v>2148.25</v>
      </c>
      <c r="E16" s="7">
        <f>+AVERAGE('I Trimestre'!E16,'II Trimestre'!E16,'III Trimestre'!E16,'IV Trimestre'!E16)</f>
        <v>1425.25</v>
      </c>
      <c r="F16" s="7">
        <v>723</v>
      </c>
      <c r="G16" s="7"/>
    </row>
    <row r="17" spans="1:7" ht="15.6" x14ac:dyDescent="0.35">
      <c r="A17" s="5" t="s">
        <v>116</v>
      </c>
      <c r="B17" s="7">
        <f>SUM(C17:D17)</f>
        <v>5436</v>
      </c>
      <c r="C17" s="7">
        <f>+'IV Trimestre'!C17</f>
        <v>2715</v>
      </c>
      <c r="D17" s="17">
        <f>+E17+F17</f>
        <v>2721</v>
      </c>
      <c r="E17" s="7">
        <f>+'IV Trimestre'!E17</f>
        <v>2301</v>
      </c>
      <c r="F17" s="7">
        <f>+'IV Trimestre'!F17</f>
        <v>420</v>
      </c>
      <c r="G17" s="7"/>
    </row>
    <row r="18" spans="1:7" ht="15.6" x14ac:dyDescent="0.35">
      <c r="A18" s="5" t="s">
        <v>76</v>
      </c>
      <c r="B18" s="7">
        <f>SUM(C18:D18)</f>
        <v>4082</v>
      </c>
      <c r="C18" s="7">
        <f>+'IV Trimestre'!C18</f>
        <v>1934</v>
      </c>
      <c r="D18" s="17">
        <f t="shared" si="0"/>
        <v>2148</v>
      </c>
      <c r="E18" s="7">
        <f>+'IV Trimestre'!E18</f>
        <v>1425</v>
      </c>
      <c r="F18" s="7">
        <f>+'IV Trimestre'!F18</f>
        <v>723</v>
      </c>
      <c r="G18" s="7"/>
    </row>
    <row r="19" spans="1:7" ht="15.6" x14ac:dyDescent="0.35">
      <c r="A19" s="5"/>
      <c r="B19" s="7"/>
      <c r="C19" s="7"/>
      <c r="D19" s="17"/>
      <c r="E19" s="5"/>
      <c r="F19" s="5"/>
      <c r="G19" s="5"/>
    </row>
    <row r="20" spans="1:7" ht="15.6" x14ac:dyDescent="0.35">
      <c r="A20" s="6" t="s">
        <v>4</v>
      </c>
      <c r="B20" s="7"/>
      <c r="C20" s="7"/>
      <c r="D20" s="17"/>
      <c r="E20" s="5"/>
      <c r="F20" s="5"/>
      <c r="G20" s="5"/>
    </row>
    <row r="21" spans="1:7" ht="15.6" x14ac:dyDescent="0.35">
      <c r="A21" s="5" t="s">
        <v>70</v>
      </c>
      <c r="B21" s="7">
        <f>SUM(C21:D21)</f>
        <v>7393194386.6000004</v>
      </c>
      <c r="C21" s="7">
        <f>+'I Trimestre'!C21+'II Trimestre'!C21+'III Trimestre'!C21+'IV Trimestre'!C21</f>
        <v>876484000</v>
      </c>
      <c r="D21" s="17">
        <f>+E21+F21</f>
        <v>6516710386.6000004</v>
      </c>
      <c r="E21" s="7">
        <f>+'I Trimestre'!E21+'II Trimestre'!E21+'III Trimestre'!E21+'IV Trimestre'!E21</f>
        <v>4951683960</v>
      </c>
      <c r="F21" s="7">
        <f>+'I Trimestre'!F21+'II Trimestre'!F21+'III Trimestre'!F21+'IV Trimestre'!F21</f>
        <v>1565026426.5999999</v>
      </c>
      <c r="G21" s="7"/>
    </row>
    <row r="22" spans="1:7" ht="15.6" x14ac:dyDescent="0.35">
      <c r="A22" s="5" t="s">
        <v>115</v>
      </c>
      <c r="B22" s="7">
        <f t="shared" ref="B22:B24" si="1">SUM(C22:D22)</f>
        <v>8456364633.308979</v>
      </c>
      <c r="C22" s="7">
        <f>+'I Trimestre'!C22+'II Trimestre'!C22+'III Trimestre'!C22+'IV Trimestre'!C22</f>
        <v>801484000</v>
      </c>
      <c r="D22" s="17">
        <f t="shared" ref="D22:D24" si="2">+E22+F22</f>
        <v>7654880633.308979</v>
      </c>
      <c r="E22" s="7">
        <f>+'I Trimestre'!E22+'II Trimestre'!E22+'III Trimestre'!E22+'IV Trimestre'!E22</f>
        <v>6030447608.9589796</v>
      </c>
      <c r="F22" s="7">
        <f>+'I Trimestre'!F22+'II Trimestre'!F22+'III Trimestre'!F22+'IV Trimestre'!F22</f>
        <v>1624433024.3499999</v>
      </c>
      <c r="G22" s="7"/>
    </row>
    <row r="23" spans="1:7" ht="15.6" x14ac:dyDescent="0.35">
      <c r="A23" s="5" t="s">
        <v>116</v>
      </c>
      <c r="B23" s="7">
        <f t="shared" si="1"/>
        <v>8456525121.8481312</v>
      </c>
      <c r="C23" s="7">
        <f>+'I Trimestre'!C23+'II Trimestre'!C23+'III Trimestre'!C23+'IV Trimestre'!C23</f>
        <v>1103764000</v>
      </c>
      <c r="D23" s="17">
        <f t="shared" si="2"/>
        <v>7352761121.8481312</v>
      </c>
      <c r="E23" s="7">
        <f>+'I Trimestre'!E23+'II Trimestre'!E23+'III Trimestre'!E23+'IV Trimestre'!E23</f>
        <v>5458520172.4981318</v>
      </c>
      <c r="F23" s="7">
        <f>+'I Trimestre'!F23+'II Trimestre'!F23+'III Trimestre'!F23+'IV Trimestre'!F23</f>
        <v>1894240949.3499999</v>
      </c>
      <c r="G23" s="7"/>
    </row>
    <row r="24" spans="1:7" ht="15.6" x14ac:dyDescent="0.35">
      <c r="A24" s="5" t="s">
        <v>76</v>
      </c>
      <c r="B24" s="7">
        <f t="shared" si="1"/>
        <v>8456364633.308979</v>
      </c>
      <c r="C24" s="7">
        <f>'IV Trimestre'!C24</f>
        <v>801484000</v>
      </c>
      <c r="D24" s="17">
        <f t="shared" si="2"/>
        <v>7654880633.308979</v>
      </c>
      <c r="E24" s="7">
        <f>'IV Trimestre'!E24</f>
        <v>6030447608.9589796</v>
      </c>
      <c r="F24" s="7">
        <f>'IV Trimestre'!F24</f>
        <v>1624433024.3499999</v>
      </c>
      <c r="G24" s="7"/>
    </row>
    <row r="25" spans="1:7" ht="15.6" x14ac:dyDescent="0.35">
      <c r="A25" s="5" t="s">
        <v>117</v>
      </c>
      <c r="B25" s="7">
        <f t="shared" ref="B25:E25" si="3">+B23</f>
        <v>8456525121.8481312</v>
      </c>
      <c r="C25" s="7">
        <f t="shared" si="3"/>
        <v>1103764000</v>
      </c>
      <c r="D25" s="17">
        <f t="shared" si="3"/>
        <v>7352761121.8481312</v>
      </c>
      <c r="E25" s="7">
        <f t="shared" si="3"/>
        <v>5458520172.4981318</v>
      </c>
      <c r="F25" s="7">
        <f>+F23</f>
        <v>1894240949.3499999</v>
      </c>
      <c r="G25" s="7"/>
    </row>
    <row r="26" spans="1:7" ht="15.6" x14ac:dyDescent="0.35">
      <c r="A26" s="5"/>
      <c r="B26" s="7"/>
      <c r="C26" s="7"/>
      <c r="D26" s="17"/>
      <c r="E26" s="5"/>
      <c r="F26" s="5"/>
      <c r="G26" s="5"/>
    </row>
    <row r="27" spans="1:7" ht="15.6" x14ac:dyDescent="0.35">
      <c r="A27" s="6" t="s">
        <v>5</v>
      </c>
      <c r="B27" s="7"/>
      <c r="C27" s="7"/>
      <c r="D27" s="17"/>
      <c r="E27" s="5"/>
      <c r="F27" s="5"/>
      <c r="G27" s="5"/>
    </row>
    <row r="28" spans="1:7" ht="15.6" x14ac:dyDescent="0.35">
      <c r="A28" s="5" t="s">
        <v>115</v>
      </c>
      <c r="B28" s="7">
        <f>B22</f>
        <v>8456364633.308979</v>
      </c>
      <c r="C28" s="7"/>
      <c r="D28" s="17"/>
      <c r="E28" s="5"/>
      <c r="F28" s="5"/>
      <c r="G28" s="5"/>
    </row>
    <row r="29" spans="1:7" ht="15.6" x14ac:dyDescent="0.35">
      <c r="A29" s="5" t="s">
        <v>116</v>
      </c>
      <c r="B29" s="7">
        <f>'I Trimestre'!B29+'II Trimestre'!B29+'III Trimestre'!B29+'IV Trimestre'!B29</f>
        <v>8456525121.8481312</v>
      </c>
      <c r="C29" s="7"/>
      <c r="D29" s="17"/>
      <c r="E29" s="5"/>
      <c r="F29" s="5"/>
      <c r="G29" s="5"/>
    </row>
    <row r="30" spans="1:7" ht="15.6" x14ac:dyDescent="0.35">
      <c r="A30" s="5"/>
      <c r="B30" s="10"/>
      <c r="C30" s="10"/>
      <c r="D30" s="15"/>
      <c r="E30" s="5"/>
      <c r="F30" s="5"/>
      <c r="G30" s="5"/>
    </row>
    <row r="31" spans="1:7" ht="15.6" x14ac:dyDescent="0.35">
      <c r="A31" s="6" t="s">
        <v>6</v>
      </c>
      <c r="B31" s="10"/>
      <c r="C31" s="10"/>
      <c r="D31" s="15"/>
      <c r="E31" s="5"/>
      <c r="F31" s="5"/>
      <c r="G31" s="5"/>
    </row>
    <row r="32" spans="1:7" ht="15.6" x14ac:dyDescent="0.35">
      <c r="A32" s="5" t="s">
        <v>71</v>
      </c>
      <c r="B32" s="13">
        <v>1.1144000000000001</v>
      </c>
      <c r="C32" s="13">
        <v>1.1144000000000001</v>
      </c>
      <c r="D32" s="15">
        <v>1.1144000000000001</v>
      </c>
      <c r="E32" s="13">
        <v>1.1144000000000001</v>
      </c>
      <c r="F32" s="13">
        <v>1.1144000000000001</v>
      </c>
      <c r="G32" s="13"/>
    </row>
    <row r="33" spans="1:7" ht="15.6" x14ac:dyDescent="0.35">
      <c r="A33" s="5" t="s">
        <v>118</v>
      </c>
      <c r="B33" s="13">
        <v>1.0947</v>
      </c>
      <c r="C33" s="13">
        <v>1.0947</v>
      </c>
      <c r="D33" s="15">
        <v>1.0947</v>
      </c>
      <c r="E33" s="13">
        <v>1.0947</v>
      </c>
      <c r="F33" s="13">
        <v>1.0947</v>
      </c>
      <c r="G33" s="13"/>
    </row>
    <row r="34" spans="1:7" ht="15.6" x14ac:dyDescent="0.35">
      <c r="A34" s="5" t="s">
        <v>7</v>
      </c>
      <c r="B34" s="7">
        <f>C34+D34</f>
        <v>128834</v>
      </c>
      <c r="C34" s="9">
        <v>106880</v>
      </c>
      <c r="D34" s="18">
        <v>21954</v>
      </c>
    </row>
    <row r="35" spans="1:7" ht="15.6" x14ac:dyDescent="0.35">
      <c r="A35" s="5"/>
      <c r="B35" s="7"/>
      <c r="C35" s="7"/>
      <c r="D35" s="17"/>
      <c r="E35" s="5"/>
      <c r="F35" s="5"/>
      <c r="G35" s="5"/>
    </row>
    <row r="36" spans="1:7" ht="15.6" x14ac:dyDescent="0.35">
      <c r="A36" s="6" t="s">
        <v>8</v>
      </c>
      <c r="B36" s="7"/>
      <c r="C36" s="7"/>
      <c r="D36" s="17"/>
      <c r="E36" s="5"/>
      <c r="F36" s="5"/>
      <c r="G36" s="5"/>
    </row>
    <row r="37" spans="1:7" ht="15.6" x14ac:dyDescent="0.35">
      <c r="A37" s="5" t="s">
        <v>72</v>
      </c>
      <c r="B37" s="7">
        <f>B21/B32</f>
        <v>6634237604.6302948</v>
      </c>
      <c r="C37" s="7">
        <f t="shared" ref="C37:F37" si="4">C21/C32</f>
        <v>786507537.68844223</v>
      </c>
      <c r="D37" s="17">
        <f t="shared" si="4"/>
        <v>5847730066.9418526</v>
      </c>
      <c r="E37" s="7">
        <f t="shared" si="4"/>
        <v>4443363208.9016504</v>
      </c>
      <c r="F37" s="7">
        <f t="shared" si="4"/>
        <v>1404366858.0402009</v>
      </c>
      <c r="G37" s="7"/>
    </row>
    <row r="38" spans="1:7" ht="15.6" x14ac:dyDescent="0.35">
      <c r="A38" s="5" t="s">
        <v>94</v>
      </c>
      <c r="B38" s="7">
        <f>B23/B33</f>
        <v>7724970422.8081951</v>
      </c>
      <c r="C38" s="7">
        <f t="shared" ref="C38:F38" si="5">C23/C33</f>
        <v>1008279894.0348954</v>
      </c>
      <c r="D38" s="17">
        <f t="shared" si="5"/>
        <v>6716690528.7732992</v>
      </c>
      <c r="E38" s="7">
        <f t="shared" si="5"/>
        <v>4986316043.2064781</v>
      </c>
      <c r="F38" s="7">
        <f t="shared" si="5"/>
        <v>1730374485.5668218</v>
      </c>
      <c r="G38" s="7"/>
    </row>
    <row r="39" spans="1:7" ht="15.6" x14ac:dyDescent="0.35">
      <c r="A39" s="5" t="s">
        <v>73</v>
      </c>
      <c r="B39" s="7">
        <f>B37/B15</f>
        <v>1327378.472314985</v>
      </c>
      <c r="C39" s="7">
        <f t="shared" ref="C39:F39" si="6">C37/C15</f>
        <v>306272.40564191673</v>
      </c>
      <c r="D39" s="17">
        <f t="shared" si="6"/>
        <v>2406473.2785768942</v>
      </c>
      <c r="E39" s="7">
        <f t="shared" si="6"/>
        <v>2155925.8655515043</v>
      </c>
      <c r="F39" s="7">
        <f t="shared" si="6"/>
        <v>3805872.2440113849</v>
      </c>
      <c r="G39" s="7"/>
    </row>
    <row r="40" spans="1:7" ht="15.6" x14ac:dyDescent="0.35">
      <c r="A40" s="5" t="s">
        <v>95</v>
      </c>
      <c r="B40" s="7">
        <f>B38/B17</f>
        <v>1421076.2367196826</v>
      </c>
      <c r="C40" s="7">
        <f t="shared" ref="C40:F40" si="7">C38/C17</f>
        <v>371373.80995760422</v>
      </c>
      <c r="D40" s="17">
        <f t="shared" si="7"/>
        <v>2468463.9944040058</v>
      </c>
      <c r="E40" s="7">
        <f t="shared" si="7"/>
        <v>2167021.3138663531</v>
      </c>
      <c r="F40" s="7">
        <f t="shared" si="7"/>
        <v>4119939.2513495758</v>
      </c>
      <c r="G40" s="7"/>
    </row>
    <row r="41" spans="1:7" ht="15.6" x14ac:dyDescent="0.35">
      <c r="A41" s="5"/>
      <c r="B41" s="10"/>
      <c r="C41" s="10"/>
      <c r="D41" s="15"/>
      <c r="E41" s="10"/>
      <c r="F41" s="10"/>
      <c r="G41" s="10"/>
    </row>
    <row r="42" spans="1:7" ht="15.6" x14ac:dyDescent="0.35">
      <c r="A42" s="6" t="s">
        <v>9</v>
      </c>
      <c r="B42" s="10"/>
      <c r="C42" s="10"/>
      <c r="D42" s="15"/>
      <c r="E42" s="10"/>
      <c r="F42" s="10"/>
      <c r="G42" s="10"/>
    </row>
    <row r="43" spans="1:7" ht="15.6" x14ac:dyDescent="0.35">
      <c r="A43" s="5"/>
      <c r="B43" s="10"/>
      <c r="C43" s="10"/>
      <c r="D43" s="15"/>
      <c r="E43" s="10"/>
      <c r="F43" s="10"/>
      <c r="G43" s="10"/>
    </row>
    <row r="44" spans="1:7" ht="15.6" x14ac:dyDescent="0.35">
      <c r="A44" s="6" t="s">
        <v>10</v>
      </c>
      <c r="B44" s="10"/>
      <c r="C44" s="10"/>
      <c r="D44" s="15"/>
      <c r="E44" s="10"/>
      <c r="F44" s="10"/>
      <c r="G44" s="10"/>
    </row>
    <row r="45" spans="1:7" ht="15.6" x14ac:dyDescent="0.35">
      <c r="A45" s="5" t="s">
        <v>11</v>
      </c>
      <c r="B45" s="10">
        <f>B16/B34*100</f>
        <v>3.1683535919607144</v>
      </c>
      <c r="C45" s="10">
        <f t="shared" ref="C45:D45" si="8">C16/C34*100</f>
        <v>1.8091941117764472</v>
      </c>
      <c r="D45" s="15">
        <f t="shared" si="8"/>
        <v>9.7852327594060302</v>
      </c>
      <c r="E45" s="10"/>
      <c r="F45" s="10"/>
      <c r="G45" s="10"/>
    </row>
    <row r="46" spans="1:7" ht="15.6" x14ac:dyDescent="0.35">
      <c r="A46" s="5" t="s">
        <v>12</v>
      </c>
      <c r="B46" s="10">
        <f>B17/B34*100</f>
        <v>4.2193830821056553</v>
      </c>
      <c r="C46" s="10">
        <f t="shared" ref="C46:D46" si="9">C17/C34*100</f>
        <v>2.5402320359281436</v>
      </c>
      <c r="D46" s="15">
        <f t="shared" si="9"/>
        <v>12.394096747745285</v>
      </c>
      <c r="E46" s="10"/>
      <c r="F46" s="10"/>
      <c r="G46" s="10"/>
    </row>
    <row r="47" spans="1:7" ht="15.6" x14ac:dyDescent="0.35">
      <c r="A47" s="5"/>
      <c r="B47" s="10"/>
      <c r="C47" s="10"/>
      <c r="D47" s="15"/>
      <c r="E47" s="10"/>
      <c r="F47" s="10"/>
      <c r="G47" s="10"/>
    </row>
    <row r="48" spans="1:7" ht="15.6" x14ac:dyDescent="0.35">
      <c r="A48" s="6" t="s">
        <v>13</v>
      </c>
      <c r="B48" s="10"/>
      <c r="C48" s="10"/>
      <c r="D48" s="15"/>
      <c r="E48" s="10"/>
      <c r="F48" s="10"/>
      <c r="G48" s="10"/>
    </row>
    <row r="49" spans="1:7" ht="15.6" x14ac:dyDescent="0.35">
      <c r="A49" s="5" t="s">
        <v>14</v>
      </c>
      <c r="B49" s="10">
        <f>B17/B16*100</f>
        <v>133.1727333973011</v>
      </c>
      <c r="C49" s="10">
        <f t="shared" ref="C49:F49" si="10">C17/C16*100</f>
        <v>140.40682640923978</v>
      </c>
      <c r="D49" s="15">
        <f t="shared" si="10"/>
        <v>126.66123588967764</v>
      </c>
      <c r="E49" s="10">
        <f t="shared" si="10"/>
        <v>161.44536046307664</v>
      </c>
      <c r="F49" s="10">
        <f t="shared" si="10"/>
        <v>58.091286307053949</v>
      </c>
      <c r="G49" s="10"/>
    </row>
    <row r="50" spans="1:7" ht="15.6" x14ac:dyDescent="0.35">
      <c r="A50" s="5" t="s">
        <v>15</v>
      </c>
      <c r="B50" s="10">
        <f>B23/B22*100</f>
        <v>100.00189784317625</v>
      </c>
      <c r="C50" s="10">
        <f t="shared" ref="C50:F50" si="11">C23/C22*100</f>
        <v>137.71503860339072</v>
      </c>
      <c r="D50" s="15">
        <f t="shared" si="11"/>
        <v>96.053243336725274</v>
      </c>
      <c r="E50" s="10">
        <f t="shared" si="11"/>
        <v>90.516003561473966</v>
      </c>
      <c r="F50" s="10">
        <f t="shared" si="11"/>
        <v>116.60935975541133</v>
      </c>
      <c r="G50" s="10"/>
    </row>
    <row r="51" spans="1:7" ht="15.6" x14ac:dyDescent="0.35">
      <c r="A51" s="5" t="s">
        <v>16</v>
      </c>
      <c r="B51" s="10">
        <f>AVERAGE(B49:B50)</f>
        <v>116.58731562023868</v>
      </c>
      <c r="C51" s="10">
        <f t="shared" ref="C51:F51" si="12">AVERAGE(C49:C50)</f>
        <v>139.06093250631525</v>
      </c>
      <c r="D51" s="15">
        <f t="shared" si="12"/>
        <v>111.35723961320146</v>
      </c>
      <c r="E51" s="10">
        <f t="shared" si="12"/>
        <v>125.98068201227531</v>
      </c>
      <c r="F51" s="10">
        <f t="shared" si="12"/>
        <v>87.350323031232648</v>
      </c>
      <c r="G51" s="10"/>
    </row>
    <row r="52" spans="1:7" ht="15.6" x14ac:dyDescent="0.35">
      <c r="A52" s="5"/>
      <c r="B52" s="10"/>
      <c r="C52" s="10"/>
      <c r="D52" s="15"/>
      <c r="E52" s="10"/>
      <c r="F52" s="10"/>
      <c r="G52" s="10"/>
    </row>
    <row r="53" spans="1:7" ht="15.6" x14ac:dyDescent="0.35">
      <c r="A53" s="6" t="s">
        <v>17</v>
      </c>
      <c r="B53" s="10"/>
      <c r="C53" s="10"/>
      <c r="D53" s="15"/>
      <c r="E53" s="10"/>
      <c r="F53" s="10"/>
      <c r="G53" s="10"/>
    </row>
    <row r="54" spans="1:7" ht="15.6" x14ac:dyDescent="0.35">
      <c r="A54" s="5" t="s">
        <v>18</v>
      </c>
      <c r="B54" s="10">
        <f>(B17/B18)*100</f>
        <v>133.17001469867711</v>
      </c>
      <c r="C54" s="10">
        <f t="shared" ref="C54:F54" si="13">(C17/C18)*100</f>
        <v>140.38262668045502</v>
      </c>
      <c r="D54" s="15">
        <f t="shared" si="13"/>
        <v>126.67597765363128</v>
      </c>
      <c r="E54" s="10">
        <f t="shared" si="13"/>
        <v>161.47368421052633</v>
      </c>
      <c r="F54" s="10">
        <f t="shared" si="13"/>
        <v>58.091286307053949</v>
      </c>
      <c r="G54" s="10"/>
    </row>
    <row r="55" spans="1:7" ht="15.6" x14ac:dyDescent="0.35">
      <c r="A55" s="5" t="s">
        <v>19</v>
      </c>
      <c r="B55" s="10">
        <f>B23/B24*100</f>
        <v>100.00189784317625</v>
      </c>
      <c r="C55" s="10">
        <f t="shared" ref="C55:F55" si="14">C23/C24*100</f>
        <v>137.71503860339072</v>
      </c>
      <c r="D55" s="15">
        <f t="shared" si="14"/>
        <v>96.053243336725274</v>
      </c>
      <c r="E55" s="10">
        <f t="shared" si="14"/>
        <v>90.516003561473966</v>
      </c>
      <c r="F55" s="10">
        <f t="shared" si="14"/>
        <v>116.60935975541133</v>
      </c>
      <c r="G55" s="10"/>
    </row>
    <row r="56" spans="1:7" ht="15.6" x14ac:dyDescent="0.35">
      <c r="A56" s="5" t="s">
        <v>20</v>
      </c>
      <c r="B56" s="10">
        <f>(B54+B55)/2</f>
        <v>116.58595627092669</v>
      </c>
      <c r="C56" s="10">
        <f t="shared" ref="C56:F56" si="15">(C54+C55)/2</f>
        <v>139.04883264192287</v>
      </c>
      <c r="D56" s="15">
        <f t="shared" si="15"/>
        <v>111.36461049517828</v>
      </c>
      <c r="E56" s="10">
        <f t="shared" si="15"/>
        <v>125.99484388600015</v>
      </c>
      <c r="F56" s="10">
        <f t="shared" si="15"/>
        <v>87.350323031232648</v>
      </c>
      <c r="G56" s="10"/>
    </row>
    <row r="57" spans="1:7" ht="15.6" x14ac:dyDescent="0.35">
      <c r="A57" s="5"/>
      <c r="B57" s="10"/>
      <c r="C57" s="10"/>
      <c r="D57" s="15"/>
      <c r="E57" s="10"/>
      <c r="F57" s="10"/>
      <c r="G57" s="10"/>
    </row>
    <row r="58" spans="1:7" ht="15.6" x14ac:dyDescent="0.35">
      <c r="A58" s="6" t="s">
        <v>32</v>
      </c>
      <c r="B58" s="10"/>
      <c r="C58" s="10"/>
      <c r="D58" s="15"/>
      <c r="E58" s="10"/>
      <c r="F58" s="10"/>
      <c r="G58" s="10"/>
    </row>
    <row r="59" spans="1:7" ht="15.6" x14ac:dyDescent="0.35">
      <c r="A59" s="5" t="s">
        <v>21</v>
      </c>
      <c r="B59" s="10">
        <f>B25/B23*100</f>
        <v>100</v>
      </c>
      <c r="C59" s="10">
        <f t="shared" ref="C59:F59" si="16">C25/C23*100</f>
        <v>100</v>
      </c>
      <c r="D59" s="15">
        <f t="shared" si="16"/>
        <v>100</v>
      </c>
      <c r="E59" s="10">
        <f t="shared" si="16"/>
        <v>100</v>
      </c>
      <c r="F59" s="10">
        <f t="shared" si="16"/>
        <v>100</v>
      </c>
      <c r="G59" s="10"/>
    </row>
    <row r="60" spans="1:7" ht="15.6" x14ac:dyDescent="0.35">
      <c r="A60" s="5"/>
      <c r="B60" s="10"/>
      <c r="C60" s="10"/>
      <c r="D60" s="15"/>
      <c r="E60" s="10"/>
      <c r="F60" s="10"/>
      <c r="G60" s="10"/>
    </row>
    <row r="61" spans="1:7" ht="15.6" x14ac:dyDescent="0.35">
      <c r="A61" s="6" t="s">
        <v>22</v>
      </c>
      <c r="B61" s="10"/>
      <c r="C61" s="10"/>
      <c r="D61" s="15"/>
      <c r="E61" s="10"/>
      <c r="F61" s="10"/>
      <c r="G61" s="10"/>
    </row>
    <row r="62" spans="1:7" ht="15.6" x14ac:dyDescent="0.35">
      <c r="A62" s="5" t="s">
        <v>23</v>
      </c>
      <c r="B62" s="10">
        <f>((B17/B15)-1)*100</f>
        <v>8.7635054021608649</v>
      </c>
      <c r="C62" s="10">
        <f t="shared" ref="C62:F62" si="17">((C17/C15)-1)*100</f>
        <v>5.7242990654205572</v>
      </c>
      <c r="D62" s="15">
        <f t="shared" si="17"/>
        <v>11.975308641975314</v>
      </c>
      <c r="E62" s="10">
        <f t="shared" si="17"/>
        <v>11.644832605531285</v>
      </c>
      <c r="F62" s="10">
        <f t="shared" si="17"/>
        <v>13.821138211382111</v>
      </c>
      <c r="G62" s="10"/>
    </row>
    <row r="63" spans="1:7" ht="15.6" x14ac:dyDescent="0.35">
      <c r="A63" s="5" t="s">
        <v>24</v>
      </c>
      <c r="B63" s="10">
        <f>((B38/B37)-1)*100</f>
        <v>16.440967043698219</v>
      </c>
      <c r="C63" s="10">
        <f t="shared" ref="C63:F63" si="18">((C38/C37)-1)*100</f>
        <v>28.197105014180224</v>
      </c>
      <c r="D63" s="15">
        <f t="shared" si="18"/>
        <v>14.859790925436499</v>
      </c>
      <c r="E63" s="10">
        <f t="shared" si="18"/>
        <v>12.219411485810983</v>
      </c>
      <c r="F63" s="10">
        <f t="shared" si="18"/>
        <v>23.213850829658966</v>
      </c>
      <c r="G63" s="10"/>
    </row>
    <row r="64" spans="1:7" ht="15.6" x14ac:dyDescent="0.35">
      <c r="A64" s="5" t="s">
        <v>25</v>
      </c>
      <c r="B64" s="10">
        <f>((B40/B39)-1)*100</f>
        <v>7.0588582200889594</v>
      </c>
      <c r="C64" s="10">
        <f t="shared" ref="C64:F64" si="19">((C40/C39)-1)*100</f>
        <v>21.256046289655561</v>
      </c>
      <c r="D64" s="15">
        <f t="shared" si="19"/>
        <v>2.5759985111395434</v>
      </c>
      <c r="E64" s="10">
        <f t="shared" si="19"/>
        <v>0.51464887972900719</v>
      </c>
      <c r="F64" s="10">
        <f t="shared" si="19"/>
        <v>8.2521689432003775</v>
      </c>
      <c r="G64" s="10"/>
    </row>
    <row r="65" spans="1:7" ht="15.6" x14ac:dyDescent="0.35">
      <c r="A65" s="5"/>
      <c r="B65" s="10"/>
      <c r="C65" s="10"/>
      <c r="D65" s="15"/>
      <c r="E65" s="10"/>
      <c r="F65" s="10"/>
      <c r="G65" s="10"/>
    </row>
    <row r="66" spans="1:7" ht="15.6" x14ac:dyDescent="0.35">
      <c r="A66" s="6" t="s">
        <v>26</v>
      </c>
      <c r="B66" s="10"/>
      <c r="C66" s="10"/>
      <c r="D66" s="15"/>
      <c r="E66" s="10"/>
      <c r="F66" s="10"/>
      <c r="G66" s="10"/>
    </row>
    <row r="67" spans="1:7" ht="15.6" x14ac:dyDescent="0.35">
      <c r="A67" s="5" t="s">
        <v>39</v>
      </c>
      <c r="B67" s="10">
        <f t="shared" ref="B67:B68" si="20">B22/B16</f>
        <v>2071665.1817918001</v>
      </c>
      <c r="C67" s="10">
        <f t="shared" ref="C67:F67" si="21">C22/C16</f>
        <v>414489.22599551798</v>
      </c>
      <c r="D67" s="15">
        <f t="shared" si="21"/>
        <v>3563309.9654644378</v>
      </c>
      <c r="E67" s="10">
        <f t="shared" si="21"/>
        <v>4231150.7517691487</v>
      </c>
      <c r="F67" s="10">
        <f t="shared" si="21"/>
        <v>2246795.3310511755</v>
      </c>
      <c r="G67" s="10"/>
    </row>
    <row r="68" spans="1:7" ht="15.6" x14ac:dyDescent="0.35">
      <c r="A68" s="5" t="s">
        <v>40</v>
      </c>
      <c r="B68" s="10">
        <f t="shared" si="20"/>
        <v>1555652.1563370368</v>
      </c>
      <c r="C68" s="10">
        <f t="shared" ref="C68:F68" si="22">C23/C17</f>
        <v>406542.9097605893</v>
      </c>
      <c r="D68" s="15">
        <f t="shared" si="22"/>
        <v>2702227.5346740652</v>
      </c>
      <c r="E68" s="10">
        <f t="shared" si="22"/>
        <v>2372238.2322894968</v>
      </c>
      <c r="F68" s="10">
        <f t="shared" si="22"/>
        <v>4510097.4984523803</v>
      </c>
      <c r="G68" s="10"/>
    </row>
    <row r="69" spans="1:7" ht="15.6" x14ac:dyDescent="0.35">
      <c r="A69" s="5" t="s">
        <v>27</v>
      </c>
      <c r="B69" s="10">
        <f>(B68/B67)*B51</f>
        <v>87.547597237360151</v>
      </c>
      <c r="C69" s="10">
        <f t="shared" ref="C69:F69" si="23">(C68/C67)*C51</f>
        <v>136.39494729773665</v>
      </c>
      <c r="D69" s="15">
        <f t="shared" si="23"/>
        <v>84.447494600394634</v>
      </c>
      <c r="E69" s="10">
        <f t="shared" si="23"/>
        <v>70.632366448882976</v>
      </c>
      <c r="F69" s="10">
        <f t="shared" si="23"/>
        <v>175.34239454194258</v>
      </c>
      <c r="G69" s="10"/>
    </row>
    <row r="70" spans="1:7" ht="15.6" x14ac:dyDescent="0.35">
      <c r="A70" s="5" t="s">
        <v>33</v>
      </c>
      <c r="B70" s="10">
        <f>B22/(B16*12)</f>
        <v>172638.76514931669</v>
      </c>
      <c r="C70" s="10">
        <f>C22/(C16*6)</f>
        <v>69081.537665919663</v>
      </c>
      <c r="D70" s="15">
        <f>D22/(D16*12)</f>
        <v>296942.49712203653</v>
      </c>
      <c r="E70" s="10">
        <f>E22/(E16*11)</f>
        <v>384650.0683426499</v>
      </c>
      <c r="F70" s="10">
        <f>F22/(F16*5)</f>
        <v>449359.06621023512</v>
      </c>
      <c r="G70" s="10"/>
    </row>
    <row r="71" spans="1:7" ht="15.6" x14ac:dyDescent="0.35">
      <c r="A71" s="5" t="s">
        <v>34</v>
      </c>
      <c r="B71" s="10">
        <f>B23/(B17*12)</f>
        <v>129637.67969475305</v>
      </c>
      <c r="C71" s="10">
        <f>C23/(C17*6)</f>
        <v>67757.151626764884</v>
      </c>
      <c r="D71" s="15">
        <f>D23/(D17*12)</f>
        <v>225185.62788950541</v>
      </c>
      <c r="E71" s="10">
        <f>E23/(E17*11)</f>
        <v>215658.02111722698</v>
      </c>
      <c r="F71" s="10">
        <f>F23/(F17*5)</f>
        <v>902019.49969047611</v>
      </c>
      <c r="G71" s="10"/>
    </row>
    <row r="72" spans="1:7" ht="15.6" x14ac:dyDescent="0.35">
      <c r="A72" s="5"/>
      <c r="B72" s="10"/>
      <c r="C72" s="10"/>
      <c r="D72" s="15"/>
      <c r="E72" s="5"/>
      <c r="F72" s="5"/>
      <c r="G72" s="5"/>
    </row>
    <row r="73" spans="1:7" ht="15.6" x14ac:dyDescent="0.35">
      <c r="A73" s="6" t="s">
        <v>28</v>
      </c>
      <c r="B73" s="10"/>
      <c r="C73" s="10"/>
      <c r="D73" s="15"/>
      <c r="E73" s="5"/>
      <c r="F73" s="5"/>
      <c r="G73" s="5"/>
    </row>
    <row r="74" spans="1:7" ht="15.6" x14ac:dyDescent="0.35">
      <c r="A74" s="5" t="s">
        <v>29</v>
      </c>
      <c r="B74" s="10">
        <f>(B29/B28)*100</f>
        <v>100.00189784317625</v>
      </c>
      <c r="C74" s="10"/>
      <c r="D74" s="15"/>
      <c r="E74" s="5"/>
      <c r="F74" s="5"/>
      <c r="G74" s="5"/>
    </row>
    <row r="75" spans="1:7" ht="16.2" thickBot="1" x14ac:dyDescent="0.4">
      <c r="A75" s="11" t="s">
        <v>30</v>
      </c>
      <c r="B75" s="12">
        <f>(B23/B29)*100</f>
        <v>100</v>
      </c>
      <c r="C75" s="12"/>
      <c r="D75" s="19"/>
      <c r="E75" s="12"/>
      <c r="F75" s="12"/>
      <c r="G75" s="5"/>
    </row>
    <row r="76" spans="1:7" s="36" customFormat="1" ht="20.25" customHeight="1" thickTop="1" x14ac:dyDescent="0.3">
      <c r="A76" s="43" t="s">
        <v>81</v>
      </c>
      <c r="B76" s="43"/>
      <c r="C76" s="43"/>
      <c r="D76" s="43"/>
      <c r="E76" s="43"/>
      <c r="F76" s="43"/>
      <c r="G76" s="32"/>
    </row>
    <row r="77" spans="1:7" s="36" customFormat="1" ht="42" customHeight="1" x14ac:dyDescent="0.35">
      <c r="A77" s="44" t="s">
        <v>119</v>
      </c>
      <c r="B77" s="44"/>
      <c r="C77" s="44"/>
      <c r="D77" s="44"/>
      <c r="E77" s="44"/>
      <c r="F77" s="44"/>
    </row>
    <row r="78" spans="1:7" s="36" customFormat="1" x14ac:dyDescent="0.3"/>
    <row r="79" spans="1:7" s="36" customFormat="1" x14ac:dyDescent="0.3"/>
    <row r="80" spans="1:7" s="36" customFormat="1" x14ac:dyDescent="0.3">
      <c r="A80" s="1"/>
    </row>
  </sheetData>
  <mergeCells count="5">
    <mergeCell ref="A9:A10"/>
    <mergeCell ref="B9:B10"/>
    <mergeCell ref="C9:F9"/>
    <mergeCell ref="A76:F76"/>
    <mergeCell ref="A77:F77"/>
  </mergeCells>
  <pageMargins left="0.7" right="0.7" top="0.75" bottom="0.75" header="0.3" footer="0.3"/>
  <pageSetup scale="45" orientation="portrait" r:id="rId1"/>
  <ignoredErrors>
    <ignoredError sqref="D70:D71 C70:C7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 Trimestre</vt:lpstr>
      <vt:lpstr>II Trimestre</vt:lpstr>
      <vt:lpstr>I Semestre</vt:lpstr>
      <vt:lpstr>III Trimestre</vt:lpstr>
      <vt:lpstr>III T Acumulado</vt:lpstr>
      <vt:lpstr>IV Trimestre</vt:lpstr>
      <vt:lpstr>Anual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Horacio Rodríguez C.</dc:creator>
  <cp:lastModifiedBy>Stephanie Tatiana Salas Soto</cp:lastModifiedBy>
  <cp:lastPrinted>2012-07-30T17:01:50Z</cp:lastPrinted>
  <dcterms:created xsi:type="dcterms:W3CDTF">2012-02-17T20:51:13Z</dcterms:created>
  <dcterms:modified xsi:type="dcterms:W3CDTF">2025-12-31T03:21:02Z</dcterms:modified>
</cp:coreProperties>
</file>