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AD20F6D9-3D3A-4ADF-9526-6B34674EF049}" xr6:coauthVersionLast="47" xr6:coauthVersionMax="47" xr10:uidLastSave="{00000000-0000-0000-0000-000000000000}"/>
  <bookViews>
    <workbookView xWindow="-108" yWindow="-108" windowWidth="23256" windowHeight="13896" tabRatio="647" xr2:uid="{00000000-000D-0000-FFFF-FFFF00000000}"/>
  </bookViews>
  <sheets>
    <sheet name="I Trimestre" sheetId="4" r:id="rId1"/>
    <sheet name="II Trimestre" sheetId="5" r:id="rId2"/>
    <sheet name="I Semestre" sheetId="2" r:id="rId3"/>
    <sheet name="III Trimestre" sheetId="6" r:id="rId4"/>
    <sheet name="III T Acumulado" sheetId="3" r:id="rId5"/>
    <sheet name="IV Trimestre" sheetId="1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G50" i="1"/>
  <c r="G51" i="1"/>
  <c r="B29" i="7" l="1"/>
  <c r="D21" i="2" l="1"/>
  <c r="C21" i="2" s="1"/>
  <c r="H21" i="2"/>
  <c r="G21" i="2"/>
  <c r="F21" i="2"/>
  <c r="E21" i="2"/>
  <c r="F15" i="2"/>
  <c r="E15" i="2"/>
  <c r="D15" i="2"/>
  <c r="F67" i="1" l="1"/>
  <c r="D67" i="1" l="1"/>
  <c r="E67" i="1"/>
  <c r="B34" i="4"/>
  <c r="C17" i="1" l="1"/>
  <c r="D16" i="7"/>
  <c r="D22" i="7"/>
  <c r="E22" i="7"/>
  <c r="C22" i="1"/>
  <c r="E24" i="7"/>
  <c r="D24" i="7"/>
  <c r="C24" i="7" s="1"/>
  <c r="D67" i="7" l="1"/>
  <c r="B22" i="1"/>
  <c r="H23" i="7"/>
  <c r="F46" i="1"/>
  <c r="F45" i="1"/>
  <c r="F46" i="6"/>
  <c r="F45" i="6"/>
  <c r="F46" i="5"/>
  <c r="F45" i="5"/>
  <c r="F45" i="4" l="1"/>
  <c r="B34" i="7"/>
  <c r="B34" i="1"/>
  <c r="B34" i="3"/>
  <c r="B34" i="6"/>
  <c r="B34" i="2"/>
  <c r="B34" i="5"/>
  <c r="H22" i="7" l="1"/>
  <c r="H50" i="7" s="1"/>
  <c r="H51" i="7" s="1"/>
  <c r="G22" i="7"/>
  <c r="F22" i="7"/>
  <c r="C22" i="7"/>
  <c r="F16" i="7"/>
  <c r="F45" i="7" s="1"/>
  <c r="E16" i="7"/>
  <c r="E67" i="7" s="1"/>
  <c r="F67" i="7" l="1"/>
  <c r="B22" i="7"/>
  <c r="C24" i="1"/>
  <c r="C23" i="1"/>
  <c r="C68" i="1" s="1"/>
  <c r="C21" i="1"/>
  <c r="C16" i="1"/>
  <c r="C46" i="1"/>
  <c r="C18" i="1"/>
  <c r="C15" i="1"/>
  <c r="C45" i="1" l="1"/>
  <c r="C67" i="1"/>
  <c r="C70" i="1"/>
  <c r="B28" i="7"/>
  <c r="E24" i="3"/>
  <c r="F24" i="3"/>
  <c r="G24" i="3"/>
  <c r="H24" i="3"/>
  <c r="D24" i="3"/>
  <c r="D21" i="3"/>
  <c r="E21" i="3"/>
  <c r="F21" i="3"/>
  <c r="G21" i="3"/>
  <c r="H21" i="3"/>
  <c r="D22" i="3"/>
  <c r="E22" i="3"/>
  <c r="F22" i="3"/>
  <c r="G22" i="3"/>
  <c r="H22" i="3"/>
  <c r="E23" i="3"/>
  <c r="F23" i="3"/>
  <c r="G23" i="3"/>
  <c r="H23" i="3"/>
  <c r="D15" i="3"/>
  <c r="E15" i="3"/>
  <c r="F15" i="3"/>
  <c r="D16" i="3"/>
  <c r="E16" i="3"/>
  <c r="F16" i="3"/>
  <c r="F45" i="3" s="1"/>
  <c r="D17" i="3"/>
  <c r="E17" i="3"/>
  <c r="F17" i="3"/>
  <c r="F46" i="3" s="1"/>
  <c r="D18" i="3"/>
  <c r="E18" i="3"/>
  <c r="F18" i="3"/>
  <c r="C21" i="6"/>
  <c r="C15" i="6"/>
  <c r="C17" i="6"/>
  <c r="C46" i="6" s="1"/>
  <c r="C18" i="6"/>
  <c r="C21" i="5"/>
  <c r="C15" i="5"/>
  <c r="C21" i="4"/>
  <c r="C15" i="4"/>
  <c r="C24" i="3" l="1"/>
  <c r="C18" i="3"/>
  <c r="C22" i="3"/>
  <c r="C17" i="3"/>
  <c r="C46" i="3" s="1"/>
  <c r="C16" i="3"/>
  <c r="C45" i="3" s="1"/>
  <c r="C21" i="3"/>
  <c r="C15" i="2"/>
  <c r="C15" i="3"/>
  <c r="F46" i="4"/>
  <c r="C16" i="7" l="1"/>
  <c r="C67" i="7" s="1"/>
  <c r="F21" i="7"/>
  <c r="F37" i="7" s="1"/>
  <c r="G21" i="7"/>
  <c r="G37" i="7" s="1"/>
  <c r="H21" i="7"/>
  <c r="H37" i="7" s="1"/>
  <c r="F23" i="7"/>
  <c r="G23" i="7"/>
  <c r="G25" i="7" s="1"/>
  <c r="F24" i="7"/>
  <c r="G24" i="7"/>
  <c r="H24" i="7"/>
  <c r="H55" i="7" s="1"/>
  <c r="H56" i="7" s="1"/>
  <c r="E21" i="7"/>
  <c r="E37" i="7" s="1"/>
  <c r="E23" i="7"/>
  <c r="E25" i="7" s="1"/>
  <c r="E18" i="7"/>
  <c r="F18" i="7"/>
  <c r="E17" i="7"/>
  <c r="E49" i="7" s="1"/>
  <c r="F17" i="7"/>
  <c r="F46" i="7" s="1"/>
  <c r="D17" i="7"/>
  <c r="D15" i="7"/>
  <c r="E15" i="7"/>
  <c r="F15" i="7"/>
  <c r="F25" i="7" l="1"/>
  <c r="F68" i="7"/>
  <c r="F70" i="7"/>
  <c r="B24" i="7"/>
  <c r="C45" i="7"/>
  <c r="B16" i="7"/>
  <c r="E39" i="7"/>
  <c r="E55" i="7"/>
  <c r="F39" i="7"/>
  <c r="C15" i="7"/>
  <c r="F50" i="7"/>
  <c r="G50" i="7"/>
  <c r="G51" i="7" s="1"/>
  <c r="E70" i="7"/>
  <c r="G55" i="7"/>
  <c r="G56" i="7" s="1"/>
  <c r="G38" i="7"/>
  <c r="G63" i="7" s="1"/>
  <c r="F49" i="7"/>
  <c r="E71" i="7"/>
  <c r="E68" i="7"/>
  <c r="E54" i="7"/>
  <c r="D49" i="7"/>
  <c r="C17" i="7"/>
  <c r="B17" i="7" s="1"/>
  <c r="H38" i="7"/>
  <c r="H63" i="7" s="1"/>
  <c r="E38" i="7"/>
  <c r="E40" i="7" s="1"/>
  <c r="F62" i="7"/>
  <c r="F54" i="7"/>
  <c r="E50" i="7"/>
  <c r="E51" i="7" s="1"/>
  <c r="F38" i="7"/>
  <c r="F71" i="7"/>
  <c r="F55" i="7"/>
  <c r="B45" i="7" l="1"/>
  <c r="B67" i="7"/>
  <c r="B46" i="7"/>
  <c r="C46" i="7"/>
  <c r="E56" i="7"/>
  <c r="F51" i="7"/>
  <c r="F69" i="7" s="1"/>
  <c r="C49" i="7"/>
  <c r="E69" i="7"/>
  <c r="F56" i="7"/>
  <c r="F63" i="7"/>
  <c r="F40" i="7"/>
  <c r="F64" i="7" s="1"/>
  <c r="C37" i="1"/>
  <c r="C39" i="1" s="1"/>
  <c r="D37" i="1"/>
  <c r="D39" i="1" s="1"/>
  <c r="E37" i="1"/>
  <c r="E39" i="1" s="1"/>
  <c r="F37" i="1"/>
  <c r="F39" i="1" s="1"/>
  <c r="G37" i="1"/>
  <c r="H37" i="1"/>
  <c r="D38" i="1"/>
  <c r="D40" i="1" s="1"/>
  <c r="E38" i="1"/>
  <c r="E40" i="1" s="1"/>
  <c r="F38" i="1"/>
  <c r="F40" i="1" s="1"/>
  <c r="G38" i="1"/>
  <c r="H38" i="1"/>
  <c r="D49" i="1"/>
  <c r="E49" i="1"/>
  <c r="F49" i="1"/>
  <c r="D50" i="1"/>
  <c r="E50" i="1"/>
  <c r="F50" i="1"/>
  <c r="H50" i="1"/>
  <c r="H51" i="1" s="1"/>
  <c r="D54" i="1"/>
  <c r="E54" i="1"/>
  <c r="F54" i="1"/>
  <c r="D55" i="1"/>
  <c r="E55" i="1"/>
  <c r="F55" i="1"/>
  <c r="G55" i="1"/>
  <c r="G56" i="1" s="1"/>
  <c r="H55" i="1"/>
  <c r="H56" i="1" s="1"/>
  <c r="F62" i="1"/>
  <c r="D68" i="1"/>
  <c r="E68" i="1"/>
  <c r="F68" i="1"/>
  <c r="D70" i="1"/>
  <c r="E70" i="1"/>
  <c r="F70" i="1"/>
  <c r="D71" i="1"/>
  <c r="E71" i="1"/>
  <c r="F71" i="1"/>
  <c r="B21" i="1"/>
  <c r="D25" i="1"/>
  <c r="E25" i="1"/>
  <c r="F25" i="1"/>
  <c r="G25" i="1"/>
  <c r="B24" i="1"/>
  <c r="B15" i="1"/>
  <c r="B18" i="1"/>
  <c r="D37" i="3"/>
  <c r="D39" i="3" s="1"/>
  <c r="E37" i="3"/>
  <c r="E39" i="3" s="1"/>
  <c r="G25" i="3"/>
  <c r="E25" i="3"/>
  <c r="E50" i="3"/>
  <c r="H37" i="3"/>
  <c r="G37" i="3"/>
  <c r="B18" i="3"/>
  <c r="C37" i="6"/>
  <c r="D37" i="6"/>
  <c r="D39" i="6" s="1"/>
  <c r="E37" i="6"/>
  <c r="E39" i="6" s="1"/>
  <c r="F37" i="6"/>
  <c r="F39" i="6" s="1"/>
  <c r="G37" i="6"/>
  <c r="H37" i="6"/>
  <c r="H63" i="6" s="1"/>
  <c r="D38" i="6"/>
  <c r="D40" i="6" s="1"/>
  <c r="E38" i="6"/>
  <c r="E40" i="6" s="1"/>
  <c r="F38" i="6"/>
  <c r="F40" i="6" s="1"/>
  <c r="G38" i="6"/>
  <c r="H38" i="6"/>
  <c r="C39" i="6"/>
  <c r="D49" i="6"/>
  <c r="E49" i="6"/>
  <c r="F49" i="6"/>
  <c r="D50" i="6"/>
  <c r="D51" i="6" s="1"/>
  <c r="E50" i="6"/>
  <c r="F50" i="6"/>
  <c r="D54" i="6"/>
  <c r="E54" i="6"/>
  <c r="F54" i="6"/>
  <c r="D55" i="6"/>
  <c r="D56" i="6" s="1"/>
  <c r="E55" i="6"/>
  <c r="E56" i="6" s="1"/>
  <c r="F55" i="6"/>
  <c r="G55" i="6"/>
  <c r="G56" i="6" s="1"/>
  <c r="H55" i="6"/>
  <c r="H56" i="6" s="1"/>
  <c r="F62" i="6"/>
  <c r="D67" i="6"/>
  <c r="E67" i="6"/>
  <c r="F67" i="6"/>
  <c r="D68" i="6"/>
  <c r="E68" i="6"/>
  <c r="F68" i="6"/>
  <c r="D70" i="6"/>
  <c r="E70" i="6"/>
  <c r="F70" i="6"/>
  <c r="D71" i="6"/>
  <c r="E71" i="6"/>
  <c r="F71" i="6"/>
  <c r="B21" i="6"/>
  <c r="C23" i="6"/>
  <c r="C38" i="6" s="1"/>
  <c r="C24" i="6"/>
  <c r="B24" i="6" s="1"/>
  <c r="C22" i="6"/>
  <c r="G25" i="6"/>
  <c r="F25" i="6"/>
  <c r="E25" i="6"/>
  <c r="D25" i="6"/>
  <c r="B15" i="6"/>
  <c r="B18" i="6"/>
  <c r="C16" i="6"/>
  <c r="C45" i="6" s="1"/>
  <c r="E37" i="2"/>
  <c r="E39" i="2" s="1"/>
  <c r="F37" i="2"/>
  <c r="G37" i="2"/>
  <c r="H37" i="2"/>
  <c r="E22" i="2"/>
  <c r="F22" i="2"/>
  <c r="G22" i="2"/>
  <c r="H22" i="2"/>
  <c r="E23" i="2"/>
  <c r="E25" i="2" s="1"/>
  <c r="F23" i="2"/>
  <c r="F38" i="2" s="1"/>
  <c r="G23" i="2"/>
  <c r="G25" i="2" s="1"/>
  <c r="H23" i="2"/>
  <c r="E24" i="2"/>
  <c r="F24" i="2"/>
  <c r="G24" i="2"/>
  <c r="H24" i="2"/>
  <c r="F16" i="2"/>
  <c r="F45" i="2" s="1"/>
  <c r="F17" i="2"/>
  <c r="F46" i="2" s="1"/>
  <c r="F18" i="2"/>
  <c r="E18" i="2"/>
  <c r="E17" i="2"/>
  <c r="E16" i="2"/>
  <c r="C37" i="5"/>
  <c r="C39" i="5" s="1"/>
  <c r="D37" i="5"/>
  <c r="D39" i="5" s="1"/>
  <c r="E37" i="5"/>
  <c r="E39" i="5" s="1"/>
  <c r="F37" i="5"/>
  <c r="F39" i="5" s="1"/>
  <c r="G37" i="5"/>
  <c r="H37" i="5"/>
  <c r="E38" i="5"/>
  <c r="E40" i="5" s="1"/>
  <c r="F38" i="5"/>
  <c r="F40" i="5" s="1"/>
  <c r="G38" i="5"/>
  <c r="H38" i="5"/>
  <c r="D49" i="5"/>
  <c r="E49" i="5"/>
  <c r="F49" i="5"/>
  <c r="E50" i="5"/>
  <c r="F50" i="5"/>
  <c r="D54" i="5"/>
  <c r="E54" i="5"/>
  <c r="F54" i="5"/>
  <c r="E55" i="5"/>
  <c r="F55" i="5"/>
  <c r="G55" i="5"/>
  <c r="G56" i="5" s="1"/>
  <c r="H55" i="5"/>
  <c r="H56" i="5" s="1"/>
  <c r="F62" i="5"/>
  <c r="E67" i="5"/>
  <c r="F67" i="5"/>
  <c r="E68" i="5"/>
  <c r="F68" i="5"/>
  <c r="E70" i="5"/>
  <c r="F70" i="5"/>
  <c r="E71" i="5"/>
  <c r="F71" i="5"/>
  <c r="G25" i="5"/>
  <c r="F25" i="5"/>
  <c r="E25" i="5"/>
  <c r="B21" i="5"/>
  <c r="C24" i="5"/>
  <c r="B24" i="5" s="1"/>
  <c r="C22" i="5"/>
  <c r="B22" i="5" s="1"/>
  <c r="B15" i="5"/>
  <c r="C17" i="5"/>
  <c r="C18" i="5"/>
  <c r="B18" i="5" s="1"/>
  <c r="C16" i="5"/>
  <c r="C45" i="5" s="1"/>
  <c r="C37" i="4"/>
  <c r="C39" i="4" s="1"/>
  <c r="D37" i="4"/>
  <c r="D39" i="4" s="1"/>
  <c r="E37" i="4"/>
  <c r="E39" i="4" s="1"/>
  <c r="F37" i="4"/>
  <c r="F39" i="4" s="1"/>
  <c r="G37" i="4"/>
  <c r="H37" i="4"/>
  <c r="D38" i="4"/>
  <c r="D40" i="4" s="1"/>
  <c r="E38" i="4"/>
  <c r="E40" i="4" s="1"/>
  <c r="F38" i="4"/>
  <c r="F40" i="4" s="1"/>
  <c r="G38" i="4"/>
  <c r="H38" i="4"/>
  <c r="D67" i="4"/>
  <c r="E67" i="4"/>
  <c r="F67" i="4"/>
  <c r="D68" i="4"/>
  <c r="E68" i="4"/>
  <c r="F68" i="4"/>
  <c r="D70" i="4"/>
  <c r="E70" i="4"/>
  <c r="F70" i="4"/>
  <c r="D71" i="4"/>
  <c r="E71" i="4"/>
  <c r="F71" i="4"/>
  <c r="F62" i="4"/>
  <c r="D54" i="4"/>
  <c r="E54" i="4"/>
  <c r="F54" i="4"/>
  <c r="D55" i="4"/>
  <c r="E55" i="4"/>
  <c r="F55" i="4"/>
  <c r="G55" i="4"/>
  <c r="G56" i="4" s="1"/>
  <c r="H55" i="4"/>
  <c r="H56" i="4" s="1"/>
  <c r="D49" i="4"/>
  <c r="E49" i="4"/>
  <c r="F49" i="4"/>
  <c r="D50" i="4"/>
  <c r="E50" i="4"/>
  <c r="F50" i="4"/>
  <c r="B21" i="4"/>
  <c r="C23" i="4"/>
  <c r="C38" i="4" s="1"/>
  <c r="C24" i="4"/>
  <c r="B24" i="4" s="1"/>
  <c r="C22" i="4"/>
  <c r="B22" i="4" s="1"/>
  <c r="G25" i="4"/>
  <c r="F25" i="4"/>
  <c r="E25" i="4"/>
  <c r="D25" i="4"/>
  <c r="B15" i="4"/>
  <c r="C17" i="4"/>
  <c r="C46" i="4" s="1"/>
  <c r="C18" i="4"/>
  <c r="B18" i="4" s="1"/>
  <c r="C16" i="4"/>
  <c r="C45" i="4" s="1"/>
  <c r="F51" i="6" l="1"/>
  <c r="F56" i="6"/>
  <c r="E51" i="6"/>
  <c r="F51" i="5"/>
  <c r="F69" i="5" s="1"/>
  <c r="E56" i="5"/>
  <c r="E56" i="4"/>
  <c r="H63" i="4"/>
  <c r="F63" i="6"/>
  <c r="F63" i="2"/>
  <c r="F25" i="2"/>
  <c r="C49" i="5"/>
  <c r="C46" i="5"/>
  <c r="E51" i="5"/>
  <c r="E69" i="5" s="1"/>
  <c r="G63" i="6"/>
  <c r="D69" i="6"/>
  <c r="G63" i="4"/>
  <c r="E51" i="4"/>
  <c r="E69" i="4" s="1"/>
  <c r="E69" i="6"/>
  <c r="F69" i="6"/>
  <c r="C67" i="6"/>
  <c r="F63" i="5"/>
  <c r="F56" i="5"/>
  <c r="G63" i="5"/>
  <c r="H63" i="5"/>
  <c r="F56" i="4"/>
  <c r="D56" i="4"/>
  <c r="F63" i="1"/>
  <c r="D56" i="1"/>
  <c r="F51" i="1"/>
  <c r="F69" i="1" s="1"/>
  <c r="E55" i="3"/>
  <c r="G55" i="3"/>
  <c r="G56" i="3" s="1"/>
  <c r="G38" i="3"/>
  <c r="G63" i="3" s="1"/>
  <c r="F64" i="6"/>
  <c r="B23" i="6"/>
  <c r="C40" i="6"/>
  <c r="C64" i="6" s="1"/>
  <c r="C63" i="6"/>
  <c r="B16" i="6"/>
  <c r="B45" i="6" s="1"/>
  <c r="B17" i="6"/>
  <c r="B46" i="6" s="1"/>
  <c r="B22" i="6"/>
  <c r="C71" i="6"/>
  <c r="C70" i="6"/>
  <c r="C68" i="6"/>
  <c r="C62" i="6"/>
  <c r="C55" i="6"/>
  <c r="C54" i="6"/>
  <c r="C50" i="6"/>
  <c r="C49" i="6"/>
  <c r="F64" i="5"/>
  <c r="B16" i="5"/>
  <c r="B45" i="5" s="1"/>
  <c r="H55" i="2"/>
  <c r="H56" i="2" s="1"/>
  <c r="H38" i="2"/>
  <c r="H63" i="2" s="1"/>
  <c r="B17" i="5"/>
  <c r="C62" i="5"/>
  <c r="C54" i="5"/>
  <c r="F63" i="4"/>
  <c r="F39" i="2"/>
  <c r="F55" i="2"/>
  <c r="F50" i="2"/>
  <c r="F70" i="2"/>
  <c r="F51" i="4"/>
  <c r="F69" i="4" s="1"/>
  <c r="D51" i="4"/>
  <c r="D69" i="4" s="1"/>
  <c r="F67" i="2"/>
  <c r="F64" i="4"/>
  <c r="C62" i="4"/>
  <c r="C54" i="4"/>
  <c r="C49" i="4"/>
  <c r="B16" i="4"/>
  <c r="B45" i="4" s="1"/>
  <c r="C67" i="4"/>
  <c r="C40" i="4"/>
  <c r="C64" i="4" s="1"/>
  <c r="C63" i="4"/>
  <c r="F40" i="2"/>
  <c r="F49" i="2"/>
  <c r="F54" i="2"/>
  <c r="F62" i="2"/>
  <c r="F71" i="2"/>
  <c r="F68" i="2"/>
  <c r="B17" i="4"/>
  <c r="B46" i="4" s="1"/>
  <c r="E49" i="2"/>
  <c r="G38" i="2"/>
  <c r="G63" i="2" s="1"/>
  <c r="G55" i="2"/>
  <c r="G56" i="2" s="1"/>
  <c r="E38" i="2"/>
  <c r="E40" i="2" s="1"/>
  <c r="E50" i="2"/>
  <c r="E55" i="2"/>
  <c r="E68" i="2"/>
  <c r="E71" i="2"/>
  <c r="E67" i="2"/>
  <c r="E70" i="2"/>
  <c r="B23" i="4"/>
  <c r="C50" i="4"/>
  <c r="C55" i="4"/>
  <c r="C71" i="4"/>
  <c r="C70" i="4"/>
  <c r="C68" i="4"/>
  <c r="E54" i="2"/>
  <c r="E56" i="1"/>
  <c r="D51" i="1"/>
  <c r="D69" i="1" s="1"/>
  <c r="E70" i="3"/>
  <c r="D67" i="3"/>
  <c r="F67" i="3"/>
  <c r="B24" i="3"/>
  <c r="E68" i="3"/>
  <c r="E38" i="3"/>
  <c r="E40" i="3" s="1"/>
  <c r="H63" i="1"/>
  <c r="C50" i="1"/>
  <c r="F56" i="1"/>
  <c r="E51" i="1"/>
  <c r="E69" i="1" s="1"/>
  <c r="B16" i="1"/>
  <c r="G63" i="1"/>
  <c r="C38" i="1"/>
  <c r="C63" i="1" s="1"/>
  <c r="B23" i="1"/>
  <c r="C55" i="1"/>
  <c r="B17" i="1"/>
  <c r="B46" i="1" s="1"/>
  <c r="C71" i="1"/>
  <c r="C62" i="1"/>
  <c r="C54" i="1"/>
  <c r="C49" i="1"/>
  <c r="E49" i="3"/>
  <c r="E51" i="3" s="1"/>
  <c r="E54" i="3"/>
  <c r="F37" i="3"/>
  <c r="F39" i="3" s="1"/>
  <c r="F25" i="3"/>
  <c r="F38" i="3"/>
  <c r="F50" i="3"/>
  <c r="F55" i="3"/>
  <c r="F68" i="3"/>
  <c r="F71" i="3"/>
  <c r="H38" i="3"/>
  <c r="H55" i="3"/>
  <c r="H56" i="3" s="1"/>
  <c r="E71" i="3"/>
  <c r="E67" i="3"/>
  <c r="F70" i="3"/>
  <c r="D70" i="3"/>
  <c r="F62" i="3"/>
  <c r="F54" i="3"/>
  <c r="D54" i="3"/>
  <c r="F49" i="3"/>
  <c r="D49" i="3"/>
  <c r="C67" i="5"/>
  <c r="D67" i="5"/>
  <c r="C70" i="5"/>
  <c r="D70" i="5"/>
  <c r="B68" i="1" l="1"/>
  <c r="B45" i="1"/>
  <c r="B67" i="1"/>
  <c r="C51" i="1"/>
  <c r="C69" i="1" s="1"/>
  <c r="F64" i="2"/>
  <c r="B49" i="5"/>
  <c r="B46" i="5"/>
  <c r="E56" i="3"/>
  <c r="E69" i="3"/>
  <c r="C51" i="6"/>
  <c r="C69" i="6" s="1"/>
  <c r="C56" i="6"/>
  <c r="F51" i="2"/>
  <c r="F69" i="2" s="1"/>
  <c r="E56" i="2"/>
  <c r="F56" i="2"/>
  <c r="C51" i="4"/>
  <c r="C69" i="4" s="1"/>
  <c r="E51" i="2"/>
  <c r="E69" i="2" s="1"/>
  <c r="C56" i="4"/>
  <c r="F56" i="3"/>
  <c r="C40" i="1"/>
  <c r="C64" i="1" s="1"/>
  <c r="C56" i="1"/>
  <c r="C70" i="3"/>
  <c r="C67" i="3"/>
  <c r="B22" i="3"/>
  <c r="H63" i="3"/>
  <c r="B16" i="3"/>
  <c r="B45" i="3" s="1"/>
  <c r="F51" i="3"/>
  <c r="F69" i="3" s="1"/>
  <c r="C49" i="3"/>
  <c r="C54" i="3"/>
  <c r="B17" i="3"/>
  <c r="B46" i="3" s="1"/>
  <c r="F40" i="3"/>
  <c r="F64" i="3" s="1"/>
  <c r="F63" i="3"/>
  <c r="D16" i="2" l="1"/>
  <c r="C16" i="2" s="1"/>
  <c r="C45" i="2" s="1"/>
  <c r="D17" i="2"/>
  <c r="D18" i="2"/>
  <c r="C18" i="2" s="1"/>
  <c r="B18" i="2" s="1"/>
  <c r="D22" i="2"/>
  <c r="D24" i="2"/>
  <c r="C24" i="2" s="1"/>
  <c r="B24" i="2" s="1"/>
  <c r="B37" i="1"/>
  <c r="B37" i="6"/>
  <c r="D37" i="2" l="1"/>
  <c r="D39" i="2" s="1"/>
  <c r="C17" i="2"/>
  <c r="C46" i="2" s="1"/>
  <c r="D49" i="2"/>
  <c r="D54" i="2"/>
  <c r="C22" i="2"/>
  <c r="D67" i="2"/>
  <c r="D70" i="2"/>
  <c r="B16" i="2"/>
  <c r="B45" i="2" s="1"/>
  <c r="B55" i="6"/>
  <c r="B50" i="6"/>
  <c r="B54" i="6"/>
  <c r="B39" i="1"/>
  <c r="B71" i="1"/>
  <c r="B75" i="1"/>
  <c r="B38" i="1"/>
  <c r="B40" i="1" s="1"/>
  <c r="B62" i="1"/>
  <c r="B55" i="1"/>
  <c r="B50" i="1"/>
  <c r="B54" i="1"/>
  <c r="B62" i="6"/>
  <c r="B39" i="6"/>
  <c r="B71" i="6"/>
  <c r="B75" i="6"/>
  <c r="B38" i="6"/>
  <c r="B40" i="6" s="1"/>
  <c r="B68" i="6"/>
  <c r="B49" i="1"/>
  <c r="B70" i="1"/>
  <c r="B67" i="6"/>
  <c r="B49" i="6"/>
  <c r="B70" i="6"/>
  <c r="B37" i="5"/>
  <c r="B37" i="4"/>
  <c r="B54" i="4"/>
  <c r="B56" i="1" l="1"/>
  <c r="B56" i="6"/>
  <c r="C67" i="2"/>
  <c r="C70" i="2"/>
  <c r="B22" i="2"/>
  <c r="C49" i="2"/>
  <c r="C54" i="2"/>
  <c r="B17" i="2"/>
  <c r="B46" i="2" s="1"/>
  <c r="B51" i="6"/>
  <c r="B69" i="6" s="1"/>
  <c r="B64" i="6"/>
  <c r="B54" i="5"/>
  <c r="B55" i="4"/>
  <c r="B56" i="4" s="1"/>
  <c r="B50" i="4"/>
  <c r="B64" i="1"/>
  <c r="B51" i="1"/>
  <c r="B69" i="1" s="1"/>
  <c r="B63" i="1"/>
  <c r="B63" i="6"/>
  <c r="B62" i="5"/>
  <c r="B39" i="5"/>
  <c r="B39" i="4"/>
  <c r="B62" i="4"/>
  <c r="B68" i="4"/>
  <c r="B75" i="4"/>
  <c r="B38" i="4"/>
  <c r="B40" i="4" s="1"/>
  <c r="B71" i="4"/>
  <c r="B67" i="5"/>
  <c r="B70" i="5"/>
  <c r="B70" i="4"/>
  <c r="B67" i="4"/>
  <c r="B49" i="4"/>
  <c r="B51" i="4" l="1"/>
  <c r="B69" i="4" s="1"/>
  <c r="B63" i="4"/>
  <c r="B64" i="4"/>
  <c r="C25" i="4" l="1"/>
  <c r="B25" i="4" l="1"/>
  <c r="B59" i="4" s="1"/>
  <c r="D18" i="7"/>
  <c r="C18" i="7" l="1"/>
  <c r="D54" i="7"/>
  <c r="B15" i="7"/>
  <c r="C62" i="7"/>
  <c r="B15" i="3"/>
  <c r="C62" i="3"/>
  <c r="B54" i="3"/>
  <c r="B18" i="7" l="1"/>
  <c r="B54" i="7" s="1"/>
  <c r="C54" i="7"/>
  <c r="B15" i="2"/>
  <c r="C62" i="2"/>
  <c r="B62" i="3"/>
  <c r="B62" i="7"/>
  <c r="B49" i="7"/>
  <c r="B49" i="3"/>
  <c r="B28" i="4"/>
  <c r="B74" i="4" s="1"/>
  <c r="C25" i="6"/>
  <c r="C25" i="1"/>
  <c r="B25" i="6" l="1"/>
  <c r="B59" i="6" s="1"/>
  <c r="C37" i="2"/>
  <c r="B21" i="2"/>
  <c r="C37" i="3"/>
  <c r="B21" i="3"/>
  <c r="B25" i="1"/>
  <c r="B59" i="1" s="1"/>
  <c r="B62" i="2"/>
  <c r="B49" i="2"/>
  <c r="B54" i="2"/>
  <c r="C39" i="3" l="1"/>
  <c r="C39" i="2"/>
  <c r="D21" i="7"/>
  <c r="D37" i="7" l="1"/>
  <c r="D39" i="7" s="1"/>
  <c r="C21" i="7"/>
  <c r="D70" i="7"/>
  <c r="B37" i="2"/>
  <c r="B37" i="3"/>
  <c r="C37" i="7" l="1"/>
  <c r="C39" i="7" s="1"/>
  <c r="B21" i="7"/>
  <c r="B37" i="7" s="1"/>
  <c r="B39" i="7" s="1"/>
  <c r="B70" i="7"/>
  <c r="C70" i="7"/>
  <c r="B39" i="2"/>
  <c r="B39" i="3"/>
  <c r="B70" i="2"/>
  <c r="B67" i="2"/>
  <c r="B70" i="3"/>
  <c r="B67" i="3"/>
  <c r="B29" i="3"/>
  <c r="B29" i="2"/>
  <c r="B28" i="2" l="1"/>
  <c r="B74" i="2" s="1"/>
  <c r="B74" i="7"/>
  <c r="B28" i="1" l="1"/>
  <c r="B74" i="1" s="1"/>
  <c r="B28" i="3" l="1"/>
  <c r="B74" i="3" s="1"/>
  <c r="B28" i="6" l="1"/>
  <c r="B74" i="6" s="1"/>
  <c r="B28" i="5"/>
  <c r="B74" i="5" s="1"/>
  <c r="D23" i="7"/>
  <c r="D38" i="7" s="1"/>
  <c r="D40" i="7" s="1"/>
  <c r="C25" i="5"/>
  <c r="B25" i="5" s="1"/>
  <c r="D23" i="2"/>
  <c r="D50" i="2" s="1"/>
  <c r="D51" i="2" s="1"/>
  <c r="D68" i="5"/>
  <c r="D51" i="5"/>
  <c r="D50" i="5"/>
  <c r="D56" i="5"/>
  <c r="D55" i="5"/>
  <c r="C71" i="5"/>
  <c r="D23" i="3"/>
  <c r="D55" i="3" s="1"/>
  <c r="D56" i="3" s="1"/>
  <c r="D71" i="5"/>
  <c r="D38" i="5"/>
  <c r="D40" i="5" s="1"/>
  <c r="D25" i="5"/>
  <c r="C23" i="5"/>
  <c r="C68" i="5" s="1"/>
  <c r="B23" i="5"/>
  <c r="B50" i="5" s="1"/>
  <c r="B51" i="5" s="1"/>
  <c r="B59" i="5" l="1"/>
  <c r="B68" i="5"/>
  <c r="D38" i="3"/>
  <c r="D40" i="3" s="1"/>
  <c r="D55" i="7"/>
  <c r="D56" i="7" s="1"/>
  <c r="B69" i="5"/>
  <c r="C23" i="7"/>
  <c r="B23" i="7" s="1"/>
  <c r="B38" i="7" s="1"/>
  <c r="D50" i="3"/>
  <c r="D51" i="3" s="1"/>
  <c r="D69" i="5"/>
  <c r="B75" i="5"/>
  <c r="D25" i="2"/>
  <c r="D68" i="7"/>
  <c r="C23" i="3"/>
  <c r="C68" i="3" s="1"/>
  <c r="C38" i="5"/>
  <c r="D68" i="2"/>
  <c r="D69" i="2" s="1"/>
  <c r="D25" i="7"/>
  <c r="C25" i="7" s="1"/>
  <c r="B25" i="7" s="1"/>
  <c r="B71" i="5"/>
  <c r="D71" i="3"/>
  <c r="D68" i="3"/>
  <c r="D38" i="2"/>
  <c r="D40" i="2" s="1"/>
  <c r="C23" i="2"/>
  <c r="D50" i="7"/>
  <c r="D51" i="7" s="1"/>
  <c r="D69" i="7" s="1"/>
  <c r="C38" i="3"/>
  <c r="D55" i="2"/>
  <c r="D56" i="2" s="1"/>
  <c r="B38" i="5"/>
  <c r="D25" i="3"/>
  <c r="C50" i="5"/>
  <c r="C51" i="5" s="1"/>
  <c r="C69" i="5" s="1"/>
  <c r="C55" i="5"/>
  <c r="C56" i="5" s="1"/>
  <c r="C50" i="3"/>
  <c r="C51" i="3" s="1"/>
  <c r="C69" i="3" s="1"/>
  <c r="D71" i="2"/>
  <c r="D71" i="7"/>
  <c r="B55" i="5"/>
  <c r="B56" i="5" s="1"/>
  <c r="B68" i="7" l="1"/>
  <c r="B55" i="7"/>
  <c r="B56" i="7" s="1"/>
  <c r="C71" i="7"/>
  <c r="C71" i="3"/>
  <c r="B23" i="3"/>
  <c r="B38" i="3" s="1"/>
  <c r="C25" i="3"/>
  <c r="B25" i="3" s="1"/>
  <c r="B59" i="3" s="1"/>
  <c r="D69" i="3"/>
  <c r="B75" i="7"/>
  <c r="B71" i="7"/>
  <c r="B59" i="7"/>
  <c r="C55" i="7"/>
  <c r="C56" i="7" s="1"/>
  <c r="C50" i="7"/>
  <c r="C51" i="7" s="1"/>
  <c r="C63" i="5"/>
  <c r="C40" i="5"/>
  <c r="C64" i="5" s="1"/>
  <c r="B50" i="7"/>
  <c r="B51" i="7" s="1"/>
  <c r="B69" i="7" s="1"/>
  <c r="C38" i="7"/>
  <c r="C63" i="7" s="1"/>
  <c r="C68" i="7"/>
  <c r="C55" i="3"/>
  <c r="C56" i="3" s="1"/>
  <c r="B63" i="5"/>
  <c r="B40" i="5"/>
  <c r="B64" i="5" s="1"/>
  <c r="B63" i="7"/>
  <c r="B40" i="7"/>
  <c r="B64" i="7" s="1"/>
  <c r="C40" i="3"/>
  <c r="C64" i="3" s="1"/>
  <c r="C63" i="3"/>
  <c r="C55" i="2"/>
  <c r="C56" i="2" s="1"/>
  <c r="B23" i="2"/>
  <c r="C38" i="2"/>
  <c r="C68" i="2"/>
  <c r="C71" i="2"/>
  <c r="C25" i="2"/>
  <c r="B25" i="2" s="1"/>
  <c r="C50" i="2"/>
  <c r="C51" i="2" s="1"/>
  <c r="B68" i="3"/>
  <c r="B50" i="3" l="1"/>
  <c r="B51" i="3" s="1"/>
  <c r="B71" i="3"/>
  <c r="B55" i="3"/>
  <c r="B56" i="3" s="1"/>
  <c r="B75" i="3"/>
  <c r="C40" i="7"/>
  <c r="C64" i="7" s="1"/>
  <c r="C69" i="7"/>
  <c r="B59" i="2"/>
  <c r="C69" i="2"/>
  <c r="B63" i="3"/>
  <c r="B40" i="3"/>
  <c r="B64" i="3" s="1"/>
  <c r="C63" i="2"/>
  <c r="C40" i="2"/>
  <c r="C64" i="2" s="1"/>
  <c r="B71" i="2"/>
  <c r="B38" i="2"/>
  <c r="B55" i="2"/>
  <c r="B56" i="2" s="1"/>
  <c r="B75" i="2"/>
  <c r="B68" i="2"/>
  <c r="B50" i="2"/>
  <c r="B51" i="2" s="1"/>
  <c r="B69" i="3"/>
  <c r="B40" i="2" l="1"/>
  <c r="B64" i="2" s="1"/>
  <c r="B63" i="2"/>
  <c r="B69" i="2"/>
</calcChain>
</file>

<file path=xl/sharedStrings.xml><?xml version="1.0" encoding="utf-8"?>
<sst xmlns="http://schemas.openxmlformats.org/spreadsheetml/2006/main" count="449" uniqueCount="124">
  <si>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</si>
  <si>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</si>
  <si>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</si>
  <si>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</si>
  <si>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</si>
  <si>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</si>
  <si>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</si>
  <si>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</si>
  <si>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</si>
  <si>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</si>
  <si>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</si>
  <si>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</si>
  <si>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</si>
  <si>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</si>
  <si>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</si>
  <si>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</si>
  <si>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</si>
  <si>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</si>
  <si>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</si>
  <si>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</si>
  <si>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</si>
  <si>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</si>
  <si>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</si>
  <si>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</si>
  <si>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</si>
  <si>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</si>
  <si>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</si>
  <si>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</si>
  <si>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</si>
  <si>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</si>
  <si>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</si>
  <si>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</si>
  <si>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</si>
  <si>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</si>
  <si>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</si>
  <si>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</si>
  <si>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</si>
  <si>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</si>
  <si>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</si>
  <si>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 xml:space="preserve">Gasto programado anual por beneficiario (GPB) </t>
  </si>
  <si>
    <t xml:space="preserve">Gasto efectivo anual por beneficiario (GEB) </t>
  </si>
  <si>
    <t xml:space="preserve">Beneficiarios: personas (promedio mensual) </t>
  </si>
  <si>
    <t>Pensión Especial</t>
  </si>
  <si>
    <t xml:space="preserve">Servicios Médicos </t>
  </si>
  <si>
    <t xml:space="preserve">Gastos Administrativos </t>
  </si>
  <si>
    <t xml:space="preserve">Productos </t>
  </si>
  <si>
    <t>Total Pensión Ordinaria</t>
  </si>
  <si>
    <t>Pensiones ordinarias para adultos mayores (65 o más años)</t>
  </si>
  <si>
    <t>Pensiones ordinarias para otros beneficiarios</t>
  </si>
  <si>
    <t>n.d.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</si>
  <si>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</si>
  <si>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</si>
  <si>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</si>
  <si>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</si>
  <si>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</si>
  <si>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</si>
  <si>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</si>
  <si>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</si>
  <si>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</si>
  <si>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</si>
  <si>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</si>
  <si>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</si>
  <si>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</si>
  <si>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</si>
  <si>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</si>
  <si>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</si>
  <si>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</si>
  <si>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IPC (3 TA 2022)</t>
  </si>
  <si>
    <t>Gasto efectivo real 3 TA 2022</t>
  </si>
  <si>
    <t>Gasto efectivo real por beneficiario 3 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</si>
  <si>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</si>
  <si>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</si>
  <si>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</si>
  <si>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</si>
  <si>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</si>
  <si>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</si>
  <si>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</si>
  <si>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</si>
  <si>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>Nota</t>
    </r>
    <r>
      <rPr>
        <sz val="11"/>
        <color theme="1"/>
        <rFont val="Palatino Linotype"/>
        <family val="1"/>
      </rPr>
      <t xml:space="preserve">: El gasto mensual programado por beneficiario no es congruente con el dato del Cronograma de metas e inversión debido a que en el cronograma no se consideró el monto del "aguinaldo" y "Judiciales y reconocimientos de pensiones pagados por planilla" al cálcular ese dato. </t>
    </r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</si>
  <si>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</si>
  <si>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</si>
  <si>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</si>
  <si>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</si>
  <si>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</si>
  <si>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</si>
  <si>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</si>
  <si>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RNC 2022 y 2023 - Cronogramas de Metas e Inversión - Modificaciones 2023 - IPC, INEC 2022 y 2023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</si>
  <si>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</si>
  <si>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</si>
  <si>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</si>
  <si>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</si>
  <si>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</si>
  <si>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</si>
  <si>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</si>
  <si>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</si>
  <si>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</si>
  <si>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</si>
  <si>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</si>
  <si>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</si>
  <si>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</si>
  <si>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</si>
  <si>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</si>
  <si>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</si>
  <si>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</si>
  <si>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</si>
  <si>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 TA 2023</t>
  </si>
  <si>
    <t>Efectivos 3 TA 2023</t>
  </si>
  <si>
    <t>En transferencias 3 TA 2023</t>
  </si>
  <si>
    <t>IPC (3 TA 2023)</t>
  </si>
  <si>
    <t>Gasto efectivo real 3 TA 2023</t>
  </si>
  <si>
    <t>Gasto efectivo real por beneficiario 3 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</si>
  <si>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</si>
  <si>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</si>
  <si>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</si>
  <si>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</si>
  <si>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</si>
  <si>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</si>
  <si>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</si>
  <si>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</si>
  <si>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</si>
  <si>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</si>
  <si>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</si>
  <si>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</si>
  <si>
    <r>
      <rPr>
        <b/>
        <sz val="11"/>
        <color theme="1"/>
        <rFont val="Palatino Linotype"/>
        <family val="1"/>
      </rPr>
      <t>Nota</t>
    </r>
    <r>
      <rPr>
        <sz val="11"/>
        <color theme="1"/>
        <rFont val="Palatino Linotype"/>
        <family val="1"/>
      </rPr>
      <t xml:space="preserve">: El gasto mensual programado por beneficiario no es congruente con el dato del Cronograma de metas e inversión debido a que en el cronograma no se consideró el monto del "aguinaldo" y "Judiciales y reconocimientos de pensiones pagados por planilla" al calcular ese dato.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</si>
</sst>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___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64" fontId="0" fillId="0" borderId="0" xfId="1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0" fontId="4" fillId="0" borderId="3" xfId="0" applyFont="1" applyFill="1" applyBorder="1"/>
    <xf numFmtId="166" fontId="5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" fontId="4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4071B9"/>
      <color rgb="FFA2BFE6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cobertura potencial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(Anual!$B$45,Anual!$C$45,Anual!$F$45)</c:f>
              <c:numCache>
                <c:formatCode>#,##0.00</c:formatCode>
                <c:ptCount val="3"/>
                <c:pt idx="0">
                  <c:v>86.423263020770108</c:v>
                </c:pt>
                <c:pt idx="1">
                  <c:v>93.105996406901454</c:v>
                </c:pt>
                <c:pt idx="2">
                  <c:v>29.388223495149372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F-4D9D-908D-1B7850383094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(Anual!$B$46,Anual!$C$46,Anual!$F$46)</c:f>
              <c:numCache>
                <c:formatCode>#,##0.00</c:formatCode>
                <c:ptCount val="3"/>
                <c:pt idx="0">
                  <c:v>87.573377106747259</c:v>
                </c:pt>
                <c:pt idx="1">
                  <c:v>94.400246319333789</c:v>
                </c:pt>
                <c:pt idx="2">
                  <c:v>29.308183378657255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F-4D9D-908D-1B785038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87968"/>
        <c:axId val="53875072"/>
        <c:axId val="0"/>
      </c:bar3DChart>
      <c:catAx>
        <c:axId val="53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75072"/>
        <c:crosses val="autoZero"/>
        <c:auto val="1"/>
        <c:lblAlgn val="ctr"/>
        <c:lblOffset val="100"/>
        <c:noMultiLvlLbl val="0"/>
      </c:catAx>
      <c:valAx>
        <c:axId val="53875072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87968"/>
        <c:crosses val="autoZero"/>
        <c:crossBetween val="between"/>
        <c:majorUnit val="3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resultado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101.33079224942101</c:v>
                </c:pt>
                <c:pt idx="1">
                  <c:v>101.39008223141298</c:v>
                </c:pt>
                <c:pt idx="2">
                  <c:v>121.95084870736508</c:v>
                </c:pt>
                <c:pt idx="3">
                  <c:v>65.05973727686667</c:v>
                </c:pt>
                <c:pt idx="4">
                  <c:v>99.727645611156689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A96-9D6B-3CE9D5C43B09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334580833876983E-3"/>
                  <c:y val="-4.153384422308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DB6-9976-C2FFC46B4C18}"/>
                </c:ext>
              </c:extLst>
            </c:dLbl>
            <c:dLbl>
              <c:idx val="1"/>
              <c:layout>
                <c:manualLayout>
                  <c:x val="2.066916166775359E-3"/>
                  <c:y val="-4.1489379189987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DB6-9976-C2FFC46B4C18}"/>
                </c:ext>
              </c:extLst>
            </c:dLbl>
            <c:dLbl>
              <c:idx val="2"/>
              <c:layout>
                <c:manualLayout>
                  <c:x val="4.1338323335507934E-3"/>
                  <c:y val="-3.80006257442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DB6-9976-C2FFC46B4C18}"/>
                </c:ext>
              </c:extLst>
            </c:dLbl>
            <c:dLbl>
              <c:idx val="4"/>
              <c:layout>
                <c:manualLayout>
                  <c:x val="2.0669161667754726E-3"/>
                  <c:y val="-4.488974153958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DB6-9976-C2FFC46B4C18}"/>
                </c:ext>
              </c:extLst>
            </c:dLbl>
            <c:dLbl>
              <c:idx val="5"/>
              <c:layout>
                <c:manualLayout>
                  <c:x val="-1.0334580833876984E-2"/>
                  <c:y val="-6.274437743802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30-4C39-AEAE-F6DFB10EC3FE}"/>
                </c:ext>
              </c:extLst>
            </c:dLbl>
            <c:dLbl>
              <c:idx val="6"/>
              <c:layout>
                <c:manualLayout>
                  <c:x val="-1.5501871250815476E-2"/>
                  <c:y val="3.4224601236235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30-4C39-AEAE-F6DFB10EC3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111.71823212542094</c:v>
                </c:pt>
                <c:pt idx="1">
                  <c:v>105.19456487661844</c:v>
                </c:pt>
                <c:pt idx="2">
                  <c:v>125.26925105491972</c:v>
                </c:pt>
                <c:pt idx="3">
                  <c:v>67.149316996696299</c:v>
                </c:pt>
                <c:pt idx="4">
                  <c:v>43.641865447689717</c:v>
                </c:pt>
                <c:pt idx="5">
                  <c:v>1048.8402558439152</c:v>
                </c:pt>
                <c:pt idx="6">
                  <c:v>1648.2631273398069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4-4A96-9D6B-3CE9D5C43B09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106.52451218742098</c:v>
                </c:pt>
                <c:pt idx="1">
                  <c:v>103.29232355401571</c:v>
                </c:pt>
                <c:pt idx="2">
                  <c:v>123.6100498811424</c:v>
                </c:pt>
                <c:pt idx="3">
                  <c:v>66.104527136781485</c:v>
                </c:pt>
                <c:pt idx="4">
                  <c:v>71.6847555294232</c:v>
                </c:pt>
                <c:pt idx="5">
                  <c:v>1048.8402558439152</c:v>
                </c:pt>
                <c:pt idx="6">
                  <c:v>1648.2631273398069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4-4A96-9D6B-3CE9D5C4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14240"/>
        <c:axId val="53932416"/>
        <c:axId val="0"/>
      </c:bar3DChart>
      <c:catAx>
        <c:axId val="539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32416"/>
        <c:crosses val="autoZero"/>
        <c:auto val="1"/>
        <c:lblAlgn val="ctr"/>
        <c:lblOffset val="100"/>
        <c:noMultiLvlLbl val="0"/>
      </c:catAx>
      <c:valAx>
        <c:axId val="53932416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14240"/>
        <c:crosses val="autoZero"/>
        <c:crossBetween val="between"/>
        <c:majorUnit val="500"/>
      </c:valAx>
      <c:spPr>
        <a:ln>
          <a:solidFill>
            <a:srgbClr val="C1C5C8"/>
          </a:solidFill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avance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50-4E04-969F-C2B38EB0DE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101.33079224942101</c:v>
                </c:pt>
                <c:pt idx="1">
                  <c:v>101.39008223141298</c:v>
                </c:pt>
                <c:pt idx="2">
                  <c:v>121.95084870736508</c:v>
                </c:pt>
                <c:pt idx="3">
                  <c:v>65.05973727686667</c:v>
                </c:pt>
                <c:pt idx="4">
                  <c:v>99.727645611156689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1-4319-AE32-F5EE4F6E5E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3.76900555449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8-4DB0-BB01-E7DA16E35105}"/>
                </c:ext>
              </c:extLst>
            </c:dLbl>
            <c:dLbl>
              <c:idx val="1"/>
              <c:layout>
                <c:manualLayout>
                  <c:x val="0"/>
                  <c:y val="-4.4542792916751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8-4DB0-BB01-E7DA16E35105}"/>
                </c:ext>
              </c:extLst>
            </c:dLbl>
            <c:dLbl>
              <c:idx val="2"/>
              <c:layout>
                <c:manualLayout>
                  <c:x val="0"/>
                  <c:y val="-3.42636868590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8-4DB0-BB01-E7DA16E35105}"/>
                </c:ext>
              </c:extLst>
            </c:dLbl>
            <c:dLbl>
              <c:idx val="3"/>
              <c:layout>
                <c:manualLayout>
                  <c:x val="1.0308613089746272E-3"/>
                  <c:y val="-3.0837318173135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8-4DB0-BB01-E7DA16E35105}"/>
                </c:ext>
              </c:extLst>
            </c:dLbl>
            <c:dLbl>
              <c:idx val="4"/>
              <c:layout>
                <c:manualLayout>
                  <c:x val="1.4010785082056211E-3"/>
                  <c:y val="-4.4542792916751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8-4DB0-BB01-E7DA16E35105}"/>
                </c:ext>
              </c:extLst>
            </c:dLbl>
            <c:dLbl>
              <c:idx val="5"/>
              <c:layout>
                <c:manualLayout>
                  <c:x val="-8.40630472854641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8-4DB0-BB01-E7DA16E35105}"/>
                </c:ext>
              </c:extLst>
            </c:dLbl>
            <c:dLbl>
              <c:idx val="6"/>
              <c:layout>
                <c:manualLayout>
                  <c:x val="-1.1208406304728444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111.71823212542094</c:v>
                </c:pt>
                <c:pt idx="1">
                  <c:v>105.19456487661844</c:v>
                </c:pt>
                <c:pt idx="2">
                  <c:v>125.26925105491972</c:v>
                </c:pt>
                <c:pt idx="3">
                  <c:v>67.149316996696299</c:v>
                </c:pt>
                <c:pt idx="4">
                  <c:v>43.641865447689717</c:v>
                </c:pt>
                <c:pt idx="5">
                  <c:v>1048.8402558439152</c:v>
                </c:pt>
                <c:pt idx="6">
                  <c:v>1648.2631273398069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1-4319-AE32-F5EE4F6E5E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5"/>
              <c:layout>
                <c:manualLayout>
                  <c:x val="1.1208406304728444E-2"/>
                  <c:y val="-3.4263686859040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8-4DB0-BB01-E7DA16E35105}"/>
                </c:ext>
              </c:extLst>
            </c:dLbl>
            <c:dLbl>
              <c:idx val="6"/>
              <c:layout>
                <c:manualLayout>
                  <c:x val="1.4010507880910683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106.52451218742098</c:v>
                </c:pt>
                <c:pt idx="1">
                  <c:v>103.29232355401571</c:v>
                </c:pt>
                <c:pt idx="2">
                  <c:v>123.6100498811424</c:v>
                </c:pt>
                <c:pt idx="3">
                  <c:v>66.104527136781485</c:v>
                </c:pt>
                <c:pt idx="4">
                  <c:v>71.6847555294232</c:v>
                </c:pt>
                <c:pt idx="5">
                  <c:v>1048.8402558439152</c:v>
                </c:pt>
                <c:pt idx="6">
                  <c:v>1648.2631273398069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1-4319-AE32-F5EE4F6E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278208"/>
        <c:axId val="55296384"/>
        <c:axId val="0"/>
      </c:bar3DChart>
      <c:catAx>
        <c:axId val="55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96384"/>
        <c:crosses val="autoZero"/>
        <c:auto val="1"/>
        <c:lblAlgn val="ctr"/>
        <c:lblOffset val="100"/>
        <c:noMultiLvlLbl val="0"/>
      </c:catAx>
      <c:valAx>
        <c:axId val="55296384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78208"/>
        <c:crosses val="autoZero"/>
        <c:crossBetween val="between"/>
        <c:majorUnit val="5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transferencia efectiva del gasto (ITG)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Anual!$B$59</c:f>
              <c:numCache>
                <c:formatCode>#,##0.00</c:formatCode>
                <c:ptCount val="1"/>
                <c:pt idx="0">
                  <c:v>96.453134705898137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2D0-A671-9A15E62B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333248"/>
        <c:axId val="55334784"/>
        <c:axId val="0"/>
      </c:bar3DChart>
      <c:catAx>
        <c:axId val="553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4784"/>
        <c:crosses val="autoZero"/>
        <c:auto val="1"/>
        <c:lblAlgn val="ctr"/>
        <c:lblOffset val="100"/>
        <c:noMultiLvlLbl val="0"/>
      </c:catAx>
      <c:valAx>
        <c:axId val="5533478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3248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expansión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1876799477992381E-2"/>
          <c:y val="0.17171296296296296"/>
          <c:w val="0.93733989453030098"/>
          <c:h val="0.62897282976108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(Anual!$B$62,Anual!$C$62,Anual!$F$62)</c:f>
              <c:numCache>
                <c:formatCode>#,##0.00</c:formatCode>
                <c:ptCount val="3"/>
                <c:pt idx="0">
                  <c:v>4.5170359041646124</c:v>
                </c:pt>
                <c:pt idx="1">
                  <c:v>4.5297185167390897</c:v>
                </c:pt>
                <c:pt idx="2">
                  <c:v>4.1695943514249878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B-4856-931B-E8FFA52A35FF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(Anual!$B$63,Anual!$C$63,Anual!$F$63)</c:f>
              <c:numCache>
                <c:formatCode>#,##0.00</c:formatCode>
                <c:ptCount val="3"/>
                <c:pt idx="0">
                  <c:v>16.153737764912137</c:v>
                </c:pt>
                <c:pt idx="1">
                  <c:v>13.62228747262022</c:v>
                </c:pt>
                <c:pt idx="2">
                  <c:v>-42.721300040502719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B-4856-931B-E8FFA52A35FF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(Anual!$B$64,Anual!$C$64,Anual!$F$64)</c:f>
              <c:numCache>
                <c:formatCode>#,##0.00</c:formatCode>
                <c:ptCount val="3"/>
                <c:pt idx="0">
                  <c:v>11.133784803673198</c:v>
                </c:pt>
                <c:pt idx="1">
                  <c:v>8.6985491637242554</c:v>
                </c:pt>
                <c:pt idx="2">
                  <c:v>-45.013993463137901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B-4856-931B-E8FFA52A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446976"/>
        <c:axId val="56448512"/>
        <c:axId val="0"/>
      </c:bar3DChart>
      <c:catAx>
        <c:axId val="5644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8512"/>
        <c:crosses val="autoZero"/>
        <c:auto val="1"/>
        <c:lblAlgn val="ctr"/>
        <c:lblOffset val="100"/>
        <c:noMultiLvlLbl val="0"/>
      </c:catAx>
      <c:valAx>
        <c:axId val="56448512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697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8.8739415060753914E-3"/>
          <c:y val="0.88951754830127838"/>
          <c:w val="0.98653874556341559"/>
          <c:h val="0.110482451698721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1177700.0052513157</c:v>
                </c:pt>
                <c:pt idx="1">
                  <c:v>1029594.7721585527</c:v>
                </c:pt>
                <c:pt idx="2">
                  <c:v>1055398.6411845454</c:v>
                </c:pt>
                <c:pt idx="3">
                  <c:v>984000</c:v>
                </c:pt>
                <c:pt idx="4">
                  <c:v>4698024.000400329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A-4B27-8DB5-23B200490592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1298426.2694494794</c:v>
                </c:pt>
                <c:pt idx="1">
                  <c:v>1068228.4861872203</c:v>
                </c:pt>
                <c:pt idx="2">
                  <c:v>1084117.0745996074</c:v>
                </c:pt>
                <c:pt idx="3">
                  <c:v>1015603.9770582269</c:v>
                </c:pt>
                <c:pt idx="4">
                  <c:v>2055904.659525533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A-4B27-8DB5-23B20049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478336"/>
        <c:axId val="57549184"/>
        <c:axId val="0"/>
      </c:bar3DChart>
      <c:catAx>
        <c:axId val="564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49184"/>
        <c:crosses val="autoZero"/>
        <c:auto val="1"/>
        <c:lblAlgn val="ctr"/>
        <c:lblOffset val="100"/>
        <c:noMultiLvlLbl val="0"/>
      </c:catAx>
      <c:valAx>
        <c:axId val="57549184"/>
        <c:scaling>
          <c:orientation val="minMax"/>
          <c:max val="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78336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117.44436133794788</c:v>
                </c:pt>
                <c:pt idx="1">
                  <c:v>107.16818442418717</c:v>
                </c:pt>
                <c:pt idx="2">
                  <c:v>126.97360072195058</c:v>
                </c:pt>
                <c:pt idx="3">
                  <c:v>68.227663274053612</c:v>
                </c:pt>
                <c:pt idx="4">
                  <c:v>31.370002132243588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D-4632-8D7A-06D02F0B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7582720"/>
        <c:axId val="57584256"/>
        <c:axId val="0"/>
      </c:bar3DChart>
      <c:catAx>
        <c:axId val="57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4256"/>
        <c:crosses val="autoZero"/>
        <c:auto val="1"/>
        <c:lblAlgn val="ctr"/>
        <c:lblOffset val="100"/>
        <c:noMultiLvlLbl val="0"/>
      </c:catAx>
      <c:valAx>
        <c:axId val="575842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272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giro de recursos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65-4593-A5F9-599DE244620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120.23509595232147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5-4593-A5F9-599DE2446203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92.916491013341187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F-45A9-AB90-DFFD7EBF4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637504"/>
        <c:axId val="57651584"/>
      </c:barChart>
      <c:catAx>
        <c:axId val="5763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51584"/>
        <c:crosses val="autoZero"/>
        <c:auto val="1"/>
        <c:lblAlgn val="ctr"/>
        <c:lblOffset val="100"/>
        <c:noMultiLvlLbl val="0"/>
      </c:catAx>
      <c:valAx>
        <c:axId val="576515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2F82672-43ED-4449-BFC2-7C3AD7E40E13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F66B8D6-DC87-4E9B-BCED-9483914F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A5A95AF-D2BE-4C3F-9866-32CA88C2EFDA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27781</xdr:rowOff>
    </xdr:from>
    <xdr:to>
      <xdr:col>7</xdr:col>
      <xdr:colOff>1591467</xdr:colOff>
      <xdr:row>7</xdr:row>
      <xdr:rowOff>130968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1170781"/>
          <a:ext cx="15343186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3A7CECB-1A31-45CD-94E2-4334B7577DD5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06AFF8-079D-4438-BDD1-F5F98A7A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BB65AAF9-1ED3-41FC-9902-A6E502647890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35720</xdr:rowOff>
    </xdr:from>
    <xdr:to>
      <xdr:col>7</xdr:col>
      <xdr:colOff>1539875</xdr:colOff>
      <xdr:row>7</xdr:row>
      <xdr:rowOff>178594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178720"/>
          <a:ext cx="15291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 Trimestre 2023     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B7CE4B98-BFCA-479B-A39C-BCBF47604460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33AFBB-60B9-487D-A34D-DEDFF092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9786797-4970-44E6-9D69-88986C5637B3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1702593</xdr:colOff>
      <xdr:row>6</xdr:row>
      <xdr:rowOff>38498</xdr:rowOff>
    </xdr:from>
    <xdr:to>
      <xdr:col>6</xdr:col>
      <xdr:colOff>996156</xdr:colOff>
      <xdr:row>8</xdr:row>
      <xdr:rowOff>31750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02593" y="1181498"/>
          <a:ext cx="11449844" cy="374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 Semestre 2023      Fecha Actualización: 02-05-2024</a:t>
          </a:r>
          <a:endParaRPr lang="es-CR" sz="1100">
            <a:solidFill>
              <a:schemeClr val="bg1"/>
            </a:solidFill>
            <a:latin typeface="Palatino Linotype" panose="0204050205050503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64553C4-CCA8-41FE-9F53-1384D8EBFD9B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F2D97D-364F-4DCB-8297-C6F04AD7C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1AAD0CF-593A-4FCA-A063-716F0A5AEEDC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7</xdr:col>
      <xdr:colOff>1539875</xdr:colOff>
      <xdr:row>7</xdr:row>
      <xdr:rowOff>166687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0" y="1166813"/>
          <a:ext cx="15291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2023     Fecha Actualización: 02-05-2024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71FEB8C-9F47-4645-B43D-D24EE3564DF4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72E8B8-9D18-41C0-8FF3-DE5497555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73A44BD-3CF0-4926-BD74-C4C80B598E0D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7</xdr:col>
      <xdr:colOff>1539875</xdr:colOff>
      <xdr:row>7</xdr:row>
      <xdr:rowOff>166687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0" y="1166813"/>
          <a:ext cx="15291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Acumulado 2023     Fecha Actualización: 02-05-2024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106ED2E-61B6-4D01-94BF-1BBEF3BB1B04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2A4D9B-0599-4C27-8CC3-AD524EA9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202406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489F3A1-5C2F-4997-B28C-CB0D62175F18}"/>
            </a:ext>
          </a:extLst>
        </xdr:cNvPr>
        <xdr:cNvSpPr/>
      </xdr:nvSpPr>
      <xdr:spPr>
        <a:xfrm>
          <a:off x="0" y="1143001"/>
          <a:ext cx="15347156" cy="39290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702468</xdr:colOff>
      <xdr:row>6</xdr:row>
      <xdr:rowOff>67469</xdr:rowOff>
    </xdr:from>
    <xdr:to>
      <xdr:col>7</xdr:col>
      <xdr:colOff>1071562</xdr:colOff>
      <xdr:row>7</xdr:row>
      <xdr:rowOff>174624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02468" y="1210469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695853</xdr:colOff>
      <xdr:row>13</xdr:row>
      <xdr:rowOff>3968</xdr:rowOff>
    </xdr:from>
    <xdr:to>
      <xdr:col>19</xdr:col>
      <xdr:colOff>23812</xdr:colOff>
      <xdr:row>30</xdr:row>
      <xdr:rowOff>83342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150810</xdr:colOff>
      <xdr:row>13</xdr:row>
      <xdr:rowOff>15874</xdr:rowOff>
    </xdr:from>
    <xdr:to>
      <xdr:col>35</xdr:col>
      <xdr:colOff>247649</xdr:colOff>
      <xdr:row>30</xdr:row>
      <xdr:rowOff>83342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138905</xdr:colOff>
      <xdr:row>31</xdr:row>
      <xdr:rowOff>8202</xdr:rowOff>
    </xdr:from>
    <xdr:to>
      <xdr:col>35</xdr:col>
      <xdr:colOff>266700</xdr:colOff>
      <xdr:row>48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673365</xdr:colOff>
      <xdr:row>31</xdr:row>
      <xdr:rowOff>10846</xdr:rowOff>
    </xdr:from>
    <xdr:to>
      <xdr:col>19</xdr:col>
      <xdr:colOff>11906</xdr:colOff>
      <xdr:row>48</xdr:row>
      <xdr:rowOff>59531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132291</xdr:colOff>
      <xdr:row>48</xdr:row>
      <xdr:rowOff>192088</xdr:rowOff>
    </xdr:from>
    <xdr:to>
      <xdr:col>35</xdr:col>
      <xdr:colOff>228601</xdr:colOff>
      <xdr:row>65</xdr:row>
      <xdr:rowOff>202406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138906</xdr:colOff>
      <xdr:row>66</xdr:row>
      <xdr:rowOff>102126</xdr:rowOff>
    </xdr:from>
    <xdr:to>
      <xdr:col>35</xdr:col>
      <xdr:colOff>247650</xdr:colOff>
      <xdr:row>87</xdr:row>
      <xdr:rowOff>178592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695853</xdr:colOff>
      <xdr:row>48</xdr:row>
      <xdr:rowOff>173565</xdr:rowOff>
    </xdr:from>
    <xdr:to>
      <xdr:col>19</xdr:col>
      <xdr:colOff>11906</xdr:colOff>
      <xdr:row>65</xdr:row>
      <xdr:rowOff>202406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705114</xdr:colOff>
      <xdr:row>66</xdr:row>
      <xdr:rowOff>95512</xdr:rowOff>
    </xdr:from>
    <xdr:to>
      <xdr:col>19</xdr:col>
      <xdr:colOff>0</xdr:colOff>
      <xdr:row>82</xdr:row>
      <xdr:rowOff>178593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20EFDC3A-501C-4750-9171-63BB5AC54D2D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6EBD43B-344E-4A01-BB8D-886E8DF8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84FBB0ED-F2CC-4A8F-A2EB-020AF15A9112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607219</xdr:colOff>
      <xdr:row>6</xdr:row>
      <xdr:rowOff>31750</xdr:rowOff>
    </xdr:from>
    <xdr:to>
      <xdr:col>7</xdr:col>
      <xdr:colOff>976313</xdr:colOff>
      <xdr:row>7</xdr:row>
      <xdr:rowOff>138905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07219" y="1174750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2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7" spans="1:8" x14ac:dyDescent="0.3">
      <c r="G7" s="1"/>
    </row>
    <row r="9" spans="1:8" s="2" customFormat="1" ht="20.25" customHeight="1" x14ac:dyDescent="0.35">
      <c r="A9" s="23" t="s">
        <v>0</v>
      </c>
      <c r="B9" s="23" t="s">
        <v>34</v>
      </c>
      <c r="C9" s="25" t="s">
        <v>45</v>
      </c>
      <c r="D9" s="25"/>
      <c r="E9" s="25"/>
      <c r="F9" s="25"/>
      <c r="G9" s="25"/>
      <c r="H9" s="25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50</v>
      </c>
      <c r="B15" s="8">
        <f>C15+F15</f>
        <v>135514</v>
      </c>
      <c r="C15" s="8">
        <f>+SUM(D15:E15)</f>
        <v>130727</v>
      </c>
      <c r="D15" s="8">
        <v>99282</v>
      </c>
      <c r="E15" s="8">
        <v>31445</v>
      </c>
      <c r="F15" s="8">
        <v>4787</v>
      </c>
      <c r="G15" s="8"/>
      <c r="H15" s="8"/>
    </row>
    <row r="16" spans="1:8" ht="15.6" x14ac:dyDescent="0.35">
      <c r="A16" s="7" t="s">
        <v>79</v>
      </c>
      <c r="B16" s="8">
        <f>C16+F16</f>
        <v>140523.33333333334</v>
      </c>
      <c r="C16" s="8">
        <f>+SUM(D16:E16)</f>
        <v>135519</v>
      </c>
      <c r="D16" s="8">
        <v>86539</v>
      </c>
      <c r="E16" s="8">
        <v>48980</v>
      </c>
      <c r="F16" s="8">
        <v>5004.333333333333</v>
      </c>
      <c r="G16" s="8"/>
      <c r="H16" s="8"/>
    </row>
    <row r="17" spans="1:9" ht="15.6" x14ac:dyDescent="0.35">
      <c r="A17" s="7" t="s">
        <v>80</v>
      </c>
      <c r="B17" s="8">
        <f t="shared" ref="B17:B18" si="0">C17+F17</f>
        <v>142383.66666666666</v>
      </c>
      <c r="C17" s="8">
        <f t="shared" ref="C17:C18" si="1">+SUM(D17:E17)</f>
        <v>137395.66666666666</v>
      </c>
      <c r="D17" s="8">
        <v>105274.33333333333</v>
      </c>
      <c r="E17" s="8">
        <v>32121.333333333332</v>
      </c>
      <c r="F17" s="8">
        <v>4988</v>
      </c>
      <c r="G17" s="8"/>
      <c r="H17" s="8"/>
    </row>
    <row r="18" spans="1:9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v>87702</v>
      </c>
      <c r="E18" s="8">
        <v>49634</v>
      </c>
      <c r="F18" s="8">
        <v>5079.1666666666661</v>
      </c>
      <c r="G18" s="8"/>
      <c r="H18" s="8"/>
    </row>
    <row r="19" spans="1:9" ht="15.6" x14ac:dyDescent="0.35">
      <c r="A19" s="5"/>
      <c r="B19" s="8"/>
      <c r="C19" s="8"/>
      <c r="D19" s="8"/>
      <c r="E19" s="8"/>
      <c r="F19" s="8"/>
      <c r="G19" s="8"/>
      <c r="H19" s="8"/>
    </row>
    <row r="20" spans="1:9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9" ht="15.6" x14ac:dyDescent="0.35">
      <c r="A21" s="7" t="s">
        <v>50</v>
      </c>
      <c r="B21" s="8">
        <f>C21+F21+G21+H21</f>
        <v>40117797900</v>
      </c>
      <c r="C21" s="8">
        <f>+SUM(D21:E21)</f>
        <v>32191282700</v>
      </c>
      <c r="D21" s="8">
        <v>23821549198</v>
      </c>
      <c r="E21" s="8">
        <v>8369733502</v>
      </c>
      <c r="F21" s="8">
        <v>4460085800</v>
      </c>
      <c r="G21" s="8">
        <v>2778672300</v>
      </c>
      <c r="H21" s="8">
        <v>687757100</v>
      </c>
    </row>
    <row r="22" spans="1:9" ht="15.6" x14ac:dyDescent="0.35">
      <c r="A22" s="7" t="s">
        <v>79</v>
      </c>
      <c r="B22" s="8">
        <f t="shared" ref="B22:B25" si="2">C22+F22+G22+H22</f>
        <v>38355886351.400002</v>
      </c>
      <c r="C22" s="8">
        <f>+SUM(D22:E22)</f>
        <v>33337674000</v>
      </c>
      <c r="D22" s="8">
        <v>21288594000</v>
      </c>
      <c r="E22" s="8">
        <v>12049080000</v>
      </c>
      <c r="F22" s="8">
        <v>5018212351.3999996</v>
      </c>
      <c r="G22" s="8">
        <v>0</v>
      </c>
      <c r="H22" s="8">
        <v>0</v>
      </c>
    </row>
    <row r="23" spans="1:9" ht="15.6" x14ac:dyDescent="0.35">
      <c r="A23" s="7" t="s">
        <v>80</v>
      </c>
      <c r="B23" s="8">
        <f t="shared" si="2"/>
        <v>40365960357.330002</v>
      </c>
      <c r="C23" s="8">
        <f t="shared" ref="C23:C24" si="3">+SUM(D23:E23)</f>
        <v>33781579113.360001</v>
      </c>
      <c r="D23" s="8">
        <v>26680838399.220001</v>
      </c>
      <c r="E23" s="8">
        <v>7100740714.1399994</v>
      </c>
      <c r="F23" s="8">
        <v>944170117.02999997</v>
      </c>
      <c r="G23" s="8">
        <v>4486323647.6899996</v>
      </c>
      <c r="H23" s="8">
        <v>1153887479.25</v>
      </c>
    </row>
    <row r="24" spans="1:9" ht="15.6" x14ac:dyDescent="0.35">
      <c r="A24" s="7" t="s">
        <v>81</v>
      </c>
      <c r="B24" s="8">
        <f t="shared" si="2"/>
        <v>167722342531.20032</v>
      </c>
      <c r="C24" s="8">
        <f t="shared" si="3"/>
        <v>141400427629.16699</v>
      </c>
      <c r="D24" s="8">
        <v>92560571629.166992</v>
      </c>
      <c r="E24" s="8">
        <v>48839856000</v>
      </c>
      <c r="F24" s="8">
        <v>23862046902.033333</v>
      </c>
      <c r="G24" s="8">
        <v>2056656300</v>
      </c>
      <c r="H24" s="8">
        <v>403211700</v>
      </c>
    </row>
    <row r="25" spans="1:9" ht="15.6" x14ac:dyDescent="0.35">
      <c r="A25" s="7" t="s">
        <v>82</v>
      </c>
      <c r="B25" s="8">
        <f t="shared" si="2"/>
        <v>39212072878.080002</v>
      </c>
      <c r="C25" s="8">
        <f>C23</f>
        <v>33781579113.360001</v>
      </c>
      <c r="D25" s="8">
        <f>+D23</f>
        <v>26680838399.220001</v>
      </c>
      <c r="E25" s="8">
        <f>+E23</f>
        <v>7100740714.1399994</v>
      </c>
      <c r="F25" s="8">
        <f t="shared" ref="F25:G25" si="4">F23</f>
        <v>944170117.02999997</v>
      </c>
      <c r="G25" s="8">
        <f t="shared" si="4"/>
        <v>4486323647.6899996</v>
      </c>
      <c r="H25" s="8"/>
    </row>
    <row r="26" spans="1:9" ht="15.6" x14ac:dyDescent="0.35">
      <c r="A26" s="5"/>
      <c r="B26" s="8"/>
      <c r="C26" s="8"/>
      <c r="D26" s="8"/>
      <c r="E26" s="8"/>
      <c r="F26" s="8"/>
      <c r="G26" s="8"/>
      <c r="H26" s="8"/>
    </row>
    <row r="27" spans="1:9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9" ht="15.6" x14ac:dyDescent="0.35">
      <c r="A28" s="7" t="s">
        <v>79</v>
      </c>
      <c r="B28" s="8">
        <f>+B22</f>
        <v>38355886351.400002</v>
      </c>
      <c r="C28" s="8"/>
      <c r="D28" s="8"/>
      <c r="E28" s="8"/>
      <c r="F28" s="8"/>
      <c r="G28" s="8"/>
      <c r="H28" s="8"/>
    </row>
    <row r="29" spans="1:9" ht="15.6" x14ac:dyDescent="0.35">
      <c r="A29" s="7" t="s">
        <v>80</v>
      </c>
      <c r="B29" s="8">
        <v>40117872903.75</v>
      </c>
      <c r="C29" s="8"/>
      <c r="D29" s="8"/>
      <c r="E29" s="8"/>
      <c r="F29" s="8"/>
      <c r="G29" s="8"/>
      <c r="H29" s="8"/>
    </row>
    <row r="30" spans="1:9" ht="15.6" x14ac:dyDescent="0.35">
      <c r="A30" s="5"/>
      <c r="B30" s="18"/>
      <c r="C30" s="18"/>
      <c r="D30" s="18"/>
      <c r="E30" s="18"/>
      <c r="F30" s="18"/>
      <c r="G30" s="18"/>
      <c r="H30" s="18"/>
    </row>
    <row r="31" spans="1:9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9" ht="15.6" x14ac:dyDescent="0.35">
      <c r="A32" s="7" t="s">
        <v>51</v>
      </c>
      <c r="B32" s="22">
        <v>1.0573999999999999</v>
      </c>
      <c r="C32" s="22">
        <v>1.0573999999999999</v>
      </c>
      <c r="D32" s="22">
        <v>1.0573999999999999</v>
      </c>
      <c r="E32" s="22">
        <v>1.0573999999999999</v>
      </c>
      <c r="F32" s="22">
        <v>1.0573999999999999</v>
      </c>
      <c r="G32" s="22">
        <v>1.0573999999999999</v>
      </c>
      <c r="H32" s="22">
        <v>1.0573999999999999</v>
      </c>
      <c r="I32" s="22">
        <v>1.0573999999999999</v>
      </c>
    </row>
    <row r="33" spans="1:9" ht="15.6" x14ac:dyDescent="0.35">
      <c r="A33" s="7" t="s">
        <v>83</v>
      </c>
      <c r="B33" s="22">
        <v>1.1041000000000001</v>
      </c>
      <c r="C33" s="22">
        <v>1.1041000000000001</v>
      </c>
      <c r="D33" s="22">
        <v>1.1041000000000001</v>
      </c>
      <c r="E33" s="22">
        <v>1.1041000000000001</v>
      </c>
      <c r="F33" s="22">
        <v>1.1041000000000001</v>
      </c>
      <c r="G33" s="22">
        <v>1.1041000000000001</v>
      </c>
      <c r="H33" s="22">
        <v>1.1041000000000001</v>
      </c>
      <c r="I33" s="22">
        <v>1.1041000000000001</v>
      </c>
    </row>
    <row r="34" spans="1:9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9" ht="15.6" x14ac:dyDescent="0.35">
      <c r="A35" s="5"/>
      <c r="B35" s="8"/>
      <c r="C35" s="8"/>
      <c r="D35" s="8"/>
      <c r="E35" s="8"/>
      <c r="F35" s="8"/>
      <c r="G35" s="8"/>
      <c r="H35" s="8"/>
    </row>
    <row r="36" spans="1:9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9" ht="15.6" x14ac:dyDescent="0.35">
      <c r="A37" s="5" t="s">
        <v>52</v>
      </c>
      <c r="B37" s="8">
        <f>B21/B32</f>
        <v>37940039625.496506</v>
      </c>
      <c r="C37" s="8">
        <f t="shared" ref="C37:H37" si="5">C21/C32</f>
        <v>30443808114.242485</v>
      </c>
      <c r="D37" s="8">
        <f t="shared" si="5"/>
        <v>22528418004.53944</v>
      </c>
      <c r="E37" s="8">
        <f t="shared" si="5"/>
        <v>7915390109.7030458</v>
      </c>
      <c r="F37" s="8">
        <f t="shared" si="5"/>
        <v>4217974087.38415</v>
      </c>
      <c r="G37" s="8">
        <f t="shared" si="5"/>
        <v>2627834594.2878761</v>
      </c>
      <c r="H37" s="8">
        <f t="shared" si="5"/>
        <v>650422829.58199358</v>
      </c>
    </row>
    <row r="38" spans="1:9" ht="15.6" x14ac:dyDescent="0.35">
      <c r="A38" s="5" t="s">
        <v>84</v>
      </c>
      <c r="B38" s="8">
        <f>B23/B33</f>
        <v>36560058289.40313</v>
      </c>
      <c r="C38" s="8">
        <f t="shared" ref="C38:H38" si="6">C23/C33</f>
        <v>30596485022.516075</v>
      </c>
      <c r="D38" s="8">
        <f t="shared" si="6"/>
        <v>24165237206.068291</v>
      </c>
      <c r="E38" s="8">
        <f t="shared" si="6"/>
        <v>6431247816.4477844</v>
      </c>
      <c r="F38" s="8">
        <f t="shared" si="6"/>
        <v>855149096.12353945</v>
      </c>
      <c r="G38" s="8">
        <f t="shared" si="6"/>
        <v>4063330900.9057145</v>
      </c>
      <c r="H38" s="8">
        <f t="shared" si="6"/>
        <v>1045093269.8578026</v>
      </c>
    </row>
    <row r="39" spans="1:9" ht="15.6" x14ac:dyDescent="0.35">
      <c r="A39" s="5" t="s">
        <v>53</v>
      </c>
      <c r="B39" s="8">
        <f>B37/B15</f>
        <v>279971.365508335</v>
      </c>
      <c r="C39" s="8">
        <f t="shared" ref="C39:F39" si="7">C37/C15</f>
        <v>232880.79826082205</v>
      </c>
      <c r="D39" s="8">
        <f t="shared" si="7"/>
        <v>226913.4183894305</v>
      </c>
      <c r="E39" s="8">
        <f t="shared" si="7"/>
        <v>251721.7398538097</v>
      </c>
      <c r="F39" s="8">
        <f t="shared" si="7"/>
        <v>881130.99799125758</v>
      </c>
      <c r="G39" s="8"/>
      <c r="H39" s="8"/>
    </row>
    <row r="40" spans="1:9" ht="15.6" x14ac:dyDescent="0.35">
      <c r="A40" s="5" t="s">
        <v>85</v>
      </c>
      <c r="B40" s="8">
        <f>B38/B17</f>
        <v>256771.43414907</v>
      </c>
      <c r="C40" s="8">
        <f t="shared" ref="C40:F40" si="8">C38/C17</f>
        <v>222688.86468410754</v>
      </c>
      <c r="D40" s="8">
        <f t="shared" si="8"/>
        <v>229545.3833894456</v>
      </c>
      <c r="E40" s="8">
        <f t="shared" si="8"/>
        <v>200217.3368617259</v>
      </c>
      <c r="F40" s="8">
        <f t="shared" si="8"/>
        <v>171441.27829261016</v>
      </c>
      <c r="G40" s="8"/>
      <c r="H40" s="8"/>
    </row>
    <row r="41" spans="1:9" ht="15.6" x14ac:dyDescent="0.35">
      <c r="A41" s="5"/>
      <c r="B41" s="18"/>
      <c r="C41" s="18"/>
      <c r="D41" s="18"/>
      <c r="E41" s="18"/>
      <c r="F41" s="18"/>
      <c r="G41" s="18"/>
      <c r="H41" s="18"/>
    </row>
    <row r="42" spans="1:9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9" ht="15.6" x14ac:dyDescent="0.35">
      <c r="A43" s="5"/>
      <c r="B43" s="18"/>
      <c r="C43" s="18"/>
      <c r="D43" s="18"/>
      <c r="E43" s="18"/>
      <c r="F43" s="18"/>
      <c r="G43" s="18"/>
      <c r="H43" s="18"/>
    </row>
    <row r="44" spans="1:9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9" ht="15.6" x14ac:dyDescent="0.35">
      <c r="A45" s="5" t="s">
        <v>9</v>
      </c>
      <c r="B45" s="12">
        <f>(B16/B34)*100</f>
        <v>85.275222305831335</v>
      </c>
      <c r="C45" s="12">
        <f>(C16/C34)*100</f>
        <v>91.874173756821804</v>
      </c>
      <c r="D45" s="12"/>
      <c r="E45" s="12"/>
      <c r="F45" s="12">
        <f>(F16/F34)*100</f>
        <v>28.955235395089584</v>
      </c>
      <c r="G45" s="12"/>
      <c r="H45" s="12"/>
    </row>
    <row r="46" spans="1:9" ht="15.6" x14ac:dyDescent="0.35">
      <c r="A46" s="5" t="s">
        <v>10</v>
      </c>
      <c r="B46" s="12">
        <f>(B17/B34)*100</f>
        <v>86.404147551197084</v>
      </c>
      <c r="C46" s="12">
        <f>(C17/C34)*100</f>
        <v>93.146447013095596</v>
      </c>
      <c r="D46" s="12"/>
      <c r="E46" s="12"/>
      <c r="F46" s="12">
        <f>(F17/F34)*100</f>
        <v>28.86073019730371</v>
      </c>
      <c r="G46" s="12"/>
      <c r="H46" s="12"/>
    </row>
    <row r="47" spans="1:9" ht="15.6" x14ac:dyDescent="0.35">
      <c r="A47" s="5"/>
      <c r="B47" s="12"/>
      <c r="C47" s="12"/>
      <c r="D47" s="12"/>
      <c r="E47" s="12"/>
      <c r="F47" s="12"/>
      <c r="G47" s="12"/>
      <c r="H47" s="12"/>
    </row>
    <row r="48" spans="1:9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101.32386080603457</v>
      </c>
      <c r="C49" s="12">
        <f t="shared" ref="C49:F49" si="9">C17/C16*100</f>
        <v>101.38479967138679</v>
      </c>
      <c r="D49" s="12">
        <f t="shared" si="9"/>
        <v>121.64958380999703</v>
      </c>
      <c r="E49" s="12">
        <f t="shared" si="9"/>
        <v>65.580509051313456</v>
      </c>
      <c r="F49" s="12">
        <f t="shared" si="9"/>
        <v>99.673616199293946</v>
      </c>
      <c r="G49" s="12"/>
      <c r="H49" s="12"/>
    </row>
    <row r="50" spans="1:8" ht="15.6" x14ac:dyDescent="0.35">
      <c r="A50" s="5" t="s">
        <v>13</v>
      </c>
      <c r="B50" s="12">
        <f>B23/B22*100</f>
        <v>105.24058807431686</v>
      </c>
      <c r="C50" s="12">
        <f t="shared" ref="C50:F50" si="10">C23/C22*100</f>
        <v>101.33154194668769</v>
      </c>
      <c r="D50" s="12">
        <f t="shared" si="10"/>
        <v>125.32926504784676</v>
      </c>
      <c r="E50" s="12">
        <f t="shared" si="10"/>
        <v>58.931808189006951</v>
      </c>
      <c r="F50" s="12">
        <f t="shared" si="10"/>
        <v>18.814869736761775</v>
      </c>
      <c r="G50" s="12" t="s">
        <v>49</v>
      </c>
      <c r="H50" s="12" t="s">
        <v>49</v>
      </c>
    </row>
    <row r="51" spans="1:8" ht="15.6" x14ac:dyDescent="0.35">
      <c r="A51" s="5" t="s">
        <v>14</v>
      </c>
      <c r="B51" s="12">
        <f>AVERAGE(B49:B50)</f>
        <v>103.28222444017572</v>
      </c>
      <c r="C51" s="12">
        <f t="shared" ref="C51:F51" si="11">AVERAGE(C49:C50)</f>
        <v>101.35817080903723</v>
      </c>
      <c r="D51" s="12">
        <f t="shared" si="11"/>
        <v>123.48942442892189</v>
      </c>
      <c r="E51" s="12">
        <f t="shared" si="11"/>
        <v>62.256158620160207</v>
      </c>
      <c r="F51" s="12">
        <f t="shared" si="11"/>
        <v>59.244242968027862</v>
      </c>
      <c r="G51" s="12" t="s">
        <v>49</v>
      </c>
      <c r="H51" s="12" t="s">
        <v>49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99.977881569261712</v>
      </c>
      <c r="C54" s="12">
        <f t="shared" ref="C54:F54" si="12">C17/C18*100</f>
        <v>100.0434457583348</v>
      </c>
      <c r="D54" s="12">
        <f t="shared" si="12"/>
        <v>120.03641118028474</v>
      </c>
      <c r="E54" s="12">
        <f t="shared" si="12"/>
        <v>64.716390646196814</v>
      </c>
      <c r="F54" s="12">
        <f t="shared" si="12"/>
        <v>98.205086136177215</v>
      </c>
      <c r="G54" s="12"/>
      <c r="H54" s="12"/>
    </row>
    <row r="55" spans="1:8" ht="15.6" x14ac:dyDescent="0.35">
      <c r="A55" s="5" t="s">
        <v>17</v>
      </c>
      <c r="B55" s="12">
        <f>B23/B24*100</f>
        <v>24.067133661587739</v>
      </c>
      <c r="C55" s="12">
        <f t="shared" ref="C55:H55" si="13">C23/C24*100</f>
        <v>23.89071920061987</v>
      </c>
      <c r="D55" s="12">
        <f t="shared" si="13"/>
        <v>28.825274012042222</v>
      </c>
      <c r="E55" s="12">
        <f t="shared" si="13"/>
        <v>14.538824017294399</v>
      </c>
      <c r="F55" s="12">
        <f t="shared" si="13"/>
        <v>3.9567859408974062</v>
      </c>
      <c r="G55" s="12">
        <f t="shared" si="13"/>
        <v>218.13677120917089</v>
      </c>
      <c r="H55" s="12">
        <f t="shared" si="13"/>
        <v>286.17410636893726</v>
      </c>
    </row>
    <row r="56" spans="1:8" ht="15.6" x14ac:dyDescent="0.35">
      <c r="A56" s="5" t="s">
        <v>18</v>
      </c>
      <c r="B56" s="12">
        <f>AVERAGE(B54:B55)</f>
        <v>62.022507615424729</v>
      </c>
      <c r="C56" s="12">
        <f t="shared" ref="C56:H56" si="14">AVERAGE(C54:C55)</f>
        <v>61.967082479477334</v>
      </c>
      <c r="D56" s="12">
        <f t="shared" si="14"/>
        <v>74.430842596163487</v>
      </c>
      <c r="E56" s="12">
        <f t="shared" si="14"/>
        <v>39.627607331745608</v>
      </c>
      <c r="F56" s="12">
        <f t="shared" si="14"/>
        <v>51.08093603853731</v>
      </c>
      <c r="G56" s="12">
        <f t="shared" si="14"/>
        <v>218.13677120917089</v>
      </c>
      <c r="H56" s="12">
        <f t="shared" si="14"/>
        <v>286.17410636893726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97.141434344592597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5.0693409291044933</v>
      </c>
      <c r="C62" s="12">
        <f t="shared" ref="C62:F62" si="15">((C17/C15)-1)*100</f>
        <v>5.1012160201539425</v>
      </c>
      <c r="D62" s="12"/>
      <c r="E62" s="12"/>
      <c r="F62" s="12">
        <f t="shared" si="15"/>
        <v>4.1988719448506462</v>
      </c>
      <c r="G62" s="12"/>
      <c r="H62" s="12"/>
    </row>
    <row r="63" spans="1:8" ht="15.6" x14ac:dyDescent="0.35">
      <c r="A63" s="5" t="s">
        <v>22</v>
      </c>
      <c r="B63" s="12">
        <f>((B38/B37)-1)*100</f>
        <v>-3.6372690954334153</v>
      </c>
      <c r="C63" s="12">
        <f t="shared" ref="C63:H63" si="16">((C38/C37)-1)*100</f>
        <v>0.50150397644295186</v>
      </c>
      <c r="D63" s="12"/>
      <c r="E63" s="12"/>
      <c r="F63" s="12">
        <f t="shared" si="16"/>
        <v>-79.726070421312727</v>
      </c>
      <c r="G63" s="12">
        <f t="shared" si="16"/>
        <v>54.626585316221068</v>
      </c>
      <c r="H63" s="12">
        <f t="shared" si="16"/>
        <v>60.679057118805524</v>
      </c>
    </row>
    <row r="64" spans="1:8" ht="15.6" x14ac:dyDescent="0.35">
      <c r="A64" s="5" t="s">
        <v>23</v>
      </c>
      <c r="B64" s="12">
        <f>((B40/B39)-1)*100</f>
        <v>-8.2865372025248458</v>
      </c>
      <c r="C64" s="12">
        <f t="shared" ref="C64:F64" si="17">((C40/C39)-1)*100</f>
        <v>-4.3764593958922067</v>
      </c>
      <c r="D64" s="12"/>
      <c r="E64" s="12"/>
      <c r="F64" s="12">
        <f t="shared" si="17"/>
        <v>-80.543043124864482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90983.434189814274</v>
      </c>
      <c r="C67" s="12">
        <f t="shared" ref="C67:F67" si="18">C22/(C16*3)</f>
        <v>82000</v>
      </c>
      <c r="D67" s="12">
        <f t="shared" si="18"/>
        <v>82000</v>
      </c>
      <c r="E67" s="12">
        <f t="shared" si="18"/>
        <v>82000</v>
      </c>
      <c r="F67" s="12">
        <f t="shared" si="18"/>
        <v>334257.8</v>
      </c>
      <c r="G67" s="12"/>
      <c r="H67" s="12"/>
    </row>
    <row r="68" spans="1:8" ht="15.6" x14ac:dyDescent="0.35">
      <c r="A68" s="5" t="s">
        <v>31</v>
      </c>
      <c r="B68" s="12">
        <f>B23/(B17*3)</f>
        <v>94500.446814662733</v>
      </c>
      <c r="C68" s="12">
        <f t="shared" ref="C68:F68" si="19">C23/(C17*3)</f>
        <v>81956.925165907713</v>
      </c>
      <c r="D68" s="12">
        <f t="shared" si="19"/>
        <v>84480.352600095634</v>
      </c>
      <c r="E68" s="12">
        <f t="shared" si="19"/>
        <v>73686.653876343858</v>
      </c>
      <c r="F68" s="12">
        <f t="shared" si="19"/>
        <v>63096.105120956963</v>
      </c>
      <c r="G68" s="12"/>
      <c r="H68" s="12"/>
    </row>
    <row r="69" spans="1:8" ht="15.6" x14ac:dyDescent="0.35">
      <c r="A69" s="5" t="s">
        <v>25</v>
      </c>
      <c r="B69" s="12">
        <f>(B68/B67)*B51</f>
        <v>107.27465328739542</v>
      </c>
      <c r="C69" s="12">
        <f t="shared" ref="C69:F69" si="20">(C68/C67)*C51</f>
        <v>101.30492707255556</v>
      </c>
      <c r="D69" s="12">
        <f t="shared" si="20"/>
        <v>127.22475753827055</v>
      </c>
      <c r="E69" s="12">
        <f t="shared" si="20"/>
        <v>55.944487950176907</v>
      </c>
      <c r="F69" s="12">
        <f t="shared" si="20"/>
        <v>11.183227383541091</v>
      </c>
      <c r="G69" s="12"/>
      <c r="H69" s="12"/>
    </row>
    <row r="70" spans="1:8" ht="15.6" x14ac:dyDescent="0.35">
      <c r="A70" s="13" t="s">
        <v>32</v>
      </c>
      <c r="B70" s="12">
        <f>B22/B16</f>
        <v>272950.30256944278</v>
      </c>
      <c r="C70" s="12">
        <f t="shared" ref="C70:F70" si="21">C22/C16</f>
        <v>246000</v>
      </c>
      <c r="D70" s="12">
        <f t="shared" si="21"/>
        <v>246000</v>
      </c>
      <c r="E70" s="12">
        <f t="shared" si="21"/>
        <v>246000</v>
      </c>
      <c r="F70" s="12">
        <f t="shared" si="21"/>
        <v>1002773.4</v>
      </c>
      <c r="G70" s="12"/>
      <c r="H70" s="12"/>
    </row>
    <row r="71" spans="1:8" ht="15.6" x14ac:dyDescent="0.35">
      <c r="A71" s="13" t="s">
        <v>33</v>
      </c>
      <c r="B71" s="12">
        <f>B23/B17</f>
        <v>283501.34044398821</v>
      </c>
      <c r="C71" s="12">
        <f t="shared" ref="C71:F71" si="22">C23/C17</f>
        <v>245870.77549772314</v>
      </c>
      <c r="D71" s="12">
        <f t="shared" si="22"/>
        <v>253441.05780028689</v>
      </c>
      <c r="E71" s="12">
        <f t="shared" si="22"/>
        <v>221059.96162903158</v>
      </c>
      <c r="F71" s="12">
        <f t="shared" si="22"/>
        <v>189288.3153628709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104.59378395328281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100.61839632967381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5"/>
      <c r="H76" s="5"/>
    </row>
    <row r="77" spans="1:8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  <row r="78" spans="1:8" ht="15.6" x14ac:dyDescent="0.35">
      <c r="A78" s="5"/>
      <c r="B78" s="5"/>
      <c r="C78" s="5"/>
      <c r="D78" s="5"/>
      <c r="E78" s="5"/>
      <c r="F78" s="5"/>
      <c r="G78" s="5"/>
      <c r="H78" s="5"/>
    </row>
    <row r="79" spans="1:8" ht="15.6" x14ac:dyDescent="0.35">
      <c r="A79" s="5"/>
      <c r="B79" s="5"/>
      <c r="C79" s="5"/>
      <c r="D79" s="5"/>
      <c r="E79" s="5"/>
      <c r="F79" s="5"/>
      <c r="G79" s="5"/>
      <c r="H79" s="5"/>
    </row>
    <row r="80" spans="1:8" ht="15.6" x14ac:dyDescent="0.35">
      <c r="A80" s="5"/>
      <c r="B80" s="5"/>
      <c r="C80" s="5"/>
      <c r="D80" s="5"/>
      <c r="E80" s="5"/>
      <c r="F80" s="5"/>
      <c r="G80" s="5"/>
      <c r="H80" s="5"/>
    </row>
    <row r="81" spans="1:8" ht="15.6" x14ac:dyDescent="0.35">
      <c r="A81" s="5"/>
      <c r="B81" s="5"/>
      <c r="C81" s="5"/>
      <c r="D81" s="5"/>
      <c r="E81" s="5"/>
      <c r="F81" s="5"/>
      <c r="G81" s="5"/>
      <c r="H81" s="5"/>
    </row>
    <row r="82" spans="1:8" ht="15.6" x14ac:dyDescent="0.35">
      <c r="A82" s="5"/>
      <c r="B82" s="5"/>
      <c r="C82" s="5"/>
      <c r="D82" s="5"/>
      <c r="E82" s="5"/>
      <c r="F82" s="5"/>
      <c r="G82" s="5"/>
      <c r="H82" s="5"/>
    </row>
    <row r="83" spans="1:8" ht="15.6" x14ac:dyDescent="0.35">
      <c r="A83" s="5"/>
      <c r="B83" s="5"/>
      <c r="C83" s="5"/>
      <c r="D83" s="5"/>
      <c r="E83" s="5"/>
      <c r="F83" s="5"/>
      <c r="G83" s="5"/>
      <c r="H83" s="5"/>
    </row>
    <row r="84" spans="1:8" ht="15.6" x14ac:dyDescent="0.35">
      <c r="A84" s="5"/>
      <c r="B84" s="5"/>
      <c r="C84" s="5"/>
      <c r="D84" s="5"/>
      <c r="E84" s="5"/>
      <c r="F84" s="5"/>
      <c r="G84" s="5"/>
      <c r="H84" s="5"/>
    </row>
    <row r="85" spans="1:8" ht="15.6" x14ac:dyDescent="0.35">
      <c r="A85" s="5"/>
      <c r="B85" s="5"/>
      <c r="C85" s="5"/>
      <c r="D85" s="5"/>
      <c r="E85" s="5"/>
      <c r="F85" s="5"/>
      <c r="G85" s="5"/>
      <c r="H85" s="5"/>
    </row>
    <row r="86" spans="1:8" ht="15.6" x14ac:dyDescent="0.35">
      <c r="A86" s="5"/>
      <c r="B86" s="5"/>
      <c r="C86" s="5"/>
      <c r="D86" s="5"/>
      <c r="E86" s="5"/>
      <c r="F86" s="5"/>
      <c r="G86" s="5"/>
      <c r="H86" s="5"/>
    </row>
    <row r="87" spans="1:8" ht="15.6" x14ac:dyDescent="0.35">
      <c r="A87" s="5"/>
      <c r="B87" s="5"/>
      <c r="C87" s="5"/>
      <c r="D87" s="5"/>
      <c r="E87" s="5"/>
      <c r="F87" s="5"/>
      <c r="G87" s="5"/>
      <c r="H87" s="5"/>
    </row>
    <row r="88" spans="1:8" ht="15.6" x14ac:dyDescent="0.35">
      <c r="A88" s="5"/>
      <c r="B88" s="5"/>
      <c r="C88" s="5"/>
      <c r="D88" s="5"/>
      <c r="E88" s="5"/>
      <c r="F88" s="5"/>
      <c r="G88" s="5"/>
      <c r="H88" s="5"/>
    </row>
    <row r="89" spans="1:8" ht="15.6" x14ac:dyDescent="0.35">
      <c r="A89" s="5"/>
      <c r="B89" s="5"/>
      <c r="C89" s="5"/>
      <c r="D89" s="5"/>
      <c r="E89" s="5"/>
      <c r="F89" s="5"/>
      <c r="G89" s="5"/>
      <c r="H89" s="5"/>
    </row>
    <row r="90" spans="1:8" ht="15.6" x14ac:dyDescent="0.35">
      <c r="A90" s="5"/>
      <c r="B90" s="5"/>
      <c r="C90" s="5"/>
      <c r="D90" s="5"/>
      <c r="E90" s="5"/>
      <c r="F90" s="5"/>
      <c r="G90" s="5"/>
      <c r="H90" s="5"/>
    </row>
    <row r="91" spans="1:8" ht="15.6" x14ac:dyDescent="0.35">
      <c r="A91" s="5"/>
      <c r="B91" s="5"/>
      <c r="C91" s="5"/>
      <c r="D91" s="5"/>
      <c r="E91" s="5"/>
      <c r="F91" s="5"/>
      <c r="G91" s="5"/>
      <c r="H91" s="5"/>
    </row>
    <row r="92" spans="1:8" ht="15.6" x14ac:dyDescent="0.35">
      <c r="A92" s="5"/>
      <c r="B92" s="5"/>
      <c r="C92" s="5"/>
      <c r="D92" s="5"/>
      <c r="E92" s="5"/>
      <c r="F92" s="5"/>
      <c r="G92" s="5"/>
      <c r="H92" s="5"/>
    </row>
    <row r="93" spans="1:8" ht="15.6" x14ac:dyDescent="0.35">
      <c r="A93" s="5"/>
      <c r="B93" s="5"/>
      <c r="C93" s="5"/>
      <c r="D93" s="5"/>
      <c r="E93" s="5"/>
      <c r="F93" s="5"/>
      <c r="G93" s="5"/>
      <c r="H93" s="5"/>
    </row>
    <row r="94" spans="1:8" ht="15.6" x14ac:dyDescent="0.35">
      <c r="A94" s="5"/>
      <c r="B94" s="5"/>
      <c r="C94" s="5"/>
      <c r="D94" s="5"/>
      <c r="E94" s="5"/>
      <c r="F94" s="5"/>
      <c r="G94" s="5"/>
      <c r="H94" s="5"/>
    </row>
    <row r="95" spans="1:8" ht="15.6" x14ac:dyDescent="0.35">
      <c r="A95" s="5"/>
      <c r="B95" s="5"/>
      <c r="C95" s="5"/>
      <c r="D95" s="5"/>
      <c r="E95" s="5"/>
      <c r="F95" s="5"/>
      <c r="G95" s="5"/>
      <c r="H95" s="5"/>
    </row>
    <row r="96" spans="1:8" ht="15.6" x14ac:dyDescent="0.35">
      <c r="A96" s="5"/>
      <c r="B96" s="5"/>
      <c r="C96" s="5"/>
      <c r="D96" s="5"/>
      <c r="E96" s="5"/>
      <c r="F96" s="5"/>
      <c r="G96" s="5"/>
      <c r="H96" s="5"/>
    </row>
    <row r="97" spans="1:8" ht="15.6" x14ac:dyDescent="0.35">
      <c r="A97" s="5"/>
      <c r="B97" s="5"/>
      <c r="C97" s="5"/>
      <c r="D97" s="5"/>
      <c r="E97" s="5"/>
      <c r="F97" s="5"/>
      <c r="G97" s="5"/>
      <c r="H97" s="5"/>
    </row>
    <row r="98" spans="1:8" ht="15.6" x14ac:dyDescent="0.35">
      <c r="A98" s="5"/>
      <c r="B98" s="5"/>
      <c r="C98" s="5"/>
      <c r="D98" s="5"/>
      <c r="E98" s="5"/>
      <c r="F98" s="5"/>
      <c r="G98" s="5"/>
      <c r="H98" s="5"/>
    </row>
    <row r="99" spans="1:8" ht="15.6" x14ac:dyDescent="0.35">
      <c r="A99" s="5"/>
      <c r="B99" s="5"/>
      <c r="C99" s="5"/>
      <c r="D99" s="5"/>
      <c r="E99" s="5"/>
      <c r="F99" s="5"/>
      <c r="G99" s="5"/>
      <c r="H99" s="5"/>
    </row>
    <row r="100" spans="1:8" ht="15.6" x14ac:dyDescent="0.35">
      <c r="A100" s="5"/>
      <c r="B100" s="5"/>
      <c r="C100" s="5"/>
      <c r="D100" s="5"/>
      <c r="E100" s="5"/>
      <c r="F100" s="5"/>
      <c r="G100" s="5"/>
      <c r="H100" s="5"/>
    </row>
    <row r="101" spans="1:8" ht="15.6" x14ac:dyDescent="0.35">
      <c r="A101" s="5"/>
      <c r="B101" s="5"/>
      <c r="C101" s="5"/>
      <c r="D101" s="5"/>
      <c r="E101" s="5"/>
      <c r="F101" s="5"/>
      <c r="G101" s="5"/>
      <c r="H101" s="5"/>
    </row>
    <row r="102" spans="1:8" ht="15.6" x14ac:dyDescent="0.35">
      <c r="A102" s="5"/>
      <c r="B102" s="5"/>
      <c r="C102" s="5"/>
      <c r="D102" s="5"/>
      <c r="E102" s="5"/>
      <c r="F102" s="5"/>
      <c r="G102" s="5"/>
      <c r="H102" s="5"/>
    </row>
    <row r="103" spans="1:8" ht="15.6" x14ac:dyDescent="0.35">
      <c r="A103" s="5"/>
      <c r="B103" s="5"/>
      <c r="C103" s="5"/>
      <c r="D103" s="5"/>
      <c r="E103" s="5"/>
      <c r="F103" s="5"/>
      <c r="G103" s="5"/>
      <c r="H103" s="5"/>
    </row>
    <row r="104" spans="1:8" ht="15.6" x14ac:dyDescent="0.35">
      <c r="A104" s="5"/>
      <c r="B104" s="5"/>
      <c r="C104" s="5"/>
      <c r="D104" s="5"/>
      <c r="E104" s="5"/>
      <c r="F104" s="5"/>
      <c r="G104" s="5"/>
      <c r="H104" s="5"/>
    </row>
    <row r="105" spans="1:8" ht="15.6" x14ac:dyDescent="0.35">
      <c r="A105" s="5"/>
      <c r="B105" s="5"/>
      <c r="C105" s="5"/>
      <c r="D105" s="5"/>
      <c r="E105" s="5"/>
      <c r="F105" s="5"/>
      <c r="G105" s="5"/>
      <c r="H105" s="5"/>
    </row>
    <row r="106" spans="1:8" ht="15.6" x14ac:dyDescent="0.35">
      <c r="A106" s="5"/>
      <c r="B106" s="5"/>
      <c r="C106" s="5"/>
      <c r="D106" s="5"/>
      <c r="E106" s="5"/>
      <c r="F106" s="5"/>
      <c r="G106" s="5"/>
      <c r="H106" s="5"/>
    </row>
    <row r="107" spans="1:8" ht="15.6" x14ac:dyDescent="0.35">
      <c r="A107" s="5"/>
      <c r="B107" s="5"/>
      <c r="C107" s="5"/>
      <c r="D107" s="5"/>
      <c r="E107" s="5"/>
      <c r="F107" s="5"/>
      <c r="G107" s="5"/>
      <c r="H107" s="5"/>
    </row>
    <row r="108" spans="1:8" ht="15.6" x14ac:dyDescent="0.35">
      <c r="A108" s="5"/>
      <c r="B108" s="5"/>
      <c r="C108" s="5"/>
      <c r="D108" s="5"/>
      <c r="E108" s="5"/>
      <c r="F108" s="5"/>
      <c r="G108" s="5"/>
      <c r="H108" s="5"/>
    </row>
    <row r="109" spans="1:8" ht="15.6" x14ac:dyDescent="0.35">
      <c r="A109" s="5"/>
      <c r="B109" s="5"/>
      <c r="C109" s="5"/>
      <c r="D109" s="5"/>
      <c r="E109" s="5"/>
      <c r="F109" s="5"/>
      <c r="G109" s="5"/>
      <c r="H109" s="5"/>
    </row>
    <row r="110" spans="1:8" ht="15.6" x14ac:dyDescent="0.35">
      <c r="A110" s="5"/>
      <c r="B110" s="5"/>
      <c r="C110" s="5"/>
      <c r="D110" s="5"/>
      <c r="E110" s="5"/>
      <c r="F110" s="5"/>
      <c r="G110" s="5"/>
      <c r="H110" s="5"/>
    </row>
    <row r="111" spans="1:8" ht="15.6" x14ac:dyDescent="0.35">
      <c r="A111" s="5"/>
      <c r="B111" s="5"/>
      <c r="C111" s="5"/>
      <c r="D111" s="5"/>
      <c r="E111" s="5"/>
      <c r="F111" s="5"/>
      <c r="G111" s="5"/>
      <c r="H111" s="5"/>
    </row>
    <row r="112" spans="1:8" ht="15.6" x14ac:dyDescent="0.35">
      <c r="A112" s="5"/>
      <c r="B112" s="5"/>
      <c r="C112" s="5"/>
      <c r="D112" s="5"/>
      <c r="E112" s="5"/>
      <c r="F112" s="5"/>
      <c r="G112" s="5"/>
      <c r="H112" s="5"/>
    </row>
    <row r="113" spans="1:8" ht="15.6" x14ac:dyDescent="0.35">
      <c r="A113" s="5"/>
      <c r="B113" s="5"/>
      <c r="C113" s="5"/>
      <c r="D113" s="5"/>
      <c r="E113" s="5"/>
      <c r="F113" s="5"/>
      <c r="G113" s="5"/>
      <c r="H113" s="5"/>
    </row>
    <row r="114" spans="1:8" ht="15.6" x14ac:dyDescent="0.35">
      <c r="A114" s="5"/>
      <c r="B114" s="5"/>
      <c r="C114" s="5"/>
      <c r="D114" s="5"/>
      <c r="E114" s="5"/>
      <c r="F114" s="5"/>
      <c r="G114" s="5"/>
      <c r="H114" s="5"/>
    </row>
    <row r="115" spans="1:8" ht="15.6" x14ac:dyDescent="0.35">
      <c r="A115" s="5"/>
      <c r="B115" s="5"/>
      <c r="C115" s="5"/>
      <c r="D115" s="5"/>
      <c r="E115" s="5"/>
      <c r="F115" s="5"/>
      <c r="G115" s="5"/>
      <c r="H115" s="5"/>
    </row>
    <row r="116" spans="1:8" ht="15.6" x14ac:dyDescent="0.35">
      <c r="A116" s="5"/>
      <c r="B116" s="5"/>
      <c r="C116" s="5"/>
      <c r="D116" s="5"/>
      <c r="E116" s="5"/>
      <c r="F116" s="5"/>
      <c r="G116" s="5"/>
      <c r="H116" s="5"/>
    </row>
    <row r="117" spans="1:8" ht="15.6" x14ac:dyDescent="0.35">
      <c r="A117" s="5"/>
      <c r="B117" s="5"/>
      <c r="C117" s="5"/>
      <c r="D117" s="5"/>
      <c r="E117" s="5"/>
      <c r="F117" s="5"/>
      <c r="G117" s="5"/>
      <c r="H117" s="5"/>
    </row>
    <row r="118" spans="1:8" ht="15.6" x14ac:dyDescent="0.35">
      <c r="A118" s="5"/>
      <c r="B118" s="5"/>
      <c r="C118" s="5"/>
      <c r="D118" s="5"/>
      <c r="E118" s="5"/>
      <c r="F118" s="5"/>
      <c r="G118" s="5"/>
      <c r="H118" s="5"/>
    </row>
    <row r="119" spans="1:8" ht="15.6" x14ac:dyDescent="0.35">
      <c r="A119" s="5"/>
      <c r="B119" s="5"/>
      <c r="C119" s="5"/>
      <c r="D119" s="5"/>
      <c r="E119" s="5"/>
      <c r="F119" s="5"/>
      <c r="G119" s="5"/>
      <c r="H119" s="5"/>
    </row>
    <row r="120" spans="1:8" ht="15.6" x14ac:dyDescent="0.35">
      <c r="A120" s="5"/>
      <c r="B120" s="5"/>
      <c r="C120" s="5"/>
      <c r="D120" s="5"/>
      <c r="E120" s="5"/>
      <c r="F120" s="5"/>
      <c r="G120" s="5"/>
      <c r="H120" s="5"/>
    </row>
    <row r="121" spans="1:8" ht="15.6" x14ac:dyDescent="0.35">
      <c r="A121" s="5"/>
      <c r="B121" s="5"/>
      <c r="C121" s="5"/>
      <c r="D121" s="5"/>
      <c r="E121" s="5"/>
      <c r="F121" s="5"/>
      <c r="G121" s="5"/>
      <c r="H121" s="5"/>
    </row>
    <row r="122" spans="1:8" ht="15.6" x14ac:dyDescent="0.35">
      <c r="A122" s="5"/>
      <c r="B122" s="5"/>
      <c r="C122" s="5"/>
      <c r="D122" s="5"/>
      <c r="E122" s="5"/>
      <c r="F122" s="5"/>
      <c r="G122" s="5"/>
      <c r="H122" s="5"/>
    </row>
    <row r="123" spans="1:8" ht="15.6" x14ac:dyDescent="0.35">
      <c r="A123" s="5"/>
      <c r="B123" s="5"/>
      <c r="C123" s="5"/>
      <c r="D123" s="5"/>
      <c r="E123" s="5"/>
      <c r="F123" s="5"/>
      <c r="G123" s="5"/>
      <c r="H123" s="5"/>
    </row>
    <row r="124" spans="1:8" ht="15.6" x14ac:dyDescent="0.35">
      <c r="A124" s="5"/>
      <c r="B124" s="5"/>
      <c r="C124" s="5"/>
      <c r="D124" s="5"/>
      <c r="E124" s="5"/>
      <c r="F124" s="5"/>
      <c r="G124" s="5"/>
      <c r="H124" s="5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ignoredErrors>
    <ignoredError sqref="C15:C16 C17:C18 C21:C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L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0" width="13.5546875" style="3" bestFit="1" customWidth="1"/>
    <col min="11" max="12" width="11.5546875" style="3" bestFit="1" customWidth="1"/>
    <col min="13" max="16384" width="11.44140625" style="3"/>
  </cols>
  <sheetData>
    <row r="9" spans="1:8" s="2" customFormat="1" ht="21" customHeight="1" x14ac:dyDescent="0.35">
      <c r="A9" s="23" t="s">
        <v>0</v>
      </c>
      <c r="B9" s="23" t="s">
        <v>34</v>
      </c>
      <c r="C9" s="25" t="s">
        <v>45</v>
      </c>
      <c r="D9" s="25"/>
      <c r="E9" s="25"/>
      <c r="F9" s="25"/>
      <c r="G9" s="25"/>
      <c r="H9" s="25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54</v>
      </c>
      <c r="B15" s="8">
        <f>+SUM(C15+F15)</f>
        <v>137120.33333333334</v>
      </c>
      <c r="C15" s="8">
        <f>+SUM(D15:E15)</f>
        <v>132282.33333333334</v>
      </c>
      <c r="D15" s="8">
        <v>100764</v>
      </c>
      <c r="E15" s="8">
        <v>31518.333333333332</v>
      </c>
      <c r="F15" s="8">
        <v>4838</v>
      </c>
      <c r="G15" s="8"/>
      <c r="H15" s="8"/>
    </row>
    <row r="16" spans="1:8" ht="15.6" x14ac:dyDescent="0.35">
      <c r="A16" s="7" t="s">
        <v>87</v>
      </c>
      <c r="B16" s="8">
        <f t="shared" ref="B16:B18" si="0">+SUM(C16+F16)</f>
        <v>141824</v>
      </c>
      <c r="C16" s="8">
        <f>+SUM(D16:E16)</f>
        <v>136770</v>
      </c>
      <c r="D16" s="8">
        <v>87340</v>
      </c>
      <c r="E16" s="8">
        <v>49430</v>
      </c>
      <c r="F16" s="8">
        <v>5054</v>
      </c>
      <c r="G16" s="8"/>
      <c r="H16" s="8"/>
    </row>
    <row r="17" spans="1:8" ht="15.6" x14ac:dyDescent="0.35">
      <c r="A17" s="7" t="s">
        <v>88</v>
      </c>
      <c r="B17" s="8">
        <f t="shared" si="0"/>
        <v>143715.66666666669</v>
      </c>
      <c r="C17" s="8">
        <f t="shared" ref="C17:C18" si="1">+SUM(D17:E17)</f>
        <v>138681.33333333334</v>
      </c>
      <c r="D17" s="8">
        <v>106452.66666666667</v>
      </c>
      <c r="E17" s="8">
        <v>32228.666666666668</v>
      </c>
      <c r="F17" s="8">
        <v>5034.333333333333</v>
      </c>
      <c r="G17" s="8"/>
      <c r="H17" s="8"/>
    </row>
    <row r="18" spans="1:8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v>87702</v>
      </c>
      <c r="E18" s="8">
        <v>49634</v>
      </c>
      <c r="F18" s="8"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19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54</v>
      </c>
      <c r="B21" s="8">
        <f>+C21+F21+G21+H21</f>
        <v>40117797900</v>
      </c>
      <c r="C21" s="8">
        <f>+SUM(D21:E21)</f>
        <v>32677653000</v>
      </c>
      <c r="D21" s="8">
        <v>24181463220</v>
      </c>
      <c r="E21" s="8">
        <v>8496189780.000001</v>
      </c>
      <c r="F21" s="11">
        <v>4533840390</v>
      </c>
      <c r="G21" s="8">
        <v>2768327969.9999995</v>
      </c>
      <c r="H21" s="8">
        <v>137976540</v>
      </c>
    </row>
    <row r="22" spans="1:8" ht="15.6" x14ac:dyDescent="0.35">
      <c r="A22" s="7" t="s">
        <v>87</v>
      </c>
      <c r="B22" s="8">
        <f t="shared" ref="B22:B25" si="2">+C22+F22+G22+H22</f>
        <v>38713436763.599998</v>
      </c>
      <c r="C22" s="8">
        <f>+SUM(D22:E22)</f>
        <v>33645420000</v>
      </c>
      <c r="D22" s="8">
        <v>21485640000</v>
      </c>
      <c r="E22" s="8">
        <v>12159780000</v>
      </c>
      <c r="F22" s="8">
        <v>5068016763.6000004</v>
      </c>
      <c r="G22" s="8">
        <v>0</v>
      </c>
      <c r="H22" s="8">
        <v>0</v>
      </c>
    </row>
    <row r="23" spans="1:8" ht="15.6" x14ac:dyDescent="0.35">
      <c r="A23" s="7" t="s">
        <v>88</v>
      </c>
      <c r="B23" s="8">
        <f t="shared" si="2"/>
        <v>41019635451.189995</v>
      </c>
      <c r="C23" s="8">
        <f t="shared" ref="C23:C24" si="3">+SUM(D23:E23)</f>
        <v>33535977970.459999</v>
      </c>
      <c r="D23" s="8">
        <v>26185406182.309998</v>
      </c>
      <c r="E23" s="8">
        <v>7350571788.1499996</v>
      </c>
      <c r="F23" s="11">
        <v>577485500</v>
      </c>
      <c r="G23" s="8">
        <v>5350516521.3800001</v>
      </c>
      <c r="H23" s="8">
        <v>1555655459.3499999</v>
      </c>
    </row>
    <row r="24" spans="1:8" ht="15.6" x14ac:dyDescent="0.35">
      <c r="A24" s="7" t="s">
        <v>81</v>
      </c>
      <c r="B24" s="8">
        <f t="shared" si="2"/>
        <v>167722342531.20032</v>
      </c>
      <c r="C24" s="8">
        <f t="shared" si="3"/>
        <v>141400427629.16699</v>
      </c>
      <c r="D24" s="8">
        <v>92560571629.166992</v>
      </c>
      <c r="E24" s="8">
        <v>48839856000</v>
      </c>
      <c r="F24" s="8">
        <v>23862046902.033333</v>
      </c>
      <c r="G24" s="8">
        <v>2056656300</v>
      </c>
      <c r="H24" s="8">
        <v>403211700</v>
      </c>
    </row>
    <row r="25" spans="1:8" ht="15.6" x14ac:dyDescent="0.35">
      <c r="A25" s="7" t="s">
        <v>89</v>
      </c>
      <c r="B25" s="8">
        <f t="shared" si="2"/>
        <v>39463979991.839996</v>
      </c>
      <c r="C25" s="8">
        <f>+C23</f>
        <v>33535977970.459999</v>
      </c>
      <c r="D25" s="8">
        <f>+D23</f>
        <v>26185406182.309998</v>
      </c>
      <c r="E25" s="8">
        <f>+E23</f>
        <v>7350571788.1499996</v>
      </c>
      <c r="F25" s="8">
        <f t="shared" ref="F25:G25" si="4">F23</f>
        <v>577485500</v>
      </c>
      <c r="G25" s="8">
        <f t="shared" si="4"/>
        <v>5350516521.3800001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87</v>
      </c>
      <c r="B28" s="8">
        <f>B22</f>
        <v>38713436763.599998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88</v>
      </c>
      <c r="B29" s="8">
        <v>40267722903.75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55</v>
      </c>
      <c r="B32" s="22">
        <v>1.121</v>
      </c>
      <c r="C32" s="22">
        <v>1.121</v>
      </c>
      <c r="D32" s="22">
        <v>1.121</v>
      </c>
      <c r="E32" s="22">
        <v>1.121</v>
      </c>
      <c r="F32" s="22">
        <v>1.121</v>
      </c>
      <c r="G32" s="22">
        <v>1.121</v>
      </c>
      <c r="H32" s="22">
        <v>1.121</v>
      </c>
    </row>
    <row r="33" spans="1:12" ht="15.6" x14ac:dyDescent="0.35">
      <c r="A33" s="7" t="s">
        <v>90</v>
      </c>
      <c r="B33" s="22">
        <v>1.0973999999999999</v>
      </c>
      <c r="C33" s="22">
        <v>1.0973999999999999</v>
      </c>
      <c r="D33" s="22">
        <v>1.0973999999999999</v>
      </c>
      <c r="E33" s="22">
        <v>1.0973999999999999</v>
      </c>
      <c r="F33" s="22">
        <v>1.0973999999999999</v>
      </c>
      <c r="G33" s="22">
        <v>1.0973999999999999</v>
      </c>
      <c r="H33" s="22">
        <v>1.0973999999999999</v>
      </c>
    </row>
    <row r="34" spans="1:12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12" ht="15.6" x14ac:dyDescent="0.35">
      <c r="A35" s="5"/>
      <c r="B35" s="8"/>
      <c r="C35" s="8"/>
      <c r="D35" s="8"/>
      <c r="E35" s="8"/>
      <c r="F35" s="8"/>
      <c r="G35" s="8"/>
      <c r="H35" s="8"/>
    </row>
    <row r="36" spans="1:12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12" ht="15.6" x14ac:dyDescent="0.35">
      <c r="A37" s="5" t="s">
        <v>56</v>
      </c>
      <c r="B37" s="8">
        <f>B21/B32</f>
        <v>35787509277.430862</v>
      </c>
      <c r="C37" s="8">
        <f t="shared" ref="C37:H37" si="5">C21/C32</f>
        <v>29150448706.512043</v>
      </c>
      <c r="D37" s="8">
        <f t="shared" si="5"/>
        <v>21571332042.818913</v>
      </c>
      <c r="E37" s="8">
        <f t="shared" si="5"/>
        <v>7579116663.6931324</v>
      </c>
      <c r="F37" s="8">
        <f t="shared" si="5"/>
        <v>4044460651.2042818</v>
      </c>
      <c r="G37" s="8">
        <f t="shared" si="5"/>
        <v>2469516476.3603921</v>
      </c>
      <c r="H37" s="8">
        <f t="shared" si="5"/>
        <v>123083443.35414809</v>
      </c>
    </row>
    <row r="38" spans="1:12" ht="15.6" x14ac:dyDescent="0.35">
      <c r="A38" s="5" t="s">
        <v>91</v>
      </c>
      <c r="B38" s="8">
        <f>B23/B33</f>
        <v>37378927876.0616</v>
      </c>
      <c r="C38" s="8">
        <f t="shared" ref="C38:H38" si="6">C23/C33</f>
        <v>30559484208.547478</v>
      </c>
      <c r="D38" s="8">
        <f t="shared" si="6"/>
        <v>23861314181.073444</v>
      </c>
      <c r="E38" s="8">
        <f t="shared" si="6"/>
        <v>6698170027.4740295</v>
      </c>
      <c r="F38" s="8">
        <f t="shared" si="6"/>
        <v>526230636.04884273</v>
      </c>
      <c r="G38" s="8">
        <f t="shared" si="6"/>
        <v>4875630145.23419</v>
      </c>
      <c r="H38" s="8">
        <f t="shared" si="6"/>
        <v>1417582886.2310917</v>
      </c>
    </row>
    <row r="39" spans="1:12" ht="15.6" x14ac:dyDescent="0.35">
      <c r="A39" s="5" t="s">
        <v>57</v>
      </c>
      <c r="B39" s="8">
        <f>B37/B15</f>
        <v>260993.45303101797</v>
      </c>
      <c r="C39" s="8">
        <f t="shared" ref="C39:F39" si="7">C37/C15</f>
        <v>220365.39552909843</v>
      </c>
      <c r="D39" s="8">
        <f t="shared" si="7"/>
        <v>214077.76629370521</v>
      </c>
      <c r="E39" s="8">
        <f t="shared" si="7"/>
        <v>240466.92391813651</v>
      </c>
      <c r="F39" s="8">
        <f t="shared" si="7"/>
        <v>835977.81132787967</v>
      </c>
      <c r="G39" s="8"/>
      <c r="H39" s="8"/>
    </row>
    <row r="40" spans="1:12" ht="15.6" x14ac:dyDescent="0.35">
      <c r="A40" s="5" t="s">
        <v>92</v>
      </c>
      <c r="B40" s="8">
        <f>B38/B17</f>
        <v>260089.44426885675</v>
      </c>
      <c r="C40" s="8">
        <f t="shared" ref="C40:F40" si="8">C38/C17</f>
        <v>220357.58868206831</v>
      </c>
      <c r="D40" s="8">
        <f t="shared" si="8"/>
        <v>224149.520422912</v>
      </c>
      <c r="E40" s="8">
        <f t="shared" si="8"/>
        <v>207832.67569681327</v>
      </c>
      <c r="F40" s="8">
        <f t="shared" si="8"/>
        <v>104528.36576484992</v>
      </c>
      <c r="G40" s="8"/>
      <c r="H40" s="8"/>
    </row>
    <row r="41" spans="1:12" ht="15.6" x14ac:dyDescent="0.35">
      <c r="A41" s="5"/>
      <c r="B41" s="18"/>
      <c r="C41" s="18"/>
      <c r="D41" s="18"/>
      <c r="E41" s="18"/>
      <c r="F41" s="18"/>
      <c r="G41" s="18"/>
      <c r="H41" s="18"/>
    </row>
    <row r="42" spans="1:12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12" ht="15.6" x14ac:dyDescent="0.35">
      <c r="A43" s="5"/>
      <c r="B43" s="18"/>
      <c r="C43" s="18"/>
      <c r="D43" s="18"/>
      <c r="E43" s="18"/>
      <c r="F43" s="18"/>
      <c r="G43" s="18"/>
      <c r="H43" s="18"/>
    </row>
    <row r="44" spans="1:12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12" ht="15.6" x14ac:dyDescent="0.35">
      <c r="A45" s="5" t="s">
        <v>9</v>
      </c>
      <c r="B45" s="12">
        <f>(B16/B34)*100</f>
        <v>86.064519261111244</v>
      </c>
      <c r="C45" s="12">
        <f>(C16/C34)*100</f>
        <v>92.722280600657598</v>
      </c>
      <c r="D45" s="12"/>
      <c r="E45" s="12"/>
      <c r="F45" s="12">
        <f>(F16/F34)*100</f>
        <v>29.242608343458894</v>
      </c>
      <c r="G45" s="12"/>
      <c r="H45" s="12"/>
      <c r="I45" s="4"/>
      <c r="J45" s="4"/>
      <c r="K45" s="4"/>
      <c r="L45" s="4"/>
    </row>
    <row r="46" spans="1:12" ht="15.6" x14ac:dyDescent="0.35">
      <c r="A46" s="5" t="s">
        <v>10</v>
      </c>
      <c r="B46" s="12">
        <f>(B17/B34)*100</f>
        <v>87.212458835999399</v>
      </c>
      <c r="C46" s="12">
        <f>(C17/C34)*100</f>
        <v>94.018055885111238</v>
      </c>
      <c r="D46" s="12"/>
      <c r="E46" s="12"/>
      <c r="F46" s="12">
        <f>(F17/F34)*100</f>
        <v>29.128816370614668</v>
      </c>
      <c r="G46" s="12"/>
      <c r="H46" s="12"/>
      <c r="I46" s="4"/>
      <c r="J46" s="4"/>
      <c r="K46" s="4"/>
      <c r="L46" s="4"/>
    </row>
    <row r="47" spans="1:12" ht="15.6" x14ac:dyDescent="0.35">
      <c r="A47" s="5"/>
      <c r="B47" s="12"/>
      <c r="C47" s="12"/>
      <c r="D47" s="12"/>
      <c r="E47" s="12"/>
      <c r="F47" s="12"/>
      <c r="G47" s="12"/>
      <c r="H47" s="12"/>
      <c r="I47" s="4"/>
      <c r="J47" s="4"/>
      <c r="K47" s="4"/>
      <c r="L47" s="4"/>
    </row>
    <row r="48" spans="1:12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  <c r="I48" s="4"/>
      <c r="J48" s="4"/>
      <c r="K48" s="4"/>
      <c r="L48" s="4"/>
    </row>
    <row r="49" spans="1:12" ht="15.6" x14ac:dyDescent="0.35">
      <c r="A49" s="5" t="s">
        <v>12</v>
      </c>
      <c r="B49" s="12">
        <f>B17/B16*100</f>
        <v>101.33381280084237</v>
      </c>
      <c r="C49" s="12">
        <f t="shared" ref="C49:F49" si="9">C17/C16*100</f>
        <v>101.39747995418101</v>
      </c>
      <c r="D49" s="12">
        <f t="shared" si="9"/>
        <v>121.88306236165178</v>
      </c>
      <c r="E49" s="12">
        <f t="shared" si="9"/>
        <v>65.200620405961303</v>
      </c>
      <c r="F49" s="12">
        <f t="shared" si="9"/>
        <v>99.610869278459305</v>
      </c>
      <c r="G49" s="12"/>
      <c r="H49" s="12"/>
      <c r="I49" s="4"/>
      <c r="J49" s="4"/>
      <c r="K49" s="4"/>
      <c r="L49" s="4"/>
    </row>
    <row r="50" spans="1:12" ht="15.6" x14ac:dyDescent="0.35">
      <c r="A50" s="5" t="s">
        <v>13</v>
      </c>
      <c r="B50" s="12">
        <f>B23/B22*100</f>
        <v>105.95710141073909</v>
      </c>
      <c r="C50" s="12">
        <f t="shared" ref="C50:F50" si="10">C23/C22*100</f>
        <v>99.674719383678365</v>
      </c>
      <c r="D50" s="12">
        <f t="shared" si="10"/>
        <v>121.87398738092045</v>
      </c>
      <c r="E50" s="12">
        <f t="shared" si="10"/>
        <v>60.449874818047689</v>
      </c>
      <c r="F50" s="12">
        <f t="shared" si="10"/>
        <v>11.394703824732233</v>
      </c>
      <c r="G50" s="12" t="s">
        <v>49</v>
      </c>
      <c r="H50" s="12" t="s">
        <v>49</v>
      </c>
      <c r="I50" s="4"/>
      <c r="J50" s="4"/>
      <c r="K50" s="4"/>
      <c r="L50" s="4"/>
    </row>
    <row r="51" spans="1:12" ht="15.6" x14ac:dyDescent="0.35">
      <c r="A51" s="5" t="s">
        <v>14</v>
      </c>
      <c r="B51" s="12">
        <f>AVERAGE(B49:B50)</f>
        <v>103.64545710579073</v>
      </c>
      <c r="C51" s="12">
        <f t="shared" ref="C51:F51" si="11">AVERAGE(C49:C50)</f>
        <v>100.53609966892969</v>
      </c>
      <c r="D51" s="12">
        <f t="shared" si="11"/>
        <v>121.87852487128612</v>
      </c>
      <c r="E51" s="12">
        <f t="shared" si="11"/>
        <v>62.825247612004496</v>
      </c>
      <c r="F51" s="12">
        <f t="shared" si="11"/>
        <v>55.502786551595769</v>
      </c>
      <c r="G51" s="12" t="s">
        <v>49</v>
      </c>
      <c r="H51" s="12" t="s">
        <v>49</v>
      </c>
      <c r="I51" s="4"/>
      <c r="J51" s="4"/>
      <c r="K51" s="4"/>
      <c r="L51" s="4"/>
    </row>
    <row r="52" spans="1:12" ht="15.6" x14ac:dyDescent="0.35">
      <c r="A52" s="5"/>
      <c r="B52" s="12"/>
      <c r="C52" s="12"/>
      <c r="D52" s="12"/>
      <c r="E52" s="12"/>
      <c r="F52" s="12"/>
      <c r="G52" s="12"/>
      <c r="H52" s="12"/>
      <c r="I52" s="4"/>
      <c r="J52" s="4"/>
      <c r="K52" s="4"/>
      <c r="L52" s="4"/>
    </row>
    <row r="53" spans="1:12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  <c r="I53" s="4"/>
      <c r="J53" s="4"/>
      <c r="K53" s="4"/>
      <c r="L53" s="4"/>
    </row>
    <row r="54" spans="1:12" ht="15.6" x14ac:dyDescent="0.35">
      <c r="A54" s="5" t="s">
        <v>16</v>
      </c>
      <c r="B54" s="12">
        <f>B17/B18*100</f>
        <v>100.91317521190982</v>
      </c>
      <c r="C54" s="12">
        <f t="shared" ref="C54:F54" si="12">C17/C18*100</f>
        <v>100.97959262926935</v>
      </c>
      <c r="D54" s="12">
        <f t="shared" si="12"/>
        <v>121.37997613129311</v>
      </c>
      <c r="E54" s="12">
        <f t="shared" si="12"/>
        <v>64.932640260036806</v>
      </c>
      <c r="F54" s="12">
        <f t="shared" si="12"/>
        <v>99.117309269893354</v>
      </c>
      <c r="G54" s="12"/>
      <c r="H54" s="12"/>
      <c r="I54" s="4"/>
      <c r="J54" s="4"/>
      <c r="K54" s="4"/>
      <c r="L54" s="4"/>
    </row>
    <row r="55" spans="1:12" ht="15.6" x14ac:dyDescent="0.35">
      <c r="A55" s="5" t="s">
        <v>17</v>
      </c>
      <c r="B55" s="12">
        <f>B23/B24*100</f>
        <v>24.456870105757897</v>
      </c>
      <c r="C55" s="12">
        <f t="shared" ref="C55:H55" si="13">C23/C24*100</f>
        <v>23.717027262753803</v>
      </c>
      <c r="D55" s="12">
        <f t="shared" si="13"/>
        <v>28.290022113539592</v>
      </c>
      <c r="E55" s="12">
        <f t="shared" si="13"/>
        <v>15.050355161059443</v>
      </c>
      <c r="F55" s="12">
        <f t="shared" si="13"/>
        <v>2.4201004313288452</v>
      </c>
      <c r="G55" s="12">
        <f t="shared" si="13"/>
        <v>260.15608545676787</v>
      </c>
      <c r="H55" s="12">
        <f t="shared" si="13"/>
        <v>385.81605130753888</v>
      </c>
      <c r="I55" s="4"/>
      <c r="J55" s="4"/>
      <c r="K55" s="4"/>
      <c r="L55" s="4"/>
    </row>
    <row r="56" spans="1:12" ht="15.6" x14ac:dyDescent="0.35">
      <c r="A56" s="5" t="s">
        <v>18</v>
      </c>
      <c r="B56" s="12">
        <f>AVERAGE(B54:B55)</f>
        <v>62.685022658833859</v>
      </c>
      <c r="C56" s="12">
        <f t="shared" ref="C56:H56" si="14">AVERAGE(C54:C55)</f>
        <v>62.348309946011575</v>
      </c>
      <c r="D56" s="12">
        <f t="shared" si="14"/>
        <v>74.834999122416349</v>
      </c>
      <c r="E56" s="12">
        <f t="shared" si="14"/>
        <v>39.991497710548124</v>
      </c>
      <c r="F56" s="12">
        <f t="shared" si="14"/>
        <v>50.768704850611101</v>
      </c>
      <c r="G56" s="12">
        <f t="shared" si="14"/>
        <v>260.15608545676787</v>
      </c>
      <c r="H56" s="12">
        <f t="shared" si="14"/>
        <v>385.81605130753888</v>
      </c>
      <c r="I56" s="4"/>
      <c r="J56" s="4"/>
      <c r="K56" s="4"/>
      <c r="L56" s="4"/>
    </row>
    <row r="57" spans="1:12" ht="15.6" x14ac:dyDescent="0.35">
      <c r="A57" s="5"/>
      <c r="B57" s="12"/>
      <c r="C57" s="12"/>
      <c r="D57" s="12"/>
      <c r="E57" s="12"/>
      <c r="F57" s="12"/>
      <c r="G57" s="12"/>
      <c r="H57" s="12"/>
      <c r="I57" s="4"/>
      <c r="J57" s="4"/>
      <c r="K57" s="4"/>
      <c r="L57" s="4"/>
    </row>
    <row r="58" spans="1:12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  <c r="I58" s="4"/>
      <c r="J58" s="4"/>
      <c r="K58" s="4"/>
      <c r="L58" s="4"/>
    </row>
    <row r="59" spans="1:12" ht="15.6" x14ac:dyDescent="0.35">
      <c r="A59" s="5" t="s">
        <v>19</v>
      </c>
      <c r="B59" s="12">
        <f>(B25/B23)*100</f>
        <v>96.20753465446785</v>
      </c>
      <c r="C59" s="12"/>
      <c r="D59" s="12"/>
      <c r="E59" s="12"/>
      <c r="F59" s="12"/>
      <c r="G59" s="12"/>
      <c r="H59" s="12"/>
      <c r="I59" s="4"/>
      <c r="J59" s="4"/>
      <c r="K59" s="4"/>
      <c r="L59" s="4"/>
    </row>
    <row r="60" spans="1:12" ht="15.6" x14ac:dyDescent="0.35">
      <c r="A60" s="5"/>
      <c r="B60" s="12"/>
      <c r="C60" s="12"/>
      <c r="D60" s="12"/>
      <c r="E60" s="12"/>
      <c r="F60" s="12"/>
      <c r="G60" s="12"/>
      <c r="H60" s="12"/>
      <c r="I60" s="4"/>
      <c r="J60" s="4"/>
      <c r="K60" s="4"/>
      <c r="L60" s="4"/>
    </row>
    <row r="61" spans="1:12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  <c r="I61" s="4"/>
      <c r="J61" s="4"/>
      <c r="K61" s="4"/>
      <c r="L61" s="4"/>
    </row>
    <row r="62" spans="1:12" ht="15.6" x14ac:dyDescent="0.35">
      <c r="A62" s="5" t="s">
        <v>21</v>
      </c>
      <c r="B62" s="12">
        <f>((B17/B15)-1)*100</f>
        <v>4.809887179387462</v>
      </c>
      <c r="C62" s="12">
        <f t="shared" ref="C62:F62" si="15">((C17/C15)-1)*100</f>
        <v>4.8373806529972585</v>
      </c>
      <c r="D62" s="12"/>
      <c r="E62" s="12"/>
      <c r="F62" s="12">
        <f t="shared" si="15"/>
        <v>4.0581507509990233</v>
      </c>
      <c r="G62" s="12"/>
      <c r="H62" s="12"/>
      <c r="I62" s="4"/>
      <c r="J62" s="4"/>
      <c r="K62" s="4"/>
      <c r="L62" s="4"/>
    </row>
    <row r="63" spans="1:12" ht="15.6" x14ac:dyDescent="0.35">
      <c r="A63" s="5" t="s">
        <v>22</v>
      </c>
      <c r="B63" s="12">
        <f>((B38/B37)-1)*100</f>
        <v>4.4468548685346887</v>
      </c>
      <c r="C63" s="12">
        <f t="shared" ref="C63:H63" si="16">((C38/C37)-1)*100</f>
        <v>4.8336665971137061</v>
      </c>
      <c r="D63" s="12"/>
      <c r="E63" s="12"/>
      <c r="F63" s="12">
        <f t="shared" si="16"/>
        <v>-86.988855092652415</v>
      </c>
      <c r="G63" s="12">
        <f t="shared" si="16"/>
        <v>97.432582123119175</v>
      </c>
      <c r="H63" s="12">
        <f t="shared" si="16"/>
        <v>1051.7250798324512</v>
      </c>
      <c r="I63" s="4"/>
      <c r="J63" s="4"/>
      <c r="K63" s="4"/>
      <c r="L63" s="4"/>
    </row>
    <row r="64" spans="1:12" ht="15.6" x14ac:dyDescent="0.35">
      <c r="A64" s="5" t="s">
        <v>23</v>
      </c>
      <c r="B64" s="12">
        <f>((B40/B39)-1)*100</f>
        <v>-0.34637219886652915</v>
      </c>
      <c r="C64" s="12">
        <f t="shared" ref="C64:F64" si="17">((C40/C39)-1)*100</f>
        <v>-3.542682829749122E-3</v>
      </c>
      <c r="D64" s="12"/>
      <c r="E64" s="12"/>
      <c r="F64" s="12">
        <f t="shared" si="17"/>
        <v>-87.496275098639813</v>
      </c>
      <c r="G64" s="12"/>
      <c r="H64" s="12"/>
      <c r="I64" s="4"/>
      <c r="J64" s="4"/>
      <c r="K64" s="4"/>
      <c r="L64" s="4"/>
    </row>
    <row r="65" spans="1:12" ht="15.6" x14ac:dyDescent="0.35">
      <c r="A65" s="5"/>
      <c r="B65" s="12"/>
      <c r="C65" s="12"/>
      <c r="D65" s="12"/>
      <c r="E65" s="12"/>
      <c r="F65" s="12"/>
      <c r="G65" s="12"/>
      <c r="H65" s="12"/>
      <c r="I65" s="4"/>
      <c r="J65" s="4"/>
      <c r="K65" s="4"/>
      <c r="L65" s="4"/>
    </row>
    <row r="66" spans="1:12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  <c r="I66" s="4"/>
      <c r="J66" s="4"/>
      <c r="K66" s="4"/>
      <c r="L66" s="4"/>
    </row>
    <row r="67" spans="1:12" ht="15.6" x14ac:dyDescent="0.35">
      <c r="A67" s="5" t="s">
        <v>30</v>
      </c>
      <c r="B67" s="12">
        <f>B22/(B16*3)</f>
        <v>90989.38770024819</v>
      </c>
      <c r="C67" s="12">
        <f t="shared" ref="C67:D67" si="18">C22/(C16*3)</f>
        <v>82000</v>
      </c>
      <c r="D67" s="12">
        <f t="shared" si="18"/>
        <v>82000</v>
      </c>
      <c r="E67" s="12">
        <f t="shared" ref="E67:F67" si="19">E22/(E16*3)</f>
        <v>82000</v>
      </c>
      <c r="F67" s="12">
        <f t="shared" si="19"/>
        <v>334257.80000000005</v>
      </c>
      <c r="G67" s="12"/>
      <c r="H67" s="12"/>
      <c r="I67" s="4"/>
      <c r="J67" s="4"/>
      <c r="K67" s="4"/>
      <c r="L67" s="4"/>
    </row>
    <row r="68" spans="1:12" ht="15.6" x14ac:dyDescent="0.35">
      <c r="A68" s="5" t="s">
        <v>31</v>
      </c>
      <c r="B68" s="12">
        <f>B23/(B17*3)</f>
        <v>95140.718713547787</v>
      </c>
      <c r="C68" s="12">
        <f t="shared" ref="C68:D68" si="20">C23/(C17*3)</f>
        <v>80606.805939900587</v>
      </c>
      <c r="D68" s="12">
        <f t="shared" si="20"/>
        <v>81993.894570701217</v>
      </c>
      <c r="E68" s="12">
        <f t="shared" ref="E68:F68" si="21">E23/(E17*3)</f>
        <v>76025.192769894289</v>
      </c>
      <c r="F68" s="12">
        <f t="shared" si="21"/>
        <v>38236.476196782096</v>
      </c>
      <c r="G68" s="12"/>
      <c r="H68" s="12"/>
      <c r="I68" s="4"/>
      <c r="J68" s="4"/>
      <c r="K68" s="4"/>
      <c r="L68" s="4"/>
    </row>
    <row r="69" spans="1:12" ht="15.6" x14ac:dyDescent="0.35">
      <c r="A69" s="5" t="s">
        <v>25</v>
      </c>
      <c r="B69" s="12">
        <f>(B68/B67)*B51</f>
        <v>108.37421296782966</v>
      </c>
      <c r="C69" s="12">
        <f t="shared" ref="C69:D69" si="22">(C68/C67)*C51</f>
        <v>98.827974097169744</v>
      </c>
      <c r="D69" s="12">
        <f t="shared" si="22"/>
        <v>121.86945022840024</v>
      </c>
      <c r="E69" s="12">
        <f t="shared" ref="E69:F69" si="23">(E68/E67)*E51</f>
        <v>58.247580006329059</v>
      </c>
      <c r="F69" s="12">
        <f t="shared" si="23"/>
        <v>6.349084379886329</v>
      </c>
      <c r="G69" s="12"/>
      <c r="H69" s="12"/>
      <c r="I69" s="4"/>
      <c r="J69" s="4"/>
      <c r="K69" s="4"/>
      <c r="L69" s="4"/>
    </row>
    <row r="70" spans="1:12" ht="15.6" x14ac:dyDescent="0.35">
      <c r="A70" s="13" t="s">
        <v>32</v>
      </c>
      <c r="B70" s="12">
        <f>B22/B16</f>
        <v>272968.1631007446</v>
      </c>
      <c r="C70" s="12">
        <f t="shared" ref="C70:D70" si="24">C22/C16</f>
        <v>246000</v>
      </c>
      <c r="D70" s="12">
        <f t="shared" si="24"/>
        <v>246000</v>
      </c>
      <c r="E70" s="12">
        <f t="shared" ref="E70:F70" si="25">E22/E16</f>
        <v>246000</v>
      </c>
      <c r="F70" s="12">
        <f t="shared" si="25"/>
        <v>1002773.4</v>
      </c>
      <c r="G70" s="12"/>
      <c r="H70" s="12"/>
      <c r="I70" s="4"/>
      <c r="J70" s="4"/>
      <c r="K70" s="4"/>
      <c r="L70" s="4"/>
    </row>
    <row r="71" spans="1:12" ht="15.6" x14ac:dyDescent="0.35">
      <c r="A71" s="13" t="s">
        <v>33</v>
      </c>
      <c r="B71" s="12">
        <f>B23/B17</f>
        <v>285422.15614064335</v>
      </c>
      <c r="C71" s="12">
        <f t="shared" ref="C71:D71" si="26">C23/C17</f>
        <v>241820.41781970175</v>
      </c>
      <c r="D71" s="12">
        <f t="shared" si="26"/>
        <v>245981.68371210364</v>
      </c>
      <c r="E71" s="12">
        <f t="shared" ref="E71:F71" si="27">E23/E17</f>
        <v>228075.57830968287</v>
      </c>
      <c r="F71" s="12">
        <f t="shared" si="27"/>
        <v>114709.4285903463</v>
      </c>
      <c r="G71" s="12"/>
      <c r="H71" s="12"/>
      <c r="I71" s="4"/>
      <c r="J71" s="4"/>
      <c r="K71" s="4"/>
      <c r="L71" s="4"/>
    </row>
    <row r="72" spans="1:12" ht="15.6" x14ac:dyDescent="0.35">
      <c r="A72" s="5"/>
      <c r="B72" s="12"/>
      <c r="C72" s="12"/>
      <c r="D72" s="12"/>
      <c r="E72" s="12"/>
      <c r="F72" s="12"/>
      <c r="G72" s="12"/>
      <c r="H72" s="12"/>
      <c r="I72" s="4"/>
      <c r="J72" s="4"/>
      <c r="K72" s="4"/>
      <c r="L72" s="4"/>
    </row>
    <row r="73" spans="1:12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  <c r="I73" s="4"/>
      <c r="J73" s="4"/>
      <c r="K73" s="4"/>
      <c r="L73" s="4"/>
    </row>
    <row r="74" spans="1:12" ht="15.6" x14ac:dyDescent="0.35">
      <c r="A74" s="5" t="s">
        <v>27</v>
      </c>
      <c r="B74" s="12">
        <f>(B29/B28)*100</f>
        <v>104.01484928770624</v>
      </c>
      <c r="C74" s="12"/>
      <c r="D74" s="12"/>
      <c r="E74" s="12"/>
      <c r="F74" s="12"/>
      <c r="G74" s="12"/>
      <c r="H74" s="12"/>
      <c r="I74" s="4"/>
      <c r="J74" s="4"/>
      <c r="K74" s="4"/>
      <c r="L74" s="4"/>
    </row>
    <row r="75" spans="1:12" ht="15.6" x14ac:dyDescent="0.35">
      <c r="A75" s="5" t="s">
        <v>28</v>
      </c>
      <c r="B75" s="12">
        <f>(B23/B29)*100</f>
        <v>101.86728350455093</v>
      </c>
      <c r="C75" s="12"/>
      <c r="D75" s="12"/>
      <c r="E75" s="12"/>
      <c r="F75" s="12"/>
      <c r="G75" s="12"/>
      <c r="H75" s="12"/>
      <c r="I75" s="4"/>
      <c r="J75" s="4"/>
      <c r="K75" s="4"/>
      <c r="L75" s="4"/>
    </row>
    <row r="76" spans="1:12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12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scale="32" orientation="portrait" r:id="rId1"/>
  <ignoredErrors>
    <ignoredError sqref="C15:C18 C21:C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H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3" t="s">
        <v>0</v>
      </c>
      <c r="B9" s="23" t="s">
        <v>34</v>
      </c>
      <c r="C9" s="25" t="s">
        <v>45</v>
      </c>
      <c r="D9" s="25"/>
      <c r="E9" s="25"/>
      <c r="F9" s="25"/>
      <c r="G9" s="25"/>
      <c r="H9" s="25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58</v>
      </c>
      <c r="B15" s="8">
        <f>+C15+F15</f>
        <v>136317.16666666666</v>
      </c>
      <c r="C15" s="8">
        <f>+D15+E15</f>
        <v>131504.66666666666</v>
      </c>
      <c r="D15" s="8">
        <f>(+'I Trimestre'!D15+'II Trimestre'!D15)/2</f>
        <v>100023</v>
      </c>
      <c r="E15" s="8">
        <f>(+'I Trimestre'!E15+'II Trimestre'!E15)/2</f>
        <v>31481.666666666664</v>
      </c>
      <c r="F15" s="8">
        <f>(+'I Trimestre'!F15+'II Trimestre'!F15)/2</f>
        <v>4812.5</v>
      </c>
      <c r="G15" s="8"/>
      <c r="H15" s="8"/>
    </row>
    <row r="16" spans="1:8" ht="15.6" x14ac:dyDescent="0.35">
      <c r="A16" s="7" t="s">
        <v>93</v>
      </c>
      <c r="B16" s="8">
        <f t="shared" ref="B16:B18" si="0">+C16+F16</f>
        <v>141173.66666666666</v>
      </c>
      <c r="C16" s="8">
        <f>+D16+E16</f>
        <v>136144.5</v>
      </c>
      <c r="D16" s="8">
        <f>(+'I Trimestre'!D16+'II Trimestre'!D16)/2</f>
        <v>86939.5</v>
      </c>
      <c r="E16" s="8">
        <f>(+'I Trimestre'!E16+'II Trimestre'!E16)/2</f>
        <v>49205</v>
      </c>
      <c r="F16" s="8">
        <f>(+'I Trimestre'!F16+'II Trimestre'!F16)/2</f>
        <v>5029.1666666666661</v>
      </c>
      <c r="G16" s="8"/>
      <c r="H16" s="8"/>
    </row>
    <row r="17" spans="1:8" ht="15.6" x14ac:dyDescent="0.35">
      <c r="A17" s="7" t="s">
        <v>94</v>
      </c>
      <c r="B17" s="8">
        <f t="shared" si="0"/>
        <v>143049.66666666666</v>
      </c>
      <c r="C17" s="8">
        <f t="shared" ref="C17:C18" si="1">+D17+E17</f>
        <v>138038.5</v>
      </c>
      <c r="D17" s="8">
        <f>(+'I Trimestre'!D17+'II Trimestre'!D17)/2</f>
        <v>105863.5</v>
      </c>
      <c r="E17" s="8">
        <f>(+'I Trimestre'!E17+'II Trimestre'!E17)/2</f>
        <v>32175</v>
      </c>
      <c r="F17" s="8">
        <f>(+'I Trimestre'!F17+'II Trimestre'!F17)/2</f>
        <v>5011.1666666666661</v>
      </c>
      <c r="G17" s="8"/>
      <c r="H17" s="8"/>
    </row>
    <row r="18" spans="1:8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f>'II Trimestre'!D18</f>
        <v>87702</v>
      </c>
      <c r="E18" s="8">
        <f>'II Trimestre'!E18</f>
        <v>49634</v>
      </c>
      <c r="F18" s="8">
        <f>'II Trimestre'!F18</f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58</v>
      </c>
      <c r="B21" s="8">
        <f>+C21+F21+G21+H21</f>
        <v>80235595800</v>
      </c>
      <c r="C21" s="8">
        <f>+SUM(D21:E21)</f>
        <v>64868935700</v>
      </c>
      <c r="D21" s="8">
        <f>+'I Trimestre'!D21+'II Trimestre'!D21</f>
        <v>48003012418</v>
      </c>
      <c r="E21" s="8">
        <f>+'I Trimestre'!E21+'II Trimestre'!E21</f>
        <v>16865923282</v>
      </c>
      <c r="F21" s="8">
        <f>+'I Trimestre'!F21+'II Trimestre'!F21</f>
        <v>8993926190</v>
      </c>
      <c r="G21" s="8">
        <f>+'I Trimestre'!G21+'II Trimestre'!G21</f>
        <v>5547000270</v>
      </c>
      <c r="H21" s="8">
        <f>+'I Trimestre'!H21+'II Trimestre'!H21</f>
        <v>825733640</v>
      </c>
    </row>
    <row r="22" spans="1:8" ht="15.6" x14ac:dyDescent="0.35">
      <c r="A22" s="7" t="s">
        <v>93</v>
      </c>
      <c r="B22" s="8">
        <f t="shared" ref="B22:B23" si="2">+C22+F22+G22+H22</f>
        <v>77069323115</v>
      </c>
      <c r="C22" s="8">
        <f>+SUM(D22:E22)</f>
        <v>66983094000</v>
      </c>
      <c r="D22" s="8">
        <f>+'I Trimestre'!D22+'II Trimestre'!D22</f>
        <v>42774234000</v>
      </c>
      <c r="E22" s="8">
        <f>+'I Trimestre'!E22+'II Trimestre'!E22</f>
        <v>24208860000</v>
      </c>
      <c r="F22" s="8">
        <f>+'I Trimestre'!F22+'II Trimestre'!F22</f>
        <v>10086229115</v>
      </c>
      <c r="G22" s="8">
        <f>+'I Trimestre'!G22+'II Trimestre'!G22</f>
        <v>0</v>
      </c>
      <c r="H22" s="8">
        <f>+'I Trimestre'!H22+'II Trimestre'!H22</f>
        <v>0</v>
      </c>
    </row>
    <row r="23" spans="1:8" ht="15.6" x14ac:dyDescent="0.35">
      <c r="A23" s="7" t="s">
        <v>94</v>
      </c>
      <c r="B23" s="8">
        <f t="shared" si="2"/>
        <v>81385595808.52002</v>
      </c>
      <c r="C23" s="8">
        <f t="shared" ref="C23:C24" si="3">+SUM(D23:E23)</f>
        <v>67317557083.82</v>
      </c>
      <c r="D23" s="8">
        <f>+'I Trimestre'!D23+'II Trimestre'!D23</f>
        <v>52866244581.529999</v>
      </c>
      <c r="E23" s="8">
        <f>+'I Trimestre'!E23+'II Trimestre'!E23</f>
        <v>14451312502.289999</v>
      </c>
      <c r="F23" s="8">
        <f>+'I Trimestre'!F23+'II Trimestre'!F23</f>
        <v>1521655617.03</v>
      </c>
      <c r="G23" s="8">
        <f>+'I Trimestre'!G23+'II Trimestre'!G23</f>
        <v>9836840169.0699997</v>
      </c>
      <c r="H23" s="8">
        <f>+'I Trimestre'!H23+'II Trimestre'!H23</f>
        <v>2709542938.5999999</v>
      </c>
    </row>
    <row r="24" spans="1:8" ht="15.6" x14ac:dyDescent="0.35">
      <c r="A24" s="7" t="s">
        <v>81</v>
      </c>
      <c r="B24" s="8">
        <f>+C24+F24+G24+H24</f>
        <v>167722342531.20032</v>
      </c>
      <c r="C24" s="8">
        <f t="shared" si="3"/>
        <v>141400427629.16699</v>
      </c>
      <c r="D24" s="8">
        <f>+'II Trimestre'!D24</f>
        <v>92560571629.166992</v>
      </c>
      <c r="E24" s="8">
        <f>+'II Trimestre'!E24</f>
        <v>48839856000</v>
      </c>
      <c r="F24" s="8">
        <f>+'II Trimestre'!F24</f>
        <v>23862046902.033333</v>
      </c>
      <c r="G24" s="8">
        <f>+'II Trimestre'!G24</f>
        <v>2056656300</v>
      </c>
      <c r="H24" s="8">
        <f>+'II Trimestre'!H24</f>
        <v>403211700</v>
      </c>
    </row>
    <row r="25" spans="1:8" ht="15.6" x14ac:dyDescent="0.35">
      <c r="A25" s="7" t="s">
        <v>95</v>
      </c>
      <c r="B25" s="8">
        <f>+C25+F25+G25</f>
        <v>78676052869.920013</v>
      </c>
      <c r="C25" s="8">
        <f>+C23</f>
        <v>67317557083.82</v>
      </c>
      <c r="D25" s="8">
        <f t="shared" ref="D25" si="4">+D23</f>
        <v>52866244581.529999</v>
      </c>
      <c r="E25" s="8">
        <f t="shared" ref="E25:G25" si="5">+E23</f>
        <v>14451312502.289999</v>
      </c>
      <c r="F25" s="8">
        <f t="shared" si="5"/>
        <v>1521655617.03</v>
      </c>
      <c r="G25" s="8">
        <f t="shared" si="5"/>
        <v>9836840169.0699997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93</v>
      </c>
      <c r="B28" s="8">
        <f>B22</f>
        <v>77069323115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94</v>
      </c>
      <c r="B29" s="8">
        <f>+'I Trimestre'!B29+'II Trimestre'!B29</f>
        <v>80385595807.5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59</v>
      </c>
      <c r="B32" s="22">
        <v>1.121</v>
      </c>
      <c r="C32" s="22">
        <v>1.121</v>
      </c>
      <c r="D32" s="22">
        <v>1.121</v>
      </c>
      <c r="E32" s="22">
        <v>1.121</v>
      </c>
      <c r="F32" s="22">
        <v>1.121</v>
      </c>
      <c r="G32" s="22">
        <v>1.121</v>
      </c>
      <c r="H32" s="22">
        <v>1.121</v>
      </c>
    </row>
    <row r="33" spans="1:8" ht="15.6" x14ac:dyDescent="0.35">
      <c r="A33" s="7" t="s">
        <v>96</v>
      </c>
      <c r="B33" s="22">
        <v>1.0973999999999999</v>
      </c>
      <c r="C33" s="22">
        <v>1.0973999999999999</v>
      </c>
      <c r="D33" s="22">
        <v>1.0973999999999999</v>
      </c>
      <c r="E33" s="22">
        <v>1.0973999999999999</v>
      </c>
      <c r="F33" s="22">
        <v>1.0973999999999999</v>
      </c>
      <c r="G33" s="22">
        <v>1.0973999999999999</v>
      </c>
      <c r="H33" s="22">
        <v>1.0973999999999999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60</v>
      </c>
      <c r="B37" s="8">
        <f>B21/B32</f>
        <v>71575018554.861725</v>
      </c>
      <c r="C37" s="8">
        <f t="shared" ref="C37:H37" si="6">C21/C32</f>
        <v>57867025602.140945</v>
      </c>
      <c r="D37" s="8">
        <f t="shared" si="6"/>
        <v>42821598945.584297</v>
      </c>
      <c r="E37" s="8">
        <f t="shared" si="6"/>
        <v>15045426656.556646</v>
      </c>
      <c r="F37" s="8">
        <f t="shared" si="6"/>
        <v>8023127734.1659231</v>
      </c>
      <c r="G37" s="8">
        <f t="shared" si="6"/>
        <v>4948260722.5691347</v>
      </c>
      <c r="H37" s="8">
        <f t="shared" si="6"/>
        <v>736604495.98572707</v>
      </c>
    </row>
    <row r="38" spans="1:8" ht="15.6" x14ac:dyDescent="0.35">
      <c r="A38" s="5" t="s">
        <v>97</v>
      </c>
      <c r="B38" s="8">
        <f>B23/B33</f>
        <v>74162197747.876816</v>
      </c>
      <c r="C38" s="8">
        <f t="shared" ref="C38:H38" si="7">C23/C33</f>
        <v>61342771171.696739</v>
      </c>
      <c r="D38" s="8">
        <f t="shared" si="7"/>
        <v>48174088373.911064</v>
      </c>
      <c r="E38" s="8">
        <f t="shared" si="7"/>
        <v>13168682797.785675</v>
      </c>
      <c r="F38" s="8">
        <f t="shared" si="7"/>
        <v>1386600708.0645163</v>
      </c>
      <c r="G38" s="8">
        <f t="shared" si="7"/>
        <v>8963769062.3929291</v>
      </c>
      <c r="H38" s="8">
        <f t="shared" si="7"/>
        <v>2469056805.7226171</v>
      </c>
    </row>
    <row r="39" spans="1:8" ht="15.6" x14ac:dyDescent="0.35">
      <c r="A39" s="5" t="s">
        <v>61</v>
      </c>
      <c r="B39" s="8">
        <f>B37/B15</f>
        <v>525062.39899984514</v>
      </c>
      <c r="C39" s="8">
        <f t="shared" ref="C39:F39" si="8">C37/C15</f>
        <v>440037.81058827532</v>
      </c>
      <c r="D39" s="8">
        <f t="shared" si="8"/>
        <v>428117.52242568508</v>
      </c>
      <c r="E39" s="8">
        <f t="shared" si="8"/>
        <v>477910.74138037954</v>
      </c>
      <c r="F39" s="8">
        <f t="shared" si="8"/>
        <v>1667143.4252812308</v>
      </c>
      <c r="G39" s="8"/>
      <c r="H39" s="8"/>
    </row>
    <row r="40" spans="1:8" ht="15.6" x14ac:dyDescent="0.35">
      <c r="A40" s="5" t="s">
        <v>98</v>
      </c>
      <c r="B40" s="8">
        <f>B38/B17</f>
        <v>518436.70436988195</v>
      </c>
      <c r="C40" s="8">
        <f t="shared" ref="C40:F40" si="9">C38/C17</f>
        <v>444388.8565269598</v>
      </c>
      <c r="D40" s="8">
        <f t="shared" si="9"/>
        <v>455058.52700799674</v>
      </c>
      <c r="E40" s="8">
        <f t="shared" si="9"/>
        <v>409283.0706382494</v>
      </c>
      <c r="F40" s="8">
        <f t="shared" si="9"/>
        <v>276702.17342558614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85.669870783471282</v>
      </c>
      <c r="C45" s="12">
        <f>(C16/C34)*100</f>
        <v>92.298227178739694</v>
      </c>
      <c r="D45" s="12"/>
      <c r="E45" s="12"/>
      <c r="F45" s="12">
        <f>(F16/F34)*100</f>
        <v>29.098921869274236</v>
      </c>
      <c r="G45" s="12"/>
      <c r="H45" s="12"/>
    </row>
    <row r="46" spans="1:8" ht="15.6" x14ac:dyDescent="0.35">
      <c r="A46" s="5" t="s">
        <v>10</v>
      </c>
      <c r="B46" s="12">
        <f>(B17/B34)*100</f>
        <v>86.808303193598235</v>
      </c>
      <c r="C46" s="12">
        <f>(C17/C34)*100</f>
        <v>93.58225144910341</v>
      </c>
      <c r="D46" s="12"/>
      <c r="E46" s="12"/>
      <c r="F46" s="12">
        <f>(F17/F34)*100</f>
        <v>28.994773283959184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101.32885972596399</v>
      </c>
      <c r="C49" s="12">
        <f t="shared" ref="C49:F49" si="10">C17/C16*100</f>
        <v>101.39116894182285</v>
      </c>
      <c r="D49" s="12">
        <f t="shared" si="10"/>
        <v>121.76686086301393</v>
      </c>
      <c r="E49" s="12">
        <f t="shared" si="10"/>
        <v>65.389696169088509</v>
      </c>
      <c r="F49" s="12">
        <f t="shared" si="10"/>
        <v>99.642087821043916</v>
      </c>
      <c r="G49" s="12"/>
      <c r="H49" s="12"/>
    </row>
    <row r="50" spans="1:8" ht="15.6" x14ac:dyDescent="0.35">
      <c r="A50" s="5" t="s">
        <v>13</v>
      </c>
      <c r="B50" s="12">
        <f>B23/B22*100</f>
        <v>105.60050681524662</v>
      </c>
      <c r="C50" s="12">
        <f t="shared" ref="C50:F50" si="11">C23/C22*100</f>
        <v>100.49932462633033</v>
      </c>
      <c r="D50" s="12">
        <f t="shared" si="11"/>
        <v>123.59366758392447</v>
      </c>
      <c r="E50" s="12">
        <f t="shared" si="11"/>
        <v>59.694312339738417</v>
      </c>
      <c r="F50" s="12">
        <f t="shared" si="11"/>
        <v>15.086466901361877</v>
      </c>
      <c r="G50" s="12" t="s">
        <v>49</v>
      </c>
      <c r="H50" s="12" t="s">
        <v>49</v>
      </c>
    </row>
    <row r="51" spans="1:8" ht="15.6" x14ac:dyDescent="0.35">
      <c r="A51" s="5" t="s">
        <v>14</v>
      </c>
      <c r="B51" s="12">
        <f>AVERAGE(B49:B50)</f>
        <v>103.46468327060531</v>
      </c>
      <c r="C51" s="12">
        <f t="shared" ref="C51:F51" si="12">AVERAGE(C49:C50)</f>
        <v>100.9452467840766</v>
      </c>
      <c r="D51" s="12">
        <f t="shared" si="12"/>
        <v>122.68026422346921</v>
      </c>
      <c r="E51" s="12">
        <f t="shared" si="12"/>
        <v>62.542004254413463</v>
      </c>
      <c r="F51" s="12">
        <f t="shared" si="12"/>
        <v>57.364277361202895</v>
      </c>
      <c r="G51" s="12" t="s">
        <v>49</v>
      </c>
      <c r="H51" s="12" t="s">
        <v>49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100.44552839058574</v>
      </c>
      <c r="C54" s="12">
        <f t="shared" ref="C54:F54" si="13">C17/C18*100</f>
        <v>100.51151919380206</v>
      </c>
      <c r="D54" s="12">
        <f t="shared" si="13"/>
        <v>120.70819365578893</v>
      </c>
      <c r="E54" s="12">
        <f t="shared" si="13"/>
        <v>64.824515453116817</v>
      </c>
      <c r="F54" s="12">
        <f t="shared" si="13"/>
        <v>98.66119770303527</v>
      </c>
      <c r="G54" s="12"/>
      <c r="H54" s="12"/>
    </row>
    <row r="55" spans="1:8" ht="15.6" x14ac:dyDescent="0.35">
      <c r="A55" s="5" t="s">
        <v>17</v>
      </c>
      <c r="B55" s="12">
        <f>B23/B24*100</f>
        <v>48.524003767345654</v>
      </c>
      <c r="C55" s="12">
        <f t="shared" ref="C55:H55" si="14">C23/C24*100</f>
        <v>47.607746463373672</v>
      </c>
      <c r="D55" s="12">
        <f t="shared" si="14"/>
        <v>57.115296125581814</v>
      </c>
      <c r="E55" s="12">
        <f t="shared" si="14"/>
        <v>29.589179178353842</v>
      </c>
      <c r="F55" s="12">
        <f t="shared" si="14"/>
        <v>6.3768863722262505</v>
      </c>
      <c r="G55" s="12">
        <f t="shared" si="14"/>
        <v>478.29285666593881</v>
      </c>
      <c r="H55" s="12">
        <f t="shared" si="14"/>
        <v>671.99015767647609</v>
      </c>
    </row>
    <row r="56" spans="1:8" ht="15.6" x14ac:dyDescent="0.35">
      <c r="A56" s="5" t="s">
        <v>18</v>
      </c>
      <c r="B56" s="12">
        <f>AVERAGE(B54:B55)</f>
        <v>74.484766078965691</v>
      </c>
      <c r="C56" s="12">
        <f t="shared" ref="C56:H56" si="15">AVERAGE(C54:C55)</f>
        <v>74.059632828587866</v>
      </c>
      <c r="D56" s="12">
        <f t="shared" si="15"/>
        <v>88.91174489068537</v>
      </c>
      <c r="E56" s="12">
        <f t="shared" si="15"/>
        <v>47.206847315735331</v>
      </c>
      <c r="F56" s="12">
        <f t="shared" si="15"/>
        <v>52.519042037630761</v>
      </c>
      <c r="G56" s="12">
        <f t="shared" si="15"/>
        <v>478.29285666593881</v>
      </c>
      <c r="H56" s="12">
        <f t="shared" si="15"/>
        <v>671.99015767647609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96.670734038766653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4.938849716897975</v>
      </c>
      <c r="C62" s="12">
        <f t="shared" ref="C62:F62" si="16">((C17/C15)-1)*100</f>
        <v>4.9685182274900264</v>
      </c>
      <c r="D62" s="12"/>
      <c r="E62" s="12"/>
      <c r="F62" s="12">
        <f t="shared" si="16"/>
        <v>4.1281385281385141</v>
      </c>
      <c r="G62" s="12"/>
      <c r="H62" s="12"/>
    </row>
    <row r="63" spans="1:8" ht="15.6" x14ac:dyDescent="0.35">
      <c r="A63" s="5" t="s">
        <v>22</v>
      </c>
      <c r="B63" s="12">
        <f>((B38/B37)-1)*100</f>
        <v>3.6146399194183054</v>
      </c>
      <c r="C63" s="12">
        <f t="shared" ref="C63:H63" si="17">((C38/C37)-1)*100</f>
        <v>6.0064355017189541</v>
      </c>
      <c r="D63" s="12"/>
      <c r="E63" s="12"/>
      <c r="F63" s="12">
        <f t="shared" si="17"/>
        <v>-82.717454414195913</v>
      </c>
      <c r="G63" s="12">
        <f t="shared" si="17"/>
        <v>81.149894174107786</v>
      </c>
      <c r="H63" s="12">
        <f t="shared" si="17"/>
        <v>235.19437081612099</v>
      </c>
    </row>
    <row r="64" spans="1:8" ht="15.6" x14ac:dyDescent="0.35">
      <c r="A64" s="5" t="s">
        <v>23</v>
      </c>
      <c r="B64" s="12">
        <f>((B40/B39)-1)*100</f>
        <v>-1.2618870904837265</v>
      </c>
      <c r="C64" s="12">
        <f t="shared" ref="C64:F64" si="18">((C40/C39)-1)*100</f>
        <v>0.98878910720596735</v>
      </c>
      <c r="D64" s="12"/>
      <c r="E64" s="12"/>
      <c r="F64" s="12">
        <f t="shared" si="18"/>
        <v>-83.402617361556082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B22/(B16*6)</f>
        <v>90986.42465780917</v>
      </c>
      <c r="C67" s="12">
        <f t="shared" ref="C67:F67" si="19">C22/(C16*6)</f>
        <v>82000</v>
      </c>
      <c r="D67" s="12">
        <f t="shared" si="19"/>
        <v>82000</v>
      </c>
      <c r="E67" s="12">
        <f t="shared" si="19"/>
        <v>82000</v>
      </c>
      <c r="F67" s="12">
        <f t="shared" si="19"/>
        <v>334257.80000000005</v>
      </c>
      <c r="G67" s="12"/>
      <c r="H67" s="12"/>
    </row>
    <row r="68" spans="1:8" ht="15.6" x14ac:dyDescent="0.35">
      <c r="A68" s="5" t="s">
        <v>31</v>
      </c>
      <c r="B68" s="12">
        <f>B23/(B17*6)</f>
        <v>94822.0732292514</v>
      </c>
      <c r="C68" s="12">
        <f t="shared" ref="C68:F68" si="20">C23/(C17*6)</f>
        <v>81278.721858780948</v>
      </c>
      <c r="D68" s="12">
        <f t="shared" si="20"/>
        <v>83230.204589762594</v>
      </c>
      <c r="E68" s="12">
        <f t="shared" si="20"/>
        <v>74857.873619735808</v>
      </c>
      <c r="F68" s="12">
        <f t="shared" si="20"/>
        <v>50608.8275195397</v>
      </c>
      <c r="G68" s="12"/>
      <c r="H68" s="12"/>
    </row>
    <row r="69" spans="1:8" ht="15.6" x14ac:dyDescent="0.35">
      <c r="A69" s="5" t="s">
        <v>25</v>
      </c>
      <c r="B69" s="12">
        <f>(B68/B67)*B51</f>
        <v>107.82636872065072</v>
      </c>
      <c r="C69" s="12">
        <f t="shared" ref="C69:F69" si="21">(C68/C67)*C51</f>
        <v>100.05732483328005</v>
      </c>
      <c r="D69" s="12">
        <f t="shared" si="21"/>
        <v>124.52077427372531</v>
      </c>
      <c r="E69" s="12">
        <f t="shared" si="21"/>
        <v>57.094651834169049</v>
      </c>
      <c r="F69" s="12">
        <f t="shared" si="21"/>
        <v>8.6853285660234487</v>
      </c>
      <c r="G69" s="12"/>
      <c r="H69" s="12"/>
    </row>
    <row r="70" spans="1:8" ht="15.6" x14ac:dyDescent="0.35">
      <c r="A70" s="13" t="s">
        <v>35</v>
      </c>
      <c r="B70" s="12">
        <f>B22/B16</f>
        <v>545918.54794685508</v>
      </c>
      <c r="C70" s="12">
        <f t="shared" ref="C70:F70" si="22">C22/C16</f>
        <v>492000</v>
      </c>
      <c r="D70" s="12">
        <f t="shared" si="22"/>
        <v>492000</v>
      </c>
      <c r="E70" s="12">
        <f t="shared" si="22"/>
        <v>492000</v>
      </c>
      <c r="F70" s="12">
        <f t="shared" si="22"/>
        <v>2005546.8000000003</v>
      </c>
      <c r="G70" s="12"/>
      <c r="H70" s="12"/>
    </row>
    <row r="71" spans="1:8" ht="15.6" x14ac:dyDescent="0.35">
      <c r="A71" s="13" t="s">
        <v>36</v>
      </c>
      <c r="B71" s="12">
        <f>B23/B17</f>
        <v>568932.43937550846</v>
      </c>
      <c r="C71" s="12">
        <f t="shared" ref="C71:F71" si="23">C23/C17</f>
        <v>487672.33115268569</v>
      </c>
      <c r="D71" s="12">
        <f t="shared" si="23"/>
        <v>499381.22753857559</v>
      </c>
      <c r="E71" s="12">
        <f t="shared" si="23"/>
        <v>449147.24171841488</v>
      </c>
      <c r="F71" s="12">
        <f t="shared" si="23"/>
        <v>303652.96511723817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104.30297368455098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101.244003967346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H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3" t="s">
        <v>0</v>
      </c>
      <c r="B9" s="23" t="s">
        <v>34</v>
      </c>
      <c r="C9" s="25" t="s">
        <v>45</v>
      </c>
      <c r="D9" s="25"/>
      <c r="E9" s="25"/>
      <c r="F9" s="25"/>
      <c r="G9" s="25"/>
      <c r="H9" s="25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6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62</v>
      </c>
      <c r="B15" s="8">
        <f>+C15+F15</f>
        <v>139033.33333333334</v>
      </c>
      <c r="C15" s="8">
        <f>+D15+E15</f>
        <v>134158</v>
      </c>
      <c r="D15" s="8">
        <v>102475</v>
      </c>
      <c r="E15" s="8">
        <v>31683</v>
      </c>
      <c r="F15" s="8">
        <v>4875.333333333333</v>
      </c>
      <c r="G15" s="8"/>
      <c r="H15" s="8"/>
    </row>
    <row r="16" spans="1:8" ht="15.6" x14ac:dyDescent="0.35">
      <c r="A16" s="7" t="s">
        <v>99</v>
      </c>
      <c r="B16" s="8">
        <f t="shared" ref="B16:B18" si="0">+C16+F16</f>
        <v>143057</v>
      </c>
      <c r="C16" s="8">
        <f>+D16+E16</f>
        <v>137953</v>
      </c>
      <c r="D16" s="8">
        <v>88097</v>
      </c>
      <c r="E16" s="8">
        <v>49856</v>
      </c>
      <c r="F16" s="8">
        <v>5104</v>
      </c>
      <c r="G16" s="8"/>
      <c r="H16" s="8"/>
    </row>
    <row r="17" spans="1:8" ht="15.6" x14ac:dyDescent="0.35">
      <c r="A17" s="7" t="s">
        <v>100</v>
      </c>
      <c r="B17" s="8">
        <f t="shared" si="0"/>
        <v>144965</v>
      </c>
      <c r="C17" s="8">
        <f t="shared" ref="C17:C18" si="1">+D17+E17</f>
        <v>139891</v>
      </c>
      <c r="D17" s="8">
        <v>107685.33333333333</v>
      </c>
      <c r="E17" s="8">
        <v>32205.666666666668</v>
      </c>
      <c r="F17" s="8">
        <v>5074</v>
      </c>
      <c r="G17" s="8"/>
      <c r="H17" s="8"/>
    </row>
    <row r="18" spans="1:8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v>87702</v>
      </c>
      <c r="E18" s="8">
        <v>49634</v>
      </c>
      <c r="F18" s="8"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62</v>
      </c>
      <c r="B21" s="8">
        <f>+C21+F21+G21+H21</f>
        <v>40117798100</v>
      </c>
      <c r="C21" s="8">
        <f>+D21+E21</f>
        <v>33129288000</v>
      </c>
      <c r="D21" s="8">
        <v>24515673120</v>
      </c>
      <c r="E21" s="8">
        <v>8613614880</v>
      </c>
      <c r="F21" s="11">
        <v>4521846200</v>
      </c>
      <c r="G21" s="8">
        <v>2421994700</v>
      </c>
      <c r="H21" s="8">
        <v>44669200</v>
      </c>
    </row>
    <row r="22" spans="1:8" ht="15.6" x14ac:dyDescent="0.35">
      <c r="A22" s="7" t="s">
        <v>99</v>
      </c>
      <c r="B22" s="8">
        <f t="shared" ref="B22:B24" si="2">+C22+F22+G22+H22</f>
        <v>39054593433.599998</v>
      </c>
      <c r="C22" s="8">
        <f>+D22+E22</f>
        <v>33936438000</v>
      </c>
      <c r="D22" s="8">
        <v>21671862000</v>
      </c>
      <c r="E22" s="8">
        <v>12264576000</v>
      </c>
      <c r="F22" s="8">
        <v>5118155433.6000004</v>
      </c>
      <c r="G22" s="8">
        <v>0</v>
      </c>
      <c r="H22" s="8">
        <v>0</v>
      </c>
    </row>
    <row r="23" spans="1:8" ht="15.6" x14ac:dyDescent="0.35">
      <c r="A23" s="7" t="s">
        <v>100</v>
      </c>
      <c r="B23" s="8">
        <f t="shared" si="2"/>
        <v>40192797903.749992</v>
      </c>
      <c r="C23" s="8">
        <f t="shared" ref="C23:C24" si="3">+D23+E23</f>
        <v>32985869831.939995</v>
      </c>
      <c r="D23" s="8">
        <v>25860911936.069996</v>
      </c>
      <c r="E23" s="8">
        <v>7124957895.8699989</v>
      </c>
      <c r="F23" s="11">
        <v>599730085.01999998</v>
      </c>
      <c r="G23" s="8">
        <v>5397563017.4700003</v>
      </c>
      <c r="H23" s="8">
        <v>1209634969.3199999</v>
      </c>
    </row>
    <row r="24" spans="1:8" ht="15.6" x14ac:dyDescent="0.35">
      <c r="A24" s="7" t="s">
        <v>81</v>
      </c>
      <c r="B24" s="8">
        <f t="shared" si="2"/>
        <v>167722342531.20032</v>
      </c>
      <c r="C24" s="8">
        <f t="shared" si="3"/>
        <v>141400427629.16699</v>
      </c>
      <c r="D24" s="8">
        <v>92560571629.166992</v>
      </c>
      <c r="E24" s="8">
        <v>48839856000</v>
      </c>
      <c r="F24" s="8">
        <v>23862046902.033333</v>
      </c>
      <c r="G24" s="8">
        <v>2056656300</v>
      </c>
      <c r="H24" s="8">
        <v>403211700</v>
      </c>
    </row>
    <row r="25" spans="1:8" ht="15.6" x14ac:dyDescent="0.35">
      <c r="A25" s="7" t="s">
        <v>101</v>
      </c>
      <c r="B25" s="8">
        <f>+C25+F25+G25</f>
        <v>38983162934.429993</v>
      </c>
      <c r="C25" s="8">
        <f>+C23</f>
        <v>32985869831.939995</v>
      </c>
      <c r="D25" s="8">
        <f>+D23</f>
        <v>25860911936.069996</v>
      </c>
      <c r="E25" s="8">
        <f>+E23</f>
        <v>7124957895.8699989</v>
      </c>
      <c r="F25" s="8">
        <f t="shared" ref="F25:G25" si="4">F23</f>
        <v>599730085.01999998</v>
      </c>
      <c r="G25" s="8">
        <f t="shared" si="4"/>
        <v>5397563017.4700003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99</v>
      </c>
      <c r="B28" s="8">
        <f>B22</f>
        <v>39054593433.599998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100</v>
      </c>
      <c r="B29" s="8">
        <v>40192797903.75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63</v>
      </c>
      <c r="B32" s="22">
        <v>1.1197999999999999</v>
      </c>
      <c r="C32" s="22">
        <v>1.1197999999999999</v>
      </c>
      <c r="D32" s="22">
        <v>1.1197999999999999</v>
      </c>
      <c r="E32" s="22">
        <v>1.1197999999999999</v>
      </c>
      <c r="F32" s="22">
        <v>1.1197999999999999</v>
      </c>
      <c r="G32" s="22">
        <v>1.1197999999999999</v>
      </c>
      <c r="H32" s="22">
        <v>1.1197999999999999</v>
      </c>
    </row>
    <row r="33" spans="1:8" ht="15.6" x14ac:dyDescent="0.35">
      <c r="A33" s="7" t="s">
        <v>102</v>
      </c>
      <c r="B33" s="22">
        <v>1.0948</v>
      </c>
      <c r="C33" s="22">
        <v>1.0948</v>
      </c>
      <c r="D33" s="22">
        <v>1.0948</v>
      </c>
      <c r="E33" s="22">
        <v>1.0948</v>
      </c>
      <c r="F33" s="22">
        <v>1.0948</v>
      </c>
      <c r="G33" s="22">
        <v>1.0948</v>
      </c>
      <c r="H33" s="22">
        <v>1.0948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64</v>
      </c>
      <c r="B37" s="8">
        <f>B21/B32</f>
        <v>35825860064.297195</v>
      </c>
      <c r="C37" s="8">
        <f t="shared" ref="C37:H37" si="5">C21/C32</f>
        <v>29585004465.083054</v>
      </c>
      <c r="D37" s="8">
        <f t="shared" si="5"/>
        <v>21892903304.161461</v>
      </c>
      <c r="E37" s="8">
        <f t="shared" si="5"/>
        <v>7692101160.9215937</v>
      </c>
      <c r="F37" s="8">
        <f t="shared" si="5"/>
        <v>4038083764.9580288</v>
      </c>
      <c r="G37" s="8">
        <f t="shared" si="5"/>
        <v>2162881496.6958389</v>
      </c>
      <c r="H37" s="8">
        <f t="shared" si="5"/>
        <v>39890337.560278624</v>
      </c>
    </row>
    <row r="38" spans="1:8" ht="15.6" x14ac:dyDescent="0.35">
      <c r="A38" s="5" t="s">
        <v>103</v>
      </c>
      <c r="B38" s="8">
        <f>B23/B33</f>
        <v>36712456981.868828</v>
      </c>
      <c r="C38" s="8">
        <f t="shared" ref="C38:H38" si="6">C23/C33</f>
        <v>30129585158.87833</v>
      </c>
      <c r="D38" s="8">
        <f t="shared" si="6"/>
        <v>23621585619.355129</v>
      </c>
      <c r="E38" s="8">
        <f t="shared" si="6"/>
        <v>6507999539.5232</v>
      </c>
      <c r="F38" s="8">
        <f t="shared" si="6"/>
        <v>547798762.34928751</v>
      </c>
      <c r="G38" s="8">
        <f t="shared" si="6"/>
        <v>4930181784.3167706</v>
      </c>
      <c r="H38" s="8">
        <f t="shared" si="6"/>
        <v>1104891276.3244429</v>
      </c>
    </row>
    <row r="39" spans="1:8" ht="15.6" x14ac:dyDescent="0.35">
      <c r="A39" s="5" t="s">
        <v>65</v>
      </c>
      <c r="B39" s="8">
        <f>B37/B15</f>
        <v>257678.20712752716</v>
      </c>
      <c r="C39" s="8">
        <f t="shared" ref="C39:F39" si="7">C37/C15</f>
        <v>220523.59505272182</v>
      </c>
      <c r="D39" s="8">
        <f t="shared" si="7"/>
        <v>213641.4081889384</v>
      </c>
      <c r="E39" s="8">
        <f t="shared" si="7"/>
        <v>242783.23267751141</v>
      </c>
      <c r="F39" s="8">
        <f t="shared" si="7"/>
        <v>828268.24113729573</v>
      </c>
      <c r="G39" s="8"/>
      <c r="H39" s="8"/>
    </row>
    <row r="40" spans="1:8" ht="15.6" x14ac:dyDescent="0.35">
      <c r="A40" s="5" t="s">
        <v>104</v>
      </c>
      <c r="B40" s="8">
        <f>B38/B17</f>
        <v>253250.48792376663</v>
      </c>
      <c r="C40" s="8">
        <f t="shared" ref="C40:F40" si="8">C38/C17</f>
        <v>215379.01050731161</v>
      </c>
      <c r="D40" s="8">
        <f t="shared" si="8"/>
        <v>219357.50104646065</v>
      </c>
      <c r="E40" s="8">
        <f t="shared" si="8"/>
        <v>202076.22487315483</v>
      </c>
      <c r="F40" s="8">
        <f t="shared" si="8"/>
        <v>107961.91611140866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86.812753355826871</v>
      </c>
      <c r="C45" s="12">
        <f>(C16/C34)*100</f>
        <v>93.52428731229449</v>
      </c>
      <c r="D45" s="12"/>
      <c r="E45" s="12"/>
      <c r="F45" s="12">
        <f>(F16/F34)*100</f>
        <v>29.531909969334031</v>
      </c>
      <c r="G45" s="12"/>
      <c r="H45" s="12"/>
    </row>
    <row r="46" spans="1:8" ht="15.6" x14ac:dyDescent="0.35">
      <c r="A46" s="5" t="s">
        <v>10</v>
      </c>
      <c r="B46" s="12">
        <f>(B17/B34)*100</f>
        <v>87.970604655678812</v>
      </c>
      <c r="C46" s="12">
        <f>(C17/C34)*100</f>
        <v>94.838141079963393</v>
      </c>
      <c r="D46" s="12"/>
      <c r="E46" s="12"/>
      <c r="F46" s="12">
        <f>(F17/F34)*100</f>
        <v>29.358328993808946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101.33373410598571</v>
      </c>
      <c r="C49" s="12">
        <f t="shared" ref="C49:F49" si="9">C17/C16*100</f>
        <v>101.4048262814147</v>
      </c>
      <c r="D49" s="12">
        <f t="shared" si="9"/>
        <v>122.23496070619129</v>
      </c>
      <c r="E49" s="12">
        <f t="shared" si="9"/>
        <v>64.597373769790337</v>
      </c>
      <c r="F49" s="12">
        <f t="shared" si="9"/>
        <v>99.412225705329149</v>
      </c>
      <c r="G49" s="12"/>
      <c r="H49" s="12"/>
    </row>
    <row r="50" spans="1:8" ht="15.6" x14ac:dyDescent="0.35">
      <c r="A50" s="5" t="s">
        <v>13</v>
      </c>
      <c r="B50" s="12">
        <f>B23/B22*100</f>
        <v>102.9143933404022</v>
      </c>
      <c r="C50" s="12">
        <f t="shared" ref="C50:F50" si="10">C23/C22*100</f>
        <v>97.19897483625121</v>
      </c>
      <c r="D50" s="12">
        <f t="shared" si="10"/>
        <v>119.32944172526567</v>
      </c>
      <c r="E50" s="12">
        <f t="shared" si="10"/>
        <v>58.093797093923172</v>
      </c>
      <c r="F50" s="12">
        <f t="shared" si="10"/>
        <v>11.717699722107946</v>
      </c>
      <c r="G50" s="12" t="s">
        <v>49</v>
      </c>
      <c r="H50" s="12" t="s">
        <v>49</v>
      </c>
    </row>
    <row r="51" spans="1:8" ht="15.6" x14ac:dyDescent="0.35">
      <c r="A51" s="5" t="s">
        <v>14</v>
      </c>
      <c r="B51" s="12">
        <f>AVERAGE(B49:B50)</f>
        <v>102.12406372319396</v>
      </c>
      <c r="C51" s="12">
        <f t="shared" ref="C51:F51" si="11">AVERAGE(C49:C50)</f>
        <v>99.301900558832955</v>
      </c>
      <c r="D51" s="12">
        <f t="shared" si="11"/>
        <v>120.78220121572848</v>
      </c>
      <c r="E51" s="12">
        <f t="shared" si="11"/>
        <v>61.345585431856755</v>
      </c>
      <c r="F51" s="12">
        <f t="shared" si="11"/>
        <v>55.56496271371855</v>
      </c>
      <c r="G51" s="12" t="s">
        <v>49</v>
      </c>
      <c r="H51" s="12" t="s">
        <v>49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101.79042260246159</v>
      </c>
      <c r="C54" s="12">
        <f t="shared" ref="C54:F54" si="12">C17/C18*100</f>
        <v>101.86040076891712</v>
      </c>
      <c r="D54" s="12">
        <f t="shared" si="12"/>
        <v>122.78549329927861</v>
      </c>
      <c r="E54" s="12">
        <f t="shared" si="12"/>
        <v>64.886301057071094</v>
      </c>
      <c r="F54" s="12">
        <f t="shared" si="12"/>
        <v>99.898277276456128</v>
      </c>
      <c r="G54" s="12"/>
      <c r="H54" s="12"/>
    </row>
    <row r="55" spans="1:8" ht="15.6" x14ac:dyDescent="0.35">
      <c r="A55" s="5" t="s">
        <v>17</v>
      </c>
      <c r="B55" s="12">
        <f>B23/B24*100</f>
        <v>23.963890139605688</v>
      </c>
      <c r="C55" s="12">
        <f t="shared" ref="C55:H55" si="13">C23/C24*100</f>
        <v>23.327984494111899</v>
      </c>
      <c r="D55" s="12">
        <f t="shared" si="13"/>
        <v>27.939447089500145</v>
      </c>
      <c r="E55" s="12">
        <f t="shared" si="13"/>
        <v>14.588408892667495</v>
      </c>
      <c r="F55" s="12">
        <f t="shared" si="13"/>
        <v>2.5133220443418698</v>
      </c>
      <c r="G55" s="12">
        <f t="shared" si="13"/>
        <v>262.44360895255079</v>
      </c>
      <c r="H55" s="12">
        <f t="shared" si="13"/>
        <v>299.99996759022616</v>
      </c>
    </row>
    <row r="56" spans="1:8" ht="15.6" x14ac:dyDescent="0.35">
      <c r="A56" s="5" t="s">
        <v>18</v>
      </c>
      <c r="B56" s="12">
        <f>AVERAGE(B54:B55)</f>
        <v>62.877156371033635</v>
      </c>
      <c r="C56" s="12">
        <f t="shared" ref="C56:H56" si="14">AVERAGE(C54:C55)</f>
        <v>62.59419263151451</v>
      </c>
      <c r="D56" s="12">
        <f t="shared" si="14"/>
        <v>75.362470194389374</v>
      </c>
      <c r="E56" s="12">
        <f t="shared" si="14"/>
        <v>39.737354974869291</v>
      </c>
      <c r="F56" s="12">
        <f t="shared" si="14"/>
        <v>51.205799660399002</v>
      </c>
      <c r="G56" s="12">
        <f t="shared" si="14"/>
        <v>262.44360895255079</v>
      </c>
      <c r="H56" s="12">
        <f t="shared" si="14"/>
        <v>299.99996759022616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96.990418601320755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4.2663629824981841</v>
      </c>
      <c r="C62" s="12">
        <f t="shared" ref="C62:F62" si="15">((C17/C15)-1)*100</f>
        <v>4.273319518776364</v>
      </c>
      <c r="D62" s="12"/>
      <c r="E62" s="12"/>
      <c r="F62" s="12">
        <f t="shared" si="15"/>
        <v>4.0749350471762646</v>
      </c>
      <c r="G62" s="12"/>
      <c r="H62" s="12"/>
    </row>
    <row r="63" spans="1:8" ht="15.6" x14ac:dyDescent="0.35">
      <c r="A63" s="5" t="s">
        <v>22</v>
      </c>
      <c r="B63" s="12">
        <f>((B38/B37)-1)*100</f>
        <v>2.4747400787599849</v>
      </c>
      <c r="C63" s="12">
        <f t="shared" ref="C63:H63" si="16">((C38/C37)-1)*100</f>
        <v>1.8407321669936083</v>
      </c>
      <c r="D63" s="12"/>
      <c r="E63" s="12"/>
      <c r="F63" s="12">
        <f t="shared" si="16"/>
        <v>-86.434190219058493</v>
      </c>
      <c r="G63" s="12">
        <f t="shared" si="16"/>
        <v>127.94507197220204</v>
      </c>
      <c r="H63" s="12">
        <f t="shared" si="16"/>
        <v>2669.8218262877126</v>
      </c>
    </row>
    <row r="64" spans="1:8" ht="15.6" x14ac:dyDescent="0.35">
      <c r="A64" s="5" t="s">
        <v>23</v>
      </c>
      <c r="B64" s="12">
        <f>((B40/B39)-1)*100</f>
        <v>-1.7183134162250702</v>
      </c>
      <c r="C64" s="12">
        <f t="shared" ref="C64:F64" si="17">((C40/C39)-1)*100</f>
        <v>-2.3328952823303384</v>
      </c>
      <c r="D64" s="12"/>
      <c r="E64" s="12"/>
      <c r="F64" s="12">
        <f t="shared" si="17"/>
        <v>-86.965343985281123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 t="shared" ref="B67:B68" si="18">B22/(B16*3)</f>
        <v>91000.075572673828</v>
      </c>
      <c r="C67" s="12">
        <f t="shared" ref="C67:F67" si="19">C22/(C16*3)</f>
        <v>82000</v>
      </c>
      <c r="D67" s="12">
        <f t="shared" si="19"/>
        <v>82000</v>
      </c>
      <c r="E67" s="12">
        <f t="shared" si="19"/>
        <v>82000</v>
      </c>
      <c r="F67" s="12">
        <f t="shared" si="19"/>
        <v>334257.80000000005</v>
      </c>
      <c r="G67" s="12"/>
      <c r="H67" s="12"/>
    </row>
    <row r="68" spans="1:8" ht="15.6" x14ac:dyDescent="0.35">
      <c r="A68" s="5" t="s">
        <v>31</v>
      </c>
      <c r="B68" s="12">
        <f t="shared" si="18"/>
        <v>92419.544726313237</v>
      </c>
      <c r="C68" s="12">
        <f t="shared" ref="C68:F68" si="20">C23/(C17*3)</f>
        <v>78598.980234468254</v>
      </c>
      <c r="D68" s="12">
        <f t="shared" si="20"/>
        <v>80050.864048555042</v>
      </c>
      <c r="E68" s="12">
        <f t="shared" si="20"/>
        <v>73744.350330376634</v>
      </c>
      <c r="F68" s="12">
        <f t="shared" si="20"/>
        <v>39398.901919590069</v>
      </c>
      <c r="G68" s="12"/>
      <c r="H68" s="12"/>
    </row>
    <row r="69" spans="1:8" ht="15.6" x14ac:dyDescent="0.35">
      <c r="A69" s="5" t="s">
        <v>25</v>
      </c>
      <c r="B69" s="12">
        <f>(B68/B67)*B51</f>
        <v>103.71705095300796</v>
      </c>
      <c r="C69" s="12">
        <f t="shared" ref="C69:F69" si="21">(C68/C67)*C51</f>
        <v>95.183269747181015</v>
      </c>
      <c r="D69" s="12">
        <f t="shared" si="21"/>
        <v>117.91121425616464</v>
      </c>
      <c r="E69" s="12">
        <f t="shared" si="21"/>
        <v>55.169394430596263</v>
      </c>
      <c r="F69" s="12">
        <f t="shared" si="21"/>
        <v>6.5494313554492249</v>
      </c>
      <c r="G69" s="12"/>
      <c r="H69" s="12"/>
    </row>
    <row r="70" spans="1:8" ht="15.6" x14ac:dyDescent="0.35">
      <c r="A70" s="13" t="s">
        <v>32</v>
      </c>
      <c r="B70" s="12">
        <f t="shared" ref="B70:B71" si="22">B22/B16</f>
        <v>273000.2267180215</v>
      </c>
      <c r="C70" s="12">
        <f t="shared" ref="C70:F70" si="23">C22/C16</f>
        <v>246000</v>
      </c>
      <c r="D70" s="12">
        <f t="shared" si="23"/>
        <v>246000</v>
      </c>
      <c r="E70" s="12">
        <f t="shared" si="23"/>
        <v>246000</v>
      </c>
      <c r="F70" s="12">
        <f t="shared" si="23"/>
        <v>1002773.4</v>
      </c>
      <c r="G70" s="12"/>
      <c r="H70" s="12"/>
    </row>
    <row r="71" spans="1:8" ht="15.6" x14ac:dyDescent="0.35">
      <c r="A71" s="13" t="s">
        <v>33</v>
      </c>
      <c r="B71" s="12">
        <f t="shared" si="22"/>
        <v>277258.63417893968</v>
      </c>
      <c r="C71" s="12">
        <f t="shared" ref="C71:F71" si="24">C23/C17</f>
        <v>235796.94070340475</v>
      </c>
      <c r="D71" s="12">
        <f t="shared" si="24"/>
        <v>240152.59214566511</v>
      </c>
      <c r="E71" s="12">
        <f t="shared" si="24"/>
        <v>221233.05099112989</v>
      </c>
      <c r="F71" s="12">
        <f t="shared" si="24"/>
        <v>118196.7057587702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102.91439334040223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99.999999999999972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H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3" t="s">
        <v>0</v>
      </c>
      <c r="B9" s="23" t="s">
        <v>34</v>
      </c>
      <c r="C9" s="25" t="s">
        <v>45</v>
      </c>
      <c r="D9" s="25"/>
      <c r="E9" s="25"/>
      <c r="F9" s="25"/>
      <c r="G9" s="25"/>
      <c r="H9" s="25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66</v>
      </c>
      <c r="B15" s="8">
        <f>+C15+F15</f>
        <v>137222.55555555553</v>
      </c>
      <c r="C15" s="8">
        <f>+SUM(D15:E15)</f>
        <v>132389.11111111109</v>
      </c>
      <c r="D15" s="8">
        <f>(+'I Trimestre'!D15+'II Trimestre'!D15+'III Trimestre'!D15)/3</f>
        <v>100840.33333333333</v>
      </c>
      <c r="E15" s="8">
        <f>(+'I Trimestre'!E15+'II Trimestre'!E15+'III Trimestre'!E15)/3</f>
        <v>31548.777777777777</v>
      </c>
      <c r="F15" s="8">
        <f>(+'I Trimestre'!F15+'II Trimestre'!F15+'III Trimestre'!F15)/3</f>
        <v>4833.4444444444443</v>
      </c>
      <c r="G15" s="8"/>
      <c r="H15" s="8"/>
    </row>
    <row r="16" spans="1:8" ht="15.6" x14ac:dyDescent="0.35">
      <c r="A16" s="7" t="s">
        <v>105</v>
      </c>
      <c r="B16" s="8">
        <f t="shared" ref="B16:B18" si="0">+C16+F16</f>
        <v>141801.44444444444</v>
      </c>
      <c r="C16" s="8">
        <f t="shared" ref="C16:C18" si="1">+SUM(D16:E16)</f>
        <v>136747.33333333331</v>
      </c>
      <c r="D16" s="8">
        <f>(+'I Trimestre'!D16+'II Trimestre'!D16+'III Trimestre'!D16)/3</f>
        <v>87325.333333333328</v>
      </c>
      <c r="E16" s="8">
        <f>(+'I Trimestre'!E16+'II Trimestre'!E16+'III Trimestre'!E16)/3</f>
        <v>49422</v>
      </c>
      <c r="F16" s="8">
        <f>(+'I Trimestre'!F16+'II Trimestre'!F16+'III Trimestre'!F16)/3</f>
        <v>5054.1111111111104</v>
      </c>
      <c r="G16" s="8"/>
      <c r="H16" s="8"/>
    </row>
    <row r="17" spans="1:8" ht="15.6" x14ac:dyDescent="0.35">
      <c r="A17" s="7" t="s">
        <v>106</v>
      </c>
      <c r="B17" s="8">
        <f t="shared" si="0"/>
        <v>143688.11111111112</v>
      </c>
      <c r="C17" s="8">
        <f t="shared" si="1"/>
        <v>138656</v>
      </c>
      <c r="D17" s="8">
        <f>(+'I Trimestre'!D17+'II Trimestre'!D17+'III Trimestre'!D17)/3</f>
        <v>106470.77777777777</v>
      </c>
      <c r="E17" s="8">
        <f>(+'I Trimestre'!E17+'II Trimestre'!E17+'III Trimestre'!E17)/3</f>
        <v>32185.222222222223</v>
      </c>
      <c r="F17" s="8">
        <f>(+'I Trimestre'!F17+'II Trimestre'!F17+'III Trimestre'!F17)/3</f>
        <v>5032.1111111111104</v>
      </c>
      <c r="G17" s="8"/>
      <c r="H17" s="8"/>
    </row>
    <row r="18" spans="1:8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f>(+'I Trimestre'!D18+'II Trimestre'!D18+'III Trimestre'!D18)/3</f>
        <v>87702</v>
      </c>
      <c r="E18" s="8">
        <f>(+'I Trimestre'!E18+'II Trimestre'!E18+'III Trimestre'!E18)/3</f>
        <v>49634</v>
      </c>
      <c r="F18" s="8">
        <f>(+'I Trimestre'!F18+'II Trimestre'!F18+'III Trimestre'!F18)/3</f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66</v>
      </c>
      <c r="B21" s="8">
        <f>+C21+F21+G21+H21</f>
        <v>120353393900</v>
      </c>
      <c r="C21" s="8">
        <f>+SUM(D21:E21)</f>
        <v>97998223700</v>
      </c>
      <c r="D21" s="8">
        <f>+'I Trimestre'!D21+'II Trimestre'!D21+'III Trimestre'!D21</f>
        <v>72518685538</v>
      </c>
      <c r="E21" s="8">
        <f>+'I Trimestre'!E21+'II Trimestre'!E21+'III Trimestre'!E21</f>
        <v>25479538162</v>
      </c>
      <c r="F21" s="8">
        <f>+'I Trimestre'!F21+'II Trimestre'!F21+'III Trimestre'!F21</f>
        <v>13515772390</v>
      </c>
      <c r="G21" s="8">
        <f>+'I Trimestre'!G21+'II Trimestre'!G21+'III Trimestre'!G21</f>
        <v>7968994970</v>
      </c>
      <c r="H21" s="8">
        <f>+'I Trimestre'!H21+'II Trimestre'!H21+'III Trimestre'!H21</f>
        <v>870402840</v>
      </c>
    </row>
    <row r="22" spans="1:8" ht="15.6" x14ac:dyDescent="0.35">
      <c r="A22" s="7" t="s">
        <v>105</v>
      </c>
      <c r="B22" s="8">
        <f t="shared" ref="B22:B24" si="2">+C22+F22+G22+H22</f>
        <v>116123916548.60001</v>
      </c>
      <c r="C22" s="8">
        <f t="shared" ref="C22:C24" si="3">+SUM(D22:E22)</f>
        <v>100919532000</v>
      </c>
      <c r="D22" s="8">
        <f>+'I Trimestre'!D22+'II Trimestre'!D22+'III Trimestre'!D22</f>
        <v>64446096000</v>
      </c>
      <c r="E22" s="8">
        <f>+'I Trimestre'!E22+'II Trimestre'!E22+'III Trimestre'!E22</f>
        <v>36473436000</v>
      </c>
      <c r="F22" s="8">
        <f>+'I Trimestre'!F22+'II Trimestre'!F22+'III Trimestre'!F22</f>
        <v>15204384548.6</v>
      </c>
      <c r="G22" s="8">
        <f>+'I Trimestre'!G22+'II Trimestre'!G22+'III Trimestre'!G22</f>
        <v>0</v>
      </c>
      <c r="H22" s="8">
        <f>+'I Trimestre'!H22+'II Trimestre'!H22+'III Trimestre'!H22</f>
        <v>0</v>
      </c>
    </row>
    <row r="23" spans="1:8" ht="15.6" x14ac:dyDescent="0.35">
      <c r="A23" s="7" t="s">
        <v>106</v>
      </c>
      <c r="B23" s="8">
        <f t="shared" si="2"/>
        <v>121578393712.26997</v>
      </c>
      <c r="C23" s="8">
        <f t="shared" si="3"/>
        <v>100303426915.75998</v>
      </c>
      <c r="D23" s="8">
        <f>+'I Trimestre'!D23+'II Trimestre'!D23+'III Trimestre'!D23</f>
        <v>78727156517.599991</v>
      </c>
      <c r="E23" s="8">
        <f>+'I Trimestre'!E23+'II Trimestre'!E23+'III Trimestre'!E23</f>
        <v>21576270398.159996</v>
      </c>
      <c r="F23" s="8">
        <f>+'I Trimestre'!F23+'II Trimestre'!F23+'III Trimestre'!F23</f>
        <v>2121385702.05</v>
      </c>
      <c r="G23" s="8">
        <f>+'I Trimestre'!G23+'II Trimestre'!G23+'III Trimestre'!G23</f>
        <v>15234403186.540001</v>
      </c>
      <c r="H23" s="8">
        <f>+'I Trimestre'!H23+'II Trimestre'!H23+'III Trimestre'!H23</f>
        <v>3919177907.9200001</v>
      </c>
    </row>
    <row r="24" spans="1:8" ht="15.6" x14ac:dyDescent="0.35">
      <c r="A24" s="7" t="s">
        <v>81</v>
      </c>
      <c r="B24" s="8">
        <f t="shared" si="2"/>
        <v>167722342531.20032</v>
      </c>
      <c r="C24" s="8">
        <f t="shared" si="3"/>
        <v>141400427629.16699</v>
      </c>
      <c r="D24" s="8">
        <f>+'III Trimestre'!D24</f>
        <v>92560571629.166992</v>
      </c>
      <c r="E24" s="8">
        <f>+'III Trimestre'!E24</f>
        <v>48839856000</v>
      </c>
      <c r="F24" s="8">
        <f>+'III Trimestre'!F24</f>
        <v>23862046902.033333</v>
      </c>
      <c r="G24" s="8">
        <f>+'III Trimestre'!G24</f>
        <v>2056656300</v>
      </c>
      <c r="H24" s="8">
        <f>+'III Trimestre'!H24</f>
        <v>403211700</v>
      </c>
    </row>
    <row r="25" spans="1:8" ht="15.6" x14ac:dyDescent="0.35">
      <c r="A25" s="7" t="s">
        <v>107</v>
      </c>
      <c r="B25" s="8">
        <f>+C25+F25+G25</f>
        <v>117659215804.34998</v>
      </c>
      <c r="C25" s="8">
        <f>+C23</f>
        <v>100303426915.75998</v>
      </c>
      <c r="D25" s="8">
        <f>+D23</f>
        <v>78727156517.599991</v>
      </c>
      <c r="E25" s="8">
        <f>+E23</f>
        <v>21576270398.159996</v>
      </c>
      <c r="F25" s="8">
        <f t="shared" ref="F25:G25" si="4">F23</f>
        <v>2121385702.05</v>
      </c>
      <c r="G25" s="8">
        <f t="shared" si="4"/>
        <v>15234403186.540001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105</v>
      </c>
      <c r="B28" s="8">
        <f>B22</f>
        <v>116123916548.60001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106</v>
      </c>
      <c r="B29" s="8">
        <f>+'I Trimestre'!B29+'II Trimestre'!B29+'III Trimestre'!B29</f>
        <v>120578393711.25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67</v>
      </c>
      <c r="B32" s="22">
        <v>1.1197999999999999</v>
      </c>
      <c r="C32" s="22">
        <v>1.1197999999999999</v>
      </c>
      <c r="D32" s="22">
        <v>1.1197999999999999</v>
      </c>
      <c r="E32" s="22">
        <v>1.1197999999999999</v>
      </c>
      <c r="F32" s="22">
        <v>1.1197999999999999</v>
      </c>
      <c r="G32" s="22">
        <v>1.1197999999999999</v>
      </c>
      <c r="H32" s="22">
        <v>1.1197999999999999</v>
      </c>
    </row>
    <row r="33" spans="1:8" ht="15.6" x14ac:dyDescent="0.35">
      <c r="A33" s="7" t="s">
        <v>108</v>
      </c>
      <c r="B33" s="22">
        <v>1.0948</v>
      </c>
      <c r="C33" s="22">
        <v>1.0948</v>
      </c>
      <c r="D33" s="22">
        <v>1.0948</v>
      </c>
      <c r="E33" s="22">
        <v>1.0948</v>
      </c>
      <c r="F33" s="22">
        <v>1.0948</v>
      </c>
      <c r="G33" s="22">
        <v>1.0948</v>
      </c>
      <c r="H33" s="22">
        <v>1.0948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68</v>
      </c>
      <c r="B37" s="8">
        <f>B21/B32</f>
        <v>107477579835.68495</v>
      </c>
      <c r="C37" s="8">
        <f t="shared" ref="C37:H37" si="5">C21/C32</f>
        <v>87514041525.272385</v>
      </c>
      <c r="D37" s="8">
        <f t="shared" si="5"/>
        <v>64760390728.701561</v>
      </c>
      <c r="E37" s="8">
        <f t="shared" si="5"/>
        <v>22753650796.57082</v>
      </c>
      <c r="F37" s="8">
        <f t="shared" si="5"/>
        <v>12069809242.721916</v>
      </c>
      <c r="G37" s="8">
        <f t="shared" si="5"/>
        <v>7116444874.0846586</v>
      </c>
      <c r="H37" s="8">
        <f t="shared" si="5"/>
        <v>777284193.60600114</v>
      </c>
    </row>
    <row r="38" spans="1:8" ht="15.6" x14ac:dyDescent="0.35">
      <c r="A38" s="5" t="s">
        <v>109</v>
      </c>
      <c r="B38" s="8">
        <f>B23/B33</f>
        <v>111050779788.33574</v>
      </c>
      <c r="C38" s="8">
        <f t="shared" ref="C38:H38" si="6">C23/C33</f>
        <v>91618037007.4534</v>
      </c>
      <c r="D38" s="8">
        <f t="shared" si="6"/>
        <v>71910080852.758484</v>
      </c>
      <c r="E38" s="8">
        <f t="shared" si="6"/>
        <v>19707956154.69492</v>
      </c>
      <c r="F38" s="8">
        <f t="shared" si="6"/>
        <v>1937692457.1154549</v>
      </c>
      <c r="G38" s="8">
        <f t="shared" si="6"/>
        <v>13915238570.094995</v>
      </c>
      <c r="H38" s="8">
        <f t="shared" si="6"/>
        <v>3579811753.6719036</v>
      </c>
    </row>
    <row r="39" spans="1:8" ht="15.6" x14ac:dyDescent="0.35">
      <c r="A39" s="5" t="s">
        <v>69</v>
      </c>
      <c r="B39" s="8">
        <f>B37/B15</f>
        <v>783235.52130736911</v>
      </c>
      <c r="C39" s="8">
        <f t="shared" ref="C39:F39" si="7">C37/C15</f>
        <v>661036.5519549707</v>
      </c>
      <c r="D39" s="8">
        <f t="shared" si="7"/>
        <v>642207.22589871346</v>
      </c>
      <c r="E39" s="8">
        <f t="shared" si="7"/>
        <v>721221.3086935482</v>
      </c>
      <c r="F39" s="8">
        <f t="shared" si="7"/>
        <v>2497144.5066664503</v>
      </c>
      <c r="G39" s="8"/>
      <c r="H39" s="8"/>
    </row>
    <row r="40" spans="1:8" ht="15.6" x14ac:dyDescent="0.35">
      <c r="A40" s="5" t="s">
        <v>110</v>
      </c>
      <c r="B40" s="8">
        <f>B38/B17</f>
        <v>772859.904202251</v>
      </c>
      <c r="C40" s="8">
        <f t="shared" ref="C40:F40" si="8">C38/C17</f>
        <v>660757.82517491782</v>
      </c>
      <c r="D40" s="8">
        <f t="shared" si="8"/>
        <v>675397.3470809689</v>
      </c>
      <c r="E40" s="8">
        <f t="shared" si="8"/>
        <v>612329.34850105213</v>
      </c>
      <c r="F40" s="8">
        <f t="shared" si="8"/>
        <v>385065.51511490863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86.05083164092315</v>
      </c>
      <c r="C45" s="12">
        <f>(C16/C34)*100</f>
        <v>92.706913889924621</v>
      </c>
      <c r="D45" s="12"/>
      <c r="E45" s="12"/>
      <c r="F45" s="12">
        <f>(F16/F34)*100</f>
        <v>29.243251235960834</v>
      </c>
      <c r="G45" s="12"/>
      <c r="H45" s="12"/>
    </row>
    <row r="46" spans="1:8" ht="15.6" x14ac:dyDescent="0.35">
      <c r="A46" s="5" t="s">
        <v>10</v>
      </c>
      <c r="B46" s="12">
        <f>(B17/B34)*100</f>
        <v>87.19573701429178</v>
      </c>
      <c r="C46" s="12">
        <f>(C17/C34)*100</f>
        <v>94.000881326056742</v>
      </c>
      <c r="D46" s="12"/>
      <c r="E46" s="12"/>
      <c r="F46" s="12">
        <f>(F17/F34)*100</f>
        <v>29.11595852057577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101.33049890574695</v>
      </c>
      <c r="C49" s="12">
        <f t="shared" ref="C49:F49" si="9">C17/C16*100</f>
        <v>101.39576152612362</v>
      </c>
      <c r="D49" s="12">
        <f t="shared" si="9"/>
        <v>121.92427296139086</v>
      </c>
      <c r="E49" s="12">
        <f t="shared" si="9"/>
        <v>65.123269439161149</v>
      </c>
      <c r="F49" s="12">
        <f t="shared" si="9"/>
        <v>99.564710796491312</v>
      </c>
      <c r="G49" s="12"/>
      <c r="H49" s="12"/>
    </row>
    <row r="50" spans="1:8" ht="15.6" x14ac:dyDescent="0.35">
      <c r="A50" s="5" t="s">
        <v>13</v>
      </c>
      <c r="B50" s="12">
        <f>B23/B22*100</f>
        <v>104.69711780810216</v>
      </c>
      <c r="C50" s="12">
        <f t="shared" ref="C50:F50" si="10">C23/C22*100</f>
        <v>99.389508579726652</v>
      </c>
      <c r="D50" s="12">
        <f t="shared" si="10"/>
        <v>122.15969842083219</v>
      </c>
      <c r="E50" s="12">
        <f t="shared" si="10"/>
        <v>59.156122275290969</v>
      </c>
      <c r="F50" s="12">
        <f t="shared" si="10"/>
        <v>13.952460195077968</v>
      </c>
      <c r="G50" s="12" t="s">
        <v>49</v>
      </c>
      <c r="H50" s="12" t="s">
        <v>49</v>
      </c>
    </row>
    <row r="51" spans="1:8" ht="15.6" x14ac:dyDescent="0.35">
      <c r="A51" s="5" t="s">
        <v>14</v>
      </c>
      <c r="B51" s="12">
        <f>AVERAGE(B49:B50)</f>
        <v>103.01380835692456</v>
      </c>
      <c r="C51" s="12">
        <f t="shared" ref="C51:F51" si="11">AVERAGE(C49:C50)</f>
        <v>100.39263505292513</v>
      </c>
      <c r="D51" s="12">
        <f t="shared" si="11"/>
        <v>122.04198569111152</v>
      </c>
      <c r="E51" s="12">
        <f t="shared" si="11"/>
        <v>62.139695857226059</v>
      </c>
      <c r="F51" s="12">
        <f t="shared" si="11"/>
        <v>56.758585495784644</v>
      </c>
      <c r="G51" s="12" t="s">
        <v>49</v>
      </c>
      <c r="H51" s="12" t="s">
        <v>49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100.89382646121103</v>
      </c>
      <c r="C54" s="12">
        <f t="shared" ref="C54:F54" si="12">C17/C18*100</f>
        <v>100.96114638550708</v>
      </c>
      <c r="D54" s="12">
        <f t="shared" si="12"/>
        <v>121.40062687028548</v>
      </c>
      <c r="E54" s="12">
        <f t="shared" si="12"/>
        <v>64.845110654434919</v>
      </c>
      <c r="F54" s="12">
        <f t="shared" si="12"/>
        <v>99.073557560842218</v>
      </c>
      <c r="G54" s="12"/>
      <c r="H54" s="12"/>
    </row>
    <row r="55" spans="1:8" ht="15.6" x14ac:dyDescent="0.35">
      <c r="A55" s="5" t="s">
        <v>17</v>
      </c>
      <c r="B55" s="12">
        <f>B23/B24*100</f>
        <v>72.487893906951314</v>
      </c>
      <c r="C55" s="12">
        <f t="shared" ref="C55:H55" si="13">C23/C24*100</f>
        <v>70.935730957485561</v>
      </c>
      <c r="D55" s="12">
        <f t="shared" si="13"/>
        <v>85.054743215081956</v>
      </c>
      <c r="E55" s="12">
        <f t="shared" si="13"/>
        <v>44.177588071021333</v>
      </c>
      <c r="F55" s="12">
        <f t="shared" si="13"/>
        <v>8.8902084165681217</v>
      </c>
      <c r="G55" s="12">
        <f t="shared" si="13"/>
        <v>740.73646561848955</v>
      </c>
      <c r="H55" s="12">
        <f t="shared" si="13"/>
        <v>971.99012526670231</v>
      </c>
    </row>
    <row r="56" spans="1:8" ht="15.6" x14ac:dyDescent="0.35">
      <c r="A56" s="5" t="s">
        <v>18</v>
      </c>
      <c r="B56" s="12">
        <f>AVERAGE(B54:B55)</f>
        <v>86.690860184081174</v>
      </c>
      <c r="C56" s="12">
        <f t="shared" ref="C56:H56" si="14">AVERAGE(C54:C55)</f>
        <v>85.948438671496319</v>
      </c>
      <c r="D56" s="12">
        <f t="shared" si="14"/>
        <v>103.22768504268372</v>
      </c>
      <c r="E56" s="12">
        <f t="shared" si="14"/>
        <v>54.511349362728126</v>
      </c>
      <c r="F56" s="12">
        <f t="shared" si="14"/>
        <v>53.981882988705166</v>
      </c>
      <c r="G56" s="12">
        <f t="shared" si="14"/>
        <v>740.73646561848955</v>
      </c>
      <c r="H56" s="12">
        <f t="shared" si="14"/>
        <v>971.99012526670231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96.776419075584101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4.711729445191648</v>
      </c>
      <c r="C62" s="12">
        <f t="shared" ref="C62:F62" si="15">((C17/C15)-1)*100</f>
        <v>4.7336890747980309</v>
      </c>
      <c r="D62" s="12"/>
      <c r="E62" s="12"/>
      <c r="F62" s="12">
        <f t="shared" si="15"/>
        <v>4.110250339072663</v>
      </c>
      <c r="G62" s="12"/>
      <c r="H62" s="12"/>
    </row>
    <row r="63" spans="1:8" ht="15.6" x14ac:dyDescent="0.35">
      <c r="A63" s="5" t="s">
        <v>22</v>
      </c>
      <c r="B63" s="12">
        <f>((B38/B37)-1)*100</f>
        <v>3.3246003102354926</v>
      </c>
      <c r="C63" s="12">
        <f t="shared" ref="C63:H63" si="16">((C38/C37)-1)*100</f>
        <v>4.6895280010532447</v>
      </c>
      <c r="D63" s="12"/>
      <c r="E63" s="12"/>
      <c r="F63" s="12">
        <f t="shared" si="16"/>
        <v>-83.945956243808226</v>
      </c>
      <c r="G63" s="12">
        <f t="shared" si="16"/>
        <v>95.536378294292916</v>
      </c>
      <c r="H63" s="12">
        <f t="shared" si="16"/>
        <v>360.55378240284659</v>
      </c>
    </row>
    <row r="64" spans="1:8" ht="15.6" x14ac:dyDescent="0.35">
      <c r="A64" s="5" t="s">
        <v>23</v>
      </c>
      <c r="B64" s="12">
        <f>((B40/B39)-1)*100</f>
        <v>-1.3247122765575381</v>
      </c>
      <c r="C64" s="12">
        <f t="shared" ref="C64:F64" si="17">((C40/C39)-1)*100</f>
        <v>-4.2165108605352053E-2</v>
      </c>
      <c r="D64" s="12"/>
      <c r="E64" s="12"/>
      <c r="F64" s="12">
        <f t="shared" si="17"/>
        <v>-84.579766445757286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B22/(B16*9)</f>
        <v>90991.015252626326</v>
      </c>
      <c r="C67" s="12">
        <f t="shared" ref="C67:F67" si="18">C22/(C16*9)</f>
        <v>82000.000000000015</v>
      </c>
      <c r="D67" s="12">
        <f t="shared" si="18"/>
        <v>82000</v>
      </c>
      <c r="E67" s="12">
        <f t="shared" si="18"/>
        <v>82000</v>
      </c>
      <c r="F67" s="12">
        <f t="shared" si="18"/>
        <v>334257.80000000005</v>
      </c>
      <c r="G67" s="12"/>
      <c r="H67" s="12"/>
    </row>
    <row r="68" spans="1:8" ht="15.6" x14ac:dyDescent="0.35">
      <c r="A68" s="5" t="s">
        <v>31</v>
      </c>
      <c r="B68" s="12">
        <f>B23/(B17*9)</f>
        <v>94014.113680069393</v>
      </c>
      <c r="C68" s="12">
        <f t="shared" ref="C68:F68" si="19">C23/(C17*9)</f>
        <v>80377.518555722214</v>
      </c>
      <c r="D68" s="12">
        <f t="shared" si="19"/>
        <v>82158.335064916086</v>
      </c>
      <c r="E68" s="12">
        <f t="shared" si="19"/>
        <v>74486.463415439095</v>
      </c>
      <c r="F68" s="12">
        <f t="shared" si="19"/>
        <v>46841.080660866886</v>
      </c>
      <c r="G68" s="12"/>
      <c r="H68" s="12"/>
    </row>
    <row r="69" spans="1:8" ht="15.6" x14ac:dyDescent="0.35">
      <c r="A69" s="5" t="s">
        <v>25</v>
      </c>
      <c r="B69" s="12">
        <f>(B68/B67)*B51</f>
        <v>106.43635377181101</v>
      </c>
      <c r="C69" s="12">
        <f t="shared" ref="C69:F69" si="20">(C68/C67)*C51</f>
        <v>98.406230327126053</v>
      </c>
      <c r="D69" s="12">
        <f t="shared" si="20"/>
        <v>122.27763844387846</v>
      </c>
      <c r="E69" s="12">
        <f t="shared" si="20"/>
        <v>56.445929050192454</v>
      </c>
      <c r="F69" s="12">
        <f t="shared" si="20"/>
        <v>7.9538412608613989</v>
      </c>
      <c r="G69" s="12"/>
      <c r="H69" s="12"/>
    </row>
    <row r="70" spans="1:8" ht="15.6" x14ac:dyDescent="0.35">
      <c r="A70" s="13" t="s">
        <v>37</v>
      </c>
      <c r="B70" s="12">
        <f>B22/B16</f>
        <v>818919.137273637</v>
      </c>
      <c r="C70" s="12">
        <f t="shared" ref="C70:F70" si="21">C22/C16</f>
        <v>738000.00000000012</v>
      </c>
      <c r="D70" s="12">
        <f t="shared" si="21"/>
        <v>738000</v>
      </c>
      <c r="E70" s="12">
        <f t="shared" si="21"/>
        <v>738000</v>
      </c>
      <c r="F70" s="12">
        <f t="shared" si="21"/>
        <v>3008320.2000000007</v>
      </c>
      <c r="G70" s="12"/>
      <c r="H70" s="12"/>
    </row>
    <row r="71" spans="1:8" ht="15.6" x14ac:dyDescent="0.35">
      <c r="A71" s="13" t="s">
        <v>38</v>
      </c>
      <c r="B71" s="12">
        <f>B23/B17</f>
        <v>846127.02312062448</v>
      </c>
      <c r="C71" s="12">
        <f t="shared" ref="C71:F71" si="22">C23/C17</f>
        <v>723397.66700149991</v>
      </c>
      <c r="D71" s="12">
        <f t="shared" si="22"/>
        <v>739425.01558424486</v>
      </c>
      <c r="E71" s="12">
        <f t="shared" si="22"/>
        <v>670378.17073895189</v>
      </c>
      <c r="F71" s="12">
        <f t="shared" si="22"/>
        <v>421569.72594780196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103.83596876082433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100.82933597823063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8" spans="1:8" ht="17.25" customHeight="1" x14ac:dyDescent="0.3"/>
    <row r="9" spans="1:8" s="2" customFormat="1" ht="15.6" x14ac:dyDescent="0.3">
      <c r="A9" s="23" t="s">
        <v>0</v>
      </c>
      <c r="B9" s="23" t="s">
        <v>34</v>
      </c>
      <c r="C9" s="28" t="s">
        <v>45</v>
      </c>
      <c r="D9" s="28"/>
      <c r="E9" s="28"/>
      <c r="F9" s="28"/>
      <c r="G9" s="28"/>
      <c r="H9" s="28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70</v>
      </c>
      <c r="B15" s="8">
        <f>+C15+F15</f>
        <v>140626.66666666666</v>
      </c>
      <c r="C15" s="8">
        <f>+SUM(D15:E15)</f>
        <v>135676.66666666666</v>
      </c>
      <c r="D15" s="8">
        <v>103565.33333333333</v>
      </c>
      <c r="E15" s="8">
        <v>32111.333333333332</v>
      </c>
      <c r="F15" s="8">
        <v>4950</v>
      </c>
      <c r="G15" s="8"/>
      <c r="H15" s="8"/>
    </row>
    <row r="16" spans="1:8" ht="15.6" x14ac:dyDescent="0.35">
      <c r="A16" s="7" t="s">
        <v>111</v>
      </c>
      <c r="B16" s="8">
        <f t="shared" ref="B16:B18" si="0">+C16+F16</f>
        <v>144256.33333333334</v>
      </c>
      <c r="C16" s="8">
        <f t="shared" ref="C16:C18" si="1">+SUM(D16:E16)</f>
        <v>139102</v>
      </c>
      <c r="D16" s="8">
        <v>88832</v>
      </c>
      <c r="E16" s="8">
        <v>50270</v>
      </c>
      <c r="F16" s="8">
        <v>5154.333333333333</v>
      </c>
      <c r="G16" s="8"/>
      <c r="H16" s="8"/>
    </row>
    <row r="17" spans="1:8" ht="15.6" x14ac:dyDescent="0.35">
      <c r="A17" s="7" t="s">
        <v>112</v>
      </c>
      <c r="B17" s="8">
        <f t="shared" si="0"/>
        <v>146177.33333333334</v>
      </c>
      <c r="C17" s="8">
        <f t="shared" si="1"/>
        <v>141012.33333333334</v>
      </c>
      <c r="D17" s="8">
        <v>108401</v>
      </c>
      <c r="E17" s="8">
        <v>32611.333333333332</v>
      </c>
      <c r="F17" s="8">
        <v>5165</v>
      </c>
      <c r="G17" s="8"/>
      <c r="H17" s="8"/>
    </row>
    <row r="18" spans="1:8" ht="15.6" x14ac:dyDescent="0.35">
      <c r="A18" s="7" t="s">
        <v>81</v>
      </c>
      <c r="B18" s="8">
        <f t="shared" si="0"/>
        <v>142415.16666666666</v>
      </c>
      <c r="C18" s="8">
        <f t="shared" si="1"/>
        <v>137336</v>
      </c>
      <c r="D18" s="8">
        <v>87702</v>
      </c>
      <c r="E18" s="8">
        <v>49634</v>
      </c>
      <c r="F18" s="8"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70</v>
      </c>
      <c r="B21" s="8">
        <f>+C21+F21+G21+H21</f>
        <v>43867257200</v>
      </c>
      <c r="C21" s="8">
        <f>+SUM(D21:E21)</f>
        <v>35269960800</v>
      </c>
      <c r="D21" s="8">
        <v>26099770992</v>
      </c>
      <c r="E21" s="8">
        <v>9170189808</v>
      </c>
      <c r="F21" s="11">
        <v>4992412700</v>
      </c>
      <c r="G21" s="8">
        <v>3220254500</v>
      </c>
      <c r="H21" s="8">
        <v>384629200</v>
      </c>
    </row>
    <row r="22" spans="1:8" ht="15.6" x14ac:dyDescent="0.35">
      <c r="A22" s="7" t="s">
        <v>111</v>
      </c>
      <c r="B22" s="8">
        <f>+C22+F22+G22+H22</f>
        <v>51598425982.600334</v>
      </c>
      <c r="C22" s="8">
        <f>+SUM(D22:E22)</f>
        <v>40480895629.167</v>
      </c>
      <c r="D22" s="8">
        <v>28114475629.167</v>
      </c>
      <c r="E22" s="8">
        <v>12366420000</v>
      </c>
      <c r="F22" s="11">
        <v>8657662353.4333344</v>
      </c>
      <c r="G22" s="8">
        <v>2056656300</v>
      </c>
      <c r="H22" s="8">
        <v>403211700</v>
      </c>
    </row>
    <row r="23" spans="1:8" ht="15.6" x14ac:dyDescent="0.35">
      <c r="A23" s="7" t="s">
        <v>112</v>
      </c>
      <c r="B23" s="8">
        <f t="shared" ref="B23:B24" si="2">+C23+F23+G23+H23</f>
        <v>65798042242.930008</v>
      </c>
      <c r="C23" s="8">
        <f>+SUM(D23:E23)</f>
        <v>48442137662.420006</v>
      </c>
      <c r="D23" s="8">
        <v>37222778334.410004</v>
      </c>
      <c r="E23" s="8">
        <v>11219359328.01</v>
      </c>
      <c r="F23" s="11">
        <v>8292456700</v>
      </c>
      <c r="G23" s="8">
        <v>6336636012.21</v>
      </c>
      <c r="H23" s="8">
        <v>2726811868.3000002</v>
      </c>
    </row>
    <row r="24" spans="1:8" ht="15.6" x14ac:dyDescent="0.35">
      <c r="A24" s="7" t="s">
        <v>81</v>
      </c>
      <c r="B24" s="8">
        <f t="shared" si="2"/>
        <v>167722342531.20032</v>
      </c>
      <c r="C24" s="8">
        <f>+SUM(D24:E24)</f>
        <v>141400427629.16699</v>
      </c>
      <c r="D24" s="8">
        <v>92560571629.166992</v>
      </c>
      <c r="E24" s="8">
        <v>48839856000</v>
      </c>
      <c r="F24" s="8">
        <v>23862046902.033333</v>
      </c>
      <c r="G24" s="8">
        <v>2056656300</v>
      </c>
      <c r="H24" s="8">
        <v>403211700</v>
      </c>
    </row>
    <row r="25" spans="1:8" ht="15.6" x14ac:dyDescent="0.35">
      <c r="A25" s="7" t="s">
        <v>113</v>
      </c>
      <c r="B25" s="8">
        <f>+C25+F25+G25</f>
        <v>63071230374.630005</v>
      </c>
      <c r="C25" s="8">
        <f>+C23</f>
        <v>48442137662.420006</v>
      </c>
      <c r="D25" s="8">
        <f t="shared" ref="D25:G25" si="3">+D23</f>
        <v>37222778334.410004</v>
      </c>
      <c r="E25" s="8">
        <f t="shared" si="3"/>
        <v>11219359328.01</v>
      </c>
      <c r="F25" s="8">
        <f t="shared" si="3"/>
        <v>8292456700</v>
      </c>
      <c r="G25" s="8">
        <f t="shared" si="3"/>
        <v>6336636012.21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111</v>
      </c>
      <c r="B28" s="8">
        <f>B22</f>
        <v>51598425982.600334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112</v>
      </c>
      <c r="B29" s="8">
        <v>81082725764.619995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71</v>
      </c>
      <c r="B32" s="10">
        <v>1.1144000000000001</v>
      </c>
      <c r="C32" s="10">
        <v>1.1144000000000001</v>
      </c>
      <c r="D32" s="10">
        <v>1.1144000000000001</v>
      </c>
      <c r="E32" s="10">
        <v>1.1144000000000001</v>
      </c>
      <c r="F32" s="10">
        <v>1.1144000000000001</v>
      </c>
      <c r="G32" s="10">
        <v>1.1144000000000001</v>
      </c>
      <c r="H32" s="10">
        <v>1.1144000000000001</v>
      </c>
    </row>
    <row r="33" spans="1:8" ht="15.6" x14ac:dyDescent="0.35">
      <c r="A33" s="7" t="s">
        <v>114</v>
      </c>
      <c r="B33" s="10">
        <v>1.0947</v>
      </c>
      <c r="C33" s="10">
        <v>1.0947</v>
      </c>
      <c r="D33" s="10">
        <v>1.0947</v>
      </c>
      <c r="E33" s="10">
        <v>1.0947</v>
      </c>
      <c r="F33" s="10">
        <v>1.0947</v>
      </c>
      <c r="G33" s="10">
        <v>1.0947</v>
      </c>
      <c r="H33" s="10">
        <v>1.0947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72</v>
      </c>
      <c r="B37" s="8">
        <f>B21/B32</f>
        <v>39364013998.564247</v>
      </c>
      <c r="C37" s="8">
        <f t="shared" ref="C37:H37" si="4">C21/C32</f>
        <v>31649282842.785355</v>
      </c>
      <c r="D37" s="8">
        <f t="shared" si="4"/>
        <v>23420469303.661163</v>
      </c>
      <c r="E37" s="8">
        <f t="shared" si="4"/>
        <v>8228813539.1241922</v>
      </c>
      <c r="F37" s="8">
        <f t="shared" si="4"/>
        <v>4479910893.7544861</v>
      </c>
      <c r="G37" s="8">
        <f t="shared" si="4"/>
        <v>2889675610.1938262</v>
      </c>
      <c r="H37" s="8">
        <f t="shared" si="4"/>
        <v>345144651.83058149</v>
      </c>
    </row>
    <row r="38" spans="1:8" ht="15.6" x14ac:dyDescent="0.35">
      <c r="A38" s="5" t="s">
        <v>115</v>
      </c>
      <c r="B38" s="8">
        <f>B23/B33</f>
        <v>60106003693.185356</v>
      </c>
      <c r="C38" s="8">
        <f t="shared" ref="C38:H38" si="5">C23/C33</f>
        <v>44251518829.286568</v>
      </c>
      <c r="D38" s="8">
        <f t="shared" si="5"/>
        <v>34002720685.493744</v>
      </c>
      <c r="E38" s="8">
        <f t="shared" si="5"/>
        <v>10248798143.79282</v>
      </c>
      <c r="F38" s="8">
        <f t="shared" si="5"/>
        <v>7575095185.8956795</v>
      </c>
      <c r="G38" s="8">
        <f t="shared" si="5"/>
        <v>5788468084.5985203</v>
      </c>
      <c r="H38" s="8">
        <f t="shared" si="5"/>
        <v>2490921593.4045858</v>
      </c>
    </row>
    <row r="39" spans="1:8" ht="15.6" x14ac:dyDescent="0.35">
      <c r="A39" s="5" t="s">
        <v>73</v>
      </c>
      <c r="B39" s="8">
        <f>B37/B15</f>
        <v>279918.55976982258</v>
      </c>
      <c r="C39" s="8">
        <f t="shared" ref="C39:F39" si="6">C37/C15</f>
        <v>233269.90277953976</v>
      </c>
      <c r="D39" s="8">
        <f t="shared" si="6"/>
        <v>226141.97772415317</v>
      </c>
      <c r="E39" s="8">
        <f t="shared" si="6"/>
        <v>256258.85582839473</v>
      </c>
      <c r="F39" s="8">
        <f t="shared" si="6"/>
        <v>905032.50378878508</v>
      </c>
      <c r="G39" s="8"/>
      <c r="H39" s="8"/>
    </row>
    <row r="40" spans="1:8" ht="15.6" x14ac:dyDescent="0.35">
      <c r="A40" s="5" t="s">
        <v>116</v>
      </c>
      <c r="B40" s="8">
        <f>B38/B17</f>
        <v>411185.5259811281</v>
      </c>
      <c r="C40" s="8">
        <f t="shared" ref="C40:F40" si="7">C38/C17</f>
        <v>313813.10969929269</v>
      </c>
      <c r="D40" s="8">
        <f t="shared" si="7"/>
        <v>313675.34142206941</v>
      </c>
      <c r="E40" s="8">
        <f t="shared" si="7"/>
        <v>314271.05537316744</v>
      </c>
      <c r="F40" s="8">
        <f t="shared" si="7"/>
        <v>1466620.5587406929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87.540557160311025</v>
      </c>
      <c r="C45" s="12">
        <f>(C16/C34)*100</f>
        <v>94.303243957831938</v>
      </c>
      <c r="D45" s="12"/>
      <c r="E45" s="12"/>
      <c r="F45" s="12">
        <f>(F16/F34)*100</f>
        <v>29.823140272714998</v>
      </c>
      <c r="G45" s="12"/>
      <c r="H45" s="12"/>
    </row>
    <row r="46" spans="1:8" ht="15.6" x14ac:dyDescent="0.35">
      <c r="A46" s="5" t="s">
        <v>10</v>
      </c>
      <c r="B46" s="12">
        <f>(B17/B34)*100</f>
        <v>88.706297384113725</v>
      </c>
      <c r="C46" s="12">
        <f>(C17/C34)*100</f>
        <v>95.598341299165</v>
      </c>
      <c r="D46" s="12"/>
      <c r="E46" s="12"/>
      <c r="F46" s="12">
        <f>(F17/F34)*100</f>
        <v>29.884857952901694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101.33165730447422</v>
      </c>
      <c r="C49" s="12">
        <f t="shared" ref="C49:F49" si="8">C17/C16*100</f>
        <v>101.37333275821581</v>
      </c>
      <c r="D49" s="12">
        <f t="shared" si="8"/>
        <v>122.02922370317002</v>
      </c>
      <c r="E49" s="12">
        <f t="shared" si="8"/>
        <v>64.87235594456601</v>
      </c>
      <c r="F49" s="12">
        <f t="shared" si="8"/>
        <v>100.20694561210632</v>
      </c>
      <c r="G49" s="12"/>
      <c r="H49" s="12"/>
    </row>
    <row r="50" spans="1:8" ht="15.6" x14ac:dyDescent="0.35">
      <c r="A50" s="5" t="s">
        <v>13</v>
      </c>
      <c r="B50" s="12">
        <f>B23/B22*100</f>
        <v>127.5194756233804</v>
      </c>
      <c r="C50" s="12">
        <f t="shared" ref="C50:H50" si="9">C23/C22*100</f>
        <v>119.66666475510692</v>
      </c>
      <c r="D50" s="12">
        <f t="shared" si="9"/>
        <v>132.39719931249124</v>
      </c>
      <c r="E50" s="12">
        <f t="shared" si="9"/>
        <v>90.724391764229267</v>
      </c>
      <c r="F50" s="12">
        <f t="shared" si="9"/>
        <v>95.781705978767974</v>
      </c>
      <c r="G50" s="12">
        <f t="shared" ref="G50" si="10">G23/G22*100</f>
        <v>308.1037902254256</v>
      </c>
      <c r="H50" s="12">
        <f t="shared" si="9"/>
        <v>676.27300207310452</v>
      </c>
    </row>
    <row r="51" spans="1:8" ht="15.6" x14ac:dyDescent="0.35">
      <c r="A51" s="5" t="s">
        <v>14</v>
      </c>
      <c r="B51" s="12">
        <f>AVERAGE(B49:B50)</f>
        <v>114.42556646392731</v>
      </c>
      <c r="C51" s="12">
        <f t="shared" ref="C51:H51" si="11">AVERAGE(C49:C50)</f>
        <v>110.51999875666137</v>
      </c>
      <c r="D51" s="12">
        <f t="shared" si="11"/>
        <v>127.21321150783064</v>
      </c>
      <c r="E51" s="12">
        <f t="shared" si="11"/>
        <v>77.798373854397639</v>
      </c>
      <c r="F51" s="12">
        <f t="shared" si="11"/>
        <v>97.994325795437149</v>
      </c>
      <c r="G51" s="12">
        <f t="shared" ref="G51" si="12">AVERAGE(G49:G50)</f>
        <v>308.1037902254256</v>
      </c>
      <c r="H51" s="12">
        <f t="shared" si="11"/>
        <v>676.27300207310452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102.64168961405096</v>
      </c>
      <c r="C54" s="12">
        <f t="shared" ref="C54:F54" si="13">C17/C18*100</f>
        <v>102.6768897691307</v>
      </c>
      <c r="D54" s="12">
        <f t="shared" si="13"/>
        <v>123.60151421860391</v>
      </c>
      <c r="E54" s="12">
        <f t="shared" si="13"/>
        <v>65.703617144161925</v>
      </c>
      <c r="F54" s="12">
        <f t="shared" si="13"/>
        <v>101.68990976210009</v>
      </c>
      <c r="G54" s="12"/>
      <c r="H54" s="12"/>
    </row>
    <row r="55" spans="1:8" ht="15.6" x14ac:dyDescent="0.35">
      <c r="A55" s="5" t="s">
        <v>17</v>
      </c>
      <c r="B55" s="12">
        <f>B23/B24*100</f>
        <v>39.230338218469626</v>
      </c>
      <c r="C55" s="12">
        <f t="shared" ref="C55:H55" si="14">C23/C24*100</f>
        <v>34.258833919132883</v>
      </c>
      <c r="D55" s="12">
        <f t="shared" si="14"/>
        <v>40.214507839837758</v>
      </c>
      <c r="E55" s="12">
        <f t="shared" si="14"/>
        <v>22.971728925674967</v>
      </c>
      <c r="F55" s="12">
        <f t="shared" si="14"/>
        <v>34.751657031121596</v>
      </c>
      <c r="G55" s="12">
        <f t="shared" si="14"/>
        <v>308.1037902254256</v>
      </c>
      <c r="H55" s="12">
        <f t="shared" si="14"/>
        <v>676.27300207310452</v>
      </c>
    </row>
    <row r="56" spans="1:8" ht="15.6" x14ac:dyDescent="0.35">
      <c r="A56" s="5" t="s">
        <v>18</v>
      </c>
      <c r="B56" s="12">
        <f>AVERAGE(B54:B55)</f>
        <v>70.936013916260293</v>
      </c>
      <c r="C56" s="12">
        <f t="shared" ref="C56:H56" si="15">AVERAGE(C54:C55)</f>
        <v>68.467861844131789</v>
      </c>
      <c r="D56" s="12">
        <f t="shared" si="15"/>
        <v>81.90801102922083</v>
      </c>
      <c r="E56" s="12">
        <f t="shared" si="15"/>
        <v>44.337673034918446</v>
      </c>
      <c r="F56" s="12">
        <f t="shared" si="15"/>
        <v>68.220783396610841</v>
      </c>
      <c r="G56" s="12">
        <f t="shared" si="15"/>
        <v>308.1037902254256</v>
      </c>
      <c r="H56" s="12">
        <f t="shared" si="15"/>
        <v>676.27300207310452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95.85578571132487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3.9470939603678978</v>
      </c>
      <c r="C62" s="12">
        <f t="shared" ref="C62:F62" si="16">((C17/C15)-1)*100</f>
        <v>3.9326339581849057</v>
      </c>
      <c r="D62" s="12"/>
      <c r="E62" s="12"/>
      <c r="F62" s="12">
        <f t="shared" si="16"/>
        <v>4.3434343434343381</v>
      </c>
      <c r="G62" s="12"/>
      <c r="H62" s="12"/>
    </row>
    <row r="63" spans="1:8" ht="15.6" x14ac:dyDescent="0.35">
      <c r="A63" s="5" t="s">
        <v>22</v>
      </c>
      <c r="B63" s="12">
        <f>((B38/B37)-1)*100</f>
        <v>52.692770852529549</v>
      </c>
      <c r="C63" s="12">
        <f t="shared" ref="C63:H63" si="17">((C38/C37)-1)*100</f>
        <v>39.818393513374573</v>
      </c>
      <c r="D63" s="12"/>
      <c r="E63" s="12"/>
      <c r="F63" s="12">
        <f t="shared" si="17"/>
        <v>69.090309283968978</v>
      </c>
      <c r="G63" s="12">
        <f t="shared" si="17"/>
        <v>100.31549784268887</v>
      </c>
      <c r="H63" s="12">
        <f t="shared" si="17"/>
        <v>621.70366256385898</v>
      </c>
    </row>
    <row r="64" spans="1:8" ht="15.6" x14ac:dyDescent="0.35">
      <c r="A64" s="5" t="s">
        <v>23</v>
      </c>
      <c r="B64" s="12">
        <f>((B40/B39)-1)*100</f>
        <v>46.894699057914039</v>
      </c>
      <c r="C64" s="12">
        <f t="shared" ref="C64" si="18">((C40/C39)-1)*100</f>
        <v>34.527903497209088</v>
      </c>
      <c r="D64" s="12"/>
      <c r="E64" s="12"/>
      <c r="F64" s="12">
        <f>((F40/F39)-1)*100</f>
        <v>62.051700088218077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119228.56300382037</v>
      </c>
      <c r="C67" s="12">
        <f>C22/(C16*3)</f>
        <v>97005.304570667562</v>
      </c>
      <c r="D67" s="12">
        <f t="shared" ref="D67:E67" si="19">D22/(D16*3)</f>
        <v>105496.80156237617</v>
      </c>
      <c r="E67" s="12">
        <f t="shared" si="19"/>
        <v>82000</v>
      </c>
      <c r="F67" s="12">
        <f>F22/(F16*3)</f>
        <v>559895.38598159049</v>
      </c>
      <c r="G67" s="12"/>
      <c r="H67" s="12"/>
    </row>
    <row r="68" spans="1:8" ht="15.6" x14ac:dyDescent="0.35">
      <c r="A68" s="5" t="s">
        <v>31</v>
      </c>
      <c r="B68" s="12">
        <f>B23/(B17*3)</f>
        <v>150041.59843051364</v>
      </c>
      <c r="C68" s="12">
        <f>C23/(C17*3)</f>
        <v>114510.40372927191</v>
      </c>
      <c r="D68" s="12">
        <f t="shared" ref="D68:F68" si="20">D23/(D17*3)</f>
        <v>114460.13208491313</v>
      </c>
      <c r="E68" s="12">
        <f t="shared" si="20"/>
        <v>114677.50810566879</v>
      </c>
      <c r="F68" s="12">
        <f t="shared" si="20"/>
        <v>535169.84188447881</v>
      </c>
      <c r="G68" s="12"/>
      <c r="H68" s="12"/>
    </row>
    <row r="69" spans="1:8" ht="15.6" x14ac:dyDescent="0.35">
      <c r="A69" s="5" t="s">
        <v>25</v>
      </c>
      <c r="B69" s="12">
        <f>(B68/B67)*B51</f>
        <v>143.99733135267684</v>
      </c>
      <c r="C69" s="12">
        <f t="shared" ref="C69:F69" si="21">(C68/C67)*C51</f>
        <v>130.46389301900865</v>
      </c>
      <c r="D69" s="12">
        <f t="shared" si="21"/>
        <v>138.0216345565986</v>
      </c>
      <c r="E69" s="12">
        <f t="shared" si="21"/>
        <v>108.80150790604311</v>
      </c>
      <c r="F69" s="12">
        <f t="shared" si="21"/>
        <v>93.666797681459315</v>
      </c>
      <c r="G69" s="12"/>
      <c r="H69" s="12"/>
    </row>
    <row r="70" spans="1:8" ht="15.6" x14ac:dyDescent="0.35">
      <c r="A70" s="13" t="s">
        <v>32</v>
      </c>
      <c r="B70" s="12">
        <f>B22/B16</f>
        <v>357685.68901146104</v>
      </c>
      <c r="C70" s="12">
        <f>C22/C16</f>
        <v>291015.91371200269</v>
      </c>
      <c r="D70" s="12">
        <f t="shared" ref="D70:F70" si="22">D22/D16</f>
        <v>316490.4046871285</v>
      </c>
      <c r="E70" s="12">
        <f t="shared" si="22"/>
        <v>246000</v>
      </c>
      <c r="F70" s="12">
        <f t="shared" si="22"/>
        <v>1679686.1579447717</v>
      </c>
      <c r="G70" s="12"/>
      <c r="H70" s="12"/>
    </row>
    <row r="71" spans="1:8" ht="15.6" x14ac:dyDescent="0.35">
      <c r="A71" s="13" t="s">
        <v>33</v>
      </c>
      <c r="B71" s="12">
        <f>B23/B17</f>
        <v>450124.79529154091</v>
      </c>
      <c r="C71" s="12">
        <f t="shared" ref="C71:F71" si="23">C23/C17</f>
        <v>343531.21118781576</v>
      </c>
      <c r="D71" s="12">
        <f t="shared" si="23"/>
        <v>343380.39625473937</v>
      </c>
      <c r="E71" s="12">
        <f t="shared" si="23"/>
        <v>344032.52431700641</v>
      </c>
      <c r="F71" s="12">
        <f t="shared" si="23"/>
        <v>1605509.5256534365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157.14185892407292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81.149272699513304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7"/>
      <c r="C76" s="17"/>
      <c r="D76" s="17"/>
      <c r="E76" s="17"/>
      <c r="F76" s="17"/>
      <c r="G76" s="17"/>
      <c r="H76" s="17"/>
    </row>
    <row r="77" spans="1:8" ht="16.2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  <row r="78" spans="1:8" ht="15.6" x14ac:dyDescent="0.3">
      <c r="A78" s="21"/>
      <c r="B78" s="21"/>
      <c r="C78" s="21"/>
      <c r="D78" s="21"/>
      <c r="E78" s="21"/>
      <c r="F78" s="21"/>
      <c r="G78" s="21"/>
      <c r="H78" s="21"/>
    </row>
    <row r="79" spans="1:8" ht="38.25" customHeight="1" x14ac:dyDescent="0.35">
      <c r="A79" s="27" t="s">
        <v>78</v>
      </c>
      <c r="B79" s="27"/>
      <c r="C79" s="27"/>
      <c r="D79" s="27"/>
      <c r="E79" s="27"/>
      <c r="F79" s="27"/>
      <c r="G79" s="27"/>
      <c r="H79" s="27"/>
    </row>
  </sheetData>
  <mergeCells count="5">
    <mergeCell ref="A79:H79"/>
    <mergeCell ref="A77:H77"/>
    <mergeCell ref="A9:A10"/>
    <mergeCell ref="B9:B10"/>
    <mergeCell ref="C9:H9"/>
  </mergeCells>
  <pageMargins left="0.7" right="0.7" top="0.75" bottom="0.75" header="0.3" footer="0.3"/>
  <pageSetup orientation="portrait" horizontalDpi="300" verticalDpi="300" r:id="rId1"/>
  <ignoredErrors>
    <ignoredError sqref="C15:C18 C21:C22 C23:C2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H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15.6" x14ac:dyDescent="0.3">
      <c r="A9" s="23" t="s">
        <v>0</v>
      </c>
      <c r="B9" s="23" t="s">
        <v>34</v>
      </c>
      <c r="C9" s="28" t="s">
        <v>45</v>
      </c>
      <c r="D9" s="28"/>
      <c r="E9" s="28"/>
      <c r="F9" s="28"/>
      <c r="G9" s="28"/>
      <c r="H9" s="28"/>
    </row>
    <row r="10" spans="1:8" s="2" customFormat="1" ht="47.4" thickBot="1" x14ac:dyDescent="0.35">
      <c r="A10" s="24"/>
      <c r="B10" s="24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74</v>
      </c>
      <c r="B15" s="8">
        <f>+C15+F15</f>
        <v>138073.58333333334</v>
      </c>
      <c r="C15" s="8">
        <f>+SUM(D15:E15)</f>
        <v>133211</v>
      </c>
      <c r="D15" s="8">
        <f>(+'I Trimestre'!D15+'II Trimestre'!D15+'III Trimestre'!D15+'IV Trimestre'!D15)/4</f>
        <v>101521.58333333333</v>
      </c>
      <c r="E15" s="8">
        <f>(+'I Trimestre'!E15+'II Trimestre'!E15+'III Trimestre'!E15+'IV Trimestre'!E15)/4</f>
        <v>31689.416666666664</v>
      </c>
      <c r="F15" s="8">
        <f>(+'I Trimestre'!F15+'II Trimestre'!F15+'III Trimestre'!F15+'IV Trimestre'!F15)/4</f>
        <v>4862.583333333333</v>
      </c>
      <c r="G15" s="8"/>
      <c r="H15" s="8"/>
    </row>
    <row r="16" spans="1:8" ht="15.6" x14ac:dyDescent="0.35">
      <c r="A16" s="7" t="s">
        <v>117</v>
      </c>
      <c r="B16" s="8">
        <f>+C16+F16</f>
        <v>142415.16666666666</v>
      </c>
      <c r="C16" s="8">
        <f>+SUM(D16:E16)</f>
        <v>137336</v>
      </c>
      <c r="D16" s="8">
        <f>(+'I Trimestre'!D16+'II Trimestre'!D16+'III Trimestre'!D16+'IV Trimestre'!D16)/4</f>
        <v>87702</v>
      </c>
      <c r="E16" s="8">
        <f>(+'I Trimestre'!E16+'II Trimestre'!E16+'III Trimestre'!E16+'IV Trimestre'!E16)/4</f>
        <v>49634</v>
      </c>
      <c r="F16" s="8">
        <f>(+'I Trimestre'!F16+'II Trimestre'!F16+'III Trimestre'!F16+'IV Trimestre'!F16)/4</f>
        <v>5079.1666666666661</v>
      </c>
      <c r="G16" s="8"/>
      <c r="H16" s="8"/>
    </row>
    <row r="17" spans="1:8" ht="15.6" x14ac:dyDescent="0.35">
      <c r="A17" s="7" t="s">
        <v>118</v>
      </c>
      <c r="B17" s="8">
        <f>+C17+F17</f>
        <v>144310.41666666666</v>
      </c>
      <c r="C17" s="8">
        <f>+SUM(D17:E17)</f>
        <v>139245.08333333331</v>
      </c>
      <c r="D17" s="8">
        <f>(+'I Trimestre'!D17+'II Trimestre'!D17+'III Trimestre'!D17+'IV Trimestre'!D17)/4</f>
        <v>106953.33333333333</v>
      </c>
      <c r="E17" s="8">
        <f>(+'I Trimestre'!E17+'II Trimestre'!E17+'III Trimestre'!E17+'IV Trimestre'!E17)/4</f>
        <v>32291.75</v>
      </c>
      <c r="F17" s="8">
        <f>(+'I Trimestre'!F17+'II Trimestre'!F17+'III Trimestre'!F17+'IV Trimestre'!F17)/4</f>
        <v>5065.333333333333</v>
      </c>
      <c r="G17" s="8"/>
      <c r="H17" s="8"/>
    </row>
    <row r="18" spans="1:8" ht="15.6" x14ac:dyDescent="0.35">
      <c r="A18" s="7" t="s">
        <v>81</v>
      </c>
      <c r="B18" s="8">
        <f t="shared" ref="B18" si="0">+C18+F18</f>
        <v>142415.16666666666</v>
      </c>
      <c r="C18" s="8">
        <f>+SUM(D18:E18)</f>
        <v>137336</v>
      </c>
      <c r="D18" s="8">
        <f>'IV Trimestre'!D18</f>
        <v>87702</v>
      </c>
      <c r="E18" s="8">
        <f>'IV Trimestre'!E18</f>
        <v>49634</v>
      </c>
      <c r="F18" s="8">
        <f>'IV Trimestre'!F18</f>
        <v>5079.1666666666661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74</v>
      </c>
      <c r="B21" s="8">
        <f>+C21+F21+G21+H21</f>
        <v>164220651100</v>
      </c>
      <c r="C21" s="8">
        <f>+SUM(D21:E21)</f>
        <v>133268184500</v>
      </c>
      <c r="D21" s="8">
        <f>+'I Trimestre'!D21+'II Trimestre'!D21+'III Trimestre'!D21+'IV Trimestre'!D21</f>
        <v>98618456530</v>
      </c>
      <c r="E21" s="8">
        <f>+'I Trimestre'!E21+'II Trimestre'!E21+'III Trimestre'!E21+'IV Trimestre'!E21</f>
        <v>34649727970</v>
      </c>
      <c r="F21" s="8">
        <f>+'I Trimestre'!F21+'II Trimestre'!F21+'III Trimestre'!F21+'IV Trimestre'!F21</f>
        <v>18508185090</v>
      </c>
      <c r="G21" s="8">
        <f>+'I Trimestre'!G21+'II Trimestre'!G21+'III Trimestre'!G21+'IV Trimestre'!G21</f>
        <v>11189249470</v>
      </c>
      <c r="H21" s="8">
        <f>+'I Trimestre'!H21+'II Trimestre'!H21+'III Trimestre'!H21+'IV Trimestre'!H21</f>
        <v>1255032040</v>
      </c>
    </row>
    <row r="22" spans="1:8" ht="15.6" x14ac:dyDescent="0.35">
      <c r="A22" s="7" t="s">
        <v>117</v>
      </c>
      <c r="B22" s="8">
        <f>+C22+F22+G22+H22</f>
        <v>167722342531.20032</v>
      </c>
      <c r="C22" s="8">
        <f>+SUM(D22:E22)</f>
        <v>141400427629.16699</v>
      </c>
      <c r="D22" s="8">
        <f>+'I Trimestre'!D22+'II Trimestre'!D22+'III Trimestre'!D22+'IV Trimestre'!D22</f>
        <v>92560571629.166992</v>
      </c>
      <c r="E22" s="8">
        <f>+'I Trimestre'!E22+'II Trimestre'!E22+'III Trimestre'!E22+'IV Trimestre'!E22</f>
        <v>48839856000</v>
      </c>
      <c r="F22" s="8">
        <f>+'I Trimestre'!F22+'II Trimestre'!F22+'III Trimestre'!F22+'IV Trimestre'!F22</f>
        <v>23862046902.033333</v>
      </c>
      <c r="G22" s="8">
        <f>+'I Trimestre'!G22+'II Trimestre'!G22+'III Trimestre'!G22+'IV Trimestre'!G22</f>
        <v>2056656300</v>
      </c>
      <c r="H22" s="8">
        <f>+'I Trimestre'!H22+'II Trimestre'!H22+'III Trimestre'!H22+'IV Trimestre'!H22</f>
        <v>403211700</v>
      </c>
    </row>
    <row r="23" spans="1:8" ht="15.6" x14ac:dyDescent="0.35">
      <c r="A23" s="7" t="s">
        <v>118</v>
      </c>
      <c r="B23" s="8">
        <f>+C23+F23+G23+H23</f>
        <v>187376435955.19998</v>
      </c>
      <c r="C23" s="8">
        <f>+SUM(D23:E23)</f>
        <v>148745564578.17999</v>
      </c>
      <c r="D23" s="8">
        <f>+'I Trimestre'!D23+'II Trimestre'!D23+'III Trimestre'!D23+'IV Trimestre'!D23</f>
        <v>115949934852.00999</v>
      </c>
      <c r="E23" s="8">
        <f>+'I Trimestre'!E23+'II Trimestre'!E23+'III Trimestre'!E23+'IV Trimestre'!E23</f>
        <v>32795629726.169998</v>
      </c>
      <c r="F23" s="8">
        <f>+'I Trimestre'!F23+'II Trimestre'!F23+'III Trimestre'!F23+'IV Trimestre'!F23</f>
        <v>10413842402.049999</v>
      </c>
      <c r="G23" s="8">
        <f>+'I Trimestre'!G23+'II Trimestre'!G23+'III Trimestre'!G23+'IV Trimestre'!G23</f>
        <v>21571039198.75</v>
      </c>
      <c r="H23" s="8">
        <f>+'I Trimestre'!H23+'II Trimestre'!H23+'III Trimestre'!H23+'IV Trimestre'!H23</f>
        <v>6645989776.2200003</v>
      </c>
    </row>
    <row r="24" spans="1:8" ht="15.6" x14ac:dyDescent="0.35">
      <c r="A24" s="7" t="s">
        <v>81</v>
      </c>
      <c r="B24" s="8">
        <f>+C24+F24+G24+H24</f>
        <v>167722342531.20032</v>
      </c>
      <c r="C24" s="8">
        <f>+SUM(D24:E24)</f>
        <v>141400427629.16699</v>
      </c>
      <c r="D24" s="8">
        <f>+'IV Trimestre'!D24</f>
        <v>92560571629.166992</v>
      </c>
      <c r="E24" s="8">
        <f>+'IV Trimestre'!E24</f>
        <v>48839856000</v>
      </c>
      <c r="F24" s="8">
        <f>+'IV Trimestre'!F24</f>
        <v>23862046902.033333</v>
      </c>
      <c r="G24" s="8">
        <f>+'IV Trimestre'!G24</f>
        <v>2056656300</v>
      </c>
      <c r="H24" s="8">
        <f>+'IV Trimestre'!H24</f>
        <v>403211700</v>
      </c>
    </row>
    <row r="25" spans="1:8" ht="15.6" x14ac:dyDescent="0.35">
      <c r="A25" s="7" t="s">
        <v>119</v>
      </c>
      <c r="B25" s="8">
        <f>+C25+F25+G25</f>
        <v>180730446178.97998</v>
      </c>
      <c r="C25" s="8">
        <f>+SUM(D25:E25)</f>
        <v>148745564578.17999</v>
      </c>
      <c r="D25" s="8">
        <f t="shared" ref="D25" si="1">+D23</f>
        <v>115949934852.00999</v>
      </c>
      <c r="E25" s="8">
        <f t="shared" ref="E25" si="2">+E23</f>
        <v>32795629726.169998</v>
      </c>
      <c r="F25" s="8">
        <f t="shared" ref="F25:G25" si="3">+F23</f>
        <v>10413842402.049999</v>
      </c>
      <c r="G25" s="8">
        <f t="shared" si="3"/>
        <v>21571039198.75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117</v>
      </c>
      <c r="B28" s="8">
        <f>B22</f>
        <v>167722342531.20032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118</v>
      </c>
      <c r="B29" s="8">
        <f>+'I Trimestre'!B29+'II Trimestre'!B29+'III Trimestre'!B29+'IV Trimestre'!B29</f>
        <v>201661119475.87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75</v>
      </c>
      <c r="B32" s="10">
        <v>1.1144000000000001</v>
      </c>
      <c r="C32" s="10">
        <v>1.1144000000000001</v>
      </c>
      <c r="D32" s="10">
        <v>1.1144000000000001</v>
      </c>
      <c r="E32" s="10">
        <v>1.1144000000000001</v>
      </c>
      <c r="F32" s="10">
        <v>1.1144000000000001</v>
      </c>
      <c r="G32" s="10">
        <v>1.1144000000000001</v>
      </c>
      <c r="H32" s="10">
        <v>1.1144000000000001</v>
      </c>
    </row>
    <row r="33" spans="1:8" ht="15.6" x14ac:dyDescent="0.35">
      <c r="A33" s="7" t="s">
        <v>120</v>
      </c>
      <c r="B33" s="10">
        <v>1.0947</v>
      </c>
      <c r="C33" s="10">
        <v>1.0947</v>
      </c>
      <c r="D33" s="10">
        <v>1.0947</v>
      </c>
      <c r="E33" s="10">
        <v>1.0947</v>
      </c>
      <c r="F33" s="10">
        <v>1.0947</v>
      </c>
      <c r="G33" s="10">
        <v>1.0947</v>
      </c>
      <c r="H33" s="10">
        <v>1.0947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76</v>
      </c>
      <c r="B37" s="8">
        <f>B21/B32</f>
        <v>147362393305.81479</v>
      </c>
      <c r="C37" s="8">
        <f t="shared" ref="C37:H37" si="4">C21/C32</f>
        <v>119587387383.34529</v>
      </c>
      <c r="D37" s="8">
        <f t="shared" si="4"/>
        <v>88494666663.675522</v>
      </c>
      <c r="E37" s="8">
        <f t="shared" si="4"/>
        <v>31092720719.669777</v>
      </c>
      <c r="F37" s="8">
        <f t="shared" si="4"/>
        <v>16608206290.380472</v>
      </c>
      <c r="G37" s="8">
        <f t="shared" si="4"/>
        <v>10040604334.170855</v>
      </c>
      <c r="H37" s="8">
        <f t="shared" si="4"/>
        <v>1126195297.9181621</v>
      </c>
    </row>
    <row r="38" spans="1:8" ht="15.6" x14ac:dyDescent="0.35">
      <c r="A38" s="5" t="s">
        <v>121</v>
      </c>
      <c r="B38" s="8">
        <f>B23/B33</f>
        <v>171166927884.53455</v>
      </c>
      <c r="C38" s="8">
        <f t="shared" ref="C38:H38" si="5">C23/C33</f>
        <v>135877925073.70055</v>
      </c>
      <c r="D38" s="8">
        <f t="shared" si="5"/>
        <v>105919370468.63068</v>
      </c>
      <c r="E38" s="8">
        <f t="shared" si="5"/>
        <v>29958554605.069881</v>
      </c>
      <c r="F38" s="8">
        <f t="shared" si="5"/>
        <v>9512964649.721384</v>
      </c>
      <c r="G38" s="8">
        <f t="shared" si="5"/>
        <v>19704977800.995705</v>
      </c>
      <c r="H38" s="8">
        <f t="shared" si="5"/>
        <v>6071060360.1169271</v>
      </c>
    </row>
    <row r="39" spans="1:8" ht="15.6" x14ac:dyDescent="0.35">
      <c r="A39" s="5" t="s">
        <v>77</v>
      </c>
      <c r="B39" s="8">
        <f>B37/B15</f>
        <v>1067274.3456657936</v>
      </c>
      <c r="C39" s="8">
        <f t="shared" ref="C39:F39" si="6">C37/C15</f>
        <v>897729.07179846475</v>
      </c>
      <c r="D39" s="8">
        <f t="shared" si="6"/>
        <v>871683.27914187894</v>
      </c>
      <c r="E39" s="8">
        <f t="shared" si="6"/>
        <v>981170.4976057657</v>
      </c>
      <c r="F39" s="8">
        <f t="shared" si="6"/>
        <v>3415510.8821539595</v>
      </c>
      <c r="G39" s="8"/>
      <c r="H39" s="8"/>
    </row>
    <row r="40" spans="1:8" ht="15.6" x14ac:dyDescent="0.35">
      <c r="A40" s="5" t="s">
        <v>122</v>
      </c>
      <c r="B40" s="8">
        <f>B38/B17</f>
        <v>1186102.3745770343</v>
      </c>
      <c r="C40" s="8">
        <f t="shared" ref="C40:F40" si="7">C38/C17</f>
        <v>975818.47646589961</v>
      </c>
      <c r="D40" s="8">
        <f t="shared" si="7"/>
        <v>990332.5793364459</v>
      </c>
      <c r="E40" s="8">
        <f t="shared" si="7"/>
        <v>927746.39358566445</v>
      </c>
      <c r="F40" s="8">
        <f t="shared" si="7"/>
        <v>1878053.0369284123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86.423263020770108</v>
      </c>
      <c r="C45" s="12">
        <f>(C16/C34)*100</f>
        <v>93.105996406901454</v>
      </c>
      <c r="D45" s="12"/>
      <c r="E45" s="12"/>
      <c r="F45" s="12">
        <f>(F16/F34)*100</f>
        <v>29.388223495149372</v>
      </c>
      <c r="G45" s="12"/>
      <c r="H45" s="12"/>
    </row>
    <row r="46" spans="1:8" ht="15.6" x14ac:dyDescent="0.35">
      <c r="A46" s="5" t="s">
        <v>10</v>
      </c>
      <c r="B46" s="12">
        <f>(B17/B34)*100</f>
        <v>87.573377106747259</v>
      </c>
      <c r="C46" s="12">
        <f>(C17/C34)*100</f>
        <v>94.400246319333789</v>
      </c>
      <c r="D46" s="12"/>
      <c r="E46" s="12"/>
      <c r="F46" s="12">
        <f>(F17/F34)*100</f>
        <v>29.308183378657255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101.33079224942101</v>
      </c>
      <c r="C49" s="12">
        <f t="shared" ref="C49:F49" si="8">C17/C16*100</f>
        <v>101.39008223141298</v>
      </c>
      <c r="D49" s="12">
        <f t="shared" si="8"/>
        <v>121.95084870736508</v>
      </c>
      <c r="E49" s="12">
        <f t="shared" si="8"/>
        <v>65.05973727686667</v>
      </c>
      <c r="F49" s="12">
        <f t="shared" si="8"/>
        <v>99.727645611156689</v>
      </c>
      <c r="G49" s="12"/>
      <c r="H49" s="12"/>
    </row>
    <row r="50" spans="1:8" ht="15.6" x14ac:dyDescent="0.35">
      <c r="A50" s="5" t="s">
        <v>13</v>
      </c>
      <c r="B50" s="12">
        <f>B23/B22*100</f>
        <v>111.71823212542094</v>
      </c>
      <c r="C50" s="12">
        <f t="shared" ref="C50:G50" si="9">C23/C22*100</f>
        <v>105.19456487661844</v>
      </c>
      <c r="D50" s="12">
        <f t="shared" si="9"/>
        <v>125.26925105491972</v>
      </c>
      <c r="E50" s="12">
        <f t="shared" si="9"/>
        <v>67.149316996696299</v>
      </c>
      <c r="F50" s="12">
        <f t="shared" si="9"/>
        <v>43.641865447689717</v>
      </c>
      <c r="G50" s="12">
        <f t="shared" si="9"/>
        <v>1048.8402558439152</v>
      </c>
      <c r="H50" s="12">
        <f>H23/H22*100</f>
        <v>1648.2631273398069</v>
      </c>
    </row>
    <row r="51" spans="1:8" ht="15.6" x14ac:dyDescent="0.35">
      <c r="A51" s="5" t="s">
        <v>14</v>
      </c>
      <c r="B51" s="12">
        <f>AVERAGE(B49:B50)</f>
        <v>106.52451218742098</v>
      </c>
      <c r="C51" s="12">
        <f t="shared" ref="C51:F51" si="10">AVERAGE(C49:C50)</f>
        <v>103.29232355401571</v>
      </c>
      <c r="D51" s="12">
        <f t="shared" si="10"/>
        <v>123.6100498811424</v>
      </c>
      <c r="E51" s="12">
        <f t="shared" si="10"/>
        <v>66.104527136781485</v>
      </c>
      <c r="F51" s="12">
        <f t="shared" si="10"/>
        <v>71.6847555294232</v>
      </c>
      <c r="G51" s="12">
        <f t="shared" ref="G51" si="11">AVERAGE(G49:G50)</f>
        <v>1048.8402558439152</v>
      </c>
      <c r="H51" s="12">
        <f>AVERAGE(H49:H50)</f>
        <v>1648.2631273398069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101.33079224942101</v>
      </c>
      <c r="C54" s="12">
        <f t="shared" ref="C54:F54" si="12">C17/C18*100</f>
        <v>101.39008223141298</v>
      </c>
      <c r="D54" s="12">
        <f t="shared" si="12"/>
        <v>121.95084870736508</v>
      </c>
      <c r="E54" s="12">
        <f t="shared" si="12"/>
        <v>65.05973727686667</v>
      </c>
      <c r="F54" s="12">
        <f t="shared" si="12"/>
        <v>99.727645611156689</v>
      </c>
      <c r="G54" s="12"/>
      <c r="H54" s="12"/>
    </row>
    <row r="55" spans="1:8" ht="15.6" x14ac:dyDescent="0.35">
      <c r="A55" s="5" t="s">
        <v>17</v>
      </c>
      <c r="B55" s="12">
        <f>B23/B24*100</f>
        <v>111.71823212542094</v>
      </c>
      <c r="C55" s="12">
        <f t="shared" ref="C55:G55" si="13">C23/C24*100</f>
        <v>105.19456487661844</v>
      </c>
      <c r="D55" s="12">
        <f t="shared" si="13"/>
        <v>125.26925105491972</v>
      </c>
      <c r="E55" s="12">
        <f t="shared" si="13"/>
        <v>67.149316996696299</v>
      </c>
      <c r="F55" s="12">
        <f t="shared" si="13"/>
        <v>43.641865447689717</v>
      </c>
      <c r="G55" s="12">
        <f t="shared" si="13"/>
        <v>1048.8402558439152</v>
      </c>
      <c r="H55" s="12">
        <f>H23/H24*100</f>
        <v>1648.2631273398069</v>
      </c>
    </row>
    <row r="56" spans="1:8" ht="15.6" x14ac:dyDescent="0.35">
      <c r="A56" s="5" t="s">
        <v>18</v>
      </c>
      <c r="B56" s="12">
        <f>AVERAGE(B54:B55)</f>
        <v>106.52451218742098</v>
      </c>
      <c r="C56" s="12">
        <f t="shared" ref="C56:F56" si="14">AVERAGE(C54:C55)</f>
        <v>103.29232355401571</v>
      </c>
      <c r="D56" s="12">
        <f t="shared" si="14"/>
        <v>123.6100498811424</v>
      </c>
      <c r="E56" s="12">
        <f t="shared" si="14"/>
        <v>66.104527136781485</v>
      </c>
      <c r="F56" s="12">
        <f t="shared" si="14"/>
        <v>71.6847555294232</v>
      </c>
      <c r="G56" s="12">
        <f t="shared" ref="G56" si="15">AVERAGE(G54:G55)</f>
        <v>1048.8402558439152</v>
      </c>
      <c r="H56" s="12">
        <f>AVERAGE(H54:H55)</f>
        <v>1648.2631273398069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96.453134705898137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4.5170359041646124</v>
      </c>
      <c r="C62" s="12">
        <f t="shared" ref="C62:F62" si="16">((C17/C15)-1)*100</f>
        <v>4.5297185167390897</v>
      </c>
      <c r="D62" s="12"/>
      <c r="E62" s="12"/>
      <c r="F62" s="12">
        <f t="shared" si="16"/>
        <v>4.1695943514249878</v>
      </c>
      <c r="G62" s="12"/>
      <c r="H62" s="12"/>
    </row>
    <row r="63" spans="1:8" ht="15.6" x14ac:dyDescent="0.35">
      <c r="A63" s="5" t="s">
        <v>22</v>
      </c>
      <c r="B63" s="12">
        <f>((B38/B37)-1)*100</f>
        <v>16.153737764912137</v>
      </c>
      <c r="C63" s="12">
        <f t="shared" ref="C63:H63" si="17">((C38/C37)-1)*100</f>
        <v>13.62228747262022</v>
      </c>
      <c r="D63" s="12"/>
      <c r="E63" s="12"/>
      <c r="F63" s="12">
        <f t="shared" si="17"/>
        <v>-42.721300040502719</v>
      </c>
      <c r="G63" s="12">
        <f t="shared" si="17"/>
        <v>96.252906151618873</v>
      </c>
      <c r="H63" s="12">
        <f t="shared" si="17"/>
        <v>439.0770474126146</v>
      </c>
    </row>
    <row r="64" spans="1:8" ht="15.6" x14ac:dyDescent="0.35">
      <c r="A64" s="5" t="s">
        <v>23</v>
      </c>
      <c r="B64" s="12">
        <f>((B40/B39)-1)*100</f>
        <v>11.133784803673198</v>
      </c>
      <c r="C64" s="12">
        <f>((C40/C39)-1)*100</f>
        <v>8.6985491637242554</v>
      </c>
      <c r="D64" s="12"/>
      <c r="E64" s="12"/>
      <c r="F64" s="12">
        <f t="shared" ref="F64" si="18">((F40/F39)-1)*100</f>
        <v>-45.013993463137901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B22/(B16*12)</f>
        <v>98141.667104276305</v>
      </c>
      <c r="C67" s="12">
        <f>C22/(C16*12)</f>
        <v>85799.56434654606</v>
      </c>
      <c r="D67" s="12">
        <f>D22/(D16*12)</f>
        <v>87949.886765378775</v>
      </c>
      <c r="E67" s="12">
        <f>E22/(E16*12)</f>
        <v>82000</v>
      </c>
      <c r="F67" s="12">
        <f>F22/(F16*12)</f>
        <v>391502.00003336073</v>
      </c>
      <c r="G67" s="12"/>
      <c r="H67" s="12"/>
    </row>
    <row r="68" spans="1:8" ht="15.6" x14ac:dyDescent="0.35">
      <c r="A68" s="5" t="s">
        <v>31</v>
      </c>
      <c r="B68" s="12">
        <f>B23/(B17*12)</f>
        <v>108202.18912078995</v>
      </c>
      <c r="C68" s="12">
        <f t="shared" ref="C68:E68" si="19">C23/(C17*12)</f>
        <v>89019.040515601693</v>
      </c>
      <c r="D68" s="12">
        <f t="shared" si="19"/>
        <v>90343.089549967277</v>
      </c>
      <c r="E68" s="12">
        <f t="shared" si="19"/>
        <v>84633.664754852245</v>
      </c>
      <c r="F68" s="12">
        <f>F23/(F17*12)</f>
        <v>171325.38829379441</v>
      </c>
      <c r="G68" s="12"/>
      <c r="H68" s="12"/>
    </row>
    <row r="69" spans="1:8" ht="15.6" x14ac:dyDescent="0.35">
      <c r="A69" s="5" t="s">
        <v>25</v>
      </c>
      <c r="B69" s="12">
        <f>(B68/B67)*B51</f>
        <v>117.44436133794788</v>
      </c>
      <c r="C69" s="12">
        <f t="shared" ref="C69:F69" si="20">(C68/C67)*C51</f>
        <v>107.16818442418717</v>
      </c>
      <c r="D69" s="12">
        <f t="shared" si="20"/>
        <v>126.97360072195058</v>
      </c>
      <c r="E69" s="12">
        <f t="shared" si="20"/>
        <v>68.227663274053612</v>
      </c>
      <c r="F69" s="12">
        <f t="shared" si="20"/>
        <v>31.370002132243588</v>
      </c>
      <c r="G69" s="12"/>
      <c r="H69" s="12"/>
    </row>
    <row r="70" spans="1:8" ht="15.6" x14ac:dyDescent="0.35">
      <c r="A70" s="13" t="s">
        <v>39</v>
      </c>
      <c r="B70" s="12">
        <f>B22/B16</f>
        <v>1177700.0052513157</v>
      </c>
      <c r="C70" s="12">
        <f t="shared" ref="C70:F70" si="21">C22/C16</f>
        <v>1029594.7721585527</v>
      </c>
      <c r="D70" s="12">
        <f t="shared" si="21"/>
        <v>1055398.6411845454</v>
      </c>
      <c r="E70" s="12">
        <f t="shared" si="21"/>
        <v>984000</v>
      </c>
      <c r="F70" s="12">
        <f t="shared" si="21"/>
        <v>4698024.000400329</v>
      </c>
      <c r="G70" s="12"/>
      <c r="H70" s="12"/>
    </row>
    <row r="71" spans="1:8" ht="15.6" x14ac:dyDescent="0.35">
      <c r="A71" s="13" t="s">
        <v>40</v>
      </c>
      <c r="B71" s="12">
        <f>B23/B17</f>
        <v>1298426.2694494794</v>
      </c>
      <c r="C71" s="12">
        <f t="shared" ref="C71:F71" si="22">C23/C17</f>
        <v>1068228.4861872203</v>
      </c>
      <c r="D71" s="12">
        <f t="shared" si="22"/>
        <v>1084117.0745996074</v>
      </c>
      <c r="E71" s="12">
        <f t="shared" si="22"/>
        <v>1015603.9770582269</v>
      </c>
      <c r="F71" s="12">
        <f t="shared" si="22"/>
        <v>2055904.659525533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120.23509595232147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92.916491013341187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20.25" customHeight="1" thickTop="1" x14ac:dyDescent="0.3">
      <c r="A77" s="26" t="s">
        <v>86</v>
      </c>
      <c r="B77" s="26"/>
      <c r="C77" s="26"/>
      <c r="D77" s="26"/>
      <c r="E77" s="26"/>
      <c r="F77" s="26"/>
      <c r="G77" s="26"/>
      <c r="H77" s="26"/>
    </row>
    <row r="79" spans="1:8" ht="38.25" customHeight="1" x14ac:dyDescent="0.35">
      <c r="A79" s="27" t="s">
        <v>123</v>
      </c>
      <c r="B79" s="27"/>
      <c r="C79" s="27"/>
      <c r="D79" s="27"/>
      <c r="E79" s="27"/>
      <c r="F79" s="27"/>
      <c r="G79" s="27"/>
      <c r="H79" s="27"/>
    </row>
  </sheetData>
  <mergeCells count="5">
    <mergeCell ref="A79:H79"/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ignoredErrors>
    <ignoredError sqref="D17:F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2012-04-23T14:39:07Z</dcterms:created>
  <dcterms:modified xsi:type="dcterms:W3CDTF">2025-12-31T03:18:03Z</dcterms:modified>
</cp:coreProperties>
</file>