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207180055\Desktop\ACTUALIZACIÓN PW 2025\2022\Indicadores\"/>
    </mc:Choice>
  </mc:AlternateContent>
  <xr:revisionPtr revIDLastSave="0" documentId="13_ncr:1_{AF397C98-6A45-4BD3-908C-112B542E0FE2}" xr6:coauthVersionLast="47" xr6:coauthVersionMax="47" xr10:uidLastSave="{00000000-0000-0000-0000-000000000000}"/>
  <bookViews>
    <workbookView xWindow="-108" yWindow="-108" windowWidth="23256" windowHeight="13896" tabRatio="738" xr2:uid="{00000000-000D-0000-FFFF-FFFF00000000}"/>
  </bookViews>
  <sheets>
    <sheet name="I Trimestre" sheetId="1" r:id="rId1"/>
    <sheet name="II trimestre" sheetId="2" r:id="rId2"/>
    <sheet name="I Semestre" sheetId="6" r:id="rId3"/>
    <sheet name="III Trimestre" sheetId="3" r:id="rId4"/>
    <sheet name="III T Acumulado" sheetId="7" r:id="rId5"/>
    <sheet name="IV Trimestre" sheetId="4" r:id="rId6"/>
    <sheet name="Anual" sheetId="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 i="5" l="1"/>
  <c r="F17" i="5"/>
  <c r="D37" i="4" l="1"/>
  <c r="D38" i="4"/>
  <c r="D63" i="4"/>
  <c r="C37" i="4"/>
  <c r="C39" i="4" s="1"/>
  <c r="E37" i="4"/>
  <c r="F37" i="4"/>
  <c r="G37" i="4"/>
  <c r="H37" i="4"/>
  <c r="C38" i="4"/>
  <c r="C40" i="4" s="1"/>
  <c r="D40" i="4"/>
  <c r="E38" i="4"/>
  <c r="E40" i="4" s="1"/>
  <c r="F38" i="4"/>
  <c r="F40" i="4" s="1"/>
  <c r="G38" i="4"/>
  <c r="H38" i="4"/>
  <c r="F39" i="4"/>
  <c r="G40" i="4"/>
  <c r="H40" i="4"/>
  <c r="B24" i="4" l="1"/>
  <c r="D68" i="7"/>
  <c r="D67" i="7"/>
  <c r="B29" i="5"/>
  <c r="H17" i="5"/>
  <c r="G17" i="5"/>
  <c r="E17" i="5"/>
  <c r="D17" i="5"/>
  <c r="C17" i="5"/>
  <c r="B17" i="5" l="1"/>
  <c r="F22" i="5"/>
  <c r="G22" i="5"/>
  <c r="H22" i="5"/>
  <c r="F23" i="5"/>
  <c r="F25" i="5" s="1"/>
  <c r="G23" i="5"/>
  <c r="G68" i="5" s="1"/>
  <c r="H23" i="5"/>
  <c r="H68" i="5" s="1"/>
  <c r="F24" i="5"/>
  <c r="G24" i="5"/>
  <c r="H24" i="5"/>
  <c r="H16" i="5"/>
  <c r="G16" i="5"/>
  <c r="E16" i="5"/>
  <c r="F18" i="5"/>
  <c r="F15" i="5"/>
  <c r="E18" i="5"/>
  <c r="D16" i="5"/>
  <c r="D18" i="5"/>
  <c r="E15" i="5"/>
  <c r="F68" i="3"/>
  <c r="F67" i="3"/>
  <c r="D68" i="3"/>
  <c r="D67" i="3"/>
  <c r="E16" i="6"/>
  <c r="F16" i="6"/>
  <c r="F67" i="2"/>
  <c r="F71" i="4"/>
  <c r="F70" i="4"/>
  <c r="F68" i="4"/>
  <c r="F67" i="4"/>
  <c r="C71" i="4"/>
  <c r="C70" i="4"/>
  <c r="C68" i="4"/>
  <c r="C67" i="4"/>
  <c r="B21" i="2"/>
  <c r="G21" i="5"/>
  <c r="G37" i="5" s="1"/>
  <c r="H21" i="5"/>
  <c r="H37" i="5" s="1"/>
  <c r="F21" i="5"/>
  <c r="F37" i="5" s="1"/>
  <c r="E21" i="5"/>
  <c r="E37" i="5" s="1"/>
  <c r="D21" i="5"/>
  <c r="D37" i="5" s="1"/>
  <c r="D15" i="5"/>
  <c r="D62" i="5" s="1"/>
  <c r="G18" i="5"/>
  <c r="H18" i="5"/>
  <c r="C16" i="5"/>
  <c r="C15" i="5"/>
  <c r="F68" i="5" l="1"/>
  <c r="H67" i="5"/>
  <c r="H25" i="5"/>
  <c r="G67" i="5"/>
  <c r="H55" i="5"/>
  <c r="H38" i="5"/>
  <c r="H40" i="5" s="1"/>
  <c r="H50" i="5"/>
  <c r="G55" i="5"/>
  <c r="G50" i="5"/>
  <c r="F70" i="5"/>
  <c r="G38" i="5"/>
  <c r="G40" i="5" s="1"/>
  <c r="F55" i="5"/>
  <c r="G25" i="5"/>
  <c r="F50" i="5"/>
  <c r="F38" i="5"/>
  <c r="F63" i="5" s="1"/>
  <c r="H71" i="5"/>
  <c r="H49" i="5"/>
  <c r="G71" i="5"/>
  <c r="H54" i="5"/>
  <c r="G54" i="5"/>
  <c r="H70" i="5"/>
  <c r="G49" i="5"/>
  <c r="G51" i="5" s="1"/>
  <c r="G70" i="5"/>
  <c r="F71" i="5"/>
  <c r="F54" i="5"/>
  <c r="F67" i="5"/>
  <c r="F49" i="5"/>
  <c r="E54" i="5"/>
  <c r="E49" i="5"/>
  <c r="C62" i="5"/>
  <c r="C49" i="5"/>
  <c r="D54" i="5"/>
  <c r="B16" i="5"/>
  <c r="D49" i="5"/>
  <c r="B15" i="5"/>
  <c r="F39" i="5"/>
  <c r="D39" i="5"/>
  <c r="F62" i="5"/>
  <c r="H51" i="5" l="1"/>
  <c r="H69" i="5" s="1"/>
  <c r="G56" i="5"/>
  <c r="H56" i="5"/>
  <c r="F56" i="5"/>
  <c r="F40" i="5"/>
  <c r="F64" i="5" s="1"/>
  <c r="F51" i="5"/>
  <c r="F69" i="5" s="1"/>
  <c r="G69" i="5"/>
  <c r="F25" i="4" l="1"/>
  <c r="G25" i="4"/>
  <c r="H25" i="4"/>
  <c r="E25" i="4"/>
  <c r="B16" i="4"/>
  <c r="B18" i="4"/>
  <c r="D67" i="4"/>
  <c r="E67" i="4"/>
  <c r="G67" i="4"/>
  <c r="H67" i="4"/>
  <c r="D68" i="4"/>
  <c r="E68" i="4"/>
  <c r="G68" i="4"/>
  <c r="H68" i="4"/>
  <c r="D70" i="4"/>
  <c r="E70" i="4"/>
  <c r="G70" i="4"/>
  <c r="H70" i="4"/>
  <c r="D71" i="4"/>
  <c r="E71" i="4"/>
  <c r="G71" i="4"/>
  <c r="H71" i="4"/>
  <c r="C62" i="4"/>
  <c r="F62" i="4"/>
  <c r="C49" i="4"/>
  <c r="D49" i="4"/>
  <c r="D51" i="4" s="1"/>
  <c r="E49" i="4"/>
  <c r="F49" i="4"/>
  <c r="G49" i="4"/>
  <c r="H49" i="4"/>
  <c r="C50" i="4"/>
  <c r="D50" i="4"/>
  <c r="E50" i="4"/>
  <c r="F50" i="4"/>
  <c r="G50" i="4"/>
  <c r="H50" i="4"/>
  <c r="C54" i="4"/>
  <c r="D54" i="4"/>
  <c r="E54" i="4"/>
  <c r="F54" i="4"/>
  <c r="G54" i="4"/>
  <c r="H54" i="4"/>
  <c r="H56" i="4" s="1"/>
  <c r="C55" i="4"/>
  <c r="D55" i="4"/>
  <c r="E55" i="4"/>
  <c r="F55" i="4"/>
  <c r="G55" i="4"/>
  <c r="H55" i="4"/>
  <c r="B22" i="4"/>
  <c r="B23" i="4"/>
  <c r="B21" i="4"/>
  <c r="B17" i="4"/>
  <c r="B15" i="4"/>
  <c r="H51" i="4" l="1"/>
  <c r="C56" i="4"/>
  <c r="F63" i="4"/>
  <c r="C63" i="4"/>
  <c r="C64" i="4"/>
  <c r="F64" i="4"/>
  <c r="E51" i="4"/>
  <c r="E69" i="4" s="1"/>
  <c r="F51" i="4"/>
  <c r="F69" i="4" s="1"/>
  <c r="C51" i="4"/>
  <c r="C69" i="4" s="1"/>
  <c r="G56" i="4"/>
  <c r="G51" i="4"/>
  <c r="G69" i="4" s="1"/>
  <c r="F56" i="4"/>
  <c r="E56" i="4"/>
  <c r="D56" i="4"/>
  <c r="H69" i="4"/>
  <c r="D69" i="4"/>
  <c r="H67" i="7" l="1"/>
  <c r="H68" i="7"/>
  <c r="G68" i="7"/>
  <c r="G67" i="7"/>
  <c r="F68" i="7"/>
  <c r="F67" i="7"/>
  <c r="E67" i="7"/>
  <c r="E68" i="7"/>
  <c r="E69" i="7" s="1"/>
  <c r="F69" i="7"/>
  <c r="G69" i="7"/>
  <c r="H69" i="7"/>
  <c r="E70" i="7"/>
  <c r="F70" i="7"/>
  <c r="G70" i="7"/>
  <c r="H70" i="7"/>
  <c r="E71" i="7"/>
  <c r="F71" i="7"/>
  <c r="G71" i="7"/>
  <c r="H71" i="7"/>
  <c r="C62" i="7"/>
  <c r="D62" i="7"/>
  <c r="F62" i="7"/>
  <c r="C63" i="7"/>
  <c r="D63" i="7"/>
  <c r="C64" i="7"/>
  <c r="D64" i="7"/>
  <c r="C37" i="7"/>
  <c r="D37" i="7"/>
  <c r="G37" i="7"/>
  <c r="H37" i="7"/>
  <c r="C38" i="7"/>
  <c r="C40" i="7" s="1"/>
  <c r="D38" i="7"/>
  <c r="D40" i="7" s="1"/>
  <c r="E38" i="7"/>
  <c r="F38" i="7"/>
  <c r="G38" i="7"/>
  <c r="H38" i="7"/>
  <c r="C39" i="7"/>
  <c r="D39" i="7"/>
  <c r="E40" i="7"/>
  <c r="F40" i="7"/>
  <c r="G40" i="7"/>
  <c r="H40" i="7"/>
  <c r="C49" i="7"/>
  <c r="D49" i="7"/>
  <c r="E49" i="7"/>
  <c r="F49" i="7"/>
  <c r="G49" i="7"/>
  <c r="H49" i="7"/>
  <c r="H51" i="7" s="1"/>
  <c r="C50" i="7"/>
  <c r="C51" i="7" s="1"/>
  <c r="D50" i="7"/>
  <c r="D51" i="7" s="1"/>
  <c r="E50" i="7"/>
  <c r="F50" i="7"/>
  <c r="G50" i="7"/>
  <c r="H50" i="7"/>
  <c r="E51" i="7"/>
  <c r="F51" i="7"/>
  <c r="G51" i="7"/>
  <c r="C54" i="7"/>
  <c r="D54" i="7"/>
  <c r="E54" i="7"/>
  <c r="F54" i="7"/>
  <c r="F56" i="7" s="1"/>
  <c r="G54" i="7"/>
  <c r="G56" i="7" s="1"/>
  <c r="H54" i="7"/>
  <c r="H56" i="7" s="1"/>
  <c r="C55" i="7"/>
  <c r="C56" i="7" s="1"/>
  <c r="D55" i="7"/>
  <c r="E55" i="7"/>
  <c r="F55" i="7"/>
  <c r="G55" i="7"/>
  <c r="H55" i="7"/>
  <c r="D56" i="7"/>
  <c r="E56" i="7"/>
  <c r="B22" i="7"/>
  <c r="B23" i="7"/>
  <c r="B24" i="7"/>
  <c r="B25" i="7"/>
  <c r="B16" i="7"/>
  <c r="B17" i="7"/>
  <c r="B18" i="7"/>
  <c r="B15" i="7"/>
  <c r="F21" i="7"/>
  <c r="F37" i="7" s="1"/>
  <c r="G21" i="7"/>
  <c r="H21" i="7"/>
  <c r="F22" i="7"/>
  <c r="G22" i="7"/>
  <c r="H22" i="7"/>
  <c r="F23" i="7"/>
  <c r="F25" i="7" s="1"/>
  <c r="G23" i="7"/>
  <c r="G25" i="7" s="1"/>
  <c r="H23" i="7"/>
  <c r="H25" i="7" s="1"/>
  <c r="F24" i="7"/>
  <c r="G24" i="7"/>
  <c r="H24" i="7"/>
  <c r="E21" i="7"/>
  <c r="E37" i="7" s="1"/>
  <c r="E22" i="7"/>
  <c r="E23" i="7"/>
  <c r="E24" i="7"/>
  <c r="E25" i="7"/>
  <c r="D21" i="7"/>
  <c r="D22" i="7"/>
  <c r="D23" i="7"/>
  <c r="D24" i="7"/>
  <c r="D25" i="7"/>
  <c r="H15" i="7"/>
  <c r="H16" i="7"/>
  <c r="H17" i="7"/>
  <c r="H18" i="7"/>
  <c r="G15" i="7"/>
  <c r="G16" i="7"/>
  <c r="G17" i="7"/>
  <c r="F18" i="7"/>
  <c r="G18" i="7"/>
  <c r="F15" i="7"/>
  <c r="F17" i="7"/>
  <c r="F16" i="7"/>
  <c r="H67" i="3"/>
  <c r="H68" i="3"/>
  <c r="G68" i="3"/>
  <c r="G67" i="3"/>
  <c r="H69" i="3"/>
  <c r="F69" i="3"/>
  <c r="G69" i="3"/>
  <c r="F70" i="3"/>
  <c r="G70" i="3"/>
  <c r="H70" i="3"/>
  <c r="F71" i="3"/>
  <c r="G71" i="3"/>
  <c r="H71" i="3"/>
  <c r="D69" i="3"/>
  <c r="D70" i="3"/>
  <c r="D71" i="3"/>
  <c r="C62" i="3"/>
  <c r="F62" i="3"/>
  <c r="C63" i="3"/>
  <c r="F63" i="3"/>
  <c r="C64" i="3"/>
  <c r="C37" i="3"/>
  <c r="C39" i="3" s="1"/>
  <c r="D37" i="3"/>
  <c r="E37" i="3"/>
  <c r="F37" i="3"/>
  <c r="F39" i="3" s="1"/>
  <c r="F64" i="3" s="1"/>
  <c r="G37" i="3"/>
  <c r="H37" i="3"/>
  <c r="C38" i="3"/>
  <c r="C40" i="3" s="1"/>
  <c r="D38" i="3"/>
  <c r="D40" i="3" s="1"/>
  <c r="E38" i="3"/>
  <c r="E40" i="3" s="1"/>
  <c r="F38" i="3"/>
  <c r="G38" i="3"/>
  <c r="H38" i="3"/>
  <c r="F40" i="3"/>
  <c r="G40" i="3"/>
  <c r="H40" i="3"/>
  <c r="C49" i="3"/>
  <c r="C51" i="3" s="1"/>
  <c r="D49" i="3"/>
  <c r="E49" i="3"/>
  <c r="F49" i="3"/>
  <c r="G49" i="3"/>
  <c r="H49" i="3"/>
  <c r="H51" i="3" s="1"/>
  <c r="C50" i="3"/>
  <c r="D50" i="3"/>
  <c r="D51" i="3" s="1"/>
  <c r="E50" i="3"/>
  <c r="E51" i="3" s="1"/>
  <c r="F50" i="3"/>
  <c r="G50" i="3"/>
  <c r="H50" i="3"/>
  <c r="F51" i="3"/>
  <c r="G51" i="3"/>
  <c r="C54" i="3"/>
  <c r="D54" i="3"/>
  <c r="E54" i="3"/>
  <c r="F54" i="3"/>
  <c r="F56" i="3" s="1"/>
  <c r="G54" i="3"/>
  <c r="G56" i="3" s="1"/>
  <c r="H54" i="3"/>
  <c r="H56" i="3" s="1"/>
  <c r="C55" i="3"/>
  <c r="C56" i="3" s="1"/>
  <c r="D55" i="3"/>
  <c r="E55" i="3"/>
  <c r="F55" i="3"/>
  <c r="G55" i="3"/>
  <c r="H55" i="3"/>
  <c r="D56" i="3"/>
  <c r="E56" i="3"/>
  <c r="B22" i="3"/>
  <c r="B23" i="3"/>
  <c r="B24" i="3"/>
  <c r="B25" i="3"/>
  <c r="B21" i="3"/>
  <c r="B16" i="3"/>
  <c r="B17" i="3"/>
  <c r="B18" i="3"/>
  <c r="B15" i="3"/>
  <c r="F25" i="3"/>
  <c r="G25" i="3"/>
  <c r="H25" i="3"/>
  <c r="F67" i="6"/>
  <c r="C71" i="6"/>
  <c r="C70" i="6"/>
  <c r="C68" i="6"/>
  <c r="C69" i="6" s="1"/>
  <c r="C67" i="6"/>
  <c r="D67" i="6"/>
  <c r="E67" i="6"/>
  <c r="C62" i="6"/>
  <c r="D62" i="6"/>
  <c r="C63" i="6"/>
  <c r="D63" i="6"/>
  <c r="C64" i="6"/>
  <c r="D64" i="6"/>
  <c r="D68" i="6"/>
  <c r="E68" i="6"/>
  <c r="D69" i="6"/>
  <c r="D70" i="6"/>
  <c r="E70" i="6"/>
  <c r="F70" i="6"/>
  <c r="D71" i="6"/>
  <c r="E71" i="6"/>
  <c r="C49" i="6"/>
  <c r="D49" i="6"/>
  <c r="E49" i="6"/>
  <c r="F49" i="6"/>
  <c r="C50" i="6"/>
  <c r="D50" i="6"/>
  <c r="D51" i="6" s="1"/>
  <c r="E50" i="6"/>
  <c r="E51" i="6" s="1"/>
  <c r="F50" i="6"/>
  <c r="F51" i="6" s="1"/>
  <c r="C51" i="6"/>
  <c r="C54" i="6"/>
  <c r="D54" i="6"/>
  <c r="E54" i="6"/>
  <c r="F54" i="6"/>
  <c r="C55" i="6"/>
  <c r="C56" i="6" s="1"/>
  <c r="D55" i="6"/>
  <c r="E55" i="6"/>
  <c r="F55" i="6"/>
  <c r="D56" i="6"/>
  <c r="E56" i="6"/>
  <c r="F56" i="6"/>
  <c r="C37" i="6"/>
  <c r="D37" i="6"/>
  <c r="C38" i="6"/>
  <c r="D38" i="6"/>
  <c r="E38" i="6"/>
  <c r="E40" i="6" s="1"/>
  <c r="F38" i="6"/>
  <c r="C39" i="6"/>
  <c r="D39" i="6"/>
  <c r="C40" i="6"/>
  <c r="D40" i="6"/>
  <c r="B22" i="6"/>
  <c r="B23" i="6"/>
  <c r="B24" i="6"/>
  <c r="B25" i="6"/>
  <c r="B16" i="6"/>
  <c r="B17" i="6"/>
  <c r="B18" i="6"/>
  <c r="B15" i="6"/>
  <c r="F21" i="6"/>
  <c r="F37" i="6" s="1"/>
  <c r="F22" i="6"/>
  <c r="F23" i="6"/>
  <c r="F24" i="6"/>
  <c r="F25" i="6"/>
  <c r="F18" i="6"/>
  <c r="F17" i="6"/>
  <c r="F15" i="6"/>
  <c r="C71" i="2"/>
  <c r="C70" i="2"/>
  <c r="C68" i="2"/>
  <c r="C69" i="2" s="1"/>
  <c r="C67" i="2"/>
  <c r="D67" i="2"/>
  <c r="E67" i="2"/>
  <c r="D68" i="2"/>
  <c r="D69" i="2" s="1"/>
  <c r="E68" i="2"/>
  <c r="E69" i="2" s="1"/>
  <c r="D70" i="2"/>
  <c r="E70" i="2"/>
  <c r="F70" i="2"/>
  <c r="D71" i="2"/>
  <c r="E71" i="2"/>
  <c r="C62" i="2"/>
  <c r="D62" i="2"/>
  <c r="C63" i="2"/>
  <c r="D63" i="2"/>
  <c r="C64" i="2"/>
  <c r="D64" i="2"/>
  <c r="C49" i="2"/>
  <c r="D49" i="2"/>
  <c r="E49" i="2"/>
  <c r="F49" i="2"/>
  <c r="F51" i="2" s="1"/>
  <c r="C50" i="2"/>
  <c r="C51" i="2" s="1"/>
  <c r="D50" i="2"/>
  <c r="D51" i="2" s="1"/>
  <c r="E50" i="2"/>
  <c r="E51" i="2" s="1"/>
  <c r="F50" i="2"/>
  <c r="C54" i="2"/>
  <c r="C56" i="2" s="1"/>
  <c r="D54" i="2"/>
  <c r="D56" i="2" s="1"/>
  <c r="E54" i="2"/>
  <c r="E56" i="2" s="1"/>
  <c r="F54" i="2"/>
  <c r="F56" i="2" s="1"/>
  <c r="C55" i="2"/>
  <c r="D55" i="2"/>
  <c r="E55" i="2"/>
  <c r="F55" i="2"/>
  <c r="C37" i="2"/>
  <c r="D37" i="2"/>
  <c r="E37" i="2"/>
  <c r="F37" i="2"/>
  <c r="C38" i="2"/>
  <c r="C40" i="2" s="1"/>
  <c r="D38" i="2"/>
  <c r="D40" i="2" s="1"/>
  <c r="E38" i="2"/>
  <c r="E40" i="2" s="1"/>
  <c r="F38" i="2"/>
  <c r="C39" i="2"/>
  <c r="D39" i="2"/>
  <c r="B25" i="2"/>
  <c r="B22" i="2"/>
  <c r="B23" i="2"/>
  <c r="B24" i="2"/>
  <c r="B16" i="2"/>
  <c r="B17" i="2"/>
  <c r="B18" i="2"/>
  <c r="B15" i="2"/>
  <c r="F25" i="2"/>
  <c r="C71" i="1"/>
  <c r="C70" i="1"/>
  <c r="C68" i="1"/>
  <c r="C69" i="1" s="1"/>
  <c r="C67" i="1"/>
  <c r="D67" i="1"/>
  <c r="E67" i="1"/>
  <c r="D68" i="1"/>
  <c r="D69" i="1" s="1"/>
  <c r="E68" i="1"/>
  <c r="E69" i="1" s="1"/>
  <c r="D70" i="1"/>
  <c r="E70" i="1"/>
  <c r="D71" i="1"/>
  <c r="E71" i="1"/>
  <c r="C62" i="1"/>
  <c r="D62" i="1"/>
  <c r="C63" i="1"/>
  <c r="D63" i="1"/>
  <c r="C64" i="1"/>
  <c r="D64" i="1"/>
  <c r="C54" i="1"/>
  <c r="D54" i="1"/>
  <c r="E54" i="1"/>
  <c r="E56" i="1" s="1"/>
  <c r="F54" i="1"/>
  <c r="F56" i="1" s="1"/>
  <c r="C55" i="1"/>
  <c r="C56" i="1" s="1"/>
  <c r="D55" i="1"/>
  <c r="D56" i="1" s="1"/>
  <c r="E55" i="1"/>
  <c r="F55" i="1"/>
  <c r="C49" i="1"/>
  <c r="D49" i="1"/>
  <c r="E49" i="1"/>
  <c r="C50" i="1"/>
  <c r="C51" i="1" s="1"/>
  <c r="D50" i="1"/>
  <c r="D51" i="1" s="1"/>
  <c r="E50" i="1"/>
  <c r="E51" i="1" s="1"/>
  <c r="C37" i="1"/>
  <c r="D37" i="1"/>
  <c r="D39" i="1" s="1"/>
  <c r="E37" i="1"/>
  <c r="F37" i="1"/>
  <c r="C38" i="1"/>
  <c r="C40" i="1" s="1"/>
  <c r="D38" i="1"/>
  <c r="E38" i="1"/>
  <c r="F38" i="1"/>
  <c r="C39" i="1"/>
  <c r="D40" i="1"/>
  <c r="E40" i="1"/>
  <c r="B25" i="1"/>
  <c r="B22" i="1"/>
  <c r="B23" i="1"/>
  <c r="B24" i="1"/>
  <c r="B21" i="1"/>
  <c r="F25" i="1"/>
  <c r="B16" i="1"/>
  <c r="B17" i="1"/>
  <c r="B18" i="1"/>
  <c r="B15" i="1"/>
  <c r="E69" i="6" l="1"/>
  <c r="F63" i="6"/>
  <c r="F63" i="7"/>
  <c r="F39" i="7"/>
  <c r="F64" i="7" s="1"/>
  <c r="F63" i="2"/>
  <c r="B21" i="7"/>
  <c r="E16" i="7"/>
  <c r="C71" i="3" l="1"/>
  <c r="C70" i="3"/>
  <c r="C68" i="3"/>
  <c r="C67" i="3"/>
  <c r="D25" i="4" l="1"/>
  <c r="C25" i="4"/>
  <c r="B25" i="4" s="1"/>
  <c r="E67" i="3" l="1"/>
  <c r="E68" i="3"/>
  <c r="E70" i="3"/>
  <c r="E71" i="3"/>
  <c r="E69" i="3" l="1"/>
  <c r="C69" i="3"/>
  <c r="D25" i="3"/>
  <c r="E25" i="3"/>
  <c r="C25" i="3"/>
  <c r="D25" i="2" l="1"/>
  <c r="E25" i="2"/>
  <c r="C25" i="2"/>
  <c r="D25" i="1"/>
  <c r="E25" i="1"/>
  <c r="C25" i="1"/>
  <c r="C17" i="7" l="1"/>
  <c r="C16" i="7"/>
  <c r="C15" i="7"/>
  <c r="C17" i="6"/>
  <c r="C16" i="6"/>
  <c r="C15" i="6"/>
  <c r="B71" i="4" l="1"/>
  <c r="B68" i="4"/>
  <c r="B37" i="4"/>
  <c r="B71" i="2" l="1"/>
  <c r="B68" i="2"/>
  <c r="B71" i="1" l="1"/>
  <c r="B68" i="1"/>
  <c r="B70" i="1"/>
  <c r="B67" i="1"/>
  <c r="B75" i="1"/>
  <c r="B59" i="1"/>
  <c r="B54" i="4" l="1"/>
  <c r="B54" i="2"/>
  <c r="B54" i="3"/>
  <c r="D16" i="7" l="1"/>
  <c r="D15" i="7"/>
  <c r="E15" i="7"/>
  <c r="B28" i="4" l="1"/>
  <c r="B54" i="1"/>
  <c r="B70" i="4" l="1"/>
  <c r="B67" i="4"/>
  <c r="B70" i="2" l="1"/>
  <c r="B67" i="2"/>
  <c r="B71" i="3"/>
  <c r="B68" i="3"/>
  <c r="B70" i="3"/>
  <c r="B67" i="3"/>
  <c r="E18" i="7" l="1"/>
  <c r="D18" i="7"/>
  <c r="C18" i="7"/>
  <c r="D17" i="7"/>
  <c r="E17" i="7"/>
  <c r="C18" i="5" l="1"/>
  <c r="C54" i="5" l="1"/>
  <c r="B18" i="5"/>
  <c r="B54" i="7"/>
  <c r="B28" i="3"/>
  <c r="E17" i="6"/>
  <c r="E15" i="6"/>
  <c r="D17" i="6"/>
  <c r="D16" i="6"/>
  <c r="D15" i="6"/>
  <c r="D18" i="6"/>
  <c r="E18" i="6"/>
  <c r="C18" i="6"/>
  <c r="B54" i="6" l="1"/>
  <c r="C22" i="5" l="1"/>
  <c r="E22" i="5"/>
  <c r="E67" i="5" s="1"/>
  <c r="C23" i="5"/>
  <c r="D23" i="5"/>
  <c r="E23" i="5"/>
  <c r="E68" i="5" s="1"/>
  <c r="C21" i="5"/>
  <c r="D24" i="5"/>
  <c r="E24" i="5"/>
  <c r="C24" i="5"/>
  <c r="C24" i="7"/>
  <c r="C24" i="6"/>
  <c r="D24" i="6"/>
  <c r="E24" i="6"/>
  <c r="D68" i="5" l="1"/>
  <c r="D38" i="5"/>
  <c r="D63" i="5" s="1"/>
  <c r="E50" i="5"/>
  <c r="E51" i="5" s="1"/>
  <c r="E38" i="5"/>
  <c r="E71" i="5"/>
  <c r="E55" i="5"/>
  <c r="E56" i="5" s="1"/>
  <c r="C55" i="5"/>
  <c r="C56" i="5" s="1"/>
  <c r="B23" i="5"/>
  <c r="B75" i="5" s="1"/>
  <c r="C50" i="5"/>
  <c r="C51" i="5" s="1"/>
  <c r="C38" i="5"/>
  <c r="C37" i="5"/>
  <c r="C39" i="5" s="1"/>
  <c r="B21" i="5"/>
  <c r="D55" i="5"/>
  <c r="D56" i="5" s="1"/>
  <c r="E70" i="5"/>
  <c r="B24" i="5"/>
  <c r="C71" i="5"/>
  <c r="C68" i="5"/>
  <c r="C67" i="5"/>
  <c r="C70" i="5"/>
  <c r="D71" i="5"/>
  <c r="E25" i="5"/>
  <c r="D25" i="5"/>
  <c r="C25" i="5"/>
  <c r="B25" i="5" s="1"/>
  <c r="C22" i="7"/>
  <c r="C23" i="7"/>
  <c r="C21" i="7"/>
  <c r="C22" i="6"/>
  <c r="E22" i="6"/>
  <c r="C23" i="6"/>
  <c r="D23" i="6"/>
  <c r="E23" i="6"/>
  <c r="C21" i="6"/>
  <c r="D21" i="6"/>
  <c r="E21" i="6"/>
  <c r="D22" i="5"/>
  <c r="D67" i="5" s="1"/>
  <c r="E69" i="5" l="1"/>
  <c r="D50" i="5"/>
  <c r="D51" i="5" s="1"/>
  <c r="D69" i="5" s="1"/>
  <c r="B22" i="5"/>
  <c r="D40" i="5"/>
  <c r="D64" i="5" s="1"/>
  <c r="E40" i="5"/>
  <c r="C63" i="5"/>
  <c r="C40" i="5"/>
  <c r="C64" i="5" s="1"/>
  <c r="B21" i="6"/>
  <c r="E37" i="6"/>
  <c r="D70" i="5"/>
  <c r="C69" i="5"/>
  <c r="C71" i="7"/>
  <c r="C68" i="7"/>
  <c r="C70" i="7"/>
  <c r="C67" i="7"/>
  <c r="D71" i="7"/>
  <c r="B68" i="5"/>
  <c r="B71" i="5"/>
  <c r="D25" i="6"/>
  <c r="E25" i="6"/>
  <c r="C25" i="6"/>
  <c r="C25" i="7"/>
  <c r="B28" i="2"/>
  <c r="D22" i="6"/>
  <c r="B28" i="1"/>
  <c r="B28" i="5" l="1"/>
  <c r="B74" i="5" s="1"/>
  <c r="B67" i="5"/>
  <c r="B70" i="5"/>
  <c r="D70" i="7"/>
  <c r="B68" i="7"/>
  <c r="B71" i="7"/>
  <c r="B68" i="6"/>
  <c r="B71" i="6"/>
  <c r="B67" i="7" l="1"/>
  <c r="B70" i="7"/>
  <c r="B70" i="6"/>
  <c r="B67" i="6"/>
  <c r="B29" i="7"/>
  <c r="B28" i="7"/>
  <c r="B29" i="6"/>
  <c r="B28" i="6"/>
  <c r="D69" i="7" l="1"/>
  <c r="B74" i="1" l="1"/>
  <c r="B37" i="6" l="1"/>
  <c r="B74" i="6"/>
  <c r="B37" i="7" l="1"/>
  <c r="B74" i="7"/>
  <c r="B37" i="5" l="1"/>
  <c r="B74" i="4"/>
  <c r="B37" i="3"/>
  <c r="B74" i="3"/>
  <c r="B37" i="2"/>
  <c r="B74" i="2"/>
  <c r="B37" i="1"/>
  <c r="B62" i="3" l="1"/>
  <c r="B49" i="3"/>
  <c r="B39" i="6"/>
  <c r="B39" i="7"/>
  <c r="B39" i="5"/>
  <c r="B39" i="1"/>
  <c r="B50" i="2"/>
  <c r="B75" i="2"/>
  <c r="B55" i="2"/>
  <c r="B59" i="2"/>
  <c r="B55" i="4"/>
  <c r="B56" i="4" s="1"/>
  <c r="B50" i="4"/>
  <c r="B75" i="4"/>
  <c r="B49" i="2"/>
  <c r="B62" i="2"/>
  <c r="B55" i="3"/>
  <c r="B50" i="3"/>
  <c r="B75" i="3"/>
  <c r="B62" i="4"/>
  <c r="B49" i="4"/>
  <c r="B39" i="4"/>
  <c r="B39" i="3"/>
  <c r="B39" i="2"/>
  <c r="B59" i="5"/>
  <c r="B38" i="5"/>
  <c r="B50" i="5"/>
  <c r="B55" i="5"/>
  <c r="B59" i="4"/>
  <c r="B38" i="4"/>
  <c r="B63" i="4" s="1"/>
  <c r="B59" i="3"/>
  <c r="B38" i="3"/>
  <c r="B63" i="3" s="1"/>
  <c r="B38" i="2"/>
  <c r="B63" i="2" s="1"/>
  <c r="B38" i="1"/>
  <c r="B50" i="1"/>
  <c r="B55" i="1"/>
  <c r="B51" i="4" l="1"/>
  <c r="B69" i="4" s="1"/>
  <c r="B51" i="2"/>
  <c r="B69" i="2" s="1"/>
  <c r="C69" i="7"/>
  <c r="B56" i="3"/>
  <c r="B56" i="2"/>
  <c r="B51" i="3"/>
  <c r="B69" i="3" s="1"/>
  <c r="B75" i="6"/>
  <c r="B59" i="6"/>
  <c r="B50" i="6"/>
  <c r="B55" i="6"/>
  <c r="B38" i="6"/>
  <c r="B75" i="7"/>
  <c r="B55" i="7"/>
  <c r="B38" i="7"/>
  <c r="B50" i="7"/>
  <c r="B59" i="7"/>
  <c r="B63" i="5"/>
  <c r="B40" i="5"/>
  <c r="B64" i="5" s="1"/>
  <c r="B40" i="4"/>
  <c r="B64" i="4" s="1"/>
  <c r="B40" i="3"/>
  <c r="B64" i="3" s="1"/>
  <c r="B40" i="2"/>
  <c r="B64" i="2" s="1"/>
  <c r="B63" i="1"/>
  <c r="B40" i="1"/>
  <c r="B64" i="1" s="1"/>
  <c r="B49" i="1"/>
  <c r="B51" i="1" s="1"/>
  <c r="B69" i="1" s="1"/>
  <c r="B62" i="1"/>
  <c r="B56" i="1"/>
  <c r="B62" i="5" l="1"/>
  <c r="B54" i="5"/>
  <c r="B56" i="5" s="1"/>
  <c r="B49" i="5"/>
  <c r="B51" i="5" s="1"/>
  <c r="B69" i="5" s="1"/>
  <c r="B40" i="7"/>
  <c r="B64" i="7" s="1"/>
  <c r="B63" i="7"/>
  <c r="B49" i="6"/>
  <c r="B51" i="6" s="1"/>
  <c r="B69" i="6" s="1"/>
  <c r="B62" i="6"/>
  <c r="B56" i="6"/>
  <c r="B63" i="6"/>
  <c r="B40" i="6"/>
  <c r="B64" i="6" s="1"/>
  <c r="B49" i="7"/>
  <c r="B51" i="7" s="1"/>
  <c r="B69" i="7" s="1"/>
  <c r="B56" i="7"/>
  <c r="B62" i="7"/>
</calcChain>
</file>

<file path=xl/sharedStrings.xml><?xml version="1.0" encoding="utf-8"?>
<sst xmlns="http://schemas.openxmlformats.org/spreadsheetml/2006/main" count="670" uniqueCount="137">
  <si>
    <t>Indicador</t>
  </si>
  <si>
    <t>Total programa</t>
  </si>
  <si>
    <t>Productos</t>
  </si>
  <si>
    <t>Insumos</t>
  </si>
  <si>
    <t xml:space="preserve">Beneficiarios </t>
  </si>
  <si>
    <t>Gasto FODESAF</t>
  </si>
  <si>
    <t>Ingresos FODESAF</t>
  </si>
  <si>
    <t>Otros insumos</t>
  </si>
  <si>
    <t>Población objetivo</t>
  </si>
  <si>
    <t>Cálculos intermedios</t>
  </si>
  <si>
    <t>Indicadores</t>
  </si>
  <si>
    <t>De Cobertura Potencial</t>
  </si>
  <si>
    <t>Cobertura Programada</t>
  </si>
  <si>
    <t>Cobertura Efectiva</t>
  </si>
  <si>
    <t>De resultado</t>
  </si>
  <si>
    <t>Índice efectividad en beneficiarios (IEB)</t>
  </si>
  <si>
    <t xml:space="preserve">Índice efectividad en gasto (IEG) </t>
  </si>
  <si>
    <t>Índice efectividad total (IET)</t>
  </si>
  <si>
    <t xml:space="preserve">De avance </t>
  </si>
  <si>
    <t xml:space="preserve">Índice avance beneficiarios (IAB) </t>
  </si>
  <si>
    <t>Índice avance gasto (IAG)</t>
  </si>
  <si>
    <t xml:space="preserve">Índice avance total (IAT) </t>
  </si>
  <si>
    <t>Índice transferencia efectiva del gasto (ITG)</t>
  </si>
  <si>
    <t>De expansión</t>
  </si>
  <si>
    <t xml:space="preserve">Índice de crecimiento beneficiarios (ICB) </t>
  </si>
  <si>
    <t xml:space="preserve">Índice de crecimiento del gasto real (ICGR) </t>
  </si>
  <si>
    <t xml:space="preserve">Índice de crecimiento del gasto real por beneficiario (ICGRB) </t>
  </si>
  <si>
    <t>De gasto medio</t>
  </si>
  <si>
    <t xml:space="preserve">Índice de eficiencia (IE) </t>
  </si>
  <si>
    <t>De giro de recursos</t>
  </si>
  <si>
    <t>Índice de giro efectivo (IGE)</t>
  </si>
  <si>
    <t xml:space="preserve">Índice de uso de recursos (IUR) </t>
  </si>
  <si>
    <t>De Composición</t>
  </si>
  <si>
    <t xml:space="preserve">Gasto programado mensual por beneficiario (GPB) </t>
  </si>
  <si>
    <t xml:space="preserve">Gasto efectivo mensual por beneficiario (GEB) </t>
  </si>
  <si>
    <t>n.a.</t>
  </si>
  <si>
    <t>n.d.</t>
  </si>
  <si>
    <t xml:space="preserve">Gasto programado anual por beneficiario (GPB) </t>
  </si>
  <si>
    <t xml:space="preserve">Gasto efectivo anual por beneficiario (GEB) </t>
  </si>
  <si>
    <t>Atención de 
denuncias</t>
  </si>
  <si>
    <t xml:space="preserve">Gasto mensual programado por beneficiario (GPB) </t>
  </si>
  <si>
    <t xml:space="preserve">Gasto mensual efectivo por beneficiario (GEB) </t>
  </si>
  <si>
    <t xml:space="preserve">Gasto trimestral programado por beneficiario (GPB) </t>
  </si>
  <si>
    <t xml:space="preserve">Gasto trimestral efectivo por beneficiario (GEB) </t>
  </si>
  <si>
    <t xml:space="preserve">Gasto semestral programado por beneficiario (GPB) </t>
  </si>
  <si>
    <t xml:space="preserve">Gasto semestral efectivo por beneficiario (GEB) </t>
  </si>
  <si>
    <t xml:space="preserve">Gasto acumulado programado por beneficiario (GPB) </t>
  </si>
  <si>
    <t xml:space="preserve">Gasto acumulado efectivo por beneficiario (GEB) </t>
  </si>
  <si>
    <t>Centros de Atención Infantil-
Guarderías</t>
  </si>
  <si>
    <t>Efectivos 1T 2021</t>
  </si>
  <si>
    <t>IPC (1T 2021)</t>
  </si>
  <si>
    <t>Gasto efectivo real 1T 2021</t>
  </si>
  <si>
    <t>Gasto efectivo real por beneficiario 1T 2021</t>
  </si>
  <si>
    <t>Efectivos 2T 2021</t>
  </si>
  <si>
    <t>IPC (2T 2021)</t>
  </si>
  <si>
    <t>Gasto efectivo real 2T 2021</t>
  </si>
  <si>
    <t>Gasto efectivo real por beneficiario 2T 2021</t>
  </si>
  <si>
    <t>Efectivos 1S 2021</t>
  </si>
  <si>
    <t>IPC (1S 2021)</t>
  </si>
  <si>
    <t>Gasto efectivo real 1S 2021</t>
  </si>
  <si>
    <t>Gasto efectivo real por beneficiario 1S 2021</t>
  </si>
  <si>
    <t>Efectivos 3T 2021</t>
  </si>
  <si>
    <t>IPC (3T 2021)</t>
  </si>
  <si>
    <t>Gasto efectivo real 3T 2021</t>
  </si>
  <si>
    <t>Gasto efectivo real por beneficiario 3T 2021</t>
  </si>
  <si>
    <t>Efectivos 3TA 2021</t>
  </si>
  <si>
    <t>IPC (3TA 2021)</t>
  </si>
  <si>
    <t>Gasto efectivo real 3TA 2021</t>
  </si>
  <si>
    <t>Gasto efectivo real por beneficiario 3TA 2021</t>
  </si>
  <si>
    <t>Efectivos 4T 2021</t>
  </si>
  <si>
    <t>IPC (4T 2021)</t>
  </si>
  <si>
    <t>Gasto efectivo real 4T 2021</t>
  </si>
  <si>
    <t>Gasto efectivo real por beneficiario 4T 2021</t>
  </si>
  <si>
    <t>Efectivos 2021</t>
  </si>
  <si>
    <t>IPC (2021)</t>
  </si>
  <si>
    <t>Gasto efectivo real  2021</t>
  </si>
  <si>
    <t>Gasto efectivo real por beneficiario  2021</t>
  </si>
  <si>
    <t>Programados 1T 2022</t>
  </si>
  <si>
    <t>Efectivos 1T 2022</t>
  </si>
  <si>
    <t>Programados año 2022</t>
  </si>
  <si>
    <t>En transferencias 1T 2022</t>
  </si>
  <si>
    <t>IPC (1T 2022)</t>
  </si>
  <si>
    <t>Gasto efectivo real 1T 2022</t>
  </si>
  <si>
    <t>Gasto efectivo real por beneficiario 1T 2022</t>
  </si>
  <si>
    <r>
      <rPr>
        <b/>
        <sz val="11"/>
        <color theme="1"/>
        <rFont val="Palatino Linotype"/>
        <family val="1"/>
      </rPr>
      <t xml:space="preserve">Fuentes: </t>
    </r>
    <r>
      <rPr>
        <sz val="11"/>
        <color theme="1"/>
        <rFont val="Palatino Linotype"/>
        <family val="1"/>
      </rPr>
      <t>Informes Trimestrales PANI 2021 y 2022 - Cronogramas de Metas e Inversión - Modificaciones 2022 - IPC, INEC 2021 y 2022</t>
    </r>
  </si>
  <si>
    <t xml:space="preserve">Notas: </t>
  </si>
  <si>
    <r>
      <rPr>
        <b/>
        <sz val="11"/>
        <color theme="1"/>
        <rFont val="Palatino Linotype"/>
        <family val="1"/>
      </rPr>
      <t>1.</t>
    </r>
    <r>
      <rPr>
        <sz val="11"/>
        <color theme="1"/>
        <rFont val="Palatino Linotype"/>
        <family val="1"/>
      </rPr>
      <t xml:space="preserve"> Durante el año 2021, el producto Protección y Apoyo  a los niños, niñas y adolescentes en los Albergues PANI no se programó y, por ende, no se ejecutó. </t>
    </r>
  </si>
  <si>
    <r>
      <rPr>
        <b/>
        <sz val="11"/>
        <color theme="1"/>
        <rFont val="Palatino Linotype"/>
        <family val="1"/>
      </rPr>
      <t xml:space="preserve">2. </t>
    </r>
    <r>
      <rPr>
        <sz val="11"/>
        <color theme="1"/>
        <rFont val="Palatino Linotype"/>
        <family val="1"/>
      </rPr>
      <t xml:space="preserve">El producto Fondo de la Niñez y Adolescencia  "Proyectos Fondo de la Niñez y Adolescencia" no tiene programación para el I Trimestre 2022, sin embargo, si reportó ejecución de recursos durante el I T. </t>
    </r>
  </si>
  <si>
    <r>
      <t xml:space="preserve">3. </t>
    </r>
    <r>
      <rPr>
        <sz val="11"/>
        <color theme="1"/>
        <rFont val="Palatino Linotype"/>
        <family val="1"/>
      </rPr>
      <t xml:space="preserve">El presupuesto del año 2022 asignado al PANI corresponde a 16 828 789 561 no obstante de este monto se destinan 57 257 935,63 para la atención de compromisos adquiridos en el año 2021 que no pudieron ser cubiertos debido a la aplicación de la regla fiscal, y cuyos beneficiarios fueron reportados en el cuarto trimestre del 2021. Por lo cual, el total utilizado para el cálculo de los indicadores es de 16 771 531 626. La UE para el I T 2022 realizó el reporte de que se pagaron compromisos para el producto "Proyectos Fondo Niñez y Adolescencia por un total de 58 851 847. </t>
    </r>
  </si>
  <si>
    <t>Protección y Apoyo  a los niños, niñas y adolescentes en los Albergues PANI</t>
  </si>
  <si>
    <t xml:space="preserve"> Fondo de la Niñez y Adolescencia  "Proyectos Fondo de la Niñez y Adolescencia"</t>
  </si>
  <si>
    <t>Programados 2T 2022</t>
  </si>
  <si>
    <t>Efectivos 2T 2022</t>
  </si>
  <si>
    <t>En transferencias 2T 2022</t>
  </si>
  <si>
    <t>IPC (2T 2022)</t>
  </si>
  <si>
    <t>Gasto efectivo real 2T 2022</t>
  </si>
  <si>
    <t>Gasto efectivo real por beneficiario 2T 2022</t>
  </si>
  <si>
    <r>
      <rPr>
        <b/>
        <sz val="11"/>
        <color theme="1"/>
        <rFont val="Palatino Linotype"/>
        <family val="1"/>
      </rPr>
      <t xml:space="preserve">2. </t>
    </r>
    <r>
      <rPr>
        <sz val="11"/>
        <color theme="1"/>
        <rFont val="Palatino Linotype"/>
        <family val="1"/>
      </rPr>
      <t xml:space="preserve">El producto Fondo de la Niñez y Adolescencia  "Proyectos Fondo de la Niñez y Adolescencia" no reportó ejecución de beneficiarios para el II Trimestre 2022, sin embargo, si reportó ejecución de recursos durante el II T (se remitió consulta al respesto a la UE del programa). </t>
    </r>
  </si>
  <si>
    <t>Programados 1S 2022</t>
  </si>
  <si>
    <t>Efectivos 1S 2022</t>
  </si>
  <si>
    <t>En transferencias 1S 2022</t>
  </si>
  <si>
    <t>IPC (1S 2022)</t>
  </si>
  <si>
    <t>Gasto efectivo real 1S 2022</t>
  </si>
  <si>
    <t>Gasto efectivo real por beneficiario 1S 2022</t>
  </si>
  <si>
    <t xml:space="preserve">Nota: </t>
  </si>
  <si>
    <t>Centros de Atención Infantil residenciales con ONG</t>
  </si>
  <si>
    <t>Acogimiento Familiar</t>
  </si>
  <si>
    <t>Programados 3T 2022</t>
  </si>
  <si>
    <t>Efectivos 3T 2022</t>
  </si>
  <si>
    <t>En transferencias 3T 2022</t>
  </si>
  <si>
    <t>IPC (3T 2022)</t>
  </si>
  <si>
    <t>Gasto efectivo real 3T 2022</t>
  </si>
  <si>
    <t>Gasto efectivo real por beneficiario 3T 2022</t>
  </si>
  <si>
    <r>
      <t xml:space="preserve">2. </t>
    </r>
    <r>
      <rPr>
        <sz val="11"/>
        <color theme="1"/>
        <rFont val="Palatino Linotype"/>
        <family val="1"/>
      </rPr>
      <t xml:space="preserve">Para el III T se agregaron los productos "Centros de Atención Infantil residenciales con ONG" y "Acogimiento Familiar". </t>
    </r>
  </si>
  <si>
    <t>Programados 3TA 2022</t>
  </si>
  <si>
    <t>Efectivos 3TA 2022</t>
  </si>
  <si>
    <t>En transferencias 3TA 2022</t>
  </si>
  <si>
    <t>IPC (3TA 2022)</t>
  </si>
  <si>
    <t>Gasto efectivo real 3TA 2022</t>
  </si>
  <si>
    <t>Gasto efectivo real por beneficiario 3TA 2022</t>
  </si>
  <si>
    <t>Programados 4T 2022</t>
  </si>
  <si>
    <t>Efectivos 4T 2022</t>
  </si>
  <si>
    <t>En transferencias 4T 2022</t>
  </si>
  <si>
    <t>IPC (4T 2022)</t>
  </si>
  <si>
    <t>Gasto efectivo real 4T 2022</t>
  </si>
  <si>
    <t>Gasto efectivo real por beneficiario 4T 2022</t>
  </si>
  <si>
    <t>Programados 2022</t>
  </si>
  <si>
    <t>Efectivos 2022</t>
  </si>
  <si>
    <t>En transferencias 2022</t>
  </si>
  <si>
    <t>IPC (2022)</t>
  </si>
  <si>
    <t>Gasto efectivo real  2022</t>
  </si>
  <si>
    <t>Gasto efectivo real por beneficiario  2022</t>
  </si>
  <si>
    <r>
      <t xml:space="preserve">2. </t>
    </r>
    <r>
      <rPr>
        <sz val="11"/>
        <color theme="1"/>
        <rFont val="Palatino Linotype"/>
        <family val="1"/>
      </rPr>
      <t xml:space="preserve">El presupuesto del año 2022 asignado al PANI corresponde a 16 828 789 561 no obstante de este monto se destinan 57 257 935,63 para la atención de compromisos adquiridos en el año 2021 que no pudieron ser cubiertos debido a la aplicación de la regla fiscal, y cuyos beneficiarios fueron reportados en el cuarto trimestre del 2021. Por lo cual, el total utilizado para el cálculo de los indicadores es de 16 771 531 626.
** Para el III T se realizó una modificación y el presupuesto final es de 29 884 258 916 y este dato incluye el monto de los compromisos del año 2021, es decir, también se le descuentan los 57 257 935,63. </t>
    </r>
  </si>
  <si>
    <r>
      <t xml:space="preserve">3. </t>
    </r>
    <r>
      <rPr>
        <sz val="11"/>
        <color theme="1"/>
        <rFont val="Palatino Linotype"/>
        <family val="1"/>
      </rPr>
      <t xml:space="preserve">El presupuesto del año 2022 asignado al PANI corresponde a 16 828 789 561 no obstante de este monto se destinan 57 257 935,63 para la atención de compromisos adquiridos en el año 2021 que no pudieron ser cubiertos debido a la aplicación de la regla fiscal, y cuyos beneficiarios fueron reportados en el cuarto trimestre del 2021. Por lo cual, el total utilizado para el cálculo de los indicadores es de 16 771 531 626.
** Para el III T se realizó una modificación y el presupuesto final es de 29 884 258 916 y este dato incluye el monto de los compromisos del año 2021, es decir, también se le descuentan los 57 257 935,63. </t>
    </r>
  </si>
  <si>
    <r>
      <t xml:space="preserve">2. </t>
    </r>
    <r>
      <rPr>
        <sz val="11"/>
        <color theme="1"/>
        <rFont val="Palatino Linotype"/>
        <family val="1"/>
      </rPr>
      <t xml:space="preserve">El presupuesto del año 2022 asignado al PANI corresponde a 16 828 789 561 no obstante de este monto se destinan 57 257 935,63 para la atención de compromisos adquiridos en el año 2021 que no pudieron ser cubiertos debido a la aplicación de la regla fiscal, y cuyos beneficiarios fueron reportados en el cuarto trimestre del 2021. Por lo cual, el total utilizado para el cálculo de los indicadores es de 16 771 531 626.
** Para el III T se realizó una modificación y el presupuesto final es de 29 884 258 916 y este dato incluye el monto de los compromisos del año 2021, es decir, también se le descuentan los 57 257 935,63 (Tomar en cuenta esto al analizar el indicador de giro). </t>
    </r>
  </si>
  <si>
    <r>
      <t xml:space="preserve">3. </t>
    </r>
    <r>
      <rPr>
        <sz val="11"/>
        <color theme="1"/>
        <rFont val="Palatino Linotype"/>
        <family val="1"/>
      </rPr>
      <t xml:space="preserve">El dato del gasto programado mensual por beneficiario del producto Centros de Atención Infantil - Guarderías no es congruente con el dato que se encuentra en el cronograma de metas e inversión, esto debido a que el el total de beneficiarios es variado en el transcurso del año y, además en el cronograma se utiliza el dato de los productos o servicios programados para realizar el cálculo. </t>
    </r>
  </si>
  <si>
    <r>
      <t>4.</t>
    </r>
    <r>
      <rPr>
        <sz val="11"/>
        <color theme="1"/>
        <rFont val="Palatino Linotype"/>
        <family val="1"/>
      </rPr>
      <t xml:space="preserve"> En total la UE reportó que para el año 2022 ejecutó un total de 27 065 958 315,37 no obstante, para el cálculo de los indicadores únicamente se toma en consideración el monto de 27 007 106 468, esto debido a que en el I Trimestre se reportó la utilización de 58 851 847,37 para el pago de compromisos del año 2021 </t>
    </r>
    <r>
      <rPr>
        <u/>
        <sz val="11"/>
        <color theme="1"/>
        <rFont val="Palatino Linotype"/>
        <family val="1"/>
      </rPr>
      <t>(Se gastaron 1 593 911,74 adicional a lo que se indicó se iba a destinar al pago de compromisos)</t>
    </r>
    <r>
      <rPr>
        <sz val="11"/>
        <color theme="1"/>
        <rFont val="Palatino Linotype"/>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</si>
</sst>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____"/>
    <numFmt numFmtId="166" formatCode="0.0000"/>
    <numFmt numFmtId="167" formatCode="_(* #,##0.0000_);_(* \(#,##0.0000\);_(* &quot;-&quot;??_);_(@_)"/>
  </numFmts>
  <fonts count="9">
    <font>
      <sz val="11"/>
      <color theme="1"/>
      <name val="Calibri"/>
      <family val="2"/>
      <scheme val="minor"/>
    </font>
    <font>
      <sz val="11"/>
      <color theme="1"/>
      <name val="Calibri"/>
      <family val="2"/>
      <scheme val="minor"/>
    </font>
    <font>
      <sz val="10"/>
      <color theme="1"/>
      <name val="Calibri"/>
      <family val="2"/>
      <scheme val="minor"/>
    </font>
    <font>
      <sz val="11"/>
      <color theme="1"/>
      <name val="Calibri Light"/>
      <family val="2"/>
    </font>
    <font>
      <b/>
      <sz val="11"/>
      <color theme="1"/>
      <name val="Calibri Light"/>
      <family val="2"/>
    </font>
    <font>
      <b/>
      <sz val="11"/>
      <color theme="1"/>
      <name val="Palatino Linotype"/>
      <family val="1"/>
    </font>
    <font>
      <sz val="11"/>
      <color theme="1"/>
      <name val="Palatino Linotype"/>
      <family val="1"/>
    </font>
    <font>
      <u/>
      <sz val="11"/>
      <color theme="1"/>
      <name val="Palatino Linotype"/>
      <family val="1"/>
    </font>
    <font>
      <sz val="11"/>
      <color theme="1"/>
      <name val="Latino lino"/>
    </font>
  </fonts>
  <fills count="2">
    <fill>
      <patternFill patternType="none"/>
    </fill>
    <fill>
      <patternFill patternType="gray125"/>
    </fill>
  </fills>
  <borders count="7">
    <border>
      <left/>
      <right/>
      <top/>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top style="double">
        <color indexed="64"/>
      </top>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63">
    <xf numFmtId="0" fontId="0" fillId="0" borderId="0" xfId="0"/>
    <xf numFmtId="0" fontId="0" fillId="0" borderId="0" xfId="0" applyFont="1" applyFill="1"/>
    <xf numFmtId="0" fontId="2" fillId="0" borderId="0" xfId="0" applyFont="1" applyFill="1"/>
    <xf numFmtId="0" fontId="4" fillId="0" borderId="0" xfId="0" applyFont="1" applyFill="1" applyAlignment="1">
      <alignment vertical="center"/>
    </xf>
    <xf numFmtId="0" fontId="3" fillId="0" borderId="0" xfId="0" applyFont="1" applyFill="1"/>
    <xf numFmtId="0" fontId="5" fillId="0" borderId="4" xfId="0" applyFont="1" applyFill="1" applyBorder="1" applyAlignment="1">
      <alignment horizontal="center" vertical="center" wrapText="1"/>
    </xf>
    <xf numFmtId="0" fontId="5" fillId="0" borderId="0" xfId="0" applyFont="1" applyFill="1"/>
    <xf numFmtId="0" fontId="6" fillId="0" borderId="0" xfId="0" applyFont="1" applyFill="1"/>
    <xf numFmtId="0" fontId="6" fillId="0" borderId="0" xfId="0" applyFont="1" applyFill="1" applyAlignment="1">
      <alignment horizontal="left" indent="1"/>
    </xf>
    <xf numFmtId="3" fontId="6" fillId="0" borderId="0" xfId="0" applyNumberFormat="1" applyFont="1" applyFill="1" applyAlignment="1">
      <alignment horizontal="right"/>
    </xf>
    <xf numFmtId="0" fontId="5" fillId="0" borderId="0" xfId="0" applyFont="1" applyFill="1" applyAlignment="1">
      <alignment horizontal="left"/>
    </xf>
    <xf numFmtId="4" fontId="6" fillId="0" borderId="0" xfId="0" applyNumberFormat="1" applyFont="1" applyFill="1" applyAlignment="1">
      <alignment horizontal="right"/>
    </xf>
    <xf numFmtId="2" fontId="6" fillId="0" borderId="0" xfId="0" applyNumberFormat="1" applyFont="1" applyFill="1" applyAlignment="1">
      <alignment horizontal="right"/>
    </xf>
    <xf numFmtId="167" fontId="6" fillId="0" borderId="0" xfId="0" applyNumberFormat="1" applyFont="1" applyFill="1" applyAlignment="1">
      <alignment horizontal="right"/>
    </xf>
    <xf numFmtId="0" fontId="5" fillId="0" borderId="0" xfId="0" applyFont="1" applyFill="1" applyAlignment="1">
      <alignment horizontal="left" indent="1"/>
    </xf>
    <xf numFmtId="0" fontId="6" fillId="0" borderId="0" xfId="0" applyFont="1" applyFill="1" applyAlignment="1">
      <alignment horizontal="right"/>
    </xf>
    <xf numFmtId="3" fontId="6" fillId="0" borderId="0" xfId="1" applyNumberFormat="1" applyFont="1" applyFill="1" applyAlignment="1">
      <alignment horizontal="right"/>
    </xf>
    <xf numFmtId="0" fontId="6" fillId="0" borderId="3" xfId="0" applyFont="1" applyFill="1" applyBorder="1"/>
    <xf numFmtId="3" fontId="6" fillId="0" borderId="0" xfId="0" applyNumberFormat="1" applyFont="1" applyFill="1"/>
    <xf numFmtId="4" fontId="6" fillId="0" borderId="0" xfId="0" applyNumberFormat="1" applyFont="1" applyFill="1"/>
    <xf numFmtId="166" fontId="6" fillId="0" borderId="0" xfId="0" applyNumberFormat="1" applyFont="1" applyFill="1" applyAlignment="1">
      <alignment horizontal="right"/>
    </xf>
    <xf numFmtId="165" fontId="6" fillId="0" borderId="0" xfId="0" applyNumberFormat="1" applyFont="1" applyFill="1" applyAlignment="1">
      <alignment horizontal="right"/>
    </xf>
    <xf numFmtId="3" fontId="7" fillId="0" borderId="0" xfId="0" applyNumberFormat="1" applyFont="1" applyFill="1"/>
    <xf numFmtId="0" fontId="5" fillId="0" borderId="0" xfId="0" applyFont="1"/>
    <xf numFmtId="0" fontId="6" fillId="0" borderId="0" xfId="0" applyFont="1"/>
    <xf numFmtId="0" fontId="6" fillId="0" borderId="0" xfId="0" applyFont="1" applyAlignment="1">
      <alignment horizontal="left" indent="1"/>
    </xf>
    <xf numFmtId="0" fontId="5" fillId="0" borderId="0" xfId="0" applyFont="1" applyAlignment="1">
      <alignment horizontal="left"/>
    </xf>
    <xf numFmtId="0" fontId="3" fillId="0" borderId="0" xfId="0" applyFont="1"/>
    <xf numFmtId="0" fontId="2" fillId="0" borderId="0" xfId="0" applyFont="1"/>
    <xf numFmtId="0" fontId="5" fillId="0" borderId="4" xfId="0" applyFont="1" applyBorder="1" applyAlignment="1">
      <alignment horizontal="center" vertical="center" wrapText="1"/>
    </xf>
    <xf numFmtId="3" fontId="6" fillId="0" borderId="0" xfId="0" applyNumberFormat="1" applyFont="1" applyAlignment="1">
      <alignment horizontal="right"/>
    </xf>
    <xf numFmtId="164" fontId="6" fillId="0" borderId="0" xfId="1" applyFont="1" applyFill="1" applyAlignment="1">
      <alignment horizontal="right" vertical="center"/>
    </xf>
    <xf numFmtId="0" fontId="4" fillId="0" borderId="0" xfId="0" applyFont="1" applyAlignment="1">
      <alignment vertical="center"/>
    </xf>
    <xf numFmtId="0" fontId="6" fillId="0" borderId="3" xfId="0" applyFont="1" applyBorder="1"/>
    <xf numFmtId="164" fontId="6" fillId="0" borderId="0" xfId="1" applyFont="1" applyFill="1" applyAlignment="1">
      <alignment horizontal="right"/>
    </xf>
    <xf numFmtId="167" fontId="6" fillId="0" borderId="0" xfId="0" applyNumberFormat="1" applyFont="1" applyAlignment="1">
      <alignment horizontal="right"/>
    </xf>
    <xf numFmtId="4" fontId="7" fillId="0" borderId="0" xfId="0" applyNumberFormat="1" applyFont="1" applyFill="1" applyAlignment="1">
      <alignment horizontal="right"/>
    </xf>
    <xf numFmtId="2" fontId="6" fillId="0" borderId="0" xfId="0" applyNumberFormat="1" applyFont="1" applyAlignment="1">
      <alignment horizontal="right"/>
    </xf>
    <xf numFmtId="166" fontId="6" fillId="0" borderId="0" xfId="0" applyNumberFormat="1" applyFont="1" applyAlignment="1">
      <alignment horizontal="right"/>
    </xf>
    <xf numFmtId="0" fontId="8" fillId="0" borderId="0" xfId="0" applyFont="1" applyFill="1"/>
    <xf numFmtId="4" fontId="7" fillId="0" borderId="0" xfId="0" applyNumberFormat="1" applyFont="1" applyFill="1"/>
    <xf numFmtId="0" fontId="0" fillId="0" borderId="6" xfId="0" applyFont="1" applyFill="1" applyBorder="1"/>
    <xf numFmtId="0" fontId="0" fillId="0" borderId="0" xfId="0" applyFont="1" applyFill="1" applyAlignment="1">
      <alignment wrapText="1"/>
    </xf>
    <xf numFmtId="0" fontId="6" fillId="0" borderId="0" xfId="0" applyFont="1" applyAlignment="1">
      <alignment horizontal="left" vertical="center"/>
    </xf>
    <xf numFmtId="0" fontId="5" fillId="0" borderId="0" xfId="0" applyFont="1" applyAlignment="1">
      <alignment horizontal="left" vertical="top" wrapTex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5" xfId="0" applyFont="1" applyBorder="1" applyAlignment="1">
      <alignment horizontal="left" vertical="top" wrapText="1"/>
    </xf>
    <xf numFmtId="0" fontId="6" fillId="0" borderId="0" xfId="0" applyFont="1" applyAlignment="1">
      <alignment horizontal="left"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xf>
    <xf numFmtId="0" fontId="5" fillId="0" borderId="0" xfId="0" applyFont="1" applyAlignment="1">
      <alignment horizontal="left" vertical="center"/>
    </xf>
    <xf numFmtId="0" fontId="5" fillId="0" borderId="6" xfId="0" applyFont="1" applyBorder="1" applyAlignment="1">
      <alignment horizontal="center" vertical="center"/>
    </xf>
    <xf numFmtId="0" fontId="6" fillId="0" borderId="0" xfId="0" applyFont="1" applyFill="1" applyAlignment="1">
      <alignment horizontal="left" vertical="center"/>
    </xf>
    <xf numFmtId="0" fontId="5" fillId="0" borderId="0" xfId="0" applyFont="1" applyFill="1" applyAlignment="1">
      <alignment horizontal="left" vertical="top" wrapText="1"/>
    </xf>
    <xf numFmtId="0" fontId="5" fillId="0" borderId="6" xfId="0" applyFont="1" applyFill="1" applyBorder="1" applyAlignment="1">
      <alignment horizontal="center" vertical="center"/>
    </xf>
    <xf numFmtId="0" fontId="6" fillId="0" borderId="5" xfId="0" applyFont="1" applyFill="1" applyBorder="1" applyAlignment="1">
      <alignment horizontal="left" vertical="top" wrapText="1"/>
    </xf>
  </cellXfs>
  <cellStyles count="2">
    <cellStyle name="Millares" xfId="1" builtinId="3"/>
    <cellStyle name="Normal" xfId="0" builtinId="0"/>
  </cellStyles>
  <dxfs count="0"/>
  <tableStyles count="0" defaultTableStyle="TableStyleMedium2" defaultPivotStyle="PivotStyleLight16"/>
  <colors>
    <mruColors>
      <color rgb="FFA2BFE6"/>
      <color rgb="FF4071B9"/>
      <color rgb="FF102D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1"/>
                </a:solidFill>
                <a:latin typeface="Palatino Linotype" panose="02040502050505030304" pitchFamily="18" charset="0"/>
                <a:ea typeface="+mn-ea"/>
                <a:cs typeface="+mn-cs"/>
              </a:defRPr>
            </a:pPr>
            <a:r>
              <a:rPr lang="es-CR" sz="1800">
                <a:latin typeface="Palatino Linotype" panose="02040502050505030304" pitchFamily="18" charset="0"/>
              </a:rPr>
              <a:t>PANI: Indicadores de resultado 2022</a:t>
            </a:r>
          </a:p>
        </c:rich>
      </c:tx>
      <c:layout>
        <c:manualLayout>
          <c:xMode val="edge"/>
          <c:yMode val="edge"/>
          <c:x val="0.29813366983142292"/>
          <c:y val="4.166674350774149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Palatino Linotype" panose="02040502050505030304" pitchFamily="18" charset="0"/>
              <a:ea typeface="+mn-ea"/>
              <a:cs typeface="+mn-cs"/>
            </a:defRPr>
          </a:pPr>
          <a:endParaRPr lang="es-CR"/>
        </a:p>
      </c:txPr>
    </c:title>
    <c:autoTitleDeleted val="0"/>
    <c:view3D>
      <c:rotX val="0"/>
      <c:rotY val="0"/>
      <c:rAngAx val="0"/>
      <c:perspective val="1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Anual!$A$49</c:f>
              <c:strCache>
                <c:ptCount val="1"/>
                <c:pt idx="0">
                  <c:v>Índice efectividad en beneficiarios (IEB)</c:v>
                </c:pt>
              </c:strCache>
            </c:strRef>
          </c:tx>
          <c:spPr>
            <a:solidFill>
              <a:srgbClr val="102D7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(Anual!$B$9,Anual!$C$10,Anual!$D$10,Anual!$E$10,Anual!$F$10,Anual!$G$10,Anual!$H$10)</c:f>
              <c:strCache>
                <c:ptCount val="7"/>
                <c:pt idx="0">
                  <c:v>Total programa</c:v>
                </c:pt>
                <c:pt idx="1">
                  <c:v>Atención de 
denuncias</c:v>
                </c:pt>
                <c:pt idx="2">
                  <c:v>Centros de Atención Infantil-
Guarderías</c:v>
                </c:pt>
                <c:pt idx="3">
                  <c:v>Protección y Apoyo  a los niños, niñas y adolescentes en los Albergues PANI</c:v>
                </c:pt>
                <c:pt idx="4">
                  <c:v> Fondo de la Niñez y Adolescencia  "Proyectos Fondo de la Niñez y Adolescencia"</c:v>
                </c:pt>
                <c:pt idx="5">
                  <c:v>Centros de Atención Infantil residenciales con ONG</c:v>
                </c:pt>
                <c:pt idx="6">
                  <c:v>Acogimiento Familiar</c:v>
                </c:pt>
              </c:strCache>
            </c:strRef>
          </c:cat>
          <c:val>
            <c:numRef>
              <c:f>Anual!$B$49:$H$49</c:f>
              <c:numCache>
                <c:formatCode>#,##0.00</c:formatCode>
                <c:ptCount val="7"/>
                <c:pt idx="0">
                  <c:v>89.181198236418041</c:v>
                </c:pt>
                <c:pt idx="1">
                  <c:v>90.450718575718582</c:v>
                </c:pt>
                <c:pt idx="2">
                  <c:v>99.235587808985642</c:v>
                </c:pt>
                <c:pt idx="3">
                  <c:v>89.197530864197532</c:v>
                </c:pt>
                <c:pt idx="4">
                  <c:v>33.444767441860463</c:v>
                </c:pt>
                <c:pt idx="5">
                  <c:v>96.106405112200932</c:v>
                </c:pt>
                <c:pt idx="6">
                  <c:v>97.108695652173921</c:v>
                </c:pt>
              </c:numCache>
            </c:numRef>
          </c:val>
          <c:extLst>
            <c:ext xmlns:c16="http://schemas.microsoft.com/office/drawing/2014/chart" uri="{C3380CC4-5D6E-409C-BE32-E72D297353CC}">
              <c16:uniqueId val="{00000000-57FF-496E-976F-6D352FFDCED0}"/>
            </c:ext>
          </c:extLst>
        </c:ser>
        <c:ser>
          <c:idx val="1"/>
          <c:order val="1"/>
          <c:tx>
            <c:strRef>
              <c:f>Anual!$A$50</c:f>
              <c:strCache>
                <c:ptCount val="1"/>
                <c:pt idx="0">
                  <c:v>Índice efectividad en gasto (IEG) </c:v>
                </c:pt>
              </c:strCache>
            </c:strRef>
          </c:tx>
          <c:spPr>
            <a:solidFill>
              <a:srgbClr val="4071B9"/>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(Anual!$B$9,Anual!$C$10,Anual!$D$10,Anual!$E$10,Anual!$F$10,Anual!$G$10,Anual!$H$10)</c:f>
              <c:strCache>
                <c:ptCount val="7"/>
                <c:pt idx="0">
                  <c:v>Total programa</c:v>
                </c:pt>
                <c:pt idx="1">
                  <c:v>Atención de 
denuncias</c:v>
                </c:pt>
                <c:pt idx="2">
                  <c:v>Centros de Atención Infantil-
Guarderías</c:v>
                </c:pt>
                <c:pt idx="3">
                  <c:v>Protección y Apoyo  a los niños, niñas y adolescentes en los Albergues PANI</c:v>
                </c:pt>
                <c:pt idx="4">
                  <c:v> Fondo de la Niñez y Adolescencia  "Proyectos Fondo de la Niñez y Adolescencia"</c:v>
                </c:pt>
                <c:pt idx="5">
                  <c:v>Centros de Atención Infantil residenciales con ONG</c:v>
                </c:pt>
                <c:pt idx="6">
                  <c:v>Acogimiento Familiar</c:v>
                </c:pt>
              </c:strCache>
            </c:strRef>
          </c:cat>
          <c:val>
            <c:numRef>
              <c:f>Anual!$B$50:$H$50</c:f>
              <c:numCache>
                <c:formatCode>#,##0.00</c:formatCode>
                <c:ptCount val="7"/>
                <c:pt idx="0">
                  <c:v>90.545832903699079</c:v>
                </c:pt>
                <c:pt idx="1">
                  <c:v>86.503264342699111</c:v>
                </c:pt>
                <c:pt idx="2">
                  <c:v>94.160862501504923</c:v>
                </c:pt>
                <c:pt idx="3">
                  <c:v>82.93140666482104</c:v>
                </c:pt>
                <c:pt idx="4">
                  <c:v>86.399796264022768</c:v>
                </c:pt>
                <c:pt idx="5">
                  <c:v>92.936479434305369</c:v>
                </c:pt>
                <c:pt idx="6">
                  <c:v>99.93092756369532</c:v>
                </c:pt>
              </c:numCache>
            </c:numRef>
          </c:val>
          <c:extLst>
            <c:ext xmlns:c16="http://schemas.microsoft.com/office/drawing/2014/chart" uri="{C3380CC4-5D6E-409C-BE32-E72D297353CC}">
              <c16:uniqueId val="{00000001-57FF-496E-976F-6D352FFDCED0}"/>
            </c:ext>
          </c:extLst>
        </c:ser>
        <c:ser>
          <c:idx val="2"/>
          <c:order val="2"/>
          <c:tx>
            <c:strRef>
              <c:f>Anual!$A$51</c:f>
              <c:strCache>
                <c:ptCount val="1"/>
                <c:pt idx="0">
                  <c:v>Índice efectividad total (IET)</c:v>
                </c:pt>
              </c:strCache>
            </c:strRef>
          </c:tx>
          <c:spPr>
            <a:solidFill>
              <a:srgbClr val="A2BFE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(Anual!$B$9,Anual!$C$10,Anual!$D$10,Anual!$E$10,Anual!$F$10,Anual!$G$10,Anual!$H$10)</c:f>
              <c:strCache>
                <c:ptCount val="7"/>
                <c:pt idx="0">
                  <c:v>Total programa</c:v>
                </c:pt>
                <c:pt idx="1">
                  <c:v>Atención de 
denuncias</c:v>
                </c:pt>
                <c:pt idx="2">
                  <c:v>Centros de Atención Infantil-
Guarderías</c:v>
                </c:pt>
                <c:pt idx="3">
                  <c:v>Protección y Apoyo  a los niños, niñas y adolescentes en los Albergues PANI</c:v>
                </c:pt>
                <c:pt idx="4">
                  <c:v> Fondo de la Niñez y Adolescencia  "Proyectos Fondo de la Niñez y Adolescencia"</c:v>
                </c:pt>
                <c:pt idx="5">
                  <c:v>Centros de Atención Infantil residenciales con ONG</c:v>
                </c:pt>
                <c:pt idx="6">
                  <c:v>Acogimiento Familiar</c:v>
                </c:pt>
              </c:strCache>
            </c:strRef>
          </c:cat>
          <c:val>
            <c:numRef>
              <c:f>Anual!$B$51:$H$51</c:f>
              <c:numCache>
                <c:formatCode>#,##0.00</c:formatCode>
                <c:ptCount val="7"/>
                <c:pt idx="0">
                  <c:v>89.863515570058553</c:v>
                </c:pt>
                <c:pt idx="1">
                  <c:v>88.476991459208847</c:v>
                </c:pt>
                <c:pt idx="2">
                  <c:v>96.698225155245282</c:v>
                </c:pt>
                <c:pt idx="3">
                  <c:v>86.064468764509286</c:v>
                </c:pt>
                <c:pt idx="4">
                  <c:v>59.922281852941616</c:v>
                </c:pt>
                <c:pt idx="5">
                  <c:v>94.521442273253143</c:v>
                </c:pt>
                <c:pt idx="6">
                  <c:v>98.519811607934628</c:v>
                </c:pt>
              </c:numCache>
            </c:numRef>
          </c:val>
          <c:extLst>
            <c:ext xmlns:c16="http://schemas.microsoft.com/office/drawing/2014/chart" uri="{C3380CC4-5D6E-409C-BE32-E72D297353CC}">
              <c16:uniqueId val="{00000002-57FF-496E-976F-6D352FFDCED0}"/>
            </c:ext>
          </c:extLst>
        </c:ser>
        <c:dLbls>
          <c:showLegendKey val="0"/>
          <c:showVal val="0"/>
          <c:showCatName val="0"/>
          <c:showSerName val="0"/>
          <c:showPercent val="0"/>
          <c:showBubbleSize val="0"/>
        </c:dLbls>
        <c:gapWidth val="100"/>
        <c:shape val="box"/>
        <c:axId val="246423776"/>
        <c:axId val="246424168"/>
        <c:axId val="0"/>
      </c:bar3DChart>
      <c:catAx>
        <c:axId val="246423776"/>
        <c:scaling>
          <c:orientation val="minMax"/>
        </c:scaling>
        <c:delete val="0"/>
        <c:axPos val="b"/>
        <c:numFmt formatCode="General" sourceLinked="0"/>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crossAx val="246424168"/>
        <c:crosses val="autoZero"/>
        <c:auto val="1"/>
        <c:lblAlgn val="ctr"/>
        <c:lblOffset val="100"/>
        <c:noMultiLvlLbl val="0"/>
      </c:catAx>
      <c:valAx>
        <c:axId val="246424168"/>
        <c:scaling>
          <c:orientation val="minMax"/>
          <c:max val="150"/>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crossAx val="246423776"/>
        <c:crosses val="autoZero"/>
        <c:crossBetween val="between"/>
        <c:majorUnit val="3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289" l="0.70000000000000062" r="0.70000000000000062" t="0.750000000000002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1"/>
                </a:solidFill>
                <a:latin typeface="Palatino Linotype" panose="02040502050505030304" pitchFamily="18" charset="0"/>
                <a:ea typeface="+mn-ea"/>
                <a:cs typeface="+mn-cs"/>
              </a:defRPr>
            </a:pPr>
            <a:r>
              <a:rPr lang="es-CR" sz="1800"/>
              <a:t>PANI: Indicadores de expansión 2022</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Palatino Linotype" panose="02040502050505030304" pitchFamily="18" charset="0"/>
              <a:ea typeface="+mn-ea"/>
              <a:cs typeface="+mn-cs"/>
            </a:defRPr>
          </a:pPr>
          <a:endParaRPr lang="es-CR"/>
        </a:p>
      </c:txPr>
    </c:title>
    <c:autoTitleDeleted val="0"/>
    <c:view3D>
      <c:rotX val="0"/>
      <c:rotY val="0"/>
      <c:rAngAx val="0"/>
      <c:perspective val="1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Anual!$A$62</c:f>
              <c:strCache>
                <c:ptCount val="1"/>
                <c:pt idx="0">
                  <c:v>Índice de crecimiento beneficiarios (ICB) </c:v>
                </c:pt>
              </c:strCache>
            </c:strRef>
          </c:tx>
          <c:spPr>
            <a:solidFill>
              <a:srgbClr val="102D7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(Anual!$B$9,Anual!$C$10,Anual!$D$10,Anual!$F$10)</c:f>
              <c:strCache>
                <c:ptCount val="4"/>
                <c:pt idx="0">
                  <c:v>Total programa</c:v>
                </c:pt>
                <c:pt idx="1">
                  <c:v>Atención de 
denuncias</c:v>
                </c:pt>
                <c:pt idx="2">
                  <c:v>Centros de Atención Infantil-
Guarderías</c:v>
                </c:pt>
                <c:pt idx="3">
                  <c:v> Fondo de la Niñez y Adolescencia  "Proyectos Fondo de la Niñez y Adolescencia"</c:v>
                </c:pt>
              </c:strCache>
            </c:strRef>
          </c:cat>
          <c:val>
            <c:numRef>
              <c:f>(Anual!$B$62,Anual!$C$62,Anual!$D$62,Anual!$F$62)</c:f>
              <c:numCache>
                <c:formatCode>#,##0.00</c:formatCode>
                <c:ptCount val="4"/>
                <c:pt idx="0">
                  <c:v>-16.653527994054617</c:v>
                </c:pt>
                <c:pt idx="1">
                  <c:v>-28.085995374071349</c:v>
                </c:pt>
                <c:pt idx="2">
                  <c:v>245.9717176959004</c:v>
                </c:pt>
                <c:pt idx="3">
                  <c:v>30.59023836549375</c:v>
                </c:pt>
              </c:numCache>
            </c:numRef>
          </c:val>
          <c:extLst>
            <c:ext xmlns:c16="http://schemas.microsoft.com/office/drawing/2014/chart" uri="{C3380CC4-5D6E-409C-BE32-E72D297353CC}">
              <c16:uniqueId val="{00000000-89D5-4135-8F0A-F233885B319E}"/>
            </c:ext>
          </c:extLst>
        </c:ser>
        <c:ser>
          <c:idx val="1"/>
          <c:order val="1"/>
          <c:tx>
            <c:strRef>
              <c:f>Anual!$A$63</c:f>
              <c:strCache>
                <c:ptCount val="1"/>
                <c:pt idx="0">
                  <c:v>Índice de crecimiento del gasto real (ICGR) </c:v>
                </c:pt>
              </c:strCache>
            </c:strRef>
          </c:tx>
          <c:spPr>
            <a:solidFill>
              <a:srgbClr val="4071B9"/>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(Anual!$B$9,Anual!$C$10,Anual!$D$10,Anual!$F$10)</c:f>
              <c:strCache>
                <c:ptCount val="4"/>
                <c:pt idx="0">
                  <c:v>Total programa</c:v>
                </c:pt>
                <c:pt idx="1">
                  <c:v>Atención de 
denuncias</c:v>
                </c:pt>
                <c:pt idx="2">
                  <c:v>Centros de Atención Infantil-
Guarderías</c:v>
                </c:pt>
                <c:pt idx="3">
                  <c:v> Fondo de la Niñez y Adolescencia  "Proyectos Fondo de la Niñez y Adolescencia"</c:v>
                </c:pt>
              </c:strCache>
            </c:strRef>
          </c:cat>
          <c:val>
            <c:numRef>
              <c:f>(Anual!$B$63,Anual!$C$63,Anual!$D$63,Anual!$F$63)</c:f>
              <c:numCache>
                <c:formatCode>#,##0.00</c:formatCode>
                <c:ptCount val="4"/>
                <c:pt idx="0">
                  <c:v>135.58052840588425</c:v>
                </c:pt>
                <c:pt idx="1">
                  <c:v>-5.9336252050974032</c:v>
                </c:pt>
                <c:pt idx="2">
                  <c:v>569.09935347588703</c:v>
                </c:pt>
                <c:pt idx="3">
                  <c:v>11.44106637862825</c:v>
                </c:pt>
              </c:numCache>
            </c:numRef>
          </c:val>
          <c:extLst>
            <c:ext xmlns:c16="http://schemas.microsoft.com/office/drawing/2014/chart" uri="{C3380CC4-5D6E-409C-BE32-E72D297353CC}">
              <c16:uniqueId val="{00000001-89D5-4135-8F0A-F233885B319E}"/>
            </c:ext>
          </c:extLst>
        </c:ser>
        <c:ser>
          <c:idx val="2"/>
          <c:order val="2"/>
          <c:tx>
            <c:strRef>
              <c:f>Anual!$A$64</c:f>
              <c:strCache>
                <c:ptCount val="1"/>
                <c:pt idx="0">
                  <c:v>Índice de crecimiento del gasto real por beneficiario (ICGRB) </c:v>
                </c:pt>
              </c:strCache>
            </c:strRef>
          </c:tx>
          <c:spPr>
            <a:solidFill>
              <a:srgbClr val="A2BFE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(Anual!$B$9,Anual!$C$10,Anual!$D$10,Anual!$F$10)</c:f>
              <c:strCache>
                <c:ptCount val="4"/>
                <c:pt idx="0">
                  <c:v>Total programa</c:v>
                </c:pt>
                <c:pt idx="1">
                  <c:v>Atención de 
denuncias</c:v>
                </c:pt>
                <c:pt idx="2">
                  <c:v>Centros de Atención Infantil-
Guarderías</c:v>
                </c:pt>
                <c:pt idx="3">
                  <c:v> Fondo de la Niñez y Adolescencia  "Proyectos Fondo de la Niñez y Adolescencia"</c:v>
                </c:pt>
              </c:strCache>
            </c:strRef>
          </c:cat>
          <c:val>
            <c:numRef>
              <c:f>(Anual!$B$64,Anual!$C$64,Anual!$D$64,Anual!$F$64)</c:f>
              <c:numCache>
                <c:formatCode>#,##0.00</c:formatCode>
                <c:ptCount val="4"/>
                <c:pt idx="0">
                  <c:v>182.65207001092912</c:v>
                </c:pt>
                <c:pt idx="1">
                  <c:v>30.803972444870496</c:v>
                </c:pt>
                <c:pt idx="2">
                  <c:v>93.397124462065733</c:v>
                </c:pt>
                <c:pt idx="3">
                  <c:v>-14.663555428447205</c:v>
                </c:pt>
              </c:numCache>
            </c:numRef>
          </c:val>
          <c:extLst>
            <c:ext xmlns:c16="http://schemas.microsoft.com/office/drawing/2014/chart" uri="{C3380CC4-5D6E-409C-BE32-E72D297353CC}">
              <c16:uniqueId val="{00000002-89D5-4135-8F0A-F233885B319E}"/>
            </c:ext>
          </c:extLst>
        </c:ser>
        <c:dLbls>
          <c:showLegendKey val="0"/>
          <c:showVal val="0"/>
          <c:showCatName val="0"/>
          <c:showSerName val="0"/>
          <c:showPercent val="0"/>
          <c:showBubbleSize val="0"/>
        </c:dLbls>
        <c:gapWidth val="100"/>
        <c:shape val="box"/>
        <c:axId val="246424952"/>
        <c:axId val="246425344"/>
        <c:axId val="0"/>
      </c:bar3DChart>
      <c:catAx>
        <c:axId val="246424952"/>
        <c:scaling>
          <c:orientation val="minMax"/>
        </c:scaling>
        <c:delete val="0"/>
        <c:axPos val="b"/>
        <c:numFmt formatCode="General" sourceLinked="0"/>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crossAx val="246425344"/>
        <c:crosses val="autoZero"/>
        <c:auto val="1"/>
        <c:lblAlgn val="ctr"/>
        <c:lblOffset val="100"/>
        <c:noMultiLvlLbl val="0"/>
      </c:catAx>
      <c:valAx>
        <c:axId val="246425344"/>
        <c:scaling>
          <c:orientation val="minMax"/>
          <c:max val="700"/>
          <c:min val="-2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crossAx val="246424952"/>
        <c:crosses val="autoZero"/>
        <c:crossBetween val="between"/>
        <c:majorUnit val="100"/>
      </c:valAx>
      <c:spPr>
        <a:noFill/>
        <a:ln>
          <a:noFill/>
        </a:ln>
        <a:effectLst/>
      </c:spPr>
    </c:plotArea>
    <c:legend>
      <c:legendPos val="b"/>
      <c:layout>
        <c:manualLayout>
          <c:xMode val="edge"/>
          <c:yMode val="edge"/>
          <c:x val="5.8058369572042056E-3"/>
          <c:y val="0.87942290387428113"/>
          <c:w val="0.98401307085931444"/>
          <c:h val="0.1025894636852834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289" l="0.70000000000000062" r="0.70000000000000062" t="0.750000000000002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Palatino Linotype" panose="02040502050505030304" pitchFamily="18" charset="0"/>
                <a:ea typeface="+mn-ea"/>
                <a:cs typeface="+mn-cs"/>
              </a:defRPr>
            </a:pPr>
            <a:r>
              <a:rPr lang="es-CR" sz="1800" b="1"/>
              <a:t>PANI: Indicadores de giro de recursos 2022</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Palatino Linotype" panose="02040502050505030304" pitchFamily="18" charset="0"/>
              <a:ea typeface="+mn-ea"/>
              <a:cs typeface="+mn-cs"/>
            </a:defRPr>
          </a:pPr>
          <a:endParaRPr lang="es-CR"/>
        </a:p>
      </c:txPr>
    </c:title>
    <c:autoTitleDeleted val="0"/>
    <c:plotArea>
      <c:layout/>
      <c:barChart>
        <c:barDir val="bar"/>
        <c:grouping val="clustered"/>
        <c:varyColors val="0"/>
        <c:ser>
          <c:idx val="0"/>
          <c:order val="0"/>
          <c:tx>
            <c:strRef>
              <c:f>Anual!$B$9</c:f>
              <c:strCache>
                <c:ptCount val="1"/>
                <c:pt idx="0">
                  <c:v>Total programa</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CEDF-4F5A-AC88-8C4483AF6676}"/>
              </c:ext>
            </c:extLst>
          </c:dPt>
          <c:dPt>
            <c:idx val="1"/>
            <c:invertIfNegative val="0"/>
            <c:bubble3D val="0"/>
            <c:spPr>
              <a:solidFill>
                <a:srgbClr val="102D7C"/>
              </a:solidFill>
              <a:ln w="19050">
                <a:solidFill>
                  <a:schemeClr val="lt1"/>
                </a:solidFill>
              </a:ln>
              <a:effectLst/>
            </c:spPr>
            <c:extLst>
              <c:ext xmlns:c16="http://schemas.microsoft.com/office/drawing/2014/chart" uri="{C3380CC4-5D6E-409C-BE32-E72D297353CC}">
                <c16:uniqueId val="{00000002-CEDF-4F5A-AC88-8C4483AF6676}"/>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Anual!$A$74:$A$75</c:f>
              <c:strCache>
                <c:ptCount val="2"/>
                <c:pt idx="0">
                  <c:v>Índice de giro efectivo (IGE)</c:v>
                </c:pt>
                <c:pt idx="1">
                  <c:v>Índice de uso de recursos (IUR) </c:v>
                </c:pt>
              </c:strCache>
            </c:strRef>
          </c:cat>
          <c:val>
            <c:numRef>
              <c:f>Anual!$B$74:$B$75</c:f>
              <c:numCache>
                <c:formatCode>#,##0.00</c:formatCode>
                <c:ptCount val="2"/>
                <c:pt idx="0">
                  <c:v>100.19196678280591</c:v>
                </c:pt>
                <c:pt idx="1">
                  <c:v>90.372348014669186</c:v>
                </c:pt>
              </c:numCache>
            </c:numRef>
          </c:val>
          <c:extLst>
            <c:ext xmlns:c16="http://schemas.microsoft.com/office/drawing/2014/chart" uri="{C3380CC4-5D6E-409C-BE32-E72D297353CC}">
              <c16:uniqueId val="{00000000-E82B-4B03-A2DA-CEF0339011E1}"/>
            </c:ext>
          </c:extLst>
        </c:ser>
        <c:dLbls>
          <c:showLegendKey val="0"/>
          <c:showVal val="0"/>
          <c:showCatName val="0"/>
          <c:showSerName val="0"/>
          <c:showPercent val="0"/>
          <c:showBubbleSize val="0"/>
        </c:dLbls>
        <c:gapWidth val="100"/>
        <c:axId val="490335600"/>
        <c:axId val="490335928"/>
      </c:barChart>
      <c:valAx>
        <c:axId val="490335928"/>
        <c:scaling>
          <c:orientation val="minMax"/>
          <c:max val="120"/>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crossAx val="490335600"/>
        <c:crosses val="autoZero"/>
        <c:crossBetween val="between"/>
        <c:majorUnit val="20"/>
      </c:valAx>
      <c:catAx>
        <c:axId val="490335600"/>
        <c:scaling>
          <c:orientation val="minMax"/>
        </c:scaling>
        <c:delete val="1"/>
        <c:axPos val="l"/>
        <c:numFmt formatCode="General" sourceLinked="1"/>
        <c:majorTickMark val="out"/>
        <c:minorTickMark val="none"/>
        <c:tickLblPos val="nextTo"/>
        <c:crossAx val="49033592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189" l="0.70000000000000062" r="0.70000000000000062" t="0.750000000000001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rtl="0">
              <a:defRPr/>
            </a:pPr>
            <a:r>
              <a:rPr lang="en-US"/>
              <a:t>PANI: Índice de eficiencia (IE) 2022 </a:t>
            </a:r>
          </a:p>
        </c:rich>
      </c:tx>
      <c:overlay val="0"/>
      <c:spPr>
        <a:noFill/>
        <a:ln>
          <a:noFill/>
        </a:ln>
        <a:effectLst/>
      </c:spPr>
    </c:title>
    <c:autoTitleDeleted val="0"/>
    <c:view3D>
      <c:rotX val="5"/>
      <c:rotY val="0"/>
      <c:rAngAx val="0"/>
      <c:perspective val="20"/>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Anual!$A$69</c:f>
              <c:strCache>
                <c:ptCount val="1"/>
                <c:pt idx="0">
                  <c:v>Índice de eficiencia (IE) </c:v>
                </c:pt>
              </c:strCache>
            </c:strRef>
          </c:tx>
          <c:spPr>
            <a:solidFill>
              <a:srgbClr val="102D7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(Anual!$B$9,Anual!$C$10,Anual!$D$10,Anual!$E$10,Anual!$F$10,Anual!$G$10,Anual!$H$10)</c:f>
              <c:strCache>
                <c:ptCount val="7"/>
                <c:pt idx="0">
                  <c:v>Total programa</c:v>
                </c:pt>
                <c:pt idx="1">
                  <c:v>Atención de 
denuncias</c:v>
                </c:pt>
                <c:pt idx="2">
                  <c:v>Centros de Atención Infantil-
Guarderías</c:v>
                </c:pt>
                <c:pt idx="3">
                  <c:v>Protección y Apoyo  a los niños, niñas y adolescentes en los Albergues PANI</c:v>
                </c:pt>
                <c:pt idx="4">
                  <c:v> Fondo de la Niñez y Adolescencia  "Proyectos Fondo de la Niñez y Adolescencia"</c:v>
                </c:pt>
                <c:pt idx="5">
                  <c:v>Centros de Atención Infantil residenciales con ONG</c:v>
                </c:pt>
                <c:pt idx="6">
                  <c:v>Acogimiento Familiar</c:v>
                </c:pt>
              </c:strCache>
            </c:strRef>
          </c:cat>
          <c:val>
            <c:numRef>
              <c:f>Anual!$B$69:$H$69</c:f>
              <c:numCache>
                <c:formatCode>#,##0.00</c:formatCode>
                <c:ptCount val="7"/>
                <c:pt idx="0">
                  <c:v>91.238590934549151</c:v>
                </c:pt>
                <c:pt idx="1">
                  <c:v>84.615674711701658</c:v>
                </c:pt>
                <c:pt idx="2">
                  <c:v>91.753255903605904</c:v>
                </c:pt>
                <c:pt idx="3">
                  <c:v>80.018442095308785</c:v>
                </c:pt>
                <c:pt idx="4">
                  <c:v>154.80068601970532</c:v>
                </c:pt>
                <c:pt idx="5">
                  <c:v>91.40379421822594</c:v>
                </c:pt>
                <c:pt idx="6">
                  <c:v>101.38305422868717</c:v>
                </c:pt>
              </c:numCache>
            </c:numRef>
          </c:val>
          <c:extLst>
            <c:ext xmlns:c16="http://schemas.microsoft.com/office/drawing/2014/chart" uri="{C3380CC4-5D6E-409C-BE32-E72D297353CC}">
              <c16:uniqueId val="{00000000-802D-458E-9F88-533C057E21D0}"/>
            </c:ext>
          </c:extLst>
        </c:ser>
        <c:dLbls>
          <c:showLegendKey val="0"/>
          <c:showVal val="0"/>
          <c:showCatName val="0"/>
          <c:showSerName val="0"/>
          <c:showPercent val="0"/>
          <c:showBubbleSize val="0"/>
        </c:dLbls>
        <c:gapWidth val="120"/>
        <c:gapDepth val="0"/>
        <c:shape val="box"/>
        <c:axId val="248352616"/>
        <c:axId val="248353008"/>
        <c:axId val="0"/>
      </c:bar3DChart>
      <c:catAx>
        <c:axId val="24835261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248353008"/>
        <c:crosses val="autoZero"/>
        <c:auto val="1"/>
        <c:lblAlgn val="ctr"/>
        <c:lblOffset val="100"/>
        <c:noMultiLvlLbl val="0"/>
      </c:catAx>
      <c:valAx>
        <c:axId val="248353008"/>
        <c:scaling>
          <c:orientation val="minMax"/>
          <c:max val="250"/>
          <c:min val="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vert="horz"/>
          <a:lstStyle/>
          <a:p>
            <a:pPr>
              <a:defRPr/>
            </a:pPr>
            <a:endParaRPr lang="es-CR"/>
          </a:p>
        </c:txPr>
        <c:crossAx val="248352616"/>
        <c:crosses val="autoZero"/>
        <c:crossBetween val="between"/>
        <c:majorUnit val="50"/>
      </c:valAx>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000000000000189" l="0.70000000000000062" r="0.70000000000000062" t="0.750000000000001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rtl="0">
              <a:defRPr/>
            </a:pPr>
            <a:r>
              <a:rPr lang="es-CR"/>
              <a:t>PANI: Indicadores de gasto medio 2022</a:t>
            </a:r>
          </a:p>
        </c:rich>
      </c:tx>
      <c:layout>
        <c:manualLayout>
          <c:xMode val="edge"/>
          <c:yMode val="edge"/>
          <c:x val="0.27473551453679707"/>
          <c:y val="2.3349139965684117E-2"/>
        </c:manualLayout>
      </c:layout>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Anual!$A$70</c:f>
              <c:strCache>
                <c:ptCount val="1"/>
                <c:pt idx="0">
                  <c:v>Gasto programado anual por beneficiario (GPB) </c:v>
                </c:pt>
              </c:strCache>
            </c:strRef>
          </c:tx>
          <c:spPr>
            <a:solidFill>
              <a:srgbClr val="102D7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(Anual!$B$9,Anual!$C$10,Anual!$D$10,Anual!$E$10,Anual!$F$10,Anual!$G$10,Anual!$H$10)</c:f>
              <c:strCache>
                <c:ptCount val="7"/>
                <c:pt idx="0">
                  <c:v>Total programa</c:v>
                </c:pt>
                <c:pt idx="1">
                  <c:v>Atención de 
denuncias</c:v>
                </c:pt>
                <c:pt idx="2">
                  <c:v>Centros de Atención Infantil-
Guarderías</c:v>
                </c:pt>
                <c:pt idx="3">
                  <c:v>Protección y Apoyo  a los niños, niñas y adolescentes en los Albergues PANI</c:v>
                </c:pt>
                <c:pt idx="4">
                  <c:v> Fondo de la Niñez y Adolescencia  "Proyectos Fondo de la Niñez y Adolescencia"</c:v>
                </c:pt>
                <c:pt idx="5">
                  <c:v>Centros de Atención Infantil residenciales con ONG</c:v>
                </c:pt>
                <c:pt idx="6">
                  <c:v>Acogimiento Familiar</c:v>
                </c:pt>
              </c:strCache>
            </c:strRef>
          </c:cat>
          <c:val>
            <c:numRef>
              <c:f>Anual!$B$70:$H$70</c:f>
              <c:numCache>
                <c:formatCode>#,##0.00</c:formatCode>
                <c:ptCount val="7"/>
                <c:pt idx="0">
                  <c:v>332501.65361542173</c:v>
                </c:pt>
                <c:pt idx="1">
                  <c:v>1774495.7937676962</c:v>
                </c:pt>
                <c:pt idx="2">
                  <c:v>1515057.2086731521</c:v>
                </c:pt>
                <c:pt idx="3">
                  <c:v>7695675.3733618241</c:v>
                </c:pt>
                <c:pt idx="4">
                  <c:v>137127.5314622093</c:v>
                </c:pt>
                <c:pt idx="5">
                  <c:v>2572774.5723319128</c:v>
                </c:pt>
                <c:pt idx="6">
                  <c:v>666833.15225217398</c:v>
                </c:pt>
              </c:numCache>
            </c:numRef>
          </c:val>
          <c:extLst>
            <c:ext xmlns:c16="http://schemas.microsoft.com/office/drawing/2014/chart" uri="{C3380CC4-5D6E-409C-BE32-E72D297353CC}">
              <c16:uniqueId val="{00000000-585E-4D58-8C04-DFDAF3735ACC}"/>
            </c:ext>
          </c:extLst>
        </c:ser>
        <c:ser>
          <c:idx val="1"/>
          <c:order val="1"/>
          <c:tx>
            <c:strRef>
              <c:f>Anual!$A$71</c:f>
              <c:strCache>
                <c:ptCount val="1"/>
                <c:pt idx="0">
                  <c:v>Gasto efectivo anual por beneficiario (GEB) </c:v>
                </c:pt>
              </c:strCache>
            </c:strRef>
          </c:tx>
          <c:spPr>
            <a:solidFill>
              <a:srgbClr val="4071B9"/>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(Anual!$B$9,Anual!$C$10,Anual!$D$10,Anual!$E$10,Anual!$F$10,Anual!$G$10,Anual!$H$10)</c:f>
              <c:strCache>
                <c:ptCount val="7"/>
                <c:pt idx="0">
                  <c:v>Total programa</c:v>
                </c:pt>
                <c:pt idx="1">
                  <c:v>Atención de 
denuncias</c:v>
                </c:pt>
                <c:pt idx="2">
                  <c:v>Centros de Atención Infantil-
Guarderías</c:v>
                </c:pt>
                <c:pt idx="3">
                  <c:v>Protección y Apoyo  a los niños, niñas y adolescentes en los Albergues PANI</c:v>
                </c:pt>
                <c:pt idx="4">
                  <c:v> Fondo de la Niñez y Adolescencia  "Proyectos Fondo de la Niñez y Adolescencia"</c:v>
                </c:pt>
                <c:pt idx="5">
                  <c:v>Centros de Atención Infantil residenciales con ONG</c:v>
                </c:pt>
                <c:pt idx="6">
                  <c:v>Acogimiento Familiar</c:v>
                </c:pt>
              </c:strCache>
            </c:strRef>
          </c:cat>
          <c:val>
            <c:numRef>
              <c:f>Anual!$B$71:$H$71</c:f>
              <c:numCache>
                <c:formatCode>#,##0.00</c:formatCode>
                <c:ptCount val="7"/>
                <c:pt idx="0">
                  <c:v>337589.53416002949</c:v>
                </c:pt>
                <c:pt idx="1">
                  <c:v>1697053.170393514</c:v>
                </c:pt>
                <c:pt idx="2">
                  <c:v>1437579.9716366366</c:v>
                </c:pt>
                <c:pt idx="3">
                  <c:v>7155054.3806015439</c:v>
                </c:pt>
                <c:pt idx="4">
                  <c:v>354249.45923511521</c:v>
                </c:pt>
                <c:pt idx="5">
                  <c:v>2487915.4604886342</c:v>
                </c:pt>
                <c:pt idx="6">
                  <c:v>686213.06245802552</c:v>
                </c:pt>
              </c:numCache>
            </c:numRef>
          </c:val>
          <c:extLst>
            <c:ext xmlns:c16="http://schemas.microsoft.com/office/drawing/2014/chart" uri="{C3380CC4-5D6E-409C-BE32-E72D297353CC}">
              <c16:uniqueId val="{00000001-585E-4D58-8C04-DFDAF3735ACC}"/>
            </c:ext>
          </c:extLst>
        </c:ser>
        <c:dLbls>
          <c:showLegendKey val="0"/>
          <c:showVal val="0"/>
          <c:showCatName val="0"/>
          <c:showSerName val="0"/>
          <c:showPercent val="0"/>
          <c:showBubbleSize val="0"/>
        </c:dLbls>
        <c:gapWidth val="150"/>
        <c:shape val="box"/>
        <c:axId val="248353792"/>
        <c:axId val="248354184"/>
        <c:axId val="0"/>
      </c:bar3DChart>
      <c:catAx>
        <c:axId val="24835379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248354184"/>
        <c:crosses val="autoZero"/>
        <c:auto val="1"/>
        <c:lblAlgn val="ctr"/>
        <c:lblOffset val="100"/>
        <c:noMultiLvlLbl val="0"/>
      </c:catAx>
      <c:valAx>
        <c:axId val="248354184"/>
        <c:scaling>
          <c:orientation val="minMax"/>
          <c:max val="1000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effectLst/>
        </c:spPr>
        <c:txPr>
          <a:bodyPr rot="-60000000" vert="horz"/>
          <a:lstStyle/>
          <a:p>
            <a:pPr>
              <a:defRPr/>
            </a:pPr>
            <a:endParaRPr lang="es-CR"/>
          </a:p>
        </c:txPr>
        <c:crossAx val="248353792"/>
        <c:crosses val="autoZero"/>
        <c:crossBetween val="between"/>
        <c:majorUnit val="2000000"/>
      </c:valAx>
      <c:dTable>
        <c:showHorzBorder val="1"/>
        <c:showVertBorder val="1"/>
        <c:showOutline val="1"/>
        <c:showKeys val="1"/>
      </c:dTable>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000000000000189" l="0.70000000000000062" r="0.70000000000000062" t="0.7500000000000018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1"/>
                </a:solidFill>
                <a:latin typeface="Palatino Linotype" panose="02040502050505030304" pitchFamily="18" charset="0"/>
                <a:ea typeface="+mn-ea"/>
                <a:cs typeface="+mn-cs"/>
              </a:defRPr>
            </a:pPr>
            <a:r>
              <a:rPr lang="en-US" sz="1800"/>
              <a:t>PANI: Indicadores de avance 2022</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Palatino Linotype" panose="02040502050505030304" pitchFamily="18" charset="0"/>
              <a:ea typeface="+mn-ea"/>
              <a:cs typeface="+mn-cs"/>
            </a:defRPr>
          </a:pPr>
          <a:endParaRPr lang="es-CR"/>
        </a:p>
      </c:txPr>
    </c:title>
    <c:autoTitleDeleted val="0"/>
    <c:view3D>
      <c:rotX val="0"/>
      <c:rotY val="0"/>
      <c:rAngAx val="0"/>
      <c:perspective val="1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09831225317887E-2"/>
          <c:y val="0.1258629772405033"/>
          <c:w val="0.93684363131235004"/>
          <c:h val="0.56364747761102163"/>
        </c:manualLayout>
      </c:layout>
      <c:bar3DChart>
        <c:barDir val="col"/>
        <c:grouping val="clustered"/>
        <c:varyColors val="0"/>
        <c:ser>
          <c:idx val="0"/>
          <c:order val="0"/>
          <c:tx>
            <c:strRef>
              <c:f>Anual!$A$54</c:f>
              <c:strCache>
                <c:ptCount val="1"/>
                <c:pt idx="0">
                  <c:v>Índice avance beneficiarios (IAB) </c:v>
                </c:pt>
              </c:strCache>
            </c:strRef>
          </c:tx>
          <c:spPr>
            <a:solidFill>
              <a:srgbClr val="102D7C"/>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(Anual!$B$9,Anual!$C$10,Anual!$D$10,Anual!$E$10,Anual!$F$10,Anual!$G$10,Anual!$H$10)</c:f>
              <c:strCache>
                <c:ptCount val="7"/>
                <c:pt idx="0">
                  <c:v>Total programa</c:v>
                </c:pt>
                <c:pt idx="1">
                  <c:v>Atención de 
denuncias</c:v>
                </c:pt>
                <c:pt idx="2">
                  <c:v>Centros de Atención Infantil-
Guarderías</c:v>
                </c:pt>
                <c:pt idx="3">
                  <c:v>Protección y Apoyo  a los niños, niñas y adolescentes en los Albergues PANI</c:v>
                </c:pt>
                <c:pt idx="4">
                  <c:v> Fondo de la Niñez y Adolescencia  "Proyectos Fondo de la Niñez y Adolescencia"</c:v>
                </c:pt>
                <c:pt idx="5">
                  <c:v>Centros de Atención Infantil residenciales con ONG</c:v>
                </c:pt>
                <c:pt idx="6">
                  <c:v>Acogimiento Familiar</c:v>
                </c:pt>
              </c:strCache>
            </c:strRef>
          </c:cat>
          <c:val>
            <c:numRef>
              <c:f>Anual!$B$54:$H$54</c:f>
              <c:numCache>
                <c:formatCode>#,##0.00</c:formatCode>
                <c:ptCount val="7"/>
                <c:pt idx="0">
                  <c:v>89.181198236418041</c:v>
                </c:pt>
                <c:pt idx="1">
                  <c:v>90.450718575718582</c:v>
                </c:pt>
                <c:pt idx="2">
                  <c:v>99.235587808985642</c:v>
                </c:pt>
                <c:pt idx="3">
                  <c:v>89.197530864197532</c:v>
                </c:pt>
                <c:pt idx="4">
                  <c:v>33.444767441860463</c:v>
                </c:pt>
                <c:pt idx="5">
                  <c:v>96.106405112200932</c:v>
                </c:pt>
                <c:pt idx="6">
                  <c:v>97.108695652173921</c:v>
                </c:pt>
              </c:numCache>
            </c:numRef>
          </c:val>
          <c:extLst>
            <c:ext xmlns:c16="http://schemas.microsoft.com/office/drawing/2014/chart" uri="{C3380CC4-5D6E-409C-BE32-E72D297353CC}">
              <c16:uniqueId val="{00000000-9064-404D-BF2B-FBC3470BF25C}"/>
            </c:ext>
          </c:extLst>
        </c:ser>
        <c:ser>
          <c:idx val="1"/>
          <c:order val="1"/>
          <c:tx>
            <c:strRef>
              <c:f>Anual!$A$55</c:f>
              <c:strCache>
                <c:ptCount val="1"/>
                <c:pt idx="0">
                  <c:v>Índice avance gasto (IAG)</c:v>
                </c:pt>
              </c:strCache>
            </c:strRef>
          </c:tx>
          <c:spPr>
            <a:solidFill>
              <a:srgbClr val="4071B9"/>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(Anual!$B$9,Anual!$C$10,Anual!$D$10,Anual!$E$10,Anual!$F$10,Anual!$G$10,Anual!$H$10)</c:f>
              <c:strCache>
                <c:ptCount val="7"/>
                <c:pt idx="0">
                  <c:v>Total programa</c:v>
                </c:pt>
                <c:pt idx="1">
                  <c:v>Atención de 
denuncias</c:v>
                </c:pt>
                <c:pt idx="2">
                  <c:v>Centros de Atención Infantil-
Guarderías</c:v>
                </c:pt>
                <c:pt idx="3">
                  <c:v>Protección y Apoyo  a los niños, niñas y adolescentes en los Albergues PANI</c:v>
                </c:pt>
                <c:pt idx="4">
                  <c:v> Fondo de la Niñez y Adolescencia  "Proyectos Fondo de la Niñez y Adolescencia"</c:v>
                </c:pt>
                <c:pt idx="5">
                  <c:v>Centros de Atención Infantil residenciales con ONG</c:v>
                </c:pt>
                <c:pt idx="6">
                  <c:v>Acogimiento Familiar</c:v>
                </c:pt>
              </c:strCache>
            </c:strRef>
          </c:cat>
          <c:val>
            <c:numRef>
              <c:f>Anual!$B$55:$H$55</c:f>
              <c:numCache>
                <c:formatCode>#,##0.00</c:formatCode>
                <c:ptCount val="7"/>
                <c:pt idx="0">
                  <c:v>90.545832903699079</c:v>
                </c:pt>
                <c:pt idx="1">
                  <c:v>86.503264342699111</c:v>
                </c:pt>
                <c:pt idx="2">
                  <c:v>94.160862501504923</c:v>
                </c:pt>
                <c:pt idx="3">
                  <c:v>82.93140666482104</c:v>
                </c:pt>
                <c:pt idx="4">
                  <c:v>86.399796264022768</c:v>
                </c:pt>
                <c:pt idx="5">
                  <c:v>92.936479434305369</c:v>
                </c:pt>
                <c:pt idx="6">
                  <c:v>99.93092756369532</c:v>
                </c:pt>
              </c:numCache>
            </c:numRef>
          </c:val>
          <c:extLst>
            <c:ext xmlns:c16="http://schemas.microsoft.com/office/drawing/2014/chart" uri="{C3380CC4-5D6E-409C-BE32-E72D297353CC}">
              <c16:uniqueId val="{00000001-9064-404D-BF2B-FBC3470BF25C}"/>
            </c:ext>
          </c:extLst>
        </c:ser>
        <c:ser>
          <c:idx val="2"/>
          <c:order val="2"/>
          <c:tx>
            <c:strRef>
              <c:f>Anual!$A$56</c:f>
              <c:strCache>
                <c:ptCount val="1"/>
                <c:pt idx="0">
                  <c:v>Índice avance total (IAT) </c:v>
                </c:pt>
              </c:strCache>
            </c:strRef>
          </c:tx>
          <c:spPr>
            <a:solidFill>
              <a:srgbClr val="A2BFE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(Anual!$B$9,Anual!$C$10,Anual!$D$10,Anual!$E$10,Anual!$F$10,Anual!$G$10,Anual!$H$10)</c:f>
              <c:strCache>
                <c:ptCount val="7"/>
                <c:pt idx="0">
                  <c:v>Total programa</c:v>
                </c:pt>
                <c:pt idx="1">
                  <c:v>Atención de 
denuncias</c:v>
                </c:pt>
                <c:pt idx="2">
                  <c:v>Centros de Atención Infantil-
Guarderías</c:v>
                </c:pt>
                <c:pt idx="3">
                  <c:v>Protección y Apoyo  a los niños, niñas y adolescentes en los Albergues PANI</c:v>
                </c:pt>
                <c:pt idx="4">
                  <c:v> Fondo de la Niñez y Adolescencia  "Proyectos Fondo de la Niñez y Adolescencia"</c:v>
                </c:pt>
                <c:pt idx="5">
                  <c:v>Centros de Atención Infantil residenciales con ONG</c:v>
                </c:pt>
                <c:pt idx="6">
                  <c:v>Acogimiento Familiar</c:v>
                </c:pt>
              </c:strCache>
            </c:strRef>
          </c:cat>
          <c:val>
            <c:numRef>
              <c:f>Anual!$B$56:$H$56</c:f>
              <c:numCache>
                <c:formatCode>#,##0.00</c:formatCode>
                <c:ptCount val="7"/>
                <c:pt idx="0">
                  <c:v>89.863515570058553</c:v>
                </c:pt>
                <c:pt idx="1">
                  <c:v>88.476991459208847</c:v>
                </c:pt>
                <c:pt idx="2">
                  <c:v>96.698225155245282</c:v>
                </c:pt>
                <c:pt idx="3">
                  <c:v>86.064468764509286</c:v>
                </c:pt>
                <c:pt idx="4">
                  <c:v>59.922281852941616</c:v>
                </c:pt>
                <c:pt idx="5">
                  <c:v>94.521442273253143</c:v>
                </c:pt>
                <c:pt idx="6">
                  <c:v>98.519811607934628</c:v>
                </c:pt>
              </c:numCache>
            </c:numRef>
          </c:val>
          <c:extLst>
            <c:ext xmlns:c16="http://schemas.microsoft.com/office/drawing/2014/chart" uri="{C3380CC4-5D6E-409C-BE32-E72D297353CC}">
              <c16:uniqueId val="{00000002-9064-404D-BF2B-FBC3470BF25C}"/>
            </c:ext>
          </c:extLst>
        </c:ser>
        <c:dLbls>
          <c:showLegendKey val="0"/>
          <c:showVal val="0"/>
          <c:showCatName val="0"/>
          <c:showSerName val="0"/>
          <c:showPercent val="0"/>
          <c:showBubbleSize val="0"/>
        </c:dLbls>
        <c:gapWidth val="100"/>
        <c:shape val="box"/>
        <c:axId val="548439192"/>
        <c:axId val="548439584"/>
        <c:axId val="0"/>
      </c:bar3DChart>
      <c:catAx>
        <c:axId val="548439192"/>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crossAx val="548439584"/>
        <c:crosses val="autoZero"/>
        <c:auto val="1"/>
        <c:lblAlgn val="ctr"/>
        <c:lblOffset val="100"/>
        <c:noMultiLvlLbl val="0"/>
      </c:catAx>
      <c:valAx>
        <c:axId val="548439584"/>
        <c:scaling>
          <c:orientation val="minMax"/>
          <c:max val="15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crossAx val="548439192"/>
        <c:crosses val="autoZero"/>
        <c:crossBetween val="between"/>
        <c:majorUnit val="30"/>
      </c:valAx>
      <c:spPr>
        <a:noFill/>
        <a:ln>
          <a:noFill/>
        </a:ln>
        <a:effectLst/>
      </c:spPr>
    </c:plotArea>
    <c:legend>
      <c:legendPos val="b"/>
      <c:layout>
        <c:manualLayout>
          <c:xMode val="edge"/>
          <c:yMode val="edge"/>
          <c:x val="0.19943567941216131"/>
          <c:y val="0.91613635050261599"/>
          <c:w val="0.68336584458248728"/>
          <c:h val="5.675334366966577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1000">
          <a:solidFill>
            <a:schemeClr val="tx1"/>
          </a:solidFill>
          <a:latin typeface="Palatino Linotype" panose="02040502050505030304" pitchFamily="18" charset="0"/>
        </a:defRPr>
      </a:pPr>
      <a:endParaRPr lang="es-CR"/>
    </a:p>
  </c:txPr>
  <c:printSettings>
    <c:headerFooter/>
    <c:pageMargins b="0.75000000000000189" l="0.70000000000000062" r="0.70000000000000062" t="0.75000000000000189"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1</xdr:colOff>
      <xdr:row>5</xdr:row>
      <xdr:rowOff>178594</xdr:rowOff>
    </xdr:from>
    <xdr:ext cx="12896850" cy="377031"/>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 y="1083469"/>
          <a:ext cx="12896850" cy="377031"/>
        </a:xfrm>
        <a:prstGeom prst="rect">
          <a:avLst/>
        </a:prstGeom>
      </xdr:spPr>
    </xdr:pic>
    <xdr:clientData/>
  </xdr:oneCellAnchor>
  <xdr:twoCellAnchor editAs="oneCell">
    <xdr:from>
      <xdr:col>0</xdr:col>
      <xdr:colOff>0</xdr:colOff>
      <xdr:row>0</xdr:row>
      <xdr:rowOff>0</xdr:rowOff>
    </xdr:from>
    <xdr:to>
      <xdr:col>6</xdr:col>
      <xdr:colOff>7938</xdr:colOff>
      <xdr:row>5</xdr:row>
      <xdr:rowOff>178594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0" y="0"/>
          <a:ext cx="13152438" cy="1091407"/>
        </a:xfrm>
        <a:prstGeom prst="rect">
          <a:avLst/>
        </a:prstGeom>
      </xdr:spPr>
    </xdr:pic>
    <xdr:clientData/>
  </xdr:twoCellAnchor>
  <xdr:twoCellAnchor editAs="oneCell">
    <xdr:from>
      <xdr:col>0</xdr:col>
      <xdr:colOff>462643</xdr:colOff>
      <xdr:row>0</xdr:row>
      <xdr:rowOff>95250</xdr:rowOff>
    </xdr:from>
    <xdr:to>
      <xdr:col>1</xdr:col>
      <xdr:colOff>585107</xdr:colOff>
      <xdr:row>5</xdr:row>
      <xdr:rowOff>136071</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stretch>
          <a:fillRect/>
        </a:stretch>
      </xdr:blipFill>
      <xdr:spPr>
        <a:xfrm>
          <a:off x="462643" y="95250"/>
          <a:ext cx="4408714" cy="993321"/>
        </a:xfrm>
        <a:prstGeom prst="rect">
          <a:avLst/>
        </a:prstGeom>
      </xdr:spPr>
    </xdr:pic>
    <xdr:clientData/>
  </xdr:twoCellAnchor>
  <xdr:twoCellAnchor>
    <xdr:from>
      <xdr:col>0</xdr:col>
      <xdr:colOff>23812</xdr:colOff>
      <xdr:row>6</xdr:row>
      <xdr:rowOff>35719</xdr:rowOff>
    </xdr:from>
    <xdr:to>
      <xdr:col>5</xdr:col>
      <xdr:colOff>1706563</xdr:colOff>
      <xdr:row>7</xdr:row>
      <xdr:rowOff>150812</xdr:rowOff>
    </xdr:to>
    <xdr:sp macro="" textlink="">
      <xdr:nvSpPr>
        <xdr:cNvPr id="9" name="CuadroTexto 8">
          <a:extLst>
            <a:ext uri="{FF2B5EF4-FFF2-40B4-BE49-F238E27FC236}">
              <a16:creationId xmlns:a16="http://schemas.microsoft.com/office/drawing/2014/main" id="{00000000-0008-0000-0000-000009000000}"/>
            </a:ext>
          </a:extLst>
        </xdr:cNvPr>
        <xdr:cNvSpPr txBox="1"/>
      </xdr:nvSpPr>
      <xdr:spPr>
        <a:xfrm>
          <a:off x="23812" y="1131094"/>
          <a:ext cx="13096876" cy="29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baseline="0">
              <a:solidFill>
                <a:schemeClr val="bg1"/>
              </a:solidFill>
              <a:effectLst/>
              <a:latin typeface="Palatino Linotype" panose="02040502050505030304" pitchFamily="18" charset="0"/>
              <a:ea typeface="+mn-ea"/>
              <a:cs typeface="+mn-cs"/>
            </a:rPr>
            <a:t> </a:t>
          </a:r>
          <a:r>
            <a:rPr lang="es-CR" sz="1100" b="1">
              <a:solidFill>
                <a:schemeClr val="bg1"/>
              </a:solidFill>
              <a:effectLst/>
              <a:latin typeface="Palatino Linotype" panose="02040502050505030304" pitchFamily="18" charset="0"/>
              <a:ea typeface="+mn-ea"/>
              <a:cs typeface="+mn-cs"/>
            </a:rPr>
            <a:t>Patronato Nacional de la Infancia</a:t>
          </a:r>
          <a:r>
            <a:rPr lang="es-CR" sz="1100" b="1" baseline="0">
              <a:solidFill>
                <a:schemeClr val="bg1"/>
              </a:solidFill>
              <a:effectLst/>
              <a:latin typeface="Palatino Linotype" panose="02040502050505030304" pitchFamily="18" charset="0"/>
              <a:ea typeface="+mn-ea"/>
              <a:cs typeface="+mn-cs"/>
            </a:rPr>
            <a:t>   Programa  Protección y Atención de los Niños, Niñas y Adolescentes</a:t>
          </a:r>
          <a:r>
            <a:rPr lang="es-CR" sz="1100" b="1" baseline="0">
              <a:solidFill>
                <a:schemeClr val="dk1"/>
              </a:solidFill>
              <a:effectLst/>
              <a:latin typeface="Palatino Linotype" panose="02040502050505030304" pitchFamily="18" charset="0"/>
              <a:ea typeface="+mn-ea"/>
              <a:cs typeface="+mn-cs"/>
            </a:rPr>
            <a:t>    </a:t>
          </a: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 Trimestre 2022</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17-08-2022</a:t>
          </a:r>
          <a:endParaRPr lang="es-CR" sz="1100">
            <a:solidFill>
              <a:schemeClr val="bg1"/>
            </a:solidFill>
            <a:effectLst/>
            <a:latin typeface="Palatino Linotype" panose="02040502050505030304" pitchFamily="18" charset="0"/>
          </a:endParaRPr>
        </a:p>
        <a:p>
          <a:endParaRPr lang="es-CR" sz="105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xdr:colOff>
      <xdr:row>5</xdr:row>
      <xdr:rowOff>178594</xdr:rowOff>
    </xdr:from>
    <xdr:ext cx="12896850" cy="404812"/>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1" y="1083469"/>
          <a:ext cx="12896850" cy="404812"/>
        </a:xfrm>
        <a:prstGeom prst="rect">
          <a:avLst/>
        </a:prstGeom>
      </xdr:spPr>
    </xdr:pic>
    <xdr:clientData/>
  </xdr:oneCellAnchor>
  <xdr:twoCellAnchor editAs="oneCell">
    <xdr:from>
      <xdr:col>0</xdr:col>
      <xdr:colOff>0</xdr:colOff>
      <xdr:row>0</xdr:row>
      <xdr:rowOff>0</xdr:rowOff>
    </xdr:from>
    <xdr:to>
      <xdr:col>6</xdr:col>
      <xdr:colOff>7938</xdr:colOff>
      <xdr:row>5</xdr:row>
      <xdr:rowOff>178594</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stretch>
          <a:fillRect/>
        </a:stretch>
      </xdr:blipFill>
      <xdr:spPr>
        <a:xfrm>
          <a:off x="0" y="0"/>
          <a:ext cx="13152438" cy="1091407"/>
        </a:xfrm>
        <a:prstGeom prst="rect">
          <a:avLst/>
        </a:prstGeom>
      </xdr:spPr>
    </xdr:pic>
    <xdr:clientData/>
  </xdr:twoCellAnchor>
  <xdr:twoCellAnchor editAs="oneCell">
    <xdr:from>
      <xdr:col>0</xdr:col>
      <xdr:colOff>462643</xdr:colOff>
      <xdr:row>0</xdr:row>
      <xdr:rowOff>95250</xdr:rowOff>
    </xdr:from>
    <xdr:to>
      <xdr:col>1</xdr:col>
      <xdr:colOff>585107</xdr:colOff>
      <xdr:row>5</xdr:row>
      <xdr:rowOff>136071</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tretch>
          <a:fillRect/>
        </a:stretch>
      </xdr:blipFill>
      <xdr:spPr>
        <a:xfrm>
          <a:off x="462643" y="95250"/>
          <a:ext cx="4408714" cy="993321"/>
        </a:xfrm>
        <a:prstGeom prst="rect">
          <a:avLst/>
        </a:prstGeom>
      </xdr:spPr>
    </xdr:pic>
    <xdr:clientData/>
  </xdr:twoCellAnchor>
  <xdr:twoCellAnchor>
    <xdr:from>
      <xdr:col>0</xdr:col>
      <xdr:colOff>23811</xdr:colOff>
      <xdr:row>6</xdr:row>
      <xdr:rowOff>35719</xdr:rowOff>
    </xdr:from>
    <xdr:to>
      <xdr:col>5</xdr:col>
      <xdr:colOff>1650999</xdr:colOff>
      <xdr:row>8</xdr:row>
      <xdr:rowOff>0</xdr:rowOff>
    </xdr:to>
    <xdr:sp macro="" textlink="">
      <xdr:nvSpPr>
        <xdr:cNvPr id="9" name="CuadroTexto 8">
          <a:extLst>
            <a:ext uri="{FF2B5EF4-FFF2-40B4-BE49-F238E27FC236}">
              <a16:creationId xmlns:a16="http://schemas.microsoft.com/office/drawing/2014/main" id="{00000000-0008-0000-0100-000009000000}"/>
            </a:ext>
          </a:extLst>
        </xdr:cNvPr>
        <xdr:cNvSpPr txBox="1"/>
      </xdr:nvSpPr>
      <xdr:spPr>
        <a:xfrm>
          <a:off x="23811" y="1131094"/>
          <a:ext cx="13041313" cy="329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Patronato Nacional de la Infancia</a:t>
          </a:r>
          <a:r>
            <a:rPr lang="es-CR" sz="1100" b="1" baseline="0">
              <a:solidFill>
                <a:schemeClr val="bg1"/>
              </a:solidFill>
              <a:effectLst/>
              <a:latin typeface="Palatino Linotype" panose="02040502050505030304" pitchFamily="18" charset="0"/>
              <a:ea typeface="+mn-ea"/>
              <a:cs typeface="+mn-cs"/>
            </a:rPr>
            <a:t>   Programa  Protección y Atención de los Niños, Niñas y Adolescentes</a:t>
          </a:r>
          <a:r>
            <a:rPr lang="es-CR" sz="1100" b="1" baseline="0">
              <a:solidFill>
                <a:schemeClr val="dk1"/>
              </a:solidFill>
              <a:effectLst/>
              <a:latin typeface="Palatino Linotype" panose="02040502050505030304" pitchFamily="18" charset="0"/>
              <a:ea typeface="+mn-ea"/>
              <a:cs typeface="+mn-cs"/>
            </a:rPr>
            <a:t>  </a:t>
          </a: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 Trimestre 2022</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22-10-2022</a:t>
          </a:r>
          <a:endParaRPr lang="es-CR" sz="1100">
            <a:solidFill>
              <a:schemeClr val="bg1"/>
            </a:solidFill>
            <a:effectLst/>
            <a:latin typeface="Palatino Linotype" panose="02040502050505030304" pitchFamily="18" charset="0"/>
          </a:endParaRPr>
        </a:p>
        <a:p>
          <a:endParaRPr lang="es-CR" sz="105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462643</xdr:colOff>
      <xdr:row>0</xdr:row>
      <xdr:rowOff>95250</xdr:rowOff>
    </xdr:from>
    <xdr:to>
      <xdr:col>1</xdr:col>
      <xdr:colOff>585107</xdr:colOff>
      <xdr:row>5</xdr:row>
      <xdr:rowOff>136071</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462643" y="95250"/>
          <a:ext cx="4408714" cy="993321"/>
        </a:xfrm>
        <a:prstGeom prst="rect">
          <a:avLst/>
        </a:prstGeom>
      </xdr:spPr>
    </xdr:pic>
    <xdr:clientData/>
  </xdr:twoCellAnchor>
  <xdr:oneCellAnchor>
    <xdr:from>
      <xdr:col>0</xdr:col>
      <xdr:colOff>1</xdr:colOff>
      <xdr:row>5</xdr:row>
      <xdr:rowOff>178594</xdr:rowOff>
    </xdr:from>
    <xdr:ext cx="12887324" cy="404812"/>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1" y="1083469"/>
          <a:ext cx="12887324" cy="404812"/>
        </a:xfrm>
        <a:prstGeom prst="rect">
          <a:avLst/>
        </a:prstGeom>
      </xdr:spPr>
    </xdr:pic>
    <xdr:clientData/>
  </xdr:oneCellAnchor>
  <xdr:twoCellAnchor editAs="oneCell">
    <xdr:from>
      <xdr:col>0</xdr:col>
      <xdr:colOff>0</xdr:colOff>
      <xdr:row>0</xdr:row>
      <xdr:rowOff>0</xdr:rowOff>
    </xdr:from>
    <xdr:to>
      <xdr:col>6</xdr:col>
      <xdr:colOff>0</xdr:colOff>
      <xdr:row>5</xdr:row>
      <xdr:rowOff>178594</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a:stretch>
          <a:fillRect/>
        </a:stretch>
      </xdr:blipFill>
      <xdr:spPr>
        <a:xfrm>
          <a:off x="0" y="0"/>
          <a:ext cx="13144500" cy="1091407"/>
        </a:xfrm>
        <a:prstGeom prst="rect">
          <a:avLst/>
        </a:prstGeom>
      </xdr:spPr>
    </xdr:pic>
    <xdr:clientData/>
  </xdr:twoCellAnchor>
  <xdr:twoCellAnchor editAs="oneCell">
    <xdr:from>
      <xdr:col>0</xdr:col>
      <xdr:colOff>462643</xdr:colOff>
      <xdr:row>0</xdr:row>
      <xdr:rowOff>95250</xdr:rowOff>
    </xdr:from>
    <xdr:to>
      <xdr:col>1</xdr:col>
      <xdr:colOff>585107</xdr:colOff>
      <xdr:row>5</xdr:row>
      <xdr:rowOff>136071</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stretch>
          <a:fillRect/>
        </a:stretch>
      </xdr:blipFill>
      <xdr:spPr>
        <a:xfrm>
          <a:off x="462643" y="95250"/>
          <a:ext cx="4408714" cy="993321"/>
        </a:xfrm>
        <a:prstGeom prst="rect">
          <a:avLst/>
        </a:prstGeom>
      </xdr:spPr>
    </xdr:pic>
    <xdr:clientData/>
  </xdr:twoCellAnchor>
  <xdr:twoCellAnchor>
    <xdr:from>
      <xdr:col>0</xdr:col>
      <xdr:colOff>23811</xdr:colOff>
      <xdr:row>6</xdr:row>
      <xdr:rowOff>35718</xdr:rowOff>
    </xdr:from>
    <xdr:to>
      <xdr:col>5</xdr:col>
      <xdr:colOff>1650999</xdr:colOff>
      <xdr:row>8</xdr:row>
      <xdr:rowOff>15874</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23811" y="1131093"/>
          <a:ext cx="13041313" cy="345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Patronato Nacional de la Infancia</a:t>
          </a:r>
          <a:r>
            <a:rPr lang="es-CR" sz="1100" b="1" baseline="0">
              <a:solidFill>
                <a:schemeClr val="bg1"/>
              </a:solidFill>
              <a:effectLst/>
              <a:latin typeface="Palatino Linotype" panose="02040502050505030304" pitchFamily="18" charset="0"/>
              <a:ea typeface="+mn-ea"/>
              <a:cs typeface="+mn-cs"/>
            </a:rPr>
            <a:t>   Programa  Protección y Atención de los Niños, Niñas y Adolescentes</a:t>
          </a:r>
          <a:r>
            <a:rPr lang="es-CR" sz="1100" b="1" baseline="0">
              <a:solidFill>
                <a:schemeClr val="dk1"/>
              </a:solidFill>
              <a:effectLst/>
              <a:latin typeface="Palatino Linotype" panose="02040502050505030304" pitchFamily="18" charset="0"/>
              <a:ea typeface="+mn-ea"/>
              <a:cs typeface="+mn-cs"/>
            </a:rPr>
            <a:t>  </a:t>
          </a: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 Semestre 2022</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20-10-2022</a:t>
          </a:r>
          <a:endParaRPr lang="es-CR" sz="1100">
            <a:solidFill>
              <a:schemeClr val="bg1"/>
            </a:solidFill>
            <a:effectLst/>
            <a:latin typeface="Palatino Linotype" panose="02040502050505030304" pitchFamily="18" charset="0"/>
          </a:endParaRPr>
        </a:p>
        <a:p>
          <a:endParaRPr lang="es-CR" sz="105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xdr:colOff>
      <xdr:row>5</xdr:row>
      <xdr:rowOff>178594</xdr:rowOff>
    </xdr:from>
    <xdr:ext cx="16287750" cy="404812"/>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1" y="1083469"/>
          <a:ext cx="16287750" cy="404812"/>
        </a:xfrm>
        <a:prstGeom prst="rect">
          <a:avLst/>
        </a:prstGeom>
      </xdr:spPr>
    </xdr:pic>
    <xdr:clientData/>
  </xdr:oneCellAnchor>
  <xdr:twoCellAnchor editAs="oneCell">
    <xdr:from>
      <xdr:col>0</xdr:col>
      <xdr:colOff>0</xdr:colOff>
      <xdr:row>0</xdr:row>
      <xdr:rowOff>0</xdr:rowOff>
    </xdr:from>
    <xdr:to>
      <xdr:col>8</xdr:col>
      <xdr:colOff>7938</xdr:colOff>
      <xdr:row>5</xdr:row>
      <xdr:rowOff>178594</xdr:rowOff>
    </xdr:to>
    <xdr:pic>
      <xdr:nvPicPr>
        <xdr:cNvPr id="7" name="Imagen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0" y="0"/>
          <a:ext cx="16613188" cy="1091407"/>
        </a:xfrm>
        <a:prstGeom prst="rect">
          <a:avLst/>
        </a:prstGeom>
      </xdr:spPr>
    </xdr:pic>
    <xdr:clientData/>
  </xdr:twoCellAnchor>
  <xdr:twoCellAnchor editAs="oneCell">
    <xdr:from>
      <xdr:col>0</xdr:col>
      <xdr:colOff>462643</xdr:colOff>
      <xdr:row>0</xdr:row>
      <xdr:rowOff>95250</xdr:rowOff>
    </xdr:from>
    <xdr:to>
      <xdr:col>1</xdr:col>
      <xdr:colOff>585107</xdr:colOff>
      <xdr:row>5</xdr:row>
      <xdr:rowOff>136071</xdr:rowOff>
    </xdr:to>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3"/>
        <a:stretch>
          <a:fillRect/>
        </a:stretch>
      </xdr:blipFill>
      <xdr:spPr>
        <a:xfrm>
          <a:off x="462643" y="95250"/>
          <a:ext cx="4408714" cy="993321"/>
        </a:xfrm>
        <a:prstGeom prst="rect">
          <a:avLst/>
        </a:prstGeom>
      </xdr:spPr>
    </xdr:pic>
    <xdr:clientData/>
  </xdr:twoCellAnchor>
  <xdr:twoCellAnchor>
    <xdr:from>
      <xdr:col>0</xdr:col>
      <xdr:colOff>23811</xdr:colOff>
      <xdr:row>6</xdr:row>
      <xdr:rowOff>35718</xdr:rowOff>
    </xdr:from>
    <xdr:to>
      <xdr:col>7</xdr:col>
      <xdr:colOff>1690687</xdr:colOff>
      <xdr:row>7</xdr:row>
      <xdr:rowOff>166686</xdr:rowOff>
    </xdr:to>
    <xdr:sp macro="" textlink="">
      <xdr:nvSpPr>
        <xdr:cNvPr id="13" name="CuadroTexto 12">
          <a:extLst>
            <a:ext uri="{FF2B5EF4-FFF2-40B4-BE49-F238E27FC236}">
              <a16:creationId xmlns:a16="http://schemas.microsoft.com/office/drawing/2014/main" id="{00000000-0008-0000-0300-00000D000000}"/>
            </a:ext>
          </a:extLst>
        </xdr:cNvPr>
        <xdr:cNvSpPr txBox="1"/>
      </xdr:nvSpPr>
      <xdr:spPr>
        <a:xfrm>
          <a:off x="23811" y="1131093"/>
          <a:ext cx="16541751" cy="313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Patronato Nacional de la Infancia</a:t>
          </a:r>
          <a:r>
            <a:rPr lang="es-CR" sz="1100" b="1" baseline="0">
              <a:solidFill>
                <a:schemeClr val="bg1"/>
              </a:solidFill>
              <a:effectLst/>
              <a:latin typeface="Palatino Linotype" panose="02040502050505030304" pitchFamily="18" charset="0"/>
              <a:ea typeface="+mn-ea"/>
              <a:cs typeface="+mn-cs"/>
            </a:rPr>
            <a:t>   Programa  Protección y Atención de los Niños, Niñas y Adolescentes</a:t>
          </a:r>
          <a:r>
            <a:rPr lang="es-CR" sz="1100" b="1" baseline="0">
              <a:solidFill>
                <a:schemeClr val="dk1"/>
              </a:solidFill>
              <a:effectLst/>
              <a:latin typeface="Palatino Linotype" panose="02040502050505030304" pitchFamily="18" charset="0"/>
              <a:ea typeface="+mn-ea"/>
              <a:cs typeface="+mn-cs"/>
            </a:rPr>
            <a:t>  </a:t>
          </a: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III Trimestre 2022</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30-11-2022</a:t>
          </a:r>
          <a:endParaRPr lang="es-CR" sz="1100">
            <a:solidFill>
              <a:schemeClr val="bg1"/>
            </a:solidFill>
            <a:effectLst/>
            <a:latin typeface="Palatino Linotype" panose="02040502050505030304" pitchFamily="18" charset="0"/>
          </a:endParaRPr>
        </a:p>
        <a:p>
          <a:endParaRPr lang="es-CR" sz="1050">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1</xdr:colOff>
      <xdr:row>5</xdr:row>
      <xdr:rowOff>178593</xdr:rowOff>
    </xdr:from>
    <xdr:ext cx="16306800" cy="559593"/>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1" y="1083468"/>
          <a:ext cx="16306800" cy="559593"/>
        </a:xfrm>
        <a:prstGeom prst="rect">
          <a:avLst/>
        </a:prstGeom>
      </xdr:spPr>
    </xdr:pic>
    <xdr:clientData/>
  </xdr:oneCellAnchor>
  <xdr:twoCellAnchor editAs="oneCell">
    <xdr:from>
      <xdr:col>0</xdr:col>
      <xdr:colOff>0</xdr:colOff>
      <xdr:row>0</xdr:row>
      <xdr:rowOff>0</xdr:rowOff>
    </xdr:from>
    <xdr:to>
      <xdr:col>8</xdr:col>
      <xdr:colOff>7938</xdr:colOff>
      <xdr:row>5</xdr:row>
      <xdr:rowOff>178594</xdr:rowOff>
    </xdr:to>
    <xdr:pic>
      <xdr:nvPicPr>
        <xdr:cNvPr id="7" name="Imagen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0" y="0"/>
          <a:ext cx="16613188" cy="1091407"/>
        </a:xfrm>
        <a:prstGeom prst="rect">
          <a:avLst/>
        </a:prstGeom>
      </xdr:spPr>
    </xdr:pic>
    <xdr:clientData/>
  </xdr:twoCellAnchor>
  <xdr:twoCellAnchor editAs="oneCell">
    <xdr:from>
      <xdr:col>0</xdr:col>
      <xdr:colOff>462643</xdr:colOff>
      <xdr:row>0</xdr:row>
      <xdr:rowOff>95250</xdr:rowOff>
    </xdr:from>
    <xdr:to>
      <xdr:col>1</xdr:col>
      <xdr:colOff>585107</xdr:colOff>
      <xdr:row>5</xdr:row>
      <xdr:rowOff>136071</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3"/>
        <a:stretch>
          <a:fillRect/>
        </a:stretch>
      </xdr:blipFill>
      <xdr:spPr>
        <a:xfrm>
          <a:off x="462643" y="95250"/>
          <a:ext cx="4408714" cy="993321"/>
        </a:xfrm>
        <a:prstGeom prst="rect">
          <a:avLst/>
        </a:prstGeom>
      </xdr:spPr>
    </xdr:pic>
    <xdr:clientData/>
  </xdr:twoCellAnchor>
  <xdr:twoCellAnchor>
    <xdr:from>
      <xdr:col>0</xdr:col>
      <xdr:colOff>39687</xdr:colOff>
      <xdr:row>6</xdr:row>
      <xdr:rowOff>142875</xdr:rowOff>
    </xdr:from>
    <xdr:to>
      <xdr:col>7</xdr:col>
      <xdr:colOff>1714500</xdr:colOff>
      <xdr:row>7</xdr:row>
      <xdr:rowOff>206375</xdr:rowOff>
    </xdr:to>
    <xdr:sp macro="" textlink="">
      <xdr:nvSpPr>
        <xdr:cNvPr id="9" name="CuadroTexto 8">
          <a:extLst>
            <a:ext uri="{FF2B5EF4-FFF2-40B4-BE49-F238E27FC236}">
              <a16:creationId xmlns:a16="http://schemas.microsoft.com/office/drawing/2014/main" id="{00000000-0008-0000-0400-000009000000}"/>
            </a:ext>
          </a:extLst>
        </xdr:cNvPr>
        <xdr:cNvSpPr txBox="1"/>
      </xdr:nvSpPr>
      <xdr:spPr>
        <a:xfrm>
          <a:off x="39687" y="1238250"/>
          <a:ext cx="16549688"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Patronato Nacional de la Infancia</a:t>
          </a:r>
          <a:r>
            <a:rPr lang="es-CR" sz="1100" b="1" baseline="0">
              <a:solidFill>
                <a:schemeClr val="bg1"/>
              </a:solidFill>
              <a:effectLst/>
              <a:latin typeface="Palatino Linotype" panose="02040502050505030304" pitchFamily="18" charset="0"/>
              <a:ea typeface="+mn-ea"/>
              <a:cs typeface="+mn-cs"/>
            </a:rPr>
            <a:t>   Programa  Protección y Atención de los Niños, Niñas y Adolescentes</a:t>
          </a:r>
          <a:r>
            <a:rPr lang="es-CR" sz="1100" b="1" baseline="0">
              <a:solidFill>
                <a:schemeClr val="dk1"/>
              </a:solidFill>
              <a:effectLst/>
              <a:latin typeface="Palatino Linotype" panose="02040502050505030304" pitchFamily="18" charset="0"/>
              <a:ea typeface="+mn-ea"/>
              <a:cs typeface="+mn-cs"/>
            </a:rPr>
            <a:t>    </a:t>
          </a: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III Trimestre Acumulado 2022</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30-11-202</a:t>
          </a:r>
          <a:endParaRPr lang="es-CR" sz="1100">
            <a:solidFill>
              <a:schemeClr val="bg1"/>
            </a:solidFill>
            <a:effectLst/>
            <a:latin typeface="Palatino Linotype" panose="0204050205050503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5</xdr:row>
      <xdr:rowOff>178594</xdr:rowOff>
    </xdr:from>
    <xdr:ext cx="16287750" cy="384968"/>
    <xdr:pic>
      <xdr:nvPicPr>
        <xdr:cNvPr id="10" name="Imagen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a:stretch>
          <a:fillRect/>
        </a:stretch>
      </xdr:blipFill>
      <xdr:spPr>
        <a:xfrm>
          <a:off x="0" y="1083469"/>
          <a:ext cx="16287750" cy="384968"/>
        </a:xfrm>
        <a:prstGeom prst="rect">
          <a:avLst/>
        </a:prstGeom>
      </xdr:spPr>
    </xdr:pic>
    <xdr:clientData/>
  </xdr:oneCellAnchor>
  <xdr:twoCellAnchor editAs="oneCell">
    <xdr:from>
      <xdr:col>0</xdr:col>
      <xdr:colOff>0</xdr:colOff>
      <xdr:row>0</xdr:row>
      <xdr:rowOff>0</xdr:rowOff>
    </xdr:from>
    <xdr:to>
      <xdr:col>8</xdr:col>
      <xdr:colOff>7938</xdr:colOff>
      <xdr:row>5</xdr:row>
      <xdr:rowOff>178594</xdr:rowOff>
    </xdr:to>
    <xdr:pic>
      <xdr:nvPicPr>
        <xdr:cNvPr id="11" name="Imagen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
        <a:stretch>
          <a:fillRect/>
        </a:stretch>
      </xdr:blipFill>
      <xdr:spPr>
        <a:xfrm>
          <a:off x="0" y="0"/>
          <a:ext cx="16613188" cy="1091407"/>
        </a:xfrm>
        <a:prstGeom prst="rect">
          <a:avLst/>
        </a:prstGeom>
      </xdr:spPr>
    </xdr:pic>
    <xdr:clientData/>
  </xdr:twoCellAnchor>
  <xdr:twoCellAnchor editAs="oneCell">
    <xdr:from>
      <xdr:col>0</xdr:col>
      <xdr:colOff>462643</xdr:colOff>
      <xdr:row>0</xdr:row>
      <xdr:rowOff>95250</xdr:rowOff>
    </xdr:from>
    <xdr:to>
      <xdr:col>1</xdr:col>
      <xdr:colOff>585107</xdr:colOff>
      <xdr:row>5</xdr:row>
      <xdr:rowOff>136071</xdr:rowOff>
    </xdr:to>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3"/>
        <a:stretch>
          <a:fillRect/>
        </a:stretch>
      </xdr:blipFill>
      <xdr:spPr>
        <a:xfrm>
          <a:off x="462643" y="95250"/>
          <a:ext cx="4408714" cy="993321"/>
        </a:xfrm>
        <a:prstGeom prst="rect">
          <a:avLst/>
        </a:prstGeom>
      </xdr:spPr>
    </xdr:pic>
    <xdr:clientData/>
  </xdr:twoCellAnchor>
  <xdr:twoCellAnchor>
    <xdr:from>
      <xdr:col>0</xdr:col>
      <xdr:colOff>23812</xdr:colOff>
      <xdr:row>6</xdr:row>
      <xdr:rowOff>35719</xdr:rowOff>
    </xdr:from>
    <xdr:to>
      <xdr:col>7</xdr:col>
      <xdr:colOff>1722438</xdr:colOff>
      <xdr:row>8</xdr:row>
      <xdr:rowOff>10584</xdr:rowOff>
    </xdr:to>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23812" y="1131094"/>
          <a:ext cx="16573501" cy="339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Patronato Nacional de la Infancia</a:t>
          </a:r>
          <a:r>
            <a:rPr lang="es-CR" sz="1100" b="1" baseline="0">
              <a:solidFill>
                <a:schemeClr val="bg1"/>
              </a:solidFill>
              <a:effectLst/>
              <a:latin typeface="Palatino Linotype" panose="02040502050505030304" pitchFamily="18" charset="0"/>
              <a:ea typeface="+mn-ea"/>
              <a:cs typeface="+mn-cs"/>
            </a:rPr>
            <a:t>   Programa  Protección y Atención de los Niños, Niñas y Adolescentes</a:t>
          </a:r>
          <a:r>
            <a:rPr lang="es-CR" sz="1100" b="1" baseline="0">
              <a:solidFill>
                <a:schemeClr val="dk1"/>
              </a:solidFill>
              <a:effectLst/>
              <a:latin typeface="Palatino Linotype" panose="02040502050505030304" pitchFamily="18" charset="0"/>
              <a:ea typeface="+mn-ea"/>
              <a:cs typeface="+mn-cs"/>
            </a:rPr>
            <a:t>  </a:t>
          </a: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IV Trimestre 2022</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06-03-2023</a:t>
          </a:r>
          <a:endParaRPr lang="es-CR" sz="1100">
            <a:solidFill>
              <a:schemeClr val="bg1"/>
            </a:solidFill>
            <a:effectLst/>
            <a:latin typeface="Palatino Linotype" panose="02040502050505030304" pitchFamily="18" charset="0"/>
          </a:endParaRPr>
        </a:p>
        <a:p>
          <a:endParaRPr lang="es-CR" sz="1050">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1323</xdr:colOff>
      <xdr:row>12</xdr:row>
      <xdr:rowOff>31749</xdr:rowOff>
    </xdr:from>
    <xdr:to>
      <xdr:col>37</xdr:col>
      <xdr:colOff>52916</xdr:colOff>
      <xdr:row>31</xdr:row>
      <xdr:rowOff>169333</xdr:rowOff>
    </xdr:to>
    <xdr:graphicFrame macro="">
      <xdr:nvGraphicFramePr>
        <xdr:cNvPr id="3" name="2 Gráfico">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315382</xdr:colOff>
      <xdr:row>12</xdr:row>
      <xdr:rowOff>34131</xdr:rowOff>
    </xdr:from>
    <xdr:to>
      <xdr:col>24</xdr:col>
      <xdr:colOff>549010</xdr:colOff>
      <xdr:row>32</xdr:row>
      <xdr:rowOff>7937</xdr:rowOff>
    </xdr:to>
    <xdr:graphicFrame macro="">
      <xdr:nvGraphicFramePr>
        <xdr:cNvPr id="5" name="4 Gráfico">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535515</xdr:colOff>
      <xdr:row>54</xdr:row>
      <xdr:rowOff>39158</xdr:rowOff>
    </xdr:from>
    <xdr:to>
      <xdr:col>25</xdr:col>
      <xdr:colOff>2645</xdr:colOff>
      <xdr:row>71</xdr:row>
      <xdr:rowOff>150812</xdr:rowOff>
    </xdr:to>
    <xdr:graphicFrame macro="">
      <xdr:nvGraphicFramePr>
        <xdr:cNvPr id="12" name="11 Gráfico">
          <a:extLst>
            <a:ext uri="{FF2B5EF4-FFF2-40B4-BE49-F238E27FC236}">
              <a16:creationId xmlns:a16="http://schemas.microsoft.com/office/drawing/2014/main" id="{00000000-0008-0000-06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215637</xdr:colOff>
      <xdr:row>54</xdr:row>
      <xdr:rowOff>118000</xdr:rowOff>
    </xdr:from>
    <xdr:to>
      <xdr:col>38</xdr:col>
      <xdr:colOff>613833</xdr:colOff>
      <xdr:row>72</xdr:row>
      <xdr:rowOff>44979</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109533</xdr:colOff>
      <xdr:row>33</xdr:row>
      <xdr:rowOff>53974</xdr:rowOff>
    </xdr:from>
    <xdr:to>
      <xdr:col>43</xdr:col>
      <xdr:colOff>243417</xdr:colOff>
      <xdr:row>53</xdr:row>
      <xdr:rowOff>130968</xdr:rowOff>
    </xdr:to>
    <xdr:graphicFrame macro="">
      <xdr:nvGraphicFramePr>
        <xdr:cNvPr id="4" name="Gráfico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408783</xdr:colOff>
      <xdr:row>33</xdr:row>
      <xdr:rowOff>57147</xdr:rowOff>
    </xdr:from>
    <xdr:to>
      <xdr:col>24</xdr:col>
      <xdr:colOff>677333</xdr:colOff>
      <xdr:row>53</xdr:row>
      <xdr:rowOff>103188</xdr:rowOff>
    </xdr:to>
    <xdr:graphicFrame macro="">
      <xdr:nvGraphicFramePr>
        <xdr:cNvPr id="9" name="Gráfico 8">
          <a:extLst>
            <a:ext uri="{FF2B5EF4-FFF2-40B4-BE49-F238E27FC236}">
              <a16:creationId xmlns:a16="http://schemas.microsoft.com/office/drawing/2014/main" id="{00000000-0008-0000-06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0</xdr:col>
      <xdr:colOff>0</xdr:colOff>
      <xdr:row>5</xdr:row>
      <xdr:rowOff>178593</xdr:rowOff>
    </xdr:from>
    <xdr:ext cx="16297275" cy="406551"/>
    <xdr:pic>
      <xdr:nvPicPr>
        <xdr:cNvPr id="13" name="Imagen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7"/>
        <a:stretch>
          <a:fillRect/>
        </a:stretch>
      </xdr:blipFill>
      <xdr:spPr>
        <a:xfrm>
          <a:off x="0" y="1083468"/>
          <a:ext cx="16297275" cy="406551"/>
        </a:xfrm>
        <a:prstGeom prst="rect">
          <a:avLst/>
        </a:prstGeom>
      </xdr:spPr>
    </xdr:pic>
    <xdr:clientData/>
  </xdr:oneCellAnchor>
  <xdr:twoCellAnchor editAs="oneCell">
    <xdr:from>
      <xdr:col>0</xdr:col>
      <xdr:colOff>0</xdr:colOff>
      <xdr:row>0</xdr:row>
      <xdr:rowOff>0</xdr:rowOff>
    </xdr:from>
    <xdr:to>
      <xdr:col>8</xdr:col>
      <xdr:colOff>7938</xdr:colOff>
      <xdr:row>5</xdr:row>
      <xdr:rowOff>178594</xdr:rowOff>
    </xdr:to>
    <xdr:pic>
      <xdr:nvPicPr>
        <xdr:cNvPr id="18" name="Imagen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8"/>
        <a:stretch>
          <a:fillRect/>
        </a:stretch>
      </xdr:blipFill>
      <xdr:spPr>
        <a:xfrm>
          <a:off x="0" y="0"/>
          <a:ext cx="16613188" cy="1091407"/>
        </a:xfrm>
        <a:prstGeom prst="rect">
          <a:avLst/>
        </a:prstGeom>
      </xdr:spPr>
    </xdr:pic>
    <xdr:clientData/>
  </xdr:twoCellAnchor>
  <xdr:twoCellAnchor editAs="oneCell">
    <xdr:from>
      <xdr:col>0</xdr:col>
      <xdr:colOff>462643</xdr:colOff>
      <xdr:row>0</xdr:row>
      <xdr:rowOff>95250</xdr:rowOff>
    </xdr:from>
    <xdr:to>
      <xdr:col>1</xdr:col>
      <xdr:colOff>585107</xdr:colOff>
      <xdr:row>5</xdr:row>
      <xdr:rowOff>136071</xdr:rowOff>
    </xdr:to>
    <xdr:pic>
      <xdr:nvPicPr>
        <xdr:cNvPr id="19" name="Imagen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9"/>
        <a:stretch>
          <a:fillRect/>
        </a:stretch>
      </xdr:blipFill>
      <xdr:spPr>
        <a:xfrm>
          <a:off x="462643" y="95250"/>
          <a:ext cx="4408714" cy="993321"/>
        </a:xfrm>
        <a:prstGeom prst="rect">
          <a:avLst/>
        </a:prstGeom>
      </xdr:spPr>
    </xdr:pic>
    <xdr:clientData/>
  </xdr:twoCellAnchor>
  <xdr:twoCellAnchor>
    <xdr:from>
      <xdr:col>0</xdr:col>
      <xdr:colOff>23811</xdr:colOff>
      <xdr:row>6</xdr:row>
      <xdr:rowOff>35719</xdr:rowOff>
    </xdr:from>
    <xdr:to>
      <xdr:col>7</xdr:col>
      <xdr:colOff>1690687</xdr:colOff>
      <xdr:row>8</xdr:row>
      <xdr:rowOff>0</xdr:rowOff>
    </xdr:to>
    <xdr:sp macro="" textlink="">
      <xdr:nvSpPr>
        <xdr:cNvPr id="20" name="CuadroTexto 19">
          <a:extLst>
            <a:ext uri="{FF2B5EF4-FFF2-40B4-BE49-F238E27FC236}">
              <a16:creationId xmlns:a16="http://schemas.microsoft.com/office/drawing/2014/main" id="{00000000-0008-0000-0600-000014000000}"/>
            </a:ext>
          </a:extLst>
        </xdr:cNvPr>
        <xdr:cNvSpPr txBox="1"/>
      </xdr:nvSpPr>
      <xdr:spPr>
        <a:xfrm>
          <a:off x="23811" y="1131094"/>
          <a:ext cx="16541751" cy="329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Patronato Nacional de la Infancia</a:t>
          </a:r>
          <a:r>
            <a:rPr lang="es-CR" sz="1100" b="1" baseline="0">
              <a:solidFill>
                <a:schemeClr val="bg1"/>
              </a:solidFill>
              <a:effectLst/>
              <a:latin typeface="Palatino Linotype" panose="02040502050505030304" pitchFamily="18" charset="0"/>
              <a:ea typeface="+mn-ea"/>
              <a:cs typeface="+mn-cs"/>
            </a:rPr>
            <a:t>   Programa  Protección y Atención de los Niños, Niñas y Adolescentes</a:t>
          </a:r>
          <a:r>
            <a:rPr lang="es-CR" sz="1100" b="1" baseline="0">
              <a:solidFill>
                <a:schemeClr val="dk1"/>
              </a:solidFill>
              <a:effectLst/>
              <a:latin typeface="Palatino Linotype" panose="02040502050505030304" pitchFamily="18" charset="0"/>
              <a:ea typeface="+mn-ea"/>
              <a:cs typeface="+mn-cs"/>
            </a:rPr>
            <a:t>  </a:t>
          </a: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Anual 2022</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06-03-2023</a:t>
          </a:r>
          <a:endParaRPr lang="es-CR" sz="1100">
            <a:solidFill>
              <a:schemeClr val="bg1"/>
            </a:solidFill>
            <a:effectLst/>
            <a:latin typeface="Palatino Linotype" panose="02040502050505030304" pitchFamily="18" charset="0"/>
          </a:endParaRPr>
        </a:p>
        <a:p>
          <a:endParaRPr lang="es-CR" sz="1050">
            <a:solidFill>
              <a:schemeClr val="bg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G86"/>
  <sheetViews>
    <sheetView showGridLines="0" tabSelected="1" zoomScale="80" zoomScaleNormal="80" workbookViewId="0">
      <pane ySplit="10" topLeftCell="A11" activePane="bottomLeft" state="frozen"/>
      <selection pane="bottomLeft" activeCell="A9" sqref="A9:A10"/>
    </sheetView>
  </sheetViews>
  <sheetFormatPr baseColWidth="10" defaultColWidth="11.44140625" defaultRowHeight="14.4"/>
  <cols>
    <col min="1" max="1" width="64.21875" style="1" customWidth="1"/>
    <col min="2" max="6" width="24.77734375" style="1" customWidth="1"/>
    <col min="7" max="16384" width="11.44140625" style="1"/>
  </cols>
  <sheetData>
    <row r="9" spans="1:6" s="4" customFormat="1" ht="15.6">
      <c r="A9" s="45" t="s">
        <v>0</v>
      </c>
      <c r="B9" s="47" t="s">
        <v>1</v>
      </c>
      <c r="C9" s="49" t="s">
        <v>2</v>
      </c>
      <c r="D9" s="49"/>
      <c r="E9" s="49"/>
    </row>
    <row r="10" spans="1:6" s="3" customFormat="1" ht="63" thickBot="1">
      <c r="A10" s="46"/>
      <c r="B10" s="48"/>
      <c r="C10" s="29" t="s">
        <v>39</v>
      </c>
      <c r="D10" s="29" t="s">
        <v>48</v>
      </c>
      <c r="E10" s="29" t="s">
        <v>89</v>
      </c>
      <c r="F10" s="29" t="s">
        <v>90</v>
      </c>
    </row>
    <row r="11" spans="1:6" ht="15" thickTop="1"/>
    <row r="12" spans="1:6" ht="15.6">
      <c r="A12" s="23" t="s">
        <v>3</v>
      </c>
      <c r="B12" s="7"/>
      <c r="C12" s="7"/>
      <c r="D12" s="7"/>
      <c r="E12" s="7"/>
    </row>
    <row r="13" spans="1:6" ht="15.6">
      <c r="A13" s="24"/>
      <c r="B13" s="7"/>
      <c r="C13" s="7"/>
      <c r="D13" s="7"/>
      <c r="E13" s="7"/>
    </row>
    <row r="14" spans="1:6" ht="15.6">
      <c r="A14" s="23" t="s">
        <v>4</v>
      </c>
      <c r="B14" s="7"/>
      <c r="C14" s="7"/>
      <c r="D14" s="7"/>
      <c r="E14" s="7"/>
    </row>
    <row r="15" spans="1:6" ht="15.6">
      <c r="A15" s="25" t="s">
        <v>49</v>
      </c>
      <c r="B15" s="9">
        <f>+SUM(C15:F15)</f>
        <v>23744.333333333332</v>
      </c>
      <c r="C15" s="30">
        <v>22394</v>
      </c>
      <c r="D15" s="30">
        <v>1350.3333333333333</v>
      </c>
      <c r="E15" s="30">
        <v>0</v>
      </c>
      <c r="F15" s="30">
        <v>0</v>
      </c>
    </row>
    <row r="16" spans="1:6" ht="15.6">
      <c r="A16" s="25" t="s">
        <v>77</v>
      </c>
      <c r="B16" s="9">
        <f t="shared" ref="B16:B18" si="0">+SUM(C16:F16)</f>
        <v>22266.639958536896</v>
      </c>
      <c r="C16" s="30">
        <v>18648</v>
      </c>
      <c r="D16" s="30">
        <v>3267.6399585368958</v>
      </c>
      <c r="E16" s="30">
        <v>351</v>
      </c>
      <c r="F16" s="30">
        <v>0</v>
      </c>
    </row>
    <row r="17" spans="1:6" ht="15.6">
      <c r="A17" s="25" t="s">
        <v>78</v>
      </c>
      <c r="B17" s="9">
        <f t="shared" si="0"/>
        <v>19405</v>
      </c>
      <c r="C17" s="30">
        <v>15810</v>
      </c>
      <c r="D17" s="30">
        <v>3274</v>
      </c>
      <c r="E17" s="30">
        <v>321</v>
      </c>
      <c r="F17" s="30">
        <v>0</v>
      </c>
    </row>
    <row r="18" spans="1:6" ht="15.6">
      <c r="A18" s="25" t="s">
        <v>79</v>
      </c>
      <c r="B18" s="9">
        <f t="shared" si="0"/>
        <v>81650.639958536893</v>
      </c>
      <c r="C18" s="30">
        <v>74592</v>
      </c>
      <c r="D18" s="30">
        <v>3267.6399585368958</v>
      </c>
      <c r="E18" s="30">
        <v>351</v>
      </c>
      <c r="F18" s="30">
        <v>3440</v>
      </c>
    </row>
    <row r="19" spans="1:6" ht="15.6">
      <c r="A19" s="24"/>
      <c r="B19" s="9"/>
      <c r="C19" s="9"/>
      <c r="D19" s="9"/>
      <c r="E19" s="9"/>
    </row>
    <row r="20" spans="1:6" ht="15.6">
      <c r="A20" s="26" t="s">
        <v>5</v>
      </c>
      <c r="B20" s="9"/>
      <c r="C20" s="9"/>
      <c r="D20" s="9"/>
      <c r="E20" s="9"/>
    </row>
    <row r="21" spans="1:6" ht="15.6">
      <c r="A21" s="25" t="s">
        <v>49</v>
      </c>
      <c r="B21" s="9">
        <f>SUM(C21:F21)</f>
        <v>3355293655.1199999</v>
      </c>
      <c r="C21" s="30">
        <v>2853039655.1199999</v>
      </c>
      <c r="D21" s="30">
        <v>502254000</v>
      </c>
      <c r="E21" s="30">
        <v>0</v>
      </c>
      <c r="F21" s="30">
        <v>0</v>
      </c>
    </row>
    <row r="22" spans="1:6" ht="15.6">
      <c r="A22" s="25" t="s">
        <v>77</v>
      </c>
      <c r="B22" s="9">
        <f t="shared" ref="B22:B24" si="1">SUM(C22:F22)</f>
        <v>4501893324.2349997</v>
      </c>
      <c r="C22" s="30">
        <v>2584738770.7799997</v>
      </c>
      <c r="D22" s="30">
        <v>1284182503.7049999</v>
      </c>
      <c r="E22" s="30">
        <v>632972049.75</v>
      </c>
      <c r="F22" s="30">
        <v>0</v>
      </c>
    </row>
    <row r="23" spans="1:6" ht="15.6">
      <c r="A23" s="25" t="s">
        <v>78</v>
      </c>
      <c r="B23" s="9">
        <f t="shared" si="1"/>
        <v>4518785698.29</v>
      </c>
      <c r="C23" s="30">
        <v>2638757789.4699998</v>
      </c>
      <c r="D23" s="30">
        <v>1289433000</v>
      </c>
      <c r="E23" s="30">
        <v>590594908.81999993</v>
      </c>
      <c r="F23" s="30">
        <v>0</v>
      </c>
    </row>
    <row r="24" spans="1:6" ht="15.6">
      <c r="A24" s="25" t="s">
        <v>79</v>
      </c>
      <c r="B24" s="9">
        <f t="shared" si="1"/>
        <v>16771531625.75</v>
      </c>
      <c r="C24" s="30">
        <v>11030265854.059999</v>
      </c>
      <c r="D24" s="30">
        <v>2568365007.4099998</v>
      </c>
      <c r="E24" s="30">
        <v>2701182056.0500002</v>
      </c>
      <c r="F24" s="30">
        <v>471718708.23000002</v>
      </c>
    </row>
    <row r="25" spans="1:6" ht="15.6">
      <c r="A25" s="25" t="s">
        <v>80</v>
      </c>
      <c r="B25" s="9">
        <f>SUM(C25:F25)</f>
        <v>4518785698.29</v>
      </c>
      <c r="C25" s="16">
        <f>+C23</f>
        <v>2638757789.4699998</v>
      </c>
      <c r="D25" s="16">
        <f t="shared" ref="D25:F25" si="2">+D23</f>
        <v>1289433000</v>
      </c>
      <c r="E25" s="16">
        <f t="shared" si="2"/>
        <v>590594908.81999993</v>
      </c>
      <c r="F25" s="16">
        <f t="shared" si="2"/>
        <v>0</v>
      </c>
    </row>
    <row r="26" spans="1:6" ht="15.6">
      <c r="A26" s="24"/>
      <c r="B26" s="9"/>
      <c r="C26" s="9"/>
      <c r="D26" s="9"/>
      <c r="E26" s="9"/>
    </row>
    <row r="27" spans="1:6" ht="15.6">
      <c r="A27" s="26" t="s">
        <v>6</v>
      </c>
      <c r="B27" s="9"/>
      <c r="C27" s="9"/>
      <c r="D27" s="9"/>
      <c r="E27" s="9"/>
    </row>
    <row r="28" spans="1:6" ht="15.6">
      <c r="A28" s="25" t="s">
        <v>77</v>
      </c>
      <c r="B28" s="9">
        <f>B22</f>
        <v>4501893324.2349997</v>
      </c>
      <c r="C28" s="9"/>
      <c r="D28" s="9"/>
      <c r="E28" s="9"/>
    </row>
    <row r="29" spans="1:6" ht="15.6">
      <c r="A29" s="25" t="s">
        <v>78</v>
      </c>
      <c r="B29" s="30">
        <v>4207197390.2399998</v>
      </c>
      <c r="C29" s="9"/>
      <c r="D29" s="9"/>
      <c r="E29" s="9"/>
    </row>
    <row r="30" spans="1:6" ht="15.6">
      <c r="A30" s="24"/>
      <c r="B30" s="15"/>
      <c r="C30" s="15"/>
      <c r="D30" s="15"/>
      <c r="E30" s="15"/>
    </row>
    <row r="31" spans="1:6" ht="15.6">
      <c r="A31" s="23" t="s">
        <v>7</v>
      </c>
      <c r="B31" s="15"/>
      <c r="C31" s="15"/>
      <c r="D31" s="15"/>
      <c r="E31" s="15"/>
    </row>
    <row r="32" spans="1:6" ht="15.6">
      <c r="A32" s="25" t="s">
        <v>50</v>
      </c>
      <c r="B32" s="31">
        <v>1.07</v>
      </c>
      <c r="C32" s="31">
        <v>1.07</v>
      </c>
      <c r="D32" s="31">
        <v>1.07</v>
      </c>
      <c r="E32" s="31">
        <v>1.07</v>
      </c>
      <c r="F32" s="31">
        <v>1.07</v>
      </c>
    </row>
    <row r="33" spans="1:6" ht="15.6">
      <c r="A33" s="25" t="s">
        <v>81</v>
      </c>
      <c r="B33" s="31">
        <v>1.0573999999999999</v>
      </c>
      <c r="C33" s="31">
        <v>1.0573999999999999</v>
      </c>
      <c r="D33" s="31">
        <v>1.0573999999999999</v>
      </c>
      <c r="E33" s="31">
        <v>1.0573999999999999</v>
      </c>
      <c r="F33" s="31">
        <v>1.0573999999999999</v>
      </c>
    </row>
    <row r="34" spans="1:6" ht="15.6">
      <c r="A34" s="8" t="s">
        <v>8</v>
      </c>
      <c r="B34" s="20" t="s">
        <v>36</v>
      </c>
      <c r="C34" s="20" t="s">
        <v>36</v>
      </c>
      <c r="D34" s="20" t="s">
        <v>36</v>
      </c>
      <c r="E34" s="20" t="s">
        <v>36</v>
      </c>
      <c r="F34" s="20" t="s">
        <v>36</v>
      </c>
    </row>
    <row r="35" spans="1:6" ht="15.6">
      <c r="A35" s="24"/>
      <c r="B35" s="15"/>
      <c r="C35" s="15"/>
      <c r="D35" s="15"/>
      <c r="E35" s="15"/>
    </row>
    <row r="36" spans="1:6" ht="15.6">
      <c r="A36" s="23" t="s">
        <v>9</v>
      </c>
      <c r="B36" s="15"/>
      <c r="C36" s="15"/>
      <c r="D36" s="15"/>
      <c r="E36" s="15"/>
    </row>
    <row r="37" spans="1:6" ht="15.6">
      <c r="A37" s="25" t="s">
        <v>51</v>
      </c>
      <c r="B37" s="16">
        <f t="shared" ref="B37" si="3">B21/B32</f>
        <v>3135788462.7289715</v>
      </c>
      <c r="C37" s="16">
        <f t="shared" ref="C37:F37" si="4">C21/C32</f>
        <v>2666392201.0467286</v>
      </c>
      <c r="D37" s="16">
        <f t="shared" si="4"/>
        <v>469396261.68224299</v>
      </c>
      <c r="E37" s="16">
        <f t="shared" si="4"/>
        <v>0</v>
      </c>
      <c r="F37" s="16">
        <f t="shared" si="4"/>
        <v>0</v>
      </c>
    </row>
    <row r="38" spans="1:6" ht="15.6">
      <c r="A38" s="25" t="s">
        <v>82</v>
      </c>
      <c r="B38" s="16">
        <f>B23/B33</f>
        <v>4273487514.9328547</v>
      </c>
      <c r="C38" s="16">
        <f t="shared" ref="C38:F38" si="5">C23/C33</f>
        <v>2495515216.0677133</v>
      </c>
      <c r="D38" s="16">
        <f t="shared" si="5"/>
        <v>1219437299.0353699</v>
      </c>
      <c r="E38" s="16">
        <f t="shared" si="5"/>
        <v>558534999.82977116</v>
      </c>
      <c r="F38" s="16">
        <f t="shared" si="5"/>
        <v>0</v>
      </c>
    </row>
    <row r="39" spans="1:6" ht="15.6">
      <c r="A39" s="25" t="s">
        <v>52</v>
      </c>
      <c r="B39" s="9">
        <f>B37/B15</f>
        <v>132064.70860678217</v>
      </c>
      <c r="C39" s="9">
        <f t="shared" ref="C39:D39" si="6">C37/C15</f>
        <v>119067.25913399699</v>
      </c>
      <c r="D39" s="9">
        <f t="shared" si="6"/>
        <v>347615.10368963936</v>
      </c>
      <c r="E39" s="9" t="s">
        <v>36</v>
      </c>
      <c r="F39" s="9" t="s">
        <v>36</v>
      </c>
    </row>
    <row r="40" spans="1:6" ht="15.6">
      <c r="A40" s="25" t="s">
        <v>83</v>
      </c>
      <c r="B40" s="9">
        <f>B38/B17</f>
        <v>220226.10228976319</v>
      </c>
      <c r="C40" s="9">
        <f t="shared" ref="C40:E40" si="7">C38/C17</f>
        <v>157844.0996880274</v>
      </c>
      <c r="D40" s="9">
        <f t="shared" si="7"/>
        <v>372460.99542925163</v>
      </c>
      <c r="E40" s="9">
        <f t="shared" si="7"/>
        <v>1739984.4231457044</v>
      </c>
      <c r="F40" s="9" t="s">
        <v>36</v>
      </c>
    </row>
    <row r="41" spans="1:6" ht="15.6">
      <c r="A41" s="24"/>
      <c r="B41" s="15"/>
      <c r="C41" s="15"/>
      <c r="D41" s="15"/>
      <c r="E41" s="15"/>
    </row>
    <row r="42" spans="1:6" ht="15.6">
      <c r="A42" s="23" t="s">
        <v>10</v>
      </c>
      <c r="B42" s="15"/>
      <c r="C42" s="15"/>
      <c r="D42" s="15"/>
      <c r="E42" s="15"/>
    </row>
    <row r="43" spans="1:6" ht="15.6">
      <c r="A43" s="24"/>
      <c r="B43" s="15"/>
      <c r="C43" s="15"/>
      <c r="D43" s="15"/>
      <c r="E43" s="15"/>
    </row>
    <row r="44" spans="1:6" ht="15.6">
      <c r="A44" s="23" t="s">
        <v>11</v>
      </c>
      <c r="B44" s="15"/>
      <c r="C44" s="15"/>
      <c r="D44" s="15"/>
      <c r="E44" s="15"/>
    </row>
    <row r="45" spans="1:6" ht="15.6">
      <c r="A45" s="24" t="s">
        <v>12</v>
      </c>
      <c r="B45" s="21" t="s">
        <v>35</v>
      </c>
      <c r="C45" s="21" t="s">
        <v>35</v>
      </c>
      <c r="D45" s="21" t="s">
        <v>35</v>
      </c>
      <c r="E45" s="21" t="s">
        <v>35</v>
      </c>
      <c r="F45" s="21" t="s">
        <v>35</v>
      </c>
    </row>
    <row r="46" spans="1:6" ht="15.6">
      <c r="A46" s="24" t="s">
        <v>13</v>
      </c>
      <c r="B46" s="21" t="s">
        <v>35</v>
      </c>
      <c r="C46" s="21" t="s">
        <v>35</v>
      </c>
      <c r="D46" s="21" t="s">
        <v>35</v>
      </c>
      <c r="E46" s="21" t="s">
        <v>35</v>
      </c>
      <c r="F46" s="21" t="s">
        <v>35</v>
      </c>
    </row>
    <row r="47" spans="1:6" ht="15.6">
      <c r="A47" s="24"/>
      <c r="B47" s="15"/>
      <c r="C47" s="15"/>
      <c r="D47" s="15"/>
      <c r="E47" s="15"/>
    </row>
    <row r="48" spans="1:6" ht="15.6">
      <c r="A48" s="23" t="s">
        <v>14</v>
      </c>
      <c r="B48" s="15"/>
      <c r="C48" s="15"/>
      <c r="D48" s="15"/>
      <c r="E48" s="15"/>
    </row>
    <row r="49" spans="1:6" ht="15.6">
      <c r="A49" s="24" t="s">
        <v>15</v>
      </c>
      <c r="B49" s="11">
        <f>B17/B16*100</f>
        <v>87.148308124325865</v>
      </c>
      <c r="C49" s="11">
        <f t="shared" ref="C49:E49" si="8">C17/C16*100</f>
        <v>84.781209781209782</v>
      </c>
      <c r="D49" s="11">
        <f t="shared" si="8"/>
        <v>100.19463715537229</v>
      </c>
      <c r="E49" s="11">
        <f t="shared" si="8"/>
        <v>91.452991452991455</v>
      </c>
      <c r="F49" s="9" t="s">
        <v>36</v>
      </c>
    </row>
    <row r="50" spans="1:6" ht="15.6">
      <c r="A50" s="24" t="s">
        <v>16</v>
      </c>
      <c r="B50" s="11">
        <f>B23/B22*100</f>
        <v>100.37522821707176</v>
      </c>
      <c r="C50" s="11">
        <f t="shared" ref="C50:E50" si="9">C23/C22*100</f>
        <v>102.08992178632035</v>
      </c>
      <c r="D50" s="11">
        <f t="shared" si="9"/>
        <v>100.40885904299832</v>
      </c>
      <c r="E50" s="11">
        <f t="shared" si="9"/>
        <v>93.305053367405804</v>
      </c>
      <c r="F50" s="9" t="s">
        <v>36</v>
      </c>
    </row>
    <row r="51" spans="1:6" ht="15.6">
      <c r="A51" s="24" t="s">
        <v>17</v>
      </c>
      <c r="B51" s="11">
        <f>AVERAGE(B49:B50)</f>
        <v>93.761768170698815</v>
      </c>
      <c r="C51" s="11">
        <f t="shared" ref="C51:E51" si="10">AVERAGE(C49:C50)</f>
        <v>93.435565783765071</v>
      </c>
      <c r="D51" s="11">
        <f t="shared" si="10"/>
        <v>100.3017480991853</v>
      </c>
      <c r="E51" s="11">
        <f t="shared" si="10"/>
        <v>92.37902241019863</v>
      </c>
      <c r="F51" s="9" t="s">
        <v>36</v>
      </c>
    </row>
    <row r="52" spans="1:6" ht="15.6">
      <c r="A52" s="24"/>
      <c r="B52" s="11"/>
      <c r="C52" s="11"/>
      <c r="D52" s="11"/>
      <c r="E52" s="11"/>
    </row>
    <row r="53" spans="1:6" ht="15.6">
      <c r="A53" s="23" t="s">
        <v>18</v>
      </c>
      <c r="B53" s="11"/>
      <c r="C53" s="11"/>
      <c r="D53" s="11"/>
      <c r="E53" s="11"/>
    </row>
    <row r="54" spans="1:6" ht="15.6">
      <c r="A54" s="24" t="s">
        <v>19</v>
      </c>
      <c r="B54" s="11">
        <f>B17/B18*100</f>
        <v>23.76588843621321</v>
      </c>
      <c r="C54" s="11">
        <f t="shared" ref="C54:F54" si="11">C17/C18*100</f>
        <v>21.195302445302445</v>
      </c>
      <c r="D54" s="11">
        <f t="shared" si="11"/>
        <v>100.19463715537229</v>
      </c>
      <c r="E54" s="11">
        <f t="shared" si="11"/>
        <v>91.452991452991455</v>
      </c>
      <c r="F54" s="11">
        <f t="shared" si="11"/>
        <v>0</v>
      </c>
    </row>
    <row r="55" spans="1:6" ht="15.6">
      <c r="A55" s="24" t="s">
        <v>20</v>
      </c>
      <c r="B55" s="11">
        <f>B23/B24*100</f>
        <v>26.943190396231483</v>
      </c>
      <c r="C55" s="11">
        <f t="shared" ref="C55:F55" si="12">C23/C24*100</f>
        <v>23.922884764366135</v>
      </c>
      <c r="D55" s="11">
        <f t="shared" si="12"/>
        <v>50.204429521499158</v>
      </c>
      <c r="E55" s="11">
        <f t="shared" si="12"/>
        <v>21.864313347455013</v>
      </c>
      <c r="F55" s="11">
        <f t="shared" si="12"/>
        <v>0</v>
      </c>
    </row>
    <row r="56" spans="1:6" ht="15.6">
      <c r="A56" s="24" t="s">
        <v>21</v>
      </c>
      <c r="B56" s="11">
        <f>(B54+B55)/2</f>
        <v>25.354539416222345</v>
      </c>
      <c r="C56" s="11">
        <f t="shared" ref="C56:F56" si="13">(C54+C55)/2</f>
        <v>22.559093604834288</v>
      </c>
      <c r="D56" s="11">
        <f t="shared" si="13"/>
        <v>75.199533338435728</v>
      </c>
      <c r="E56" s="11">
        <f t="shared" si="13"/>
        <v>56.658652400223232</v>
      </c>
      <c r="F56" s="11">
        <f t="shared" si="13"/>
        <v>0</v>
      </c>
    </row>
    <row r="57" spans="1:6" ht="15.6">
      <c r="A57" s="24"/>
      <c r="B57" s="11"/>
      <c r="C57" s="11"/>
      <c r="D57" s="11"/>
      <c r="E57" s="11"/>
    </row>
    <row r="58" spans="1:6" ht="15.6">
      <c r="A58" s="23" t="s">
        <v>32</v>
      </c>
      <c r="B58" s="11"/>
      <c r="C58" s="11"/>
      <c r="D58" s="11"/>
      <c r="E58" s="11"/>
    </row>
    <row r="59" spans="1:6" ht="15.6">
      <c r="A59" s="24" t="s">
        <v>22</v>
      </c>
      <c r="B59" s="11">
        <f>B25/B23*100</f>
        <v>100</v>
      </c>
      <c r="C59" s="11"/>
      <c r="D59" s="11"/>
      <c r="E59" s="11"/>
    </row>
    <row r="60" spans="1:6" ht="15.6">
      <c r="A60" s="24"/>
      <c r="B60" s="11"/>
      <c r="C60" s="11"/>
      <c r="D60" s="11"/>
      <c r="E60" s="11"/>
    </row>
    <row r="61" spans="1:6" ht="15.6">
      <c r="A61" s="23" t="s">
        <v>23</v>
      </c>
      <c r="B61" s="11"/>
      <c r="C61" s="11"/>
      <c r="D61" s="11"/>
      <c r="E61" s="11"/>
    </row>
    <row r="62" spans="1:6" ht="15.6">
      <c r="A62" s="24" t="s">
        <v>24</v>
      </c>
      <c r="B62" s="11">
        <f>((B17/B15)-1)*100</f>
        <v>-18.275237600550298</v>
      </c>
      <c r="C62" s="11">
        <f t="shared" ref="C62:D62" si="14">((C17/C15)-1)*100</f>
        <v>-29.400732339019374</v>
      </c>
      <c r="D62" s="11">
        <f t="shared" si="14"/>
        <v>142.45865218464579</v>
      </c>
      <c r="E62" s="9" t="s">
        <v>36</v>
      </c>
      <c r="F62" s="9" t="s">
        <v>36</v>
      </c>
    </row>
    <row r="63" spans="1:6" ht="15.6">
      <c r="A63" s="24" t="s">
        <v>25</v>
      </c>
      <c r="B63" s="11">
        <f t="shared" ref="B63:D63" si="15">((B38/B37)-1)*100</f>
        <v>36.281116080572026</v>
      </c>
      <c r="C63" s="11">
        <f t="shared" si="15"/>
        <v>-6.4085465338495684</v>
      </c>
      <c r="D63" s="11">
        <f t="shared" si="15"/>
        <v>159.78845563556402</v>
      </c>
      <c r="E63" s="9" t="s">
        <v>36</v>
      </c>
      <c r="F63" s="9" t="s">
        <v>36</v>
      </c>
    </row>
    <row r="64" spans="1:6" ht="15.6">
      <c r="A64" s="24" t="s">
        <v>26</v>
      </c>
      <c r="B64" s="11">
        <f>((B40/B39)-1)*100</f>
        <v>66.756209598340433</v>
      </c>
      <c r="C64" s="11">
        <f t="shared" ref="C64:D64" si="16">((C40/C39)-1)*100</f>
        <v>32.567173239783223</v>
      </c>
      <c r="D64" s="11">
        <f t="shared" si="16"/>
        <v>7.147529401310293</v>
      </c>
      <c r="E64" s="9" t="s">
        <v>36</v>
      </c>
      <c r="F64" s="9" t="s">
        <v>36</v>
      </c>
    </row>
    <row r="65" spans="1:7" ht="15.6">
      <c r="A65" s="24"/>
      <c r="B65" s="11"/>
      <c r="C65" s="11"/>
      <c r="D65" s="11"/>
      <c r="E65" s="11"/>
    </row>
    <row r="66" spans="1:7" ht="15.6">
      <c r="A66" s="23" t="s">
        <v>27</v>
      </c>
      <c r="B66" s="11"/>
      <c r="C66" s="11"/>
      <c r="D66" s="11"/>
      <c r="E66" s="11"/>
    </row>
    <row r="67" spans="1:7" ht="15.6">
      <c r="A67" s="24" t="s">
        <v>40</v>
      </c>
      <c r="B67" s="11">
        <f>B22/(B16*3)</f>
        <v>67393.693474753483</v>
      </c>
      <c r="C67" s="11">
        <f>C22/(C16)</f>
        <v>138606.75518983268</v>
      </c>
      <c r="D67" s="11">
        <f t="shared" ref="D67:E67" si="17">D22/(D16*3)</f>
        <v>130999.99999999999</v>
      </c>
      <c r="E67" s="11">
        <f t="shared" si="17"/>
        <v>601113.05769230775</v>
      </c>
      <c r="F67" s="9" t="s">
        <v>36</v>
      </c>
      <c r="G67" s="11"/>
    </row>
    <row r="68" spans="1:7" ht="15.6">
      <c r="A68" s="24" t="s">
        <v>41</v>
      </c>
      <c r="B68" s="11">
        <f t="shared" ref="B68" si="18">B23/(B17*3)</f>
        <v>77622.360187065191</v>
      </c>
      <c r="C68" s="11">
        <f>C23/(C17)</f>
        <v>166904.35101012015</v>
      </c>
      <c r="D68" s="11">
        <f t="shared" ref="D68:E68" si="19">D23/(D17*3)</f>
        <v>131280.0855222969</v>
      </c>
      <c r="E68" s="11">
        <f t="shared" si="19"/>
        <v>613286.50967808929</v>
      </c>
      <c r="F68" s="9" t="s">
        <v>36</v>
      </c>
      <c r="G68" s="11"/>
    </row>
    <row r="69" spans="1:7" ht="15.6">
      <c r="A69" s="24" t="s">
        <v>28</v>
      </c>
      <c r="B69" s="11">
        <f>(B68/B67)*B51</f>
        <v>107.9924450712665</v>
      </c>
      <c r="C69" s="11">
        <f t="shared" ref="C69" si="20">(C68/C67)*C51</f>
        <v>112.51112867510973</v>
      </c>
      <c r="D69" s="11">
        <f t="shared" ref="D69:E69" si="21">(D68/D67)*D51</f>
        <v>100.51619899615977</v>
      </c>
      <c r="E69" s="11">
        <f t="shared" si="21"/>
        <v>94.249837857331414</v>
      </c>
      <c r="F69" s="9" t="s">
        <v>36</v>
      </c>
      <c r="G69" s="11"/>
    </row>
    <row r="70" spans="1:7" ht="15.6">
      <c r="A70" s="24" t="s">
        <v>42</v>
      </c>
      <c r="B70" s="11">
        <f t="shared" ref="B70:B71" si="22">B22/B16</f>
        <v>202181.08042426046</v>
      </c>
      <c r="C70" s="11">
        <f>(C22/C16)*3</f>
        <v>415820.26556949806</v>
      </c>
      <c r="D70" s="11">
        <f t="shared" ref="D70:E70" si="23">D22/D16</f>
        <v>392999.99999999994</v>
      </c>
      <c r="E70" s="11">
        <f t="shared" si="23"/>
        <v>1803339.173076923</v>
      </c>
      <c r="F70" s="9" t="s">
        <v>36</v>
      </c>
      <c r="G70" s="11"/>
    </row>
    <row r="71" spans="1:7" ht="15.6">
      <c r="A71" s="24" t="s">
        <v>43</v>
      </c>
      <c r="B71" s="11">
        <f t="shared" si="22"/>
        <v>232867.08056119556</v>
      </c>
      <c r="C71" s="11">
        <f>(C23/C17)*3</f>
        <v>500713.05303036049</v>
      </c>
      <c r="D71" s="11">
        <f t="shared" ref="D71:E71" si="24">D23/D17</f>
        <v>393840.25656689063</v>
      </c>
      <c r="E71" s="11">
        <f t="shared" si="24"/>
        <v>1839859.5290342676</v>
      </c>
      <c r="F71" s="9" t="s">
        <v>36</v>
      </c>
      <c r="G71" s="11"/>
    </row>
    <row r="72" spans="1:7" ht="15.6">
      <c r="A72" s="24"/>
      <c r="B72" s="11"/>
      <c r="C72" s="11"/>
      <c r="D72" s="11"/>
      <c r="E72" s="11"/>
    </row>
    <row r="73" spans="1:7" ht="15.6">
      <c r="A73" s="23" t="s">
        <v>29</v>
      </c>
      <c r="B73" s="11"/>
      <c r="C73" s="11"/>
      <c r="D73" s="11"/>
      <c r="E73" s="11"/>
    </row>
    <row r="74" spans="1:7" ht="15.6">
      <c r="A74" s="24" t="s">
        <v>30</v>
      </c>
      <c r="B74" s="11">
        <f>(B29/B28)*100</f>
        <v>93.453955641095135</v>
      </c>
      <c r="C74" s="11"/>
      <c r="D74" s="11"/>
      <c r="E74" s="11"/>
    </row>
    <row r="75" spans="1:7" ht="15.6">
      <c r="A75" s="24" t="s">
        <v>31</v>
      </c>
      <c r="B75" s="11">
        <f>(B23/B29)*100</f>
        <v>107.4060777079971</v>
      </c>
      <c r="C75" s="11"/>
      <c r="D75" s="11"/>
      <c r="E75" s="11"/>
    </row>
    <row r="76" spans="1:7" ht="16.2" thickBot="1">
      <c r="A76" s="17"/>
      <c r="B76" s="17"/>
      <c r="C76" s="17"/>
      <c r="D76" s="17"/>
      <c r="E76" s="17"/>
      <c r="F76" s="17"/>
    </row>
    <row r="77" spans="1:7" s="27" customFormat="1" ht="16.5" customHeight="1" thickTop="1">
      <c r="A77" s="50" t="s">
        <v>84</v>
      </c>
      <c r="B77" s="50"/>
      <c r="C77" s="50"/>
      <c r="D77" s="50"/>
      <c r="E77" s="50"/>
    </row>
    <row r="78" spans="1:7" customFormat="1">
      <c r="A78" s="28"/>
    </row>
    <row r="79" spans="1:7" customFormat="1" ht="15.6">
      <c r="A79" s="23" t="s">
        <v>85</v>
      </c>
      <c r="B79" s="24"/>
      <c r="C79" s="24"/>
      <c r="D79" s="24"/>
      <c r="E79" s="24"/>
      <c r="F79" s="24"/>
    </row>
    <row r="80" spans="1:7" customFormat="1" ht="19.95" customHeight="1">
      <c r="A80" s="43" t="s">
        <v>86</v>
      </c>
      <c r="B80" s="43"/>
      <c r="C80" s="43"/>
      <c r="D80" s="43"/>
      <c r="E80" s="43"/>
      <c r="F80" s="43"/>
    </row>
    <row r="81" spans="1:6" customFormat="1" ht="27.45" customHeight="1">
      <c r="A81" s="43" t="s">
        <v>87</v>
      </c>
      <c r="B81" s="43"/>
      <c r="C81" s="43"/>
      <c r="D81" s="43"/>
      <c r="E81" s="43"/>
      <c r="F81" s="43"/>
    </row>
    <row r="82" spans="1:6" customFormat="1" ht="52.05" customHeight="1">
      <c r="A82" s="44" t="s">
        <v>88</v>
      </c>
      <c r="B82" s="44"/>
      <c r="C82" s="44"/>
      <c r="D82" s="44"/>
      <c r="E82" s="44"/>
      <c r="F82" s="44"/>
    </row>
    <row r="83" spans="1:6" customFormat="1"/>
    <row r="84" spans="1:6" customFormat="1"/>
    <row r="85" spans="1:6" customFormat="1"/>
    <row r="86" spans="1:6" customFormat="1"/>
  </sheetData>
  <mergeCells count="7">
    <mergeCell ref="A80:F80"/>
    <mergeCell ref="A81:F81"/>
    <mergeCell ref="A82:F82"/>
    <mergeCell ref="A9:A10"/>
    <mergeCell ref="B9:B10"/>
    <mergeCell ref="C9:E9"/>
    <mergeCell ref="A77:E77"/>
  </mergeCells>
  <pageMargins left="0.7" right="0.7" top="0.75" bottom="0.75" header="0.3" footer="0.3"/>
  <pageSetup orientation="portrait" r:id="rId1"/>
  <ignoredErrors>
    <ignoredError sqref="C67:C7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8:F85"/>
  <sheetViews>
    <sheetView showGridLines="0" zoomScale="80" zoomScaleNormal="80" workbookViewId="0">
      <pane ySplit="10" topLeftCell="A11" activePane="bottomLeft" state="frozen"/>
      <selection pane="bottomLeft" activeCell="A9" sqref="A9:A10"/>
    </sheetView>
  </sheetViews>
  <sheetFormatPr baseColWidth="10" defaultColWidth="11.44140625" defaultRowHeight="14.4"/>
  <cols>
    <col min="1" max="1" width="64.21875" style="1" customWidth="1"/>
    <col min="2" max="6" width="24.77734375" style="1" customWidth="1"/>
    <col min="7" max="16384" width="11.44140625" style="1"/>
  </cols>
  <sheetData>
    <row r="8" spans="1:6" ht="16.5" customHeight="1"/>
    <row r="9" spans="1:6" s="27" customFormat="1" ht="15.6">
      <c r="A9" s="52" t="s">
        <v>0</v>
      </c>
      <c r="B9" s="54" t="s">
        <v>1</v>
      </c>
      <c r="C9" s="56" t="s">
        <v>2</v>
      </c>
      <c r="D9" s="56"/>
      <c r="E9" s="56"/>
      <c r="F9" s="56"/>
    </row>
    <row r="10" spans="1:6" s="32" customFormat="1" ht="63" thickBot="1">
      <c r="A10" s="53"/>
      <c r="B10" s="55"/>
      <c r="C10" s="29" t="s">
        <v>39</v>
      </c>
      <c r="D10" s="29" t="s">
        <v>48</v>
      </c>
      <c r="E10" s="29" t="s">
        <v>89</v>
      </c>
      <c r="F10" s="29" t="s">
        <v>90</v>
      </c>
    </row>
    <row r="11" spans="1:6" ht="16.2" thickTop="1">
      <c r="A11" s="7"/>
      <c r="B11" s="7"/>
      <c r="C11" s="7"/>
      <c r="D11" s="7"/>
      <c r="E11" s="7"/>
    </row>
    <row r="12" spans="1:6" ht="15.6">
      <c r="A12" s="23" t="s">
        <v>3</v>
      </c>
      <c r="B12" s="7"/>
      <c r="C12" s="7"/>
      <c r="D12" s="7"/>
      <c r="E12" s="7"/>
    </row>
    <row r="13" spans="1:6" ht="15.6">
      <c r="A13" s="24"/>
      <c r="B13" s="7"/>
      <c r="C13" s="7"/>
      <c r="D13" s="7"/>
      <c r="E13" s="7"/>
    </row>
    <row r="14" spans="1:6" ht="15.6">
      <c r="A14" s="23" t="s">
        <v>4</v>
      </c>
      <c r="B14" s="7"/>
      <c r="C14" s="7"/>
      <c r="D14" s="7"/>
      <c r="E14" s="7"/>
    </row>
    <row r="15" spans="1:6" ht="15.6">
      <c r="A15" s="25" t="s">
        <v>53</v>
      </c>
      <c r="B15" s="9">
        <f>+SUM(C15:F15)</f>
        <v>23052</v>
      </c>
      <c r="C15" s="30">
        <v>21833</v>
      </c>
      <c r="D15" s="30">
        <v>1219</v>
      </c>
      <c r="E15" s="30">
        <v>0</v>
      </c>
      <c r="F15" s="30">
        <v>0</v>
      </c>
    </row>
    <row r="16" spans="1:6" ht="15.6">
      <c r="A16" s="25" t="s">
        <v>91</v>
      </c>
      <c r="B16" s="9">
        <f t="shared" ref="B16:B18" si="0">+SUM(C16:F16)</f>
        <v>25706.639958536896</v>
      </c>
      <c r="C16" s="30">
        <v>18648</v>
      </c>
      <c r="D16" s="30">
        <v>3267.6399585368958</v>
      </c>
      <c r="E16" s="30">
        <v>351</v>
      </c>
      <c r="F16" s="30">
        <v>3440</v>
      </c>
    </row>
    <row r="17" spans="1:6" ht="15.6">
      <c r="A17" s="25" t="s">
        <v>92</v>
      </c>
      <c r="B17" s="9">
        <f t="shared" si="0"/>
        <v>25323</v>
      </c>
      <c r="C17" s="30">
        <v>21624</v>
      </c>
      <c r="D17" s="30">
        <v>3393.6666666666665</v>
      </c>
      <c r="E17" s="30">
        <v>305.33333333333331</v>
      </c>
      <c r="F17" s="30">
        <v>0</v>
      </c>
    </row>
    <row r="18" spans="1:6" ht="15.6">
      <c r="A18" s="25" t="s">
        <v>79</v>
      </c>
      <c r="B18" s="9">
        <f t="shared" si="0"/>
        <v>81650.639958536893</v>
      </c>
      <c r="C18" s="30">
        <v>74592</v>
      </c>
      <c r="D18" s="30">
        <v>3267.6399585368958</v>
      </c>
      <c r="E18" s="30">
        <v>351</v>
      </c>
      <c r="F18" s="30">
        <v>3440</v>
      </c>
    </row>
    <row r="19" spans="1:6" ht="15.6">
      <c r="A19" s="24"/>
      <c r="B19" s="9"/>
      <c r="C19" s="30"/>
      <c r="D19" s="30"/>
      <c r="E19" s="30"/>
      <c r="F19"/>
    </row>
    <row r="20" spans="1:6" ht="15.6">
      <c r="A20" s="26" t="s">
        <v>5</v>
      </c>
      <c r="B20" s="9"/>
      <c r="C20" s="30"/>
      <c r="D20" s="30"/>
      <c r="E20" s="30"/>
      <c r="F20"/>
    </row>
    <row r="21" spans="1:6" ht="15.6">
      <c r="A21" s="25" t="s">
        <v>53</v>
      </c>
      <c r="B21" s="9">
        <f>SUM(C21:F21)</f>
        <v>2547396126.4299998</v>
      </c>
      <c r="C21" s="30">
        <v>2117697369.8499999</v>
      </c>
      <c r="D21" s="30">
        <v>427813064.43000001</v>
      </c>
      <c r="E21" s="30">
        <v>0</v>
      </c>
      <c r="F21" s="30">
        <v>1885692.1500000001</v>
      </c>
    </row>
    <row r="22" spans="1:6" ht="15.6">
      <c r="A22" s="25" t="s">
        <v>91</v>
      </c>
      <c r="B22" s="9">
        <f t="shared" ref="B22:B24" si="1">SUM(C22:F22)</f>
        <v>4580513108.9399996</v>
      </c>
      <c r="C22" s="30">
        <v>2584738770.7799997</v>
      </c>
      <c r="D22" s="30">
        <v>1284182503.7049999</v>
      </c>
      <c r="E22" s="30">
        <v>632972049.75</v>
      </c>
      <c r="F22" s="30">
        <v>78619784.704999998</v>
      </c>
    </row>
    <row r="23" spans="1:6" ht="15.6">
      <c r="A23" s="25" t="s">
        <v>92</v>
      </c>
      <c r="B23" s="9">
        <f t="shared" si="1"/>
        <v>3585055833.6500006</v>
      </c>
      <c r="C23" s="30">
        <v>1978073857.8</v>
      </c>
      <c r="D23" s="30">
        <v>1126766727.5</v>
      </c>
      <c r="E23" s="30">
        <v>470416350.54999995</v>
      </c>
      <c r="F23" s="30">
        <v>9798897.8000000007</v>
      </c>
    </row>
    <row r="24" spans="1:6" ht="15.6">
      <c r="A24" s="25" t="s">
        <v>79</v>
      </c>
      <c r="B24" s="9">
        <f t="shared" si="1"/>
        <v>16771531625.75</v>
      </c>
      <c r="C24" s="30">
        <v>11030265854.059999</v>
      </c>
      <c r="D24" s="30">
        <v>2568365007.4099998</v>
      </c>
      <c r="E24" s="30">
        <v>2701182056.0500002</v>
      </c>
      <c r="F24" s="30">
        <v>471718708.23000002</v>
      </c>
    </row>
    <row r="25" spans="1:6" ht="15.6">
      <c r="A25" s="25" t="s">
        <v>93</v>
      </c>
      <c r="B25" s="9">
        <f>SUM(C25:F25)</f>
        <v>3585055833.6500006</v>
      </c>
      <c r="C25" s="9">
        <f>+C23</f>
        <v>1978073857.8</v>
      </c>
      <c r="D25" s="9">
        <f t="shared" ref="D25:F25" si="2">+D23</f>
        <v>1126766727.5</v>
      </c>
      <c r="E25" s="9">
        <f t="shared" si="2"/>
        <v>470416350.54999995</v>
      </c>
      <c r="F25" s="9">
        <f t="shared" si="2"/>
        <v>9798897.8000000007</v>
      </c>
    </row>
    <row r="26" spans="1:6" ht="15.6">
      <c r="A26" s="24"/>
      <c r="B26" s="9"/>
      <c r="C26" s="9"/>
      <c r="D26" s="9"/>
      <c r="E26" s="9"/>
    </row>
    <row r="27" spans="1:6" ht="15.6">
      <c r="A27" s="26" t="s">
        <v>6</v>
      </c>
      <c r="B27" s="9"/>
      <c r="C27" s="9"/>
      <c r="D27" s="9"/>
      <c r="E27" s="9"/>
    </row>
    <row r="28" spans="1:6" ht="15.6">
      <c r="A28" s="25" t="s">
        <v>91</v>
      </c>
      <c r="B28" s="9">
        <f>B22</f>
        <v>4580513108.9399996</v>
      </c>
      <c r="C28" s="9"/>
      <c r="D28" s="9"/>
      <c r="E28" s="9"/>
    </row>
    <row r="29" spans="1:6" ht="15.6">
      <c r="A29" s="25" t="s">
        <v>92</v>
      </c>
      <c r="B29" s="30">
        <v>4207197390.1700001</v>
      </c>
      <c r="C29" s="9"/>
      <c r="D29" s="9"/>
      <c r="E29" s="9"/>
    </row>
    <row r="30" spans="1:6" ht="15.6">
      <c r="A30" s="24"/>
      <c r="B30" s="15"/>
      <c r="C30" s="15"/>
      <c r="D30" s="15"/>
      <c r="E30" s="15"/>
    </row>
    <row r="31" spans="1:6" ht="15.6">
      <c r="A31" s="23" t="s">
        <v>7</v>
      </c>
      <c r="B31" s="15"/>
      <c r="C31" s="15"/>
      <c r="D31" s="15"/>
      <c r="E31" s="15"/>
    </row>
    <row r="32" spans="1:6" ht="15.6">
      <c r="A32" s="25" t="s">
        <v>54</v>
      </c>
      <c r="B32" s="34">
        <v>1.0788</v>
      </c>
      <c r="C32" s="34">
        <v>1.0788</v>
      </c>
      <c r="D32" s="34">
        <v>1.0788</v>
      </c>
      <c r="E32" s="34">
        <v>1.0788</v>
      </c>
      <c r="F32" s="34">
        <v>1.0788</v>
      </c>
    </row>
    <row r="33" spans="1:6" ht="15.6">
      <c r="A33" s="25" t="s">
        <v>94</v>
      </c>
      <c r="B33" s="34">
        <v>1.121</v>
      </c>
      <c r="C33" s="34">
        <v>1.121</v>
      </c>
      <c r="D33" s="34">
        <v>1.121</v>
      </c>
      <c r="E33" s="34">
        <v>1.121</v>
      </c>
      <c r="F33" s="34">
        <v>1.121</v>
      </c>
    </row>
    <row r="34" spans="1:6" ht="15.6">
      <c r="A34" s="25" t="s">
        <v>8</v>
      </c>
      <c r="B34" s="35" t="s">
        <v>36</v>
      </c>
      <c r="C34" s="35" t="s">
        <v>36</v>
      </c>
      <c r="D34" s="35" t="s">
        <v>36</v>
      </c>
      <c r="E34" s="35" t="s">
        <v>36</v>
      </c>
      <c r="F34" s="35" t="s">
        <v>36</v>
      </c>
    </row>
    <row r="35" spans="1:6" ht="15.6">
      <c r="A35" s="24"/>
      <c r="B35" s="15"/>
      <c r="C35" s="15"/>
      <c r="D35" s="15"/>
      <c r="E35" s="15"/>
    </row>
    <row r="36" spans="1:6" ht="15.6">
      <c r="A36" s="23" t="s">
        <v>9</v>
      </c>
      <c r="B36" s="15"/>
      <c r="C36" s="15"/>
      <c r="D36" s="15"/>
      <c r="E36" s="15"/>
    </row>
    <row r="37" spans="1:6" ht="15.6">
      <c r="A37" s="25" t="s">
        <v>55</v>
      </c>
      <c r="B37" s="16">
        <f t="shared" ref="B37:F37" si="3">B21/B32</f>
        <v>2361323810.1872449</v>
      </c>
      <c r="C37" s="16">
        <f t="shared" si="3"/>
        <v>1963012022.4786799</v>
      </c>
      <c r="D37" s="16">
        <f t="shared" si="3"/>
        <v>396563834.28809792</v>
      </c>
      <c r="E37" s="16">
        <f t="shared" si="3"/>
        <v>0</v>
      </c>
      <c r="F37" s="16">
        <f t="shared" si="3"/>
        <v>1747953.420467186</v>
      </c>
    </row>
    <row r="38" spans="1:6" ht="15.6">
      <c r="A38" s="25" t="s">
        <v>95</v>
      </c>
      <c r="B38" s="16">
        <f t="shared" ref="B38:F38" si="4">B23/B33</f>
        <v>3198087273.5504022</v>
      </c>
      <c r="C38" s="16">
        <f t="shared" si="4"/>
        <v>1764561871.3648527</v>
      </c>
      <c r="D38" s="16">
        <f t="shared" si="4"/>
        <v>1005144270.7404103</v>
      </c>
      <c r="E38" s="16">
        <f t="shared" si="4"/>
        <v>419639920.20517391</v>
      </c>
      <c r="F38" s="16">
        <f t="shared" si="4"/>
        <v>8741211.2399643175</v>
      </c>
    </row>
    <row r="39" spans="1:6" ht="15.6">
      <c r="A39" s="25" t="s">
        <v>56</v>
      </c>
      <c r="B39" s="9">
        <f>B37/B15</f>
        <v>102434.6612088862</v>
      </c>
      <c r="C39" s="9">
        <f t="shared" ref="C39:D39" si="5">C37/C15</f>
        <v>89910.320271088713</v>
      </c>
      <c r="D39" s="9">
        <f t="shared" si="5"/>
        <v>325318.97808703687</v>
      </c>
      <c r="E39" s="9" t="s">
        <v>36</v>
      </c>
      <c r="F39" s="9" t="s">
        <v>36</v>
      </c>
    </row>
    <row r="40" spans="1:6" ht="15.6">
      <c r="A40" s="25" t="s">
        <v>96</v>
      </c>
      <c r="B40" s="9">
        <f t="shared" ref="B40:E40" si="6">B38/B17</f>
        <v>126291.80087471477</v>
      </c>
      <c r="C40" s="9">
        <f t="shared" si="6"/>
        <v>81602.010329488199</v>
      </c>
      <c r="D40" s="9">
        <f t="shared" si="6"/>
        <v>296182.38014156086</v>
      </c>
      <c r="E40" s="9">
        <f t="shared" si="6"/>
        <v>1374366.5508903076</v>
      </c>
      <c r="F40" s="9" t="s">
        <v>36</v>
      </c>
    </row>
    <row r="41" spans="1:6" ht="15.6">
      <c r="A41" s="24"/>
      <c r="B41" s="9"/>
      <c r="C41" s="9"/>
      <c r="D41" s="9"/>
      <c r="E41" s="9"/>
    </row>
    <row r="42" spans="1:6" ht="15.6">
      <c r="A42" s="23" t="s">
        <v>10</v>
      </c>
      <c r="B42" s="15"/>
      <c r="C42" s="15"/>
      <c r="D42" s="15"/>
      <c r="E42" s="15"/>
    </row>
    <row r="43" spans="1:6" ht="15.6">
      <c r="A43" s="24"/>
      <c r="B43" s="15"/>
      <c r="C43" s="15"/>
      <c r="D43" s="15"/>
      <c r="E43" s="15"/>
    </row>
    <row r="44" spans="1:6" ht="15.6">
      <c r="A44" s="23" t="s">
        <v>11</v>
      </c>
      <c r="B44" s="15"/>
      <c r="C44" s="15"/>
      <c r="D44" s="15"/>
      <c r="E44" s="15"/>
    </row>
    <row r="45" spans="1:6" ht="15.6">
      <c r="A45" s="24" t="s">
        <v>12</v>
      </c>
      <c r="B45" s="21" t="s">
        <v>35</v>
      </c>
      <c r="C45" s="21" t="s">
        <v>35</v>
      </c>
      <c r="D45" s="21" t="s">
        <v>35</v>
      </c>
      <c r="E45" s="21" t="s">
        <v>35</v>
      </c>
      <c r="F45" s="21" t="s">
        <v>35</v>
      </c>
    </row>
    <row r="46" spans="1:6" ht="15.6">
      <c r="A46" s="24" t="s">
        <v>13</v>
      </c>
      <c r="B46" s="21" t="s">
        <v>35</v>
      </c>
      <c r="C46" s="21" t="s">
        <v>35</v>
      </c>
      <c r="D46" s="21" t="s">
        <v>35</v>
      </c>
      <c r="E46" s="21" t="s">
        <v>35</v>
      </c>
      <c r="F46" s="21" t="s">
        <v>35</v>
      </c>
    </row>
    <row r="47" spans="1:6" ht="15.6">
      <c r="A47" s="24"/>
      <c r="B47" s="15"/>
      <c r="C47" s="15"/>
      <c r="D47" s="15"/>
      <c r="E47" s="15"/>
    </row>
    <row r="48" spans="1:6" ht="15.6">
      <c r="A48" s="23" t="s">
        <v>14</v>
      </c>
      <c r="B48" s="15"/>
      <c r="C48" s="15"/>
      <c r="D48" s="15"/>
      <c r="E48" s="15"/>
    </row>
    <row r="49" spans="1:6" ht="15.6">
      <c r="A49" s="24" t="s">
        <v>15</v>
      </c>
      <c r="B49" s="11">
        <f>B17/B16*100</f>
        <v>98.507623092105064</v>
      </c>
      <c r="C49" s="11">
        <f t="shared" ref="C49:F49" si="7">C17/C16*100</f>
        <v>115.95881595881596</v>
      </c>
      <c r="D49" s="11">
        <f t="shared" si="7"/>
        <v>103.85681132955051</v>
      </c>
      <c r="E49" s="11">
        <f t="shared" si="7"/>
        <v>86.989553656220323</v>
      </c>
      <c r="F49" s="11">
        <f t="shared" si="7"/>
        <v>0</v>
      </c>
    </row>
    <row r="50" spans="1:6" ht="15.6">
      <c r="A50" s="24" t="s">
        <v>16</v>
      </c>
      <c r="B50" s="11">
        <f>B23/B22*100</f>
        <v>78.267559733709334</v>
      </c>
      <c r="C50" s="11">
        <f t="shared" ref="C50:F50" si="8">C23/C22*100</f>
        <v>76.528966105270058</v>
      </c>
      <c r="D50" s="11">
        <f t="shared" si="8"/>
        <v>87.741946666393673</v>
      </c>
      <c r="E50" s="11">
        <f t="shared" si="8"/>
        <v>74.318660790124397</v>
      </c>
      <c r="F50" s="11">
        <f t="shared" si="8"/>
        <v>12.463653820431816</v>
      </c>
    </row>
    <row r="51" spans="1:6" ht="15.6">
      <c r="A51" s="24" t="s">
        <v>17</v>
      </c>
      <c r="B51" s="11">
        <f>AVERAGE(B49:B50)</f>
        <v>88.387591412907199</v>
      </c>
      <c r="C51" s="11">
        <f t="shared" ref="C51:F51" si="9">AVERAGE(C49:C50)</f>
        <v>96.24389103204301</v>
      </c>
      <c r="D51" s="11">
        <f t="shared" si="9"/>
        <v>95.799378997972099</v>
      </c>
      <c r="E51" s="11">
        <f t="shared" si="9"/>
        <v>80.65410722317236</v>
      </c>
      <c r="F51" s="11">
        <f t="shared" si="9"/>
        <v>6.2318269102159078</v>
      </c>
    </row>
    <row r="52" spans="1:6" ht="15.6">
      <c r="A52" s="24"/>
      <c r="B52" s="11"/>
      <c r="C52" s="11"/>
      <c r="D52" s="11"/>
      <c r="E52" s="11"/>
      <c r="F52" s="11"/>
    </row>
    <row r="53" spans="1:6" ht="15.6">
      <c r="A53" s="23" t="s">
        <v>18</v>
      </c>
      <c r="B53" s="11"/>
      <c r="C53" s="11"/>
      <c r="D53" s="11"/>
      <c r="E53" s="11"/>
      <c r="F53" s="11"/>
    </row>
    <row r="54" spans="1:6" ht="15.6">
      <c r="A54" s="24" t="s">
        <v>19</v>
      </c>
      <c r="B54" s="11">
        <f>B17/B18*100</f>
        <v>31.013841425932853</v>
      </c>
      <c r="C54" s="11">
        <f t="shared" ref="C54:F54" si="10">C17/C18*100</f>
        <v>28.98970398970399</v>
      </c>
      <c r="D54" s="11">
        <f t="shared" si="10"/>
        <v>103.85681132955051</v>
      </c>
      <c r="E54" s="11">
        <f t="shared" si="10"/>
        <v>86.989553656220323</v>
      </c>
      <c r="F54" s="11">
        <f t="shared" si="10"/>
        <v>0</v>
      </c>
    </row>
    <row r="55" spans="1:6" ht="15.6">
      <c r="A55" s="24" t="s">
        <v>20</v>
      </c>
      <c r="B55" s="11">
        <f>B23/B24*100</f>
        <v>21.375840404138891</v>
      </c>
      <c r="C55" s="11">
        <f t="shared" ref="C55:F55" si="11">C23/C24*100</f>
        <v>17.933147613771379</v>
      </c>
      <c r="D55" s="11">
        <f t="shared" si="11"/>
        <v>43.870973333196837</v>
      </c>
      <c r="E55" s="11">
        <f t="shared" si="11"/>
        <v>17.4152034475566</v>
      </c>
      <c r="F55" s="11">
        <f t="shared" si="11"/>
        <v>2.0772756367386358</v>
      </c>
    </row>
    <row r="56" spans="1:6" ht="15.6">
      <c r="A56" s="24" t="s">
        <v>21</v>
      </c>
      <c r="B56" s="11">
        <f>(B54+B55)/2</f>
        <v>26.194840915035872</v>
      </c>
      <c r="C56" s="11">
        <f t="shared" ref="C56:F56" si="12">(C54+C55)/2</f>
        <v>23.461425801737683</v>
      </c>
      <c r="D56" s="11">
        <f t="shared" si="12"/>
        <v>73.863892331373677</v>
      </c>
      <c r="E56" s="11">
        <f t="shared" si="12"/>
        <v>52.202378551888458</v>
      </c>
      <c r="F56" s="11">
        <f t="shared" si="12"/>
        <v>1.0386378183693179</v>
      </c>
    </row>
    <row r="57" spans="1:6" ht="15.6">
      <c r="A57" s="24"/>
      <c r="B57" s="11"/>
      <c r="C57" s="11"/>
      <c r="D57" s="11"/>
      <c r="E57" s="11"/>
    </row>
    <row r="58" spans="1:6" ht="15.6">
      <c r="A58" s="23" t="s">
        <v>32</v>
      </c>
      <c r="B58" s="11"/>
      <c r="C58" s="11"/>
      <c r="D58" s="11"/>
      <c r="E58" s="11"/>
    </row>
    <row r="59" spans="1:6" ht="15.6">
      <c r="A59" s="24" t="s">
        <v>22</v>
      </c>
      <c r="B59" s="11">
        <f t="shared" ref="B59" si="13">B25/B23*100</f>
        <v>100</v>
      </c>
      <c r="C59" s="11"/>
      <c r="D59" s="11"/>
      <c r="E59" s="11"/>
    </row>
    <row r="60" spans="1:6" ht="15.6">
      <c r="A60" s="24"/>
      <c r="B60" s="11"/>
      <c r="C60" s="11"/>
      <c r="D60" s="11"/>
      <c r="E60" s="11"/>
    </row>
    <row r="61" spans="1:6" ht="15.6">
      <c r="A61" s="23" t="s">
        <v>23</v>
      </c>
      <c r="B61" s="11"/>
      <c r="C61" s="11"/>
      <c r="D61" s="11"/>
      <c r="E61" s="11"/>
    </row>
    <row r="62" spans="1:6" ht="15.6">
      <c r="A62" s="24" t="s">
        <v>24</v>
      </c>
      <c r="B62" s="11">
        <f>((B17/B15)-1)*100</f>
        <v>9.8516397709526249</v>
      </c>
      <c r="C62" s="11">
        <f t="shared" ref="C62:D62" si="14">((C17/C15)-1)*100</f>
        <v>-0.95726652315302196</v>
      </c>
      <c r="D62" s="11">
        <f t="shared" si="14"/>
        <v>178.39759365600219</v>
      </c>
      <c r="E62" s="11" t="s">
        <v>36</v>
      </c>
      <c r="F62" s="11" t="s">
        <v>36</v>
      </c>
    </row>
    <row r="63" spans="1:6" ht="15.6">
      <c r="A63" s="24" t="s">
        <v>25</v>
      </c>
      <c r="B63" s="11">
        <f>((B38/B37)-1)*100</f>
        <v>35.436201496515828</v>
      </c>
      <c r="C63" s="11">
        <f t="shared" ref="C63:F63" si="15">((C38/C37)-1)*100</f>
        <v>-10.109472017560329</v>
      </c>
      <c r="D63" s="11">
        <f t="shared" si="15"/>
        <v>153.46342349771299</v>
      </c>
      <c r="E63" s="11" t="s">
        <v>36</v>
      </c>
      <c r="F63" s="11">
        <f t="shared" si="15"/>
        <v>400.08261877069941</v>
      </c>
    </row>
    <row r="64" spans="1:6" ht="15.6">
      <c r="A64" s="24" t="s">
        <v>26</v>
      </c>
      <c r="B64" s="11">
        <f t="shared" ref="B64:D64" si="16">((B40/B39)-1)*100</f>
        <v>23.290104525438672</v>
      </c>
      <c r="C64" s="11">
        <f t="shared" si="16"/>
        <v>-9.2406632704122522</v>
      </c>
      <c r="D64" s="11">
        <f t="shared" si="16"/>
        <v>-8.9563166947120738</v>
      </c>
      <c r="E64" s="11" t="s">
        <v>36</v>
      </c>
      <c r="F64" s="11" t="s">
        <v>36</v>
      </c>
    </row>
    <row r="65" spans="1:6" ht="15.6">
      <c r="A65" s="24"/>
      <c r="B65" s="11"/>
      <c r="C65" s="11"/>
      <c r="D65" s="11"/>
      <c r="E65" s="11"/>
    </row>
    <row r="66" spans="1:6" ht="15.6">
      <c r="A66" s="23" t="s">
        <v>27</v>
      </c>
      <c r="B66" s="11"/>
      <c r="C66" s="11"/>
      <c r="D66" s="11"/>
      <c r="E66" s="11"/>
    </row>
    <row r="67" spans="1:6" ht="15.6">
      <c r="A67" s="24" t="s">
        <v>40</v>
      </c>
      <c r="B67" s="11">
        <f>B22/(B16*3)</f>
        <v>59394.681897077469</v>
      </c>
      <c r="C67" s="11">
        <f>C22/(C16)</f>
        <v>138606.75518983268</v>
      </c>
      <c r="D67" s="11">
        <f t="shared" ref="D67:E67" si="17">D22/(D16*3)</f>
        <v>130999.99999999999</v>
      </c>
      <c r="E67" s="11">
        <f t="shared" si="17"/>
        <v>601113.05769230775</v>
      </c>
      <c r="F67" s="36">
        <f>F22/(F16*1)</f>
        <v>22854.588577034883</v>
      </c>
    </row>
    <row r="68" spans="1:6" ht="15.6">
      <c r="A68" s="24" t="s">
        <v>41</v>
      </c>
      <c r="B68" s="11">
        <f t="shared" ref="B68" si="18">B23/(B17*3)</f>
        <v>47191.036260185087</v>
      </c>
      <c r="C68" s="11">
        <f>C23/(C17)</f>
        <v>91475.853579356262</v>
      </c>
      <c r="D68" s="11">
        <f t="shared" ref="D68:E68" si="19">D23/(D17*3)</f>
        <v>110673.48271289657</v>
      </c>
      <c r="E68" s="11">
        <f t="shared" si="19"/>
        <v>513554.96784934495</v>
      </c>
      <c r="F68" s="11" t="s">
        <v>36</v>
      </c>
    </row>
    <row r="69" spans="1:6" ht="15.6">
      <c r="A69" s="24" t="s">
        <v>28</v>
      </c>
      <c r="B69" s="11">
        <f>(B68/B67)*B51</f>
        <v>70.226860353336917</v>
      </c>
      <c r="C69" s="11">
        <f t="shared" ref="C69" si="20">(C68/C67)*C51</f>
        <v>63.517770630276551</v>
      </c>
      <c r="D69" s="11">
        <f t="shared" ref="D69:E69" si="21">(D68/D67)*D51</f>
        <v>80.934739812506052</v>
      </c>
      <c r="E69" s="11">
        <f t="shared" si="21"/>
        <v>68.906035082531432</v>
      </c>
      <c r="F69" s="11" t="s">
        <v>36</v>
      </c>
    </row>
    <row r="70" spans="1:6" ht="15.6">
      <c r="A70" s="24" t="s">
        <v>42</v>
      </c>
      <c r="B70" s="11">
        <f t="shared" ref="B70:B71" si="22">B22/B16</f>
        <v>178184.04569123243</v>
      </c>
      <c r="C70" s="11">
        <f>(C22/C16)*3</f>
        <v>415820.26556949806</v>
      </c>
      <c r="D70" s="11">
        <f t="shared" ref="D70:F70" si="23">D22/D16</f>
        <v>392999.99999999994</v>
      </c>
      <c r="E70" s="11">
        <f t="shared" si="23"/>
        <v>1803339.173076923</v>
      </c>
      <c r="F70" s="11">
        <f t="shared" si="23"/>
        <v>22854.588577034883</v>
      </c>
    </row>
    <row r="71" spans="1:6" ht="15.6">
      <c r="A71" s="24" t="s">
        <v>43</v>
      </c>
      <c r="B71" s="11">
        <f t="shared" si="22"/>
        <v>141573.10878055525</v>
      </c>
      <c r="C71" s="11">
        <f>(C23/C17)*3</f>
        <v>274427.56073806877</v>
      </c>
      <c r="D71" s="11">
        <f t="shared" ref="D71:E71" si="24">D23/D17</f>
        <v>332020.44813868974</v>
      </c>
      <c r="E71" s="11">
        <f t="shared" si="24"/>
        <v>1540664.9035480348</v>
      </c>
      <c r="F71" s="11" t="s">
        <v>36</v>
      </c>
    </row>
    <row r="72" spans="1:6" ht="15.6">
      <c r="A72" s="24"/>
      <c r="B72" s="11"/>
      <c r="C72" s="11"/>
      <c r="D72" s="11"/>
      <c r="E72" s="11"/>
    </row>
    <row r="73" spans="1:6" ht="15.6">
      <c r="A73" s="23" t="s">
        <v>29</v>
      </c>
      <c r="B73" s="11"/>
      <c r="C73" s="11"/>
      <c r="D73" s="11"/>
      <c r="E73" s="11"/>
    </row>
    <row r="74" spans="1:6" ht="15.6">
      <c r="A74" s="24" t="s">
        <v>30</v>
      </c>
      <c r="B74" s="11">
        <f>(B29/B28)*100</f>
        <v>91.84991484815572</v>
      </c>
      <c r="C74" s="11"/>
      <c r="D74" s="11"/>
      <c r="E74" s="11"/>
    </row>
    <row r="75" spans="1:6" ht="15.6">
      <c r="A75" s="24" t="s">
        <v>31</v>
      </c>
      <c r="B75" s="11">
        <f>(B23/B29)*100</f>
        <v>85.212446699705225</v>
      </c>
      <c r="C75" s="11"/>
      <c r="D75" s="11"/>
      <c r="E75" s="11"/>
    </row>
    <row r="76" spans="1:6" ht="16.2" thickBot="1">
      <c r="A76" s="33"/>
      <c r="B76" s="17"/>
      <c r="C76" s="17"/>
      <c r="D76" s="17"/>
      <c r="E76" s="17"/>
      <c r="F76" s="17"/>
    </row>
    <row r="77" spans="1:6" s="27" customFormat="1" ht="16.5" customHeight="1" thickTop="1">
      <c r="A77" s="50" t="s">
        <v>84</v>
      </c>
      <c r="B77" s="50"/>
      <c r="C77" s="50"/>
      <c r="D77" s="50"/>
      <c r="E77" s="50"/>
    </row>
    <row r="78" spans="1:6" customFormat="1">
      <c r="A78" s="28"/>
    </row>
    <row r="79" spans="1:6" customFormat="1" ht="15.6">
      <c r="A79" s="23" t="s">
        <v>85</v>
      </c>
      <c r="B79" s="24"/>
      <c r="C79" s="24"/>
      <c r="D79" s="24"/>
      <c r="E79" s="24"/>
      <c r="F79" s="24"/>
    </row>
    <row r="80" spans="1:6" customFormat="1" ht="19.95" customHeight="1">
      <c r="A80" s="43" t="s">
        <v>86</v>
      </c>
      <c r="B80" s="43"/>
      <c r="C80" s="43"/>
      <c r="D80" s="43"/>
      <c r="E80" s="43"/>
      <c r="F80" s="43"/>
    </row>
    <row r="81" spans="1:6" customFormat="1" ht="43.05" customHeight="1">
      <c r="A81" s="51" t="s">
        <v>97</v>
      </c>
      <c r="B81" s="51"/>
      <c r="C81" s="51"/>
      <c r="D81" s="51"/>
      <c r="E81" s="51"/>
      <c r="F81" s="51"/>
    </row>
    <row r="82" spans="1:6" customFormat="1" ht="52.05" customHeight="1">
      <c r="A82" s="44" t="s">
        <v>88</v>
      </c>
      <c r="B82" s="44"/>
      <c r="C82" s="44"/>
      <c r="D82" s="44"/>
      <c r="E82" s="44"/>
      <c r="F82" s="44"/>
    </row>
    <row r="83" spans="1:6" customFormat="1"/>
    <row r="84" spans="1:6" customFormat="1"/>
    <row r="85" spans="1:6" customFormat="1"/>
  </sheetData>
  <mergeCells count="7">
    <mergeCell ref="A80:F80"/>
    <mergeCell ref="A81:F81"/>
    <mergeCell ref="A82:F82"/>
    <mergeCell ref="A9:A10"/>
    <mergeCell ref="B9:B10"/>
    <mergeCell ref="A77:E77"/>
    <mergeCell ref="C9:F9"/>
  </mergeCells>
  <pageMargins left="0.7" right="0.7" top="0.75" bottom="0.75" header="0.3" footer="0.3"/>
  <pageSetup orientation="portrait" r:id="rId1"/>
  <ignoredErrors>
    <ignoredError sqref="C67:C7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8:F82"/>
  <sheetViews>
    <sheetView showGridLines="0" zoomScale="80" zoomScaleNormal="80" workbookViewId="0">
      <pane ySplit="10" topLeftCell="A11" activePane="bottomLeft" state="frozen"/>
      <selection pane="bottomLeft" activeCell="A9" sqref="A9:A10"/>
    </sheetView>
  </sheetViews>
  <sheetFormatPr baseColWidth="10" defaultColWidth="11.44140625" defaultRowHeight="14.4"/>
  <cols>
    <col min="1" max="1" width="64.21875" style="1" customWidth="1"/>
    <col min="2" max="6" width="24.77734375" style="1" customWidth="1"/>
    <col min="7" max="16384" width="11.44140625" style="1"/>
  </cols>
  <sheetData>
    <row r="8" spans="1:6" ht="17.55" customHeight="1"/>
    <row r="9" spans="1:6" s="27" customFormat="1" ht="15.6">
      <c r="A9" s="52" t="s">
        <v>0</v>
      </c>
      <c r="B9" s="54" t="s">
        <v>1</v>
      </c>
      <c r="C9" s="56" t="s">
        <v>2</v>
      </c>
      <c r="D9" s="56"/>
      <c r="E9" s="56"/>
      <c r="F9" s="56"/>
    </row>
    <row r="10" spans="1:6" s="32" customFormat="1" ht="63" thickBot="1">
      <c r="A10" s="53"/>
      <c r="B10" s="55"/>
      <c r="C10" s="29" t="s">
        <v>39</v>
      </c>
      <c r="D10" s="29" t="s">
        <v>48</v>
      </c>
      <c r="E10" s="29" t="s">
        <v>89</v>
      </c>
      <c r="F10" s="29" t="s">
        <v>90</v>
      </c>
    </row>
    <row r="11" spans="1:6" ht="16.2" thickTop="1">
      <c r="A11" s="7"/>
      <c r="B11" s="7"/>
      <c r="C11" s="7"/>
      <c r="D11" s="7"/>
      <c r="E11" s="7"/>
    </row>
    <row r="12" spans="1:6" ht="15.6">
      <c r="A12" s="23" t="s">
        <v>3</v>
      </c>
      <c r="B12" s="7"/>
      <c r="C12" s="7"/>
      <c r="D12" s="7"/>
      <c r="E12" s="7"/>
    </row>
    <row r="13" spans="1:6" ht="15.6">
      <c r="A13" s="24"/>
      <c r="B13" s="7"/>
      <c r="C13" s="7"/>
      <c r="D13" s="7"/>
      <c r="E13" s="7"/>
    </row>
    <row r="14" spans="1:6" ht="15.6">
      <c r="A14" s="23" t="s">
        <v>4</v>
      </c>
      <c r="B14" s="7"/>
      <c r="C14" s="7"/>
      <c r="D14" s="7"/>
      <c r="E14" s="7"/>
    </row>
    <row r="15" spans="1:6" ht="15.6">
      <c r="A15" s="25" t="s">
        <v>57</v>
      </c>
      <c r="B15" s="9">
        <f>+SUM(C15:F15)</f>
        <v>45511.666666666664</v>
      </c>
      <c r="C15" s="9">
        <f>(+'I Trimestre'!C15+'II trimestre'!C15)</f>
        <v>44227</v>
      </c>
      <c r="D15" s="9">
        <f>(+'I Trimestre'!D15+'II trimestre'!D15)/2</f>
        <v>1284.6666666666665</v>
      </c>
      <c r="E15" s="9">
        <f>(+'I Trimestre'!E15+'II trimestre'!E15)/2</f>
        <v>0</v>
      </c>
      <c r="F15" s="9">
        <f>(+'I Trimestre'!F15+'II trimestre'!F15)/2</f>
        <v>0</v>
      </c>
    </row>
    <row r="16" spans="1:6" ht="15.6">
      <c r="A16" s="25" t="s">
        <v>98</v>
      </c>
      <c r="B16" s="9">
        <f t="shared" ref="B16:B18" si="0">+SUM(C16:F16)</f>
        <v>44354.639958536893</v>
      </c>
      <c r="C16" s="9">
        <f>(+'I Trimestre'!C16+'II trimestre'!C16)</f>
        <v>37296</v>
      </c>
      <c r="D16" s="9">
        <f>(+'I Trimestre'!D16+'II trimestre'!D16)/2</f>
        <v>3267.6399585368958</v>
      </c>
      <c r="E16" s="9">
        <f>(+'II trimestre'!E16)</f>
        <v>351</v>
      </c>
      <c r="F16" s="9">
        <f>+'II trimestre'!F16</f>
        <v>3440</v>
      </c>
    </row>
    <row r="17" spans="1:6" ht="15.6">
      <c r="A17" s="25" t="s">
        <v>99</v>
      </c>
      <c r="B17" s="9">
        <f t="shared" si="0"/>
        <v>41081</v>
      </c>
      <c r="C17" s="9">
        <f>(+'I Trimestre'!C17+'II trimestre'!C17)</f>
        <v>37434</v>
      </c>
      <c r="D17" s="9">
        <f>(+'I Trimestre'!D17+'II trimestre'!D17)/2</f>
        <v>3333.833333333333</v>
      </c>
      <c r="E17" s="9">
        <f>(+'I Trimestre'!E17+'II trimestre'!E17)/2</f>
        <v>313.16666666666663</v>
      </c>
      <c r="F17" s="9">
        <f>(+'I Trimestre'!F17+'II trimestre'!F17)/2</f>
        <v>0</v>
      </c>
    </row>
    <row r="18" spans="1:6" ht="15.6">
      <c r="A18" s="25" t="s">
        <v>79</v>
      </c>
      <c r="B18" s="9">
        <f t="shared" si="0"/>
        <v>81650.639958536893</v>
      </c>
      <c r="C18" s="9">
        <f>+'II trimestre'!C18</f>
        <v>74592</v>
      </c>
      <c r="D18" s="9">
        <f>+'II trimestre'!D18</f>
        <v>3267.6399585368958</v>
      </c>
      <c r="E18" s="9">
        <f>+'II trimestre'!E18</f>
        <v>351</v>
      </c>
      <c r="F18" s="9">
        <f>+'II trimestre'!F18</f>
        <v>3440</v>
      </c>
    </row>
    <row r="19" spans="1:6" ht="15.6">
      <c r="A19" s="24"/>
      <c r="B19" s="9"/>
      <c r="C19" s="9"/>
      <c r="D19" s="9"/>
      <c r="E19" s="9"/>
    </row>
    <row r="20" spans="1:6" ht="15.6">
      <c r="A20" s="26" t="s">
        <v>5</v>
      </c>
      <c r="B20" s="9"/>
      <c r="C20" s="9"/>
      <c r="D20" s="9"/>
      <c r="E20" s="9"/>
    </row>
    <row r="21" spans="1:6" ht="15.6">
      <c r="A21" s="25" t="s">
        <v>57</v>
      </c>
      <c r="B21" s="9">
        <f>SUM(C21:F21)</f>
        <v>5902689781.5499992</v>
      </c>
      <c r="C21" s="9">
        <f>+'I Trimestre'!C21+'II trimestre'!C21</f>
        <v>4970737024.9699993</v>
      </c>
      <c r="D21" s="9">
        <f>+'I Trimestre'!D21+'II trimestre'!D21</f>
        <v>930067064.43000007</v>
      </c>
      <c r="E21" s="9">
        <f>+'I Trimestre'!E21+'II trimestre'!E21</f>
        <v>0</v>
      </c>
      <c r="F21" s="9">
        <f>+'I Trimestre'!F21+'II trimestre'!F21</f>
        <v>1885692.1500000001</v>
      </c>
    </row>
    <row r="22" spans="1:6" ht="15.6">
      <c r="A22" s="25" t="s">
        <v>98</v>
      </c>
      <c r="B22" s="9">
        <f t="shared" ref="B22:B25" si="1">SUM(C22:F22)</f>
        <v>9082406433.1749992</v>
      </c>
      <c r="C22" s="9">
        <f>+'I Trimestre'!C22+'II trimestre'!C22</f>
        <v>5169477541.5599995</v>
      </c>
      <c r="D22" s="9">
        <f>+'I Trimestre'!D22+'II trimestre'!D22</f>
        <v>2568365007.4099998</v>
      </c>
      <c r="E22" s="9">
        <f>+'I Trimestre'!E22+'II trimestre'!E22</f>
        <v>1265944099.5</v>
      </c>
      <c r="F22" s="9">
        <f>+'I Trimestre'!F22+'II trimestre'!F22</f>
        <v>78619784.704999998</v>
      </c>
    </row>
    <row r="23" spans="1:6" ht="15.6">
      <c r="A23" s="25" t="s">
        <v>99</v>
      </c>
      <c r="B23" s="9">
        <f t="shared" si="1"/>
        <v>8103841531.9399996</v>
      </c>
      <c r="C23" s="9">
        <f>+'I Trimestre'!C23+'II trimestre'!C23</f>
        <v>4616831647.2699995</v>
      </c>
      <c r="D23" s="9">
        <f>+'I Trimestre'!D23+'II trimestre'!D23</f>
        <v>2416199727.5</v>
      </c>
      <c r="E23" s="9">
        <f>+'I Trimestre'!E23+'II trimestre'!E23</f>
        <v>1061011259.3699999</v>
      </c>
      <c r="F23" s="9">
        <f>+'I Trimestre'!F23+'II trimestre'!F23</f>
        <v>9798897.8000000007</v>
      </c>
    </row>
    <row r="24" spans="1:6" ht="15.6">
      <c r="A24" s="25" t="s">
        <v>79</v>
      </c>
      <c r="B24" s="9">
        <f t="shared" si="1"/>
        <v>16771531625.75</v>
      </c>
      <c r="C24" s="9">
        <f>+'II trimestre'!C24</f>
        <v>11030265854.059999</v>
      </c>
      <c r="D24" s="9">
        <f>+'II trimestre'!D24</f>
        <v>2568365007.4099998</v>
      </c>
      <c r="E24" s="9">
        <f>+'II trimestre'!E24</f>
        <v>2701182056.0500002</v>
      </c>
      <c r="F24" s="9">
        <f>+'II trimestre'!F24</f>
        <v>471718708.23000002</v>
      </c>
    </row>
    <row r="25" spans="1:6" ht="15.6">
      <c r="A25" s="25" t="s">
        <v>100</v>
      </c>
      <c r="B25" s="9">
        <f t="shared" si="1"/>
        <v>8103841531.9399996</v>
      </c>
      <c r="C25" s="9">
        <f t="shared" ref="C25:E25" si="2">C23</f>
        <v>4616831647.2699995</v>
      </c>
      <c r="D25" s="9">
        <f t="shared" si="2"/>
        <v>2416199727.5</v>
      </c>
      <c r="E25" s="9">
        <f t="shared" si="2"/>
        <v>1061011259.3699999</v>
      </c>
      <c r="F25" s="9">
        <f t="shared" ref="F25" si="3">F23</f>
        <v>9798897.8000000007</v>
      </c>
    </row>
    <row r="26" spans="1:6" ht="15.6">
      <c r="A26" s="24"/>
      <c r="B26" s="9"/>
      <c r="C26" s="9"/>
      <c r="D26" s="9"/>
      <c r="E26" s="9"/>
    </row>
    <row r="27" spans="1:6" ht="15.6">
      <c r="A27" s="26" t="s">
        <v>6</v>
      </c>
      <c r="B27" s="9"/>
      <c r="C27" s="9"/>
      <c r="D27" s="9"/>
      <c r="E27" s="9"/>
    </row>
    <row r="28" spans="1:6" ht="15.6">
      <c r="A28" s="25" t="s">
        <v>98</v>
      </c>
      <c r="B28" s="9">
        <f>'I Trimestre'!B28+'II trimestre'!B28</f>
        <v>9082406433.1749992</v>
      </c>
      <c r="C28" s="9"/>
      <c r="D28" s="9"/>
      <c r="E28" s="9"/>
    </row>
    <row r="29" spans="1:6" ht="15.6">
      <c r="A29" s="25" t="s">
        <v>99</v>
      </c>
      <c r="B29" s="9">
        <f>'I Trimestre'!B29+'II trimestre'!B29</f>
        <v>8414394780.4099998</v>
      </c>
      <c r="C29" s="9"/>
      <c r="D29" s="9"/>
      <c r="E29" s="9"/>
    </row>
    <row r="30" spans="1:6" ht="15.6">
      <c r="A30" s="24"/>
      <c r="B30" s="15"/>
      <c r="C30" s="15"/>
      <c r="D30" s="15"/>
      <c r="E30" s="15"/>
    </row>
    <row r="31" spans="1:6" ht="15.6">
      <c r="A31" s="23" t="s">
        <v>7</v>
      </c>
      <c r="B31" s="15"/>
      <c r="C31" s="15"/>
      <c r="D31" s="15"/>
      <c r="E31" s="15"/>
    </row>
    <row r="32" spans="1:6" ht="15.6">
      <c r="A32" s="25" t="s">
        <v>58</v>
      </c>
      <c r="B32" s="34">
        <v>1.0788</v>
      </c>
      <c r="C32" s="34">
        <v>1.0788</v>
      </c>
      <c r="D32" s="34">
        <v>1.0788</v>
      </c>
      <c r="E32" s="34">
        <v>1.0788</v>
      </c>
      <c r="F32" s="34">
        <v>1.0788</v>
      </c>
    </row>
    <row r="33" spans="1:6" ht="15.6">
      <c r="A33" s="25" t="s">
        <v>101</v>
      </c>
      <c r="B33" s="34">
        <v>1.121</v>
      </c>
      <c r="C33" s="34">
        <v>1.121</v>
      </c>
      <c r="D33" s="34">
        <v>1.121</v>
      </c>
      <c r="E33" s="34">
        <v>1.121</v>
      </c>
      <c r="F33" s="34">
        <v>1.121</v>
      </c>
    </row>
    <row r="34" spans="1:6" ht="15.6">
      <c r="A34" s="25" t="s">
        <v>8</v>
      </c>
      <c r="B34" s="35" t="s">
        <v>36</v>
      </c>
      <c r="C34" s="35" t="s">
        <v>36</v>
      </c>
      <c r="D34" s="35" t="s">
        <v>36</v>
      </c>
      <c r="E34" s="35" t="s">
        <v>36</v>
      </c>
      <c r="F34" s="35" t="s">
        <v>36</v>
      </c>
    </row>
    <row r="35" spans="1:6" ht="15.6">
      <c r="A35" s="24"/>
      <c r="B35" s="15"/>
      <c r="C35" s="15"/>
      <c r="D35" s="15"/>
      <c r="E35" s="15"/>
    </row>
    <row r="36" spans="1:6" ht="15.6">
      <c r="A36" s="23" t="s">
        <v>9</v>
      </c>
      <c r="B36" s="15"/>
      <c r="C36" s="15"/>
      <c r="D36" s="15"/>
      <c r="E36" s="15"/>
    </row>
    <row r="37" spans="1:6" ht="15.6">
      <c r="A37" s="25" t="s">
        <v>59</v>
      </c>
      <c r="B37" s="16">
        <f>B21/B32</f>
        <v>5471532982.5268812</v>
      </c>
      <c r="C37" s="16">
        <f t="shared" ref="C37:F37" si="4">C21/C32</f>
        <v>4607653897.8216534</v>
      </c>
      <c r="D37" s="16">
        <f t="shared" si="4"/>
        <v>862131131.28476095</v>
      </c>
      <c r="E37" s="16">
        <f t="shared" si="4"/>
        <v>0</v>
      </c>
      <c r="F37" s="16">
        <f t="shared" si="4"/>
        <v>1747953.420467186</v>
      </c>
    </row>
    <row r="38" spans="1:6" ht="15.6">
      <c r="A38" s="25" t="s">
        <v>102</v>
      </c>
      <c r="B38" s="16">
        <f>B23/B33</f>
        <v>7229118226.5298834</v>
      </c>
      <c r="C38" s="16">
        <f t="shared" ref="C38:F38" si="5">C23/C33</f>
        <v>4118493886.949152</v>
      </c>
      <c r="D38" s="16">
        <f t="shared" si="5"/>
        <v>2155396723.9072256</v>
      </c>
      <c r="E38" s="16">
        <f t="shared" si="5"/>
        <v>946486404.43354142</v>
      </c>
      <c r="F38" s="16">
        <f t="shared" si="5"/>
        <v>8741211.2399643175</v>
      </c>
    </row>
    <row r="39" spans="1:6" ht="15.6">
      <c r="A39" s="25" t="s">
        <v>60</v>
      </c>
      <c r="B39" s="9">
        <f>B37/B15</f>
        <v>120222.64582400589</v>
      </c>
      <c r="C39" s="9">
        <f t="shared" ref="C39:D39" si="6">C37/C15</f>
        <v>104181.92275808111</v>
      </c>
      <c r="D39" s="9">
        <f t="shared" si="6"/>
        <v>671093.25216769148</v>
      </c>
      <c r="E39" s="9" t="s">
        <v>36</v>
      </c>
      <c r="F39" s="9" t="s">
        <v>36</v>
      </c>
    </row>
    <row r="40" spans="1:6" ht="15.6">
      <c r="A40" s="25" t="s">
        <v>103</v>
      </c>
      <c r="B40" s="9">
        <f>B38/B17</f>
        <v>175972.30414376192</v>
      </c>
      <c r="C40" s="9">
        <f t="shared" ref="C40:E40" si="7">C38/C17</f>
        <v>110020.13909678774</v>
      </c>
      <c r="D40" s="9">
        <f t="shared" si="7"/>
        <v>646522.03886633774</v>
      </c>
      <c r="E40" s="9">
        <f t="shared" si="7"/>
        <v>3022308.9018633575</v>
      </c>
      <c r="F40" s="9" t="s">
        <v>36</v>
      </c>
    </row>
    <row r="41" spans="1:6" ht="15.6">
      <c r="A41" s="24"/>
      <c r="B41" s="15"/>
      <c r="C41" s="15"/>
      <c r="D41" s="15"/>
      <c r="E41" s="15"/>
    </row>
    <row r="42" spans="1:6" ht="15.6">
      <c r="A42" s="23" t="s">
        <v>10</v>
      </c>
      <c r="B42" s="15"/>
      <c r="C42" s="15"/>
      <c r="D42" s="15"/>
      <c r="E42" s="15"/>
    </row>
    <row r="43" spans="1:6" ht="15.6">
      <c r="A43" s="24"/>
      <c r="B43" s="15"/>
      <c r="C43" s="15"/>
      <c r="D43" s="15"/>
      <c r="E43" s="15"/>
    </row>
    <row r="44" spans="1:6" ht="15.6">
      <c r="A44" s="23" t="s">
        <v>11</v>
      </c>
      <c r="B44" s="15"/>
      <c r="C44" s="15"/>
      <c r="D44" s="15"/>
      <c r="E44" s="15"/>
    </row>
    <row r="45" spans="1:6" ht="15.6">
      <c r="A45" s="24" t="s">
        <v>12</v>
      </c>
      <c r="B45" s="21" t="s">
        <v>35</v>
      </c>
      <c r="C45" s="21" t="s">
        <v>35</v>
      </c>
      <c r="D45" s="21" t="s">
        <v>35</v>
      </c>
      <c r="E45" s="21" t="s">
        <v>35</v>
      </c>
      <c r="F45" s="21" t="s">
        <v>35</v>
      </c>
    </row>
    <row r="46" spans="1:6" ht="15.6">
      <c r="A46" s="24" t="s">
        <v>13</v>
      </c>
      <c r="B46" s="21" t="s">
        <v>35</v>
      </c>
      <c r="C46" s="21" t="s">
        <v>35</v>
      </c>
      <c r="D46" s="21" t="s">
        <v>35</v>
      </c>
      <c r="E46" s="21" t="s">
        <v>35</v>
      </c>
      <c r="F46" s="21" t="s">
        <v>35</v>
      </c>
    </row>
    <row r="47" spans="1:6" ht="15.6">
      <c r="A47" s="24"/>
      <c r="B47" s="15"/>
      <c r="C47" s="15"/>
      <c r="D47" s="15"/>
      <c r="E47" s="15"/>
      <c r="F47" s="15"/>
    </row>
    <row r="48" spans="1:6" ht="15.6">
      <c r="A48" s="23" t="s">
        <v>14</v>
      </c>
      <c r="B48" s="15"/>
      <c r="C48" s="15"/>
      <c r="D48" s="15"/>
      <c r="E48" s="15"/>
      <c r="F48" s="15"/>
    </row>
    <row r="49" spans="1:6" ht="15.6">
      <c r="A49" s="24" t="s">
        <v>15</v>
      </c>
      <c r="B49" s="11">
        <f>B17/B16*100</f>
        <v>92.619396839660695</v>
      </c>
      <c r="C49" s="11">
        <f t="shared" ref="C49:F49" si="8">C17/C16*100</f>
        <v>100.37001287001286</v>
      </c>
      <c r="D49" s="11">
        <f t="shared" si="8"/>
        <v>102.02572424246139</v>
      </c>
      <c r="E49" s="11">
        <f t="shared" si="8"/>
        <v>89.221272554605875</v>
      </c>
      <c r="F49" s="11">
        <f t="shared" si="8"/>
        <v>0</v>
      </c>
    </row>
    <row r="50" spans="1:6" ht="15.6">
      <c r="A50" s="24" t="s">
        <v>16</v>
      </c>
      <c r="B50" s="11">
        <f>B23/B22*100</f>
        <v>89.225708974434042</v>
      </c>
      <c r="C50" s="11">
        <f t="shared" ref="C50:F50" si="9">C23/C22*100</f>
        <v>89.309443945795195</v>
      </c>
      <c r="D50" s="11">
        <f t="shared" si="9"/>
        <v>94.075402854695994</v>
      </c>
      <c r="E50" s="11">
        <f t="shared" si="9"/>
        <v>83.811857078765101</v>
      </c>
      <c r="F50" s="11">
        <f t="shared" si="9"/>
        <v>12.463653820431816</v>
      </c>
    </row>
    <row r="51" spans="1:6" ht="15.6">
      <c r="A51" s="24" t="s">
        <v>17</v>
      </c>
      <c r="B51" s="11">
        <f>AVERAGE(B49:B50)</f>
        <v>90.922552907047361</v>
      </c>
      <c r="C51" s="11">
        <f t="shared" ref="C51:F51" si="10">AVERAGE(C49:C50)</f>
        <v>94.839728407904033</v>
      </c>
      <c r="D51" s="11">
        <f t="shared" si="10"/>
        <v>98.050563548578694</v>
      </c>
      <c r="E51" s="11">
        <f t="shared" si="10"/>
        <v>86.516564816685488</v>
      </c>
      <c r="F51" s="11">
        <f t="shared" si="10"/>
        <v>6.2318269102159078</v>
      </c>
    </row>
    <row r="52" spans="1:6" ht="15.6">
      <c r="A52" s="24"/>
      <c r="B52" s="11"/>
      <c r="C52" s="11"/>
      <c r="D52" s="11"/>
      <c r="E52" s="11"/>
      <c r="F52" s="11"/>
    </row>
    <row r="53" spans="1:6" ht="15.6">
      <c r="A53" s="23" t="s">
        <v>18</v>
      </c>
      <c r="B53" s="11"/>
      <c r="C53" s="11"/>
      <c r="D53" s="11"/>
      <c r="E53" s="11"/>
      <c r="F53" s="11"/>
    </row>
    <row r="54" spans="1:6" ht="15.6">
      <c r="A54" s="24" t="s">
        <v>19</v>
      </c>
      <c r="B54" s="11">
        <f>B17/(B18)*100</f>
        <v>50.313139028501666</v>
      </c>
      <c r="C54" s="11">
        <f t="shared" ref="C54:F54" si="11">C17/(C18)*100</f>
        <v>50.185006435006429</v>
      </c>
      <c r="D54" s="11">
        <f t="shared" si="11"/>
        <v>102.02572424246139</v>
      </c>
      <c r="E54" s="11">
        <f t="shared" si="11"/>
        <v>89.221272554605875</v>
      </c>
      <c r="F54" s="11">
        <f t="shared" si="11"/>
        <v>0</v>
      </c>
    </row>
    <row r="55" spans="1:6" ht="15.6">
      <c r="A55" s="24" t="s">
        <v>20</v>
      </c>
      <c r="B55" s="11">
        <f>B23/B24*100</f>
        <v>48.319030800370363</v>
      </c>
      <c r="C55" s="11">
        <f t="shared" ref="C55:F55" si="12">C23/C24*100</f>
        <v>41.856032378137513</v>
      </c>
      <c r="D55" s="11">
        <f t="shared" si="12"/>
        <v>94.075402854695994</v>
      </c>
      <c r="E55" s="11">
        <f t="shared" si="12"/>
        <v>39.279516795011617</v>
      </c>
      <c r="F55" s="11">
        <f t="shared" si="12"/>
        <v>2.0772756367386358</v>
      </c>
    </row>
    <row r="56" spans="1:6" ht="15.6">
      <c r="A56" s="24" t="s">
        <v>21</v>
      </c>
      <c r="B56" s="11">
        <f>(B54+B55)/2</f>
        <v>49.316084914436018</v>
      </c>
      <c r="C56" s="11">
        <f t="shared" ref="C56:F56" si="13">(C54+C55)/2</f>
        <v>46.020519406571971</v>
      </c>
      <c r="D56" s="11">
        <f t="shared" si="13"/>
        <v>98.050563548578694</v>
      </c>
      <c r="E56" s="11">
        <f t="shared" si="13"/>
        <v>64.250394674808746</v>
      </c>
      <c r="F56" s="11">
        <f t="shared" si="13"/>
        <v>1.0386378183693179</v>
      </c>
    </row>
    <row r="57" spans="1:6" ht="15.6">
      <c r="A57" s="24"/>
      <c r="B57" s="11"/>
      <c r="C57" s="11"/>
      <c r="D57" s="11"/>
      <c r="E57" s="11"/>
    </row>
    <row r="58" spans="1:6" ht="15.6">
      <c r="A58" s="23" t="s">
        <v>32</v>
      </c>
      <c r="B58" s="11"/>
      <c r="C58" s="11"/>
      <c r="D58" s="11"/>
      <c r="E58" s="11"/>
    </row>
    <row r="59" spans="1:6" ht="15.6">
      <c r="A59" s="24" t="s">
        <v>22</v>
      </c>
      <c r="B59" s="11">
        <f t="shared" ref="B59" si="14">B25/B23*100</f>
        <v>100</v>
      </c>
      <c r="C59" s="11"/>
      <c r="D59" s="11"/>
      <c r="E59" s="11"/>
    </row>
    <row r="60" spans="1:6" ht="15.6">
      <c r="A60" s="24"/>
      <c r="B60" s="11"/>
      <c r="C60" s="11"/>
      <c r="D60" s="11"/>
      <c r="E60" s="11"/>
    </row>
    <row r="61" spans="1:6" ht="15.6">
      <c r="A61" s="23" t="s">
        <v>23</v>
      </c>
      <c r="B61" s="11"/>
      <c r="C61" s="11"/>
      <c r="D61" s="11"/>
      <c r="E61" s="11"/>
    </row>
    <row r="62" spans="1:6" ht="15.6">
      <c r="A62" s="24" t="s">
        <v>24</v>
      </c>
      <c r="B62" s="11">
        <f>((B17/B15)-1)*100</f>
        <v>-9.7352327242099079</v>
      </c>
      <c r="C62" s="11">
        <f t="shared" ref="C62:D62" si="15">((C17/C15)-1)*100</f>
        <v>-15.35939584416759</v>
      </c>
      <c r="D62" s="11">
        <f t="shared" si="15"/>
        <v>159.5096004151531</v>
      </c>
      <c r="E62" s="9" t="s">
        <v>36</v>
      </c>
      <c r="F62" s="9" t="s">
        <v>36</v>
      </c>
    </row>
    <row r="63" spans="1:6" ht="15.6">
      <c r="A63" s="24" t="s">
        <v>25</v>
      </c>
      <c r="B63" s="11">
        <f>((B38/B37)-1)*100</f>
        <v>32.122354916177585</v>
      </c>
      <c r="C63" s="11">
        <f t="shared" ref="C63:F63" si="16">((C38/C37)-1)*100</f>
        <v>-10.616249000467681</v>
      </c>
      <c r="D63" s="11">
        <f t="shared" si="16"/>
        <v>150.00799132438482</v>
      </c>
      <c r="E63" s="9" t="s">
        <v>36</v>
      </c>
      <c r="F63" s="11">
        <f t="shared" si="16"/>
        <v>400.08261877069941</v>
      </c>
    </row>
    <row r="64" spans="1:6" ht="15.6">
      <c r="A64" s="24" t="s">
        <v>26</v>
      </c>
      <c r="B64" s="11">
        <f>((B40/B39)-1)*100</f>
        <v>46.372010811813325</v>
      </c>
      <c r="C64" s="11">
        <f t="shared" ref="C64:D64" si="17">((C40/C39)-1)*100</f>
        <v>5.6038669513361228</v>
      </c>
      <c r="D64" s="11">
        <f t="shared" si="17"/>
        <v>-3.6613709379414106</v>
      </c>
      <c r="E64" s="9" t="s">
        <v>36</v>
      </c>
      <c r="F64" s="9" t="s">
        <v>36</v>
      </c>
    </row>
    <row r="65" spans="1:6" ht="15.6">
      <c r="A65" s="24"/>
      <c r="B65" s="11"/>
      <c r="C65" s="11"/>
      <c r="D65" s="11"/>
      <c r="E65" s="11"/>
      <c r="F65" s="11"/>
    </row>
    <row r="66" spans="1:6" ht="15.6">
      <c r="A66" s="23" t="s">
        <v>27</v>
      </c>
      <c r="B66" s="11"/>
      <c r="C66" s="11"/>
      <c r="D66" s="11"/>
      <c r="E66" s="11"/>
      <c r="F66" s="11"/>
    </row>
    <row r="67" spans="1:6" ht="15.6">
      <c r="A67" s="24" t="s">
        <v>40</v>
      </c>
      <c r="B67" s="11">
        <f>B22/(B16*6)</f>
        <v>34127.983159016032</v>
      </c>
      <c r="C67" s="11">
        <f>C22/(C16)</f>
        <v>138606.75518983268</v>
      </c>
      <c r="D67" s="11">
        <f t="shared" ref="D67:E67" si="18">D22/(D16*6)</f>
        <v>130999.99999999999</v>
      </c>
      <c r="E67" s="11">
        <f t="shared" si="18"/>
        <v>601113.05769230775</v>
      </c>
      <c r="F67" s="11">
        <f>F22/(F16*1)</f>
        <v>22854.588577034883</v>
      </c>
    </row>
    <row r="68" spans="1:6" ht="15.6">
      <c r="A68" s="24" t="s">
        <v>41</v>
      </c>
      <c r="B68" s="11">
        <f>B23/(B17*6)</f>
        <v>32877.492157526183</v>
      </c>
      <c r="C68" s="11">
        <f>C23/(C17)</f>
        <v>123332.57592749906</v>
      </c>
      <c r="D68" s="11">
        <f t="shared" ref="D68:E68" si="19">D23/(D17*6)</f>
        <v>120791.86759486077</v>
      </c>
      <c r="E68" s="11">
        <f t="shared" si="19"/>
        <v>564668.04649813729</v>
      </c>
      <c r="F68" s="9" t="s">
        <v>36</v>
      </c>
    </row>
    <row r="69" spans="1:6" ht="15.6">
      <c r="A69" s="24" t="s">
        <v>28</v>
      </c>
      <c r="B69" s="11">
        <f>(B68/B67)*B51</f>
        <v>87.591039476763967</v>
      </c>
      <c r="C69" s="11">
        <f t="shared" ref="C69" si="20">(C68/C67)*C51</f>
        <v>84.388585453800587</v>
      </c>
      <c r="D69" s="11">
        <f t="shared" ref="D69:E69" si="21">(D68/D67)*D51</f>
        <v>90.410005265354201</v>
      </c>
      <c r="E69" s="11">
        <f t="shared" si="21"/>
        <v>81.271133640510214</v>
      </c>
      <c r="F69" s="9" t="s">
        <v>36</v>
      </c>
    </row>
    <row r="70" spans="1:6" ht="15.6">
      <c r="A70" s="24" t="s">
        <v>44</v>
      </c>
      <c r="B70" s="11">
        <f t="shared" ref="B70:B71" si="22">B22/B16</f>
        <v>204767.89895409619</v>
      </c>
      <c r="C70" s="11">
        <f>(C22/C16)*6</f>
        <v>831640.53113899613</v>
      </c>
      <c r="D70" s="11">
        <f t="shared" ref="D70:F70" si="23">D22/D16</f>
        <v>785999.99999999988</v>
      </c>
      <c r="E70" s="11">
        <f t="shared" si="23"/>
        <v>3606678.346153846</v>
      </c>
      <c r="F70" s="11">
        <f t="shared" si="23"/>
        <v>22854.588577034883</v>
      </c>
    </row>
    <row r="71" spans="1:6" ht="15.6">
      <c r="A71" s="24" t="s">
        <v>45</v>
      </c>
      <c r="B71" s="11">
        <f t="shared" si="22"/>
        <v>197264.95294515713</v>
      </c>
      <c r="C71" s="11">
        <f>(C23/C17)*6</f>
        <v>739995.45556499436</v>
      </c>
      <c r="D71" s="11">
        <f t="shared" ref="D71:E71" si="24">D23/D17</f>
        <v>724751.20556916471</v>
      </c>
      <c r="E71" s="11">
        <f t="shared" si="24"/>
        <v>3388008.2789888238</v>
      </c>
      <c r="F71" s="9" t="s">
        <v>36</v>
      </c>
    </row>
    <row r="72" spans="1:6" ht="15.6">
      <c r="A72" s="24"/>
      <c r="B72" s="11"/>
      <c r="C72" s="11"/>
      <c r="D72" s="11"/>
      <c r="E72" s="11"/>
    </row>
    <row r="73" spans="1:6" ht="15.6">
      <c r="A73" s="23" t="s">
        <v>29</v>
      </c>
      <c r="B73" s="11"/>
      <c r="C73" s="11"/>
      <c r="D73" s="11"/>
      <c r="E73" s="11"/>
    </row>
    <row r="74" spans="1:6" ht="15.6">
      <c r="A74" s="24" t="s">
        <v>30</v>
      </c>
      <c r="B74" s="11">
        <f>(B29/B28)*100</f>
        <v>92.644992737552741</v>
      </c>
      <c r="C74" s="11"/>
      <c r="D74" s="11"/>
      <c r="E74" s="11"/>
    </row>
    <row r="75" spans="1:6" ht="15.6">
      <c r="A75" s="24" t="s">
        <v>31</v>
      </c>
      <c r="B75" s="11">
        <f>(B23/B29)*100</f>
        <v>96.309262203943462</v>
      </c>
      <c r="C75" s="11"/>
      <c r="D75" s="11"/>
      <c r="E75" s="11"/>
    </row>
    <row r="76" spans="1:6" ht="16.2" thickBot="1">
      <c r="A76" s="17"/>
      <c r="B76" s="17"/>
      <c r="C76" s="17"/>
      <c r="D76" s="17"/>
      <c r="E76" s="17"/>
      <c r="F76" s="17"/>
    </row>
    <row r="77" spans="1:6" s="27" customFormat="1" ht="16.5" customHeight="1" thickTop="1">
      <c r="A77" s="50" t="s">
        <v>84</v>
      </c>
      <c r="B77" s="50"/>
      <c r="C77" s="50"/>
      <c r="D77" s="50"/>
      <c r="E77" s="50"/>
      <c r="F77" s="50"/>
    </row>
    <row r="78" spans="1:6" customFormat="1">
      <c r="A78" s="28"/>
    </row>
    <row r="79" spans="1:6" customFormat="1" ht="15.6">
      <c r="A79" s="23" t="s">
        <v>104</v>
      </c>
      <c r="B79" s="24"/>
      <c r="C79" s="24"/>
      <c r="D79" s="24"/>
      <c r="E79" s="24"/>
      <c r="F79" s="24"/>
    </row>
    <row r="80" spans="1:6" customFormat="1" ht="19.95" customHeight="1">
      <c r="A80" s="43" t="s">
        <v>86</v>
      </c>
      <c r="B80" s="43"/>
      <c r="C80" s="43"/>
      <c r="D80" s="43"/>
      <c r="E80" s="43"/>
      <c r="F80" s="43"/>
    </row>
    <row r="81" customFormat="1"/>
    <row r="82" customFormat="1"/>
  </sheetData>
  <mergeCells count="5">
    <mergeCell ref="A80:F80"/>
    <mergeCell ref="A77:F77"/>
    <mergeCell ref="A9:A10"/>
    <mergeCell ref="B9:B10"/>
    <mergeCell ref="C9:F9"/>
  </mergeCells>
  <pageMargins left="0.7" right="0.7" top="0.75" bottom="0.75" header="0.3" footer="0.3"/>
  <pageSetup orientation="portrait" horizontalDpi="300" verticalDpi="300" r:id="rId1"/>
  <ignoredErrors>
    <ignoredError sqref="C67:C71"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8:H84"/>
  <sheetViews>
    <sheetView showGridLines="0" zoomScale="80" zoomScaleNormal="80" workbookViewId="0">
      <pane ySplit="10" topLeftCell="A11" activePane="bottomLeft" state="frozen"/>
      <selection pane="bottomLeft" activeCell="A9" sqref="A9:A10"/>
    </sheetView>
  </sheetViews>
  <sheetFormatPr baseColWidth="10" defaultColWidth="11.44140625" defaultRowHeight="14.4"/>
  <cols>
    <col min="1" max="1" width="64.21875" style="1" customWidth="1"/>
    <col min="2" max="8" width="24.77734375" style="1" customWidth="1"/>
    <col min="9" max="16384" width="11.44140625" style="1"/>
  </cols>
  <sheetData>
    <row r="8" spans="1:8" ht="16.95" customHeight="1"/>
    <row r="9" spans="1:8" s="27" customFormat="1" ht="15.6">
      <c r="A9" s="52" t="s">
        <v>0</v>
      </c>
      <c r="B9" s="54" t="s">
        <v>1</v>
      </c>
      <c r="C9" s="58" t="s">
        <v>2</v>
      </c>
      <c r="D9" s="58"/>
      <c r="E9" s="58"/>
      <c r="F9" s="58"/>
      <c r="G9" s="58"/>
      <c r="H9" s="58"/>
    </row>
    <row r="10" spans="1:8" s="32" customFormat="1" ht="63" thickBot="1">
      <c r="A10" s="53"/>
      <c r="B10" s="55"/>
      <c r="C10" s="29" t="s">
        <v>39</v>
      </c>
      <c r="D10" s="29" t="s">
        <v>48</v>
      </c>
      <c r="E10" s="29" t="s">
        <v>89</v>
      </c>
      <c r="F10" s="29" t="s">
        <v>90</v>
      </c>
      <c r="G10" s="29" t="s">
        <v>105</v>
      </c>
      <c r="H10" s="29" t="s">
        <v>106</v>
      </c>
    </row>
    <row r="11" spans="1:8" ht="16.2" thickTop="1">
      <c r="A11" s="7"/>
      <c r="B11" s="7"/>
      <c r="C11" s="7"/>
      <c r="D11" s="7"/>
      <c r="E11" s="7"/>
    </row>
    <row r="12" spans="1:8" ht="15.6">
      <c r="A12" s="23" t="s">
        <v>3</v>
      </c>
      <c r="B12" s="7"/>
      <c r="C12" s="7"/>
      <c r="D12" s="7"/>
      <c r="E12" s="7"/>
    </row>
    <row r="13" spans="1:8" ht="15.6">
      <c r="A13" s="24"/>
      <c r="B13" s="7"/>
      <c r="C13" s="7"/>
      <c r="D13" s="7"/>
      <c r="E13" s="7"/>
    </row>
    <row r="14" spans="1:8" ht="15.6">
      <c r="A14" s="23" t="s">
        <v>4</v>
      </c>
      <c r="B14" s="7"/>
      <c r="C14" s="7"/>
      <c r="D14" s="7"/>
      <c r="E14" s="7"/>
    </row>
    <row r="15" spans="1:8" ht="15.6">
      <c r="A15" s="25" t="s">
        <v>61</v>
      </c>
      <c r="B15" s="9">
        <f>+SUM(C15:H15)</f>
        <v>23549.333333333332</v>
      </c>
      <c r="C15" s="30">
        <v>23109</v>
      </c>
      <c r="D15" s="30">
        <v>0</v>
      </c>
      <c r="E15">
        <v>0</v>
      </c>
      <c r="F15" s="30">
        <v>440.33333333333331</v>
      </c>
      <c r="G15" s="30">
        <v>0</v>
      </c>
      <c r="H15" s="30">
        <v>0</v>
      </c>
    </row>
    <row r="16" spans="1:8" ht="15.6">
      <c r="A16" s="25" t="s">
        <v>107</v>
      </c>
      <c r="B16" s="9">
        <f t="shared" ref="B16:B18" si="0">+SUM(C16:H16)</f>
        <v>34972</v>
      </c>
      <c r="C16" s="30">
        <v>18648</v>
      </c>
      <c r="D16" s="30">
        <v>5690</v>
      </c>
      <c r="E16" s="30">
        <v>351</v>
      </c>
      <c r="F16" s="30">
        <v>3440</v>
      </c>
      <c r="G16" s="30">
        <v>2243</v>
      </c>
      <c r="H16" s="30">
        <v>4600</v>
      </c>
    </row>
    <row r="17" spans="1:8" ht="15.6">
      <c r="A17" s="25" t="s">
        <v>108</v>
      </c>
      <c r="B17" s="9">
        <f t="shared" si="0"/>
        <v>27806.666666666668</v>
      </c>
      <c r="C17" s="30">
        <v>14421</v>
      </c>
      <c r="D17" s="30">
        <v>5404</v>
      </c>
      <c r="E17" s="30">
        <v>320</v>
      </c>
      <c r="F17" s="30">
        <v>1096.6666666666667</v>
      </c>
      <c r="G17" s="30">
        <v>2136</v>
      </c>
      <c r="H17" s="30">
        <v>4429</v>
      </c>
    </row>
    <row r="18" spans="1:8" ht="15.6">
      <c r="A18" s="25" t="s">
        <v>79</v>
      </c>
      <c r="B18" s="9">
        <f t="shared" si="0"/>
        <v>89704.819979268446</v>
      </c>
      <c r="C18" s="30">
        <v>74592</v>
      </c>
      <c r="D18" s="30">
        <v>4478.8199792684482</v>
      </c>
      <c r="E18" s="30">
        <v>351</v>
      </c>
      <c r="F18" s="30">
        <v>3440</v>
      </c>
      <c r="G18" s="30">
        <v>2243</v>
      </c>
      <c r="H18" s="30">
        <v>4600</v>
      </c>
    </row>
    <row r="19" spans="1:8" ht="15.6">
      <c r="A19" s="24"/>
      <c r="B19" s="9"/>
      <c r="C19" s="30"/>
      <c r="D19" s="30"/>
      <c r="E19" s="30"/>
      <c r="F19"/>
      <c r="G19"/>
      <c r="H19"/>
    </row>
    <row r="20" spans="1:8" ht="15.6">
      <c r="A20" s="26" t="s">
        <v>5</v>
      </c>
      <c r="B20" s="9"/>
      <c r="C20" s="30"/>
      <c r="D20" s="30"/>
      <c r="E20" s="30"/>
      <c r="F20"/>
      <c r="G20"/>
      <c r="H20"/>
    </row>
    <row r="21" spans="1:8" ht="15.6">
      <c r="A21" s="25" t="s">
        <v>61</v>
      </c>
      <c r="B21" s="9">
        <f>SUM(C21:H21)</f>
        <v>2193431769.77</v>
      </c>
      <c r="C21" s="30">
        <v>2142278208.0599999</v>
      </c>
      <c r="D21" s="30">
        <v>0</v>
      </c>
      <c r="E21" s="30">
        <v>0</v>
      </c>
      <c r="F21" s="30">
        <v>51153561.709999993</v>
      </c>
      <c r="G21" s="30">
        <v>0</v>
      </c>
      <c r="H21" s="30">
        <v>0</v>
      </c>
    </row>
    <row r="22" spans="1:8" ht="15.6">
      <c r="A22" s="25" t="s">
        <v>107</v>
      </c>
      <c r="B22" s="9">
        <f t="shared" ref="B22:B25" si="1">SUM(C22:H22)</f>
        <v>8191566033.8352394</v>
      </c>
      <c r="C22" s="30">
        <v>2584738770.7799997</v>
      </c>
      <c r="D22" s="30">
        <v>1485539999.8800001</v>
      </c>
      <c r="E22" s="30">
        <v>632972049.75</v>
      </c>
      <c r="F22" s="30">
        <v>235859354.11500001</v>
      </c>
      <c r="G22" s="30">
        <v>2229978359.1902399</v>
      </c>
      <c r="H22" s="30">
        <v>1022477500.12</v>
      </c>
    </row>
    <row r="23" spans="1:8" ht="15.6">
      <c r="A23" s="25" t="s">
        <v>108</v>
      </c>
      <c r="B23" s="9">
        <f t="shared" si="1"/>
        <v>7359347326.0300007</v>
      </c>
      <c r="C23" s="30">
        <v>2156558433.9700003</v>
      </c>
      <c r="D23" s="30">
        <v>1442711931.7000003</v>
      </c>
      <c r="E23" s="30">
        <v>515333408.69999993</v>
      </c>
      <c r="F23" s="30">
        <v>73185967.460000008</v>
      </c>
      <c r="G23" s="30">
        <v>2191067584.1999998</v>
      </c>
      <c r="H23" s="30">
        <v>980490000</v>
      </c>
    </row>
    <row r="24" spans="1:8" ht="15.6">
      <c r="A24" s="25" t="s">
        <v>79</v>
      </c>
      <c r="B24" s="9">
        <f t="shared" si="1"/>
        <v>29827000980.380478</v>
      </c>
      <c r="C24" s="30">
        <v>11030265854.059999</v>
      </c>
      <c r="D24" s="30">
        <v>6785668495.9400005</v>
      </c>
      <c r="E24" s="30">
        <v>2701182056.0500002</v>
      </c>
      <c r="F24" s="30">
        <v>471718708.23000002</v>
      </c>
      <c r="G24" s="30">
        <v>5770733365.7404804</v>
      </c>
      <c r="H24" s="30">
        <v>3067432500.3600001</v>
      </c>
    </row>
    <row r="25" spans="1:8" ht="15.6">
      <c r="A25" s="25" t="s">
        <v>109</v>
      </c>
      <c r="B25" s="9">
        <f t="shared" si="1"/>
        <v>7359347326.0300007</v>
      </c>
      <c r="C25" s="9">
        <f>+C23</f>
        <v>2156558433.9700003</v>
      </c>
      <c r="D25" s="9">
        <f t="shared" ref="D25:H25" si="2">+D23</f>
        <v>1442711931.7000003</v>
      </c>
      <c r="E25" s="9">
        <f t="shared" si="2"/>
        <v>515333408.69999993</v>
      </c>
      <c r="F25" s="9">
        <f t="shared" si="2"/>
        <v>73185967.460000008</v>
      </c>
      <c r="G25" s="9">
        <f t="shared" si="2"/>
        <v>2191067584.1999998</v>
      </c>
      <c r="H25" s="9">
        <f t="shared" si="2"/>
        <v>980490000</v>
      </c>
    </row>
    <row r="26" spans="1:8" ht="15.6">
      <c r="A26" s="24"/>
      <c r="B26" s="9"/>
      <c r="C26" s="9"/>
      <c r="D26" s="9"/>
      <c r="E26" s="9"/>
    </row>
    <row r="27" spans="1:8" ht="15.6">
      <c r="A27" s="26" t="s">
        <v>6</v>
      </c>
      <c r="B27" s="9"/>
      <c r="C27" s="9"/>
      <c r="D27" s="9"/>
      <c r="E27" s="9"/>
    </row>
    <row r="28" spans="1:8" ht="15.6">
      <c r="A28" s="25" t="s">
        <v>107</v>
      </c>
      <c r="B28" s="9">
        <f>B22</f>
        <v>8191566033.8352394</v>
      </c>
      <c r="C28" s="9"/>
      <c r="D28" s="9"/>
      <c r="E28" s="9"/>
    </row>
    <row r="29" spans="1:8" ht="15.6">
      <c r="A29" s="25" t="s">
        <v>108</v>
      </c>
      <c r="B29" s="30">
        <v>4207197390.2699995</v>
      </c>
      <c r="C29" s="9"/>
      <c r="D29" s="9"/>
      <c r="E29" s="9"/>
    </row>
    <row r="30" spans="1:8" ht="15.6">
      <c r="A30" s="24"/>
      <c r="B30" s="15"/>
      <c r="C30" s="15"/>
      <c r="D30" s="15"/>
      <c r="E30" s="15"/>
    </row>
    <row r="31" spans="1:8" ht="15.6">
      <c r="A31" s="23" t="s">
        <v>7</v>
      </c>
      <c r="B31" s="15"/>
      <c r="C31" s="15"/>
      <c r="D31" s="15"/>
      <c r="E31" s="15"/>
    </row>
    <row r="32" spans="1:8" ht="15.6">
      <c r="A32" s="25" t="s">
        <v>62</v>
      </c>
      <c r="B32" s="37">
        <v>1.0863</v>
      </c>
      <c r="C32" s="37">
        <v>1.0863</v>
      </c>
      <c r="D32" s="37">
        <v>1.0863</v>
      </c>
      <c r="E32" s="37">
        <v>1.0863</v>
      </c>
      <c r="F32" s="37">
        <v>1.0863</v>
      </c>
      <c r="G32" s="37">
        <v>1.0863</v>
      </c>
      <c r="H32" s="37">
        <v>1.0863</v>
      </c>
    </row>
    <row r="33" spans="1:8" ht="15.6">
      <c r="A33" s="25" t="s">
        <v>110</v>
      </c>
      <c r="B33" s="37">
        <v>1.1197999999999999</v>
      </c>
      <c r="C33" s="37">
        <v>1.1197999999999999</v>
      </c>
      <c r="D33" s="37">
        <v>1.1197999999999999</v>
      </c>
      <c r="E33" s="37">
        <v>1.1197999999999999</v>
      </c>
      <c r="F33" s="37">
        <v>1.1197999999999999</v>
      </c>
      <c r="G33" s="37">
        <v>1.1197999999999999</v>
      </c>
      <c r="H33" s="37">
        <v>1.1197999999999999</v>
      </c>
    </row>
    <row r="34" spans="1:8" ht="15.6">
      <c r="A34" s="25" t="s">
        <v>8</v>
      </c>
      <c r="B34" s="38" t="s">
        <v>36</v>
      </c>
      <c r="C34" s="38" t="s">
        <v>36</v>
      </c>
      <c r="D34" s="38" t="s">
        <v>36</v>
      </c>
      <c r="E34" s="38" t="s">
        <v>36</v>
      </c>
      <c r="F34" s="38" t="s">
        <v>36</v>
      </c>
      <c r="G34" s="38" t="s">
        <v>36</v>
      </c>
      <c r="H34" s="38" t="s">
        <v>36</v>
      </c>
    </row>
    <row r="35" spans="1:8" ht="15.6">
      <c r="A35" s="24"/>
      <c r="B35" s="15"/>
      <c r="C35" s="15"/>
      <c r="D35" s="15"/>
      <c r="E35" s="15"/>
    </row>
    <row r="36" spans="1:8" ht="15.6">
      <c r="A36" s="23" t="s">
        <v>9</v>
      </c>
      <c r="B36" s="15"/>
      <c r="C36" s="15"/>
      <c r="D36" s="15"/>
      <c r="E36" s="15"/>
    </row>
    <row r="37" spans="1:8" ht="15.6">
      <c r="A37" s="25" t="s">
        <v>63</v>
      </c>
      <c r="B37" s="16">
        <f>B21/B32</f>
        <v>2019176810.9822333</v>
      </c>
      <c r="C37" s="16">
        <f t="shared" ref="C37:H37" si="3">C21/C32</f>
        <v>1972087092.0187793</v>
      </c>
      <c r="D37" s="16">
        <f t="shared" si="3"/>
        <v>0</v>
      </c>
      <c r="E37" s="16">
        <f t="shared" si="3"/>
        <v>0</v>
      </c>
      <c r="F37" s="16">
        <f t="shared" si="3"/>
        <v>47089718.963453919</v>
      </c>
      <c r="G37" s="16">
        <f t="shared" si="3"/>
        <v>0</v>
      </c>
      <c r="H37" s="16">
        <f t="shared" si="3"/>
        <v>0</v>
      </c>
    </row>
    <row r="38" spans="1:8" ht="15.6">
      <c r="A38" s="25" t="s">
        <v>111</v>
      </c>
      <c r="B38" s="16">
        <f>B23/B33</f>
        <v>6572019401.7056627</v>
      </c>
      <c r="C38" s="16">
        <f t="shared" ref="C38:H38" si="4">C23/C33</f>
        <v>1925842502.2057514</v>
      </c>
      <c r="D38" s="16">
        <f t="shared" si="4"/>
        <v>1288365718.6104665</v>
      </c>
      <c r="E38" s="16">
        <f t="shared" si="4"/>
        <v>460201293.71316302</v>
      </c>
      <c r="F38" s="16">
        <f t="shared" si="4"/>
        <v>65356284.568672992</v>
      </c>
      <c r="G38" s="16">
        <f t="shared" si="4"/>
        <v>1956659746.5618861</v>
      </c>
      <c r="H38" s="16">
        <f t="shared" si="4"/>
        <v>875593856.04572248</v>
      </c>
    </row>
    <row r="39" spans="1:8" ht="15.6">
      <c r="A39" s="25" t="s">
        <v>64</v>
      </c>
      <c r="B39" s="9">
        <f t="shared" ref="B39:F39" si="5">B37/B15</f>
        <v>85742.419218473282</v>
      </c>
      <c r="C39" s="9">
        <f t="shared" si="5"/>
        <v>85338.486824128224</v>
      </c>
      <c r="D39" s="9" t="s">
        <v>36</v>
      </c>
      <c r="E39" s="9" t="s">
        <v>36</v>
      </c>
      <c r="F39" s="9">
        <f t="shared" si="5"/>
        <v>106941.07258922163</v>
      </c>
      <c r="G39" s="9" t="s">
        <v>36</v>
      </c>
      <c r="H39" s="9" t="s">
        <v>36</v>
      </c>
    </row>
    <row r="40" spans="1:8" ht="15.6">
      <c r="A40" s="25" t="s">
        <v>112</v>
      </c>
      <c r="B40" s="9">
        <f>B38/B17</f>
        <v>236346.89768780852</v>
      </c>
      <c r="C40" s="9">
        <f t="shared" ref="C40:H40" si="6">C38/C17</f>
        <v>133544.31053364894</v>
      </c>
      <c r="D40" s="9">
        <f t="shared" si="6"/>
        <v>238409.64445049342</v>
      </c>
      <c r="E40" s="9">
        <f t="shared" si="6"/>
        <v>1438129.0428536343</v>
      </c>
      <c r="F40" s="9">
        <f t="shared" si="6"/>
        <v>59595.396263227645</v>
      </c>
      <c r="G40" s="9">
        <f t="shared" si="6"/>
        <v>916039.20719189418</v>
      </c>
      <c r="H40" s="9">
        <f t="shared" si="6"/>
        <v>197695.60985453206</v>
      </c>
    </row>
    <row r="41" spans="1:8" ht="15.6">
      <c r="A41" s="24"/>
      <c r="B41" s="15"/>
      <c r="C41" s="15"/>
      <c r="D41" s="15"/>
      <c r="E41" s="15"/>
      <c r="F41" s="15"/>
      <c r="G41" s="15"/>
      <c r="H41" s="15"/>
    </row>
    <row r="42" spans="1:8" ht="15.6">
      <c r="A42" s="23" t="s">
        <v>10</v>
      </c>
      <c r="B42" s="15"/>
      <c r="C42" s="15"/>
      <c r="D42" s="15"/>
      <c r="E42" s="15"/>
      <c r="F42" s="15"/>
      <c r="G42" s="15"/>
      <c r="H42" s="15"/>
    </row>
    <row r="43" spans="1:8" ht="15.6">
      <c r="A43" s="24"/>
      <c r="B43" s="15"/>
      <c r="C43" s="15"/>
      <c r="D43" s="15"/>
      <c r="E43" s="15"/>
      <c r="F43" s="15"/>
      <c r="G43" s="15"/>
      <c r="H43" s="15"/>
    </row>
    <row r="44" spans="1:8" ht="15.6">
      <c r="A44" s="23" t="s">
        <v>11</v>
      </c>
      <c r="B44" s="15"/>
      <c r="C44" s="15"/>
      <c r="D44" s="15"/>
      <c r="E44" s="15"/>
      <c r="F44" s="15"/>
      <c r="G44" s="15"/>
      <c r="H44" s="15"/>
    </row>
    <row r="45" spans="1:8" ht="15.6">
      <c r="A45" s="24" t="s">
        <v>12</v>
      </c>
      <c r="B45" s="21" t="s">
        <v>35</v>
      </c>
      <c r="C45" s="21" t="s">
        <v>35</v>
      </c>
      <c r="D45" s="21" t="s">
        <v>35</v>
      </c>
      <c r="E45" s="21" t="s">
        <v>35</v>
      </c>
      <c r="F45" s="21" t="s">
        <v>35</v>
      </c>
      <c r="G45" s="21" t="s">
        <v>35</v>
      </c>
      <c r="H45" s="21" t="s">
        <v>35</v>
      </c>
    </row>
    <row r="46" spans="1:8" ht="15.6">
      <c r="A46" s="24" t="s">
        <v>13</v>
      </c>
      <c r="B46" s="21" t="s">
        <v>35</v>
      </c>
      <c r="C46" s="21" t="s">
        <v>35</v>
      </c>
      <c r="D46" s="21" t="s">
        <v>35</v>
      </c>
      <c r="E46" s="21" t="s">
        <v>35</v>
      </c>
      <c r="F46" s="21" t="s">
        <v>35</v>
      </c>
      <c r="G46" s="21" t="s">
        <v>35</v>
      </c>
      <c r="H46" s="21" t="s">
        <v>35</v>
      </c>
    </row>
    <row r="47" spans="1:8" ht="15.6">
      <c r="A47" s="24"/>
      <c r="B47" s="15"/>
      <c r="C47" s="15"/>
      <c r="D47" s="15"/>
      <c r="E47" s="15"/>
      <c r="F47" s="15"/>
      <c r="G47" s="15"/>
      <c r="H47" s="15"/>
    </row>
    <row r="48" spans="1:8" ht="15.6">
      <c r="A48" s="23" t="s">
        <v>14</v>
      </c>
      <c r="B48" s="15"/>
      <c r="C48" s="15"/>
      <c r="D48" s="15"/>
      <c r="E48" s="15"/>
      <c r="F48" s="15"/>
      <c r="G48" s="15"/>
      <c r="H48" s="15"/>
    </row>
    <row r="49" spans="1:8" ht="15.6">
      <c r="A49" s="24" t="s">
        <v>15</v>
      </c>
      <c r="B49" s="11">
        <f>B17/B16*100</f>
        <v>79.511228030043085</v>
      </c>
      <c r="C49" s="11">
        <f t="shared" ref="C49:H49" si="7">C17/C16*100</f>
        <v>77.332689832689837</v>
      </c>
      <c r="D49" s="11">
        <f t="shared" si="7"/>
        <v>94.973637961335683</v>
      </c>
      <c r="E49" s="11">
        <f t="shared" si="7"/>
        <v>91.168091168091166</v>
      </c>
      <c r="F49" s="11">
        <f t="shared" si="7"/>
        <v>31.879844961240313</v>
      </c>
      <c r="G49" s="11">
        <f t="shared" si="7"/>
        <v>95.229603209986621</v>
      </c>
      <c r="H49" s="11">
        <f t="shared" si="7"/>
        <v>96.282608695652172</v>
      </c>
    </row>
    <row r="50" spans="1:8" ht="15.6">
      <c r="A50" s="24" t="s">
        <v>16</v>
      </c>
      <c r="B50" s="11">
        <f>B23/B22*100</f>
        <v>89.840542035945731</v>
      </c>
      <c r="C50" s="11">
        <f t="shared" ref="C50:H50" si="8">C23/C22*100</f>
        <v>83.434289698808257</v>
      </c>
      <c r="D50" s="11">
        <f t="shared" si="8"/>
        <v>97.117003366892888</v>
      </c>
      <c r="E50" s="11">
        <f t="shared" si="8"/>
        <v>81.414875886468792</v>
      </c>
      <c r="F50" s="11">
        <f t="shared" si="8"/>
        <v>31.029495410352087</v>
      </c>
      <c r="G50" s="11">
        <f t="shared" si="8"/>
        <v>98.255105264592373</v>
      </c>
      <c r="H50" s="11">
        <f t="shared" si="8"/>
        <v>95.893552658608897</v>
      </c>
    </row>
    <row r="51" spans="1:8" ht="15.6">
      <c r="A51" s="24" t="s">
        <v>17</v>
      </c>
      <c r="B51" s="11">
        <f>AVERAGE(B49:B50)</f>
        <v>84.675885032994415</v>
      </c>
      <c r="C51" s="11">
        <f t="shared" ref="C51:H51" si="9">AVERAGE(C49:C50)</f>
        <v>80.383489765749047</v>
      </c>
      <c r="D51" s="11">
        <f t="shared" si="9"/>
        <v>96.045320664114286</v>
      </c>
      <c r="E51" s="11">
        <f t="shared" si="9"/>
        <v>86.291483527279979</v>
      </c>
      <c r="F51" s="11">
        <f t="shared" si="9"/>
        <v>31.4546701857962</v>
      </c>
      <c r="G51" s="11">
        <f t="shared" si="9"/>
        <v>96.742354237289504</v>
      </c>
      <c r="H51" s="11">
        <f t="shared" si="9"/>
        <v>96.088080677130534</v>
      </c>
    </row>
    <row r="52" spans="1:8" ht="15.6">
      <c r="A52" s="24"/>
      <c r="B52" s="11"/>
      <c r="C52" s="11"/>
      <c r="D52" s="11"/>
      <c r="E52" s="11"/>
      <c r="F52" s="11"/>
      <c r="G52" s="11"/>
      <c r="H52" s="11"/>
    </row>
    <row r="53" spans="1:8" ht="15.6">
      <c r="A53" s="23" t="s">
        <v>18</v>
      </c>
      <c r="B53" s="11"/>
      <c r="C53" s="11"/>
      <c r="D53" s="11"/>
      <c r="E53" s="11"/>
      <c r="F53" s="11"/>
      <c r="G53" s="11"/>
      <c r="H53" s="11"/>
    </row>
    <row r="54" spans="1:8" ht="15.6">
      <c r="A54" s="24" t="s">
        <v>19</v>
      </c>
      <c r="B54" s="11">
        <f>B17/B18*100</f>
        <v>30.997962732764002</v>
      </c>
      <c r="C54" s="11">
        <f t="shared" ref="C54:H54" si="10">C17/C18*100</f>
        <v>19.333172458172459</v>
      </c>
      <c r="D54" s="11">
        <f t="shared" si="10"/>
        <v>120.65678069254899</v>
      </c>
      <c r="E54" s="11">
        <f t="shared" si="10"/>
        <v>91.168091168091166</v>
      </c>
      <c r="F54" s="11">
        <f t="shared" si="10"/>
        <v>31.879844961240313</v>
      </c>
      <c r="G54" s="11">
        <f t="shared" si="10"/>
        <v>95.229603209986621</v>
      </c>
      <c r="H54" s="11">
        <f t="shared" si="10"/>
        <v>96.282608695652172</v>
      </c>
    </row>
    <row r="55" spans="1:8" ht="15.6">
      <c r="A55" s="24" t="s">
        <v>20</v>
      </c>
      <c r="B55" s="11">
        <f>B23/B24*100</f>
        <v>24.673440453737914</v>
      </c>
      <c r="C55" s="11">
        <f t="shared" ref="C55:H55" si="11">C23/C24*100</f>
        <v>19.551282466833911</v>
      </c>
      <c r="D55" s="11">
        <f t="shared" si="11"/>
        <v>21.261161410452093</v>
      </c>
      <c r="E55" s="11">
        <f t="shared" si="11"/>
        <v>19.078070193224356</v>
      </c>
      <c r="F55" s="11">
        <f t="shared" si="11"/>
        <v>15.514747705176044</v>
      </c>
      <c r="G55" s="11">
        <f t="shared" si="11"/>
        <v>37.968615864456069</v>
      </c>
      <c r="H55" s="11">
        <f t="shared" si="11"/>
        <v>31.96451755286963</v>
      </c>
    </row>
    <row r="56" spans="1:8" ht="15.6">
      <c r="A56" s="24" t="s">
        <v>21</v>
      </c>
      <c r="B56" s="11">
        <f>(B54+B55)/2</f>
        <v>27.83570159325096</v>
      </c>
      <c r="C56" s="11">
        <f t="shared" ref="C56:H56" si="12">(C54+C55)/2</f>
        <v>19.442227462503183</v>
      </c>
      <c r="D56" s="11">
        <f t="shared" si="12"/>
        <v>70.958971051500541</v>
      </c>
      <c r="E56" s="11">
        <f t="shared" si="12"/>
        <v>55.123080680657765</v>
      </c>
      <c r="F56" s="11">
        <f t="shared" si="12"/>
        <v>23.697296333208179</v>
      </c>
      <c r="G56" s="11">
        <f t="shared" si="12"/>
        <v>66.599109537221352</v>
      </c>
      <c r="H56" s="11">
        <f t="shared" si="12"/>
        <v>64.123563124260897</v>
      </c>
    </row>
    <row r="57" spans="1:8" ht="15.6">
      <c r="A57" s="24"/>
      <c r="B57" s="11"/>
      <c r="C57" s="11"/>
      <c r="D57" s="11"/>
      <c r="E57" s="11"/>
    </row>
    <row r="58" spans="1:8" ht="15.6">
      <c r="A58" s="23" t="s">
        <v>32</v>
      </c>
      <c r="B58" s="11"/>
      <c r="C58" s="11"/>
      <c r="D58" s="11"/>
      <c r="E58" s="11"/>
    </row>
    <row r="59" spans="1:8" ht="15.6">
      <c r="A59" s="24" t="s">
        <v>22</v>
      </c>
      <c r="B59" s="11">
        <f t="shared" ref="B59" si="13">B25/B23*100</f>
        <v>100</v>
      </c>
      <c r="C59" s="11"/>
      <c r="D59" s="11"/>
      <c r="E59" s="11"/>
    </row>
    <row r="60" spans="1:8" ht="15.6">
      <c r="A60" s="24"/>
      <c r="B60" s="11"/>
      <c r="C60" s="11"/>
      <c r="D60" s="11"/>
      <c r="E60" s="11"/>
    </row>
    <row r="61" spans="1:8" ht="15.6">
      <c r="A61" s="23" t="s">
        <v>23</v>
      </c>
      <c r="B61" s="11"/>
      <c r="C61" s="11"/>
      <c r="D61" s="11"/>
      <c r="E61" s="11"/>
    </row>
    <row r="62" spans="1:8" ht="15.6">
      <c r="A62" s="24" t="s">
        <v>24</v>
      </c>
      <c r="B62" s="11">
        <f>((B17/B15)-1)*100</f>
        <v>18.078360321594399</v>
      </c>
      <c r="C62" s="11">
        <f t="shared" ref="C62:F62" si="14">((C17/C15)-1)*100</f>
        <v>-37.595741918732962</v>
      </c>
      <c r="D62" s="9" t="s">
        <v>36</v>
      </c>
      <c r="E62" s="9" t="s">
        <v>36</v>
      </c>
      <c r="F62" s="11">
        <f t="shared" si="14"/>
        <v>149.05374716124152</v>
      </c>
      <c r="G62" s="9" t="s">
        <v>36</v>
      </c>
      <c r="H62" s="9" t="s">
        <v>36</v>
      </c>
    </row>
    <row r="63" spans="1:8" ht="15.6">
      <c r="A63" s="24" t="s">
        <v>25</v>
      </c>
      <c r="B63" s="11">
        <f>((B38/B37)-1)*100</f>
        <v>225.48013457566842</v>
      </c>
      <c r="C63" s="11">
        <f t="shared" ref="C63:F63" si="15">((C38/C37)-1)*100</f>
        <v>-2.3449567719490694</v>
      </c>
      <c r="D63" s="9" t="s">
        <v>36</v>
      </c>
      <c r="E63" s="9" t="s">
        <v>36</v>
      </c>
      <c r="F63" s="11">
        <f t="shared" si="15"/>
        <v>38.790984544621423</v>
      </c>
      <c r="G63" s="9" t="s">
        <v>36</v>
      </c>
      <c r="H63" s="9" t="s">
        <v>36</v>
      </c>
    </row>
    <row r="64" spans="1:8" ht="15.6">
      <c r="A64" s="24" t="s">
        <v>26</v>
      </c>
      <c r="B64" s="11">
        <f t="shared" ref="B64" si="16">((B40/B39)-1)*100</f>
        <v>175.64757309400406</v>
      </c>
      <c r="C64" s="11">
        <f t="shared" ref="C64:F64" si="17">((C40/C39)-1)*100</f>
        <v>56.487788222524713</v>
      </c>
      <c r="D64" s="9" t="s">
        <v>36</v>
      </c>
      <c r="E64" s="9" t="s">
        <v>36</v>
      </c>
      <c r="F64" s="11">
        <f t="shared" si="17"/>
        <v>-44.272677634211291</v>
      </c>
      <c r="G64" s="9" t="s">
        <v>36</v>
      </c>
      <c r="H64" s="9" t="s">
        <v>36</v>
      </c>
    </row>
    <row r="65" spans="1:8" ht="15.6">
      <c r="A65" s="24"/>
      <c r="B65" s="11"/>
      <c r="C65" s="11"/>
      <c r="D65" s="11"/>
      <c r="E65" s="11"/>
    </row>
    <row r="66" spans="1:8" ht="15.6">
      <c r="A66" s="23" t="s">
        <v>27</v>
      </c>
      <c r="B66" s="11"/>
      <c r="C66" s="11"/>
      <c r="D66" s="11"/>
      <c r="E66" s="11"/>
    </row>
    <row r="67" spans="1:8" ht="15.6">
      <c r="A67" s="24" t="s">
        <v>40</v>
      </c>
      <c r="B67" s="11">
        <f>B22/(B16*3)</f>
        <v>78077.376509161986</v>
      </c>
      <c r="C67" s="11">
        <f>C22/(C16)</f>
        <v>138606.75518983268</v>
      </c>
      <c r="D67" s="11">
        <f>D22/(D16*2)</f>
        <v>130539.54304745168</v>
      </c>
      <c r="E67" s="11">
        <f t="shared" ref="E67" si="18">E22/(E16*3)</f>
        <v>601113.05769230775</v>
      </c>
      <c r="F67" s="11">
        <f>F22/(F16*3)</f>
        <v>22854.588577034883</v>
      </c>
      <c r="G67" s="11">
        <f>G22/(G16*2)</f>
        <v>497097.27133086044</v>
      </c>
      <c r="H67" s="11">
        <f>H22/(H16*2)</f>
        <v>111138.85870869565</v>
      </c>
    </row>
    <row r="68" spans="1:8" ht="15.6">
      <c r="A68" s="24" t="s">
        <v>41</v>
      </c>
      <c r="B68" s="11">
        <f t="shared" ref="B68:E68" si="19">B23/(B17*3)</f>
        <v>88220.418676935995</v>
      </c>
      <c r="C68" s="11">
        <f>C23/(C17)</f>
        <v>149542.91893558006</v>
      </c>
      <c r="D68" s="11">
        <f>D23/(D17*2)</f>
        <v>133485.55992783126</v>
      </c>
      <c r="E68" s="11">
        <f t="shared" si="19"/>
        <v>536805.63406249997</v>
      </c>
      <c r="F68" s="11">
        <f>F23/(F17*3)</f>
        <v>22244.974911854108</v>
      </c>
      <c r="G68" s="11">
        <f>G23/(G17*2)</f>
        <v>512890.35210674151</v>
      </c>
      <c r="H68" s="11">
        <f>H23/(H17*2)</f>
        <v>110689.7719575525</v>
      </c>
    </row>
    <row r="69" spans="1:8" ht="15.6">
      <c r="A69" s="24" t="s">
        <v>28</v>
      </c>
      <c r="B69" s="11">
        <f>(B68/B67)*B51</f>
        <v>95.676140303898165</v>
      </c>
      <c r="C69" s="11">
        <f t="shared" ref="C69" si="20">(C68/C67)*C51</f>
        <v>86.725799744284103</v>
      </c>
      <c r="D69" s="11">
        <f t="shared" ref="D69:E69" si="21">(D68/D67)*D51</f>
        <v>98.212871808790013</v>
      </c>
      <c r="E69" s="11">
        <f t="shared" si="21"/>
        <v>77.059970560090633</v>
      </c>
      <c r="F69" s="11">
        <f t="shared" ref="F69:H69" si="22">(F68/F67)*F51</f>
        <v>30.615661567706979</v>
      </c>
      <c r="G69" s="11">
        <f t="shared" si="22"/>
        <v>99.81591730640055</v>
      </c>
      <c r="H69" s="11">
        <f t="shared" si="22"/>
        <v>95.699810683392542</v>
      </c>
    </row>
    <row r="70" spans="1:8" ht="15.6">
      <c r="A70" s="24" t="s">
        <v>42</v>
      </c>
      <c r="B70" s="11">
        <f t="shared" ref="B70:E71" si="23">B22/B16</f>
        <v>234232.12952748596</v>
      </c>
      <c r="C70" s="11">
        <f>(C22/C16)*3</f>
        <v>415820.26556949806</v>
      </c>
      <c r="D70" s="11">
        <f t="shared" ref="D70" si="24">D22/D16</f>
        <v>261079.08609490335</v>
      </c>
      <c r="E70" s="11">
        <f t="shared" si="23"/>
        <v>1803339.173076923</v>
      </c>
      <c r="F70" s="11">
        <f t="shared" ref="F70:H70" si="25">F22/F16</f>
        <v>68563.76573110465</v>
      </c>
      <c r="G70" s="11">
        <f t="shared" si="25"/>
        <v>994194.54266172089</v>
      </c>
      <c r="H70" s="11">
        <f t="shared" si="25"/>
        <v>222277.71741739131</v>
      </c>
    </row>
    <row r="71" spans="1:8" ht="15.6">
      <c r="A71" s="24" t="s">
        <v>43</v>
      </c>
      <c r="B71" s="11">
        <f t="shared" si="23"/>
        <v>264661.25603080797</v>
      </c>
      <c r="C71" s="11">
        <f>(C23/C17)*3</f>
        <v>448628.75680674019</v>
      </c>
      <c r="D71" s="11">
        <f t="shared" ref="D71" si="26">D23/D17</f>
        <v>266971.11985566252</v>
      </c>
      <c r="E71" s="11">
        <f t="shared" si="23"/>
        <v>1610416.9021874997</v>
      </c>
      <c r="F71" s="11">
        <f t="shared" ref="F71:H71" si="27">F23/F17</f>
        <v>66734.924735562308</v>
      </c>
      <c r="G71" s="11">
        <f t="shared" si="27"/>
        <v>1025780.704213483</v>
      </c>
      <c r="H71" s="11">
        <f t="shared" si="27"/>
        <v>221379.54391510499</v>
      </c>
    </row>
    <row r="72" spans="1:8" ht="15.6">
      <c r="A72" s="24"/>
      <c r="B72" s="11"/>
      <c r="C72" s="11"/>
      <c r="D72" s="11"/>
      <c r="E72" s="11"/>
    </row>
    <row r="73" spans="1:8" ht="15.6">
      <c r="A73" s="23" t="s">
        <v>29</v>
      </c>
      <c r="B73" s="11"/>
      <c r="C73" s="11"/>
      <c r="D73" s="11"/>
      <c r="E73" s="11"/>
    </row>
    <row r="74" spans="1:8" ht="15.6">
      <c r="A74" s="24" t="s">
        <v>30</v>
      </c>
      <c r="B74" s="11">
        <f>(B29/B28)*100</f>
        <v>51.360110788244675</v>
      </c>
      <c r="C74" s="11"/>
      <c r="D74" s="11"/>
      <c r="E74" s="11"/>
    </row>
    <row r="75" spans="1:8" ht="15.6">
      <c r="A75" s="24" t="s">
        <v>31</v>
      </c>
      <c r="B75" s="11">
        <f>(B23/B29)*100</f>
        <v>174.92279642143697</v>
      </c>
      <c r="C75" s="11"/>
      <c r="D75" s="11"/>
      <c r="E75" s="11"/>
    </row>
    <row r="76" spans="1:8" ht="16.2" thickBot="1">
      <c r="A76" s="17"/>
      <c r="B76" s="17"/>
      <c r="C76" s="17"/>
      <c r="D76" s="17"/>
      <c r="E76" s="17"/>
      <c r="F76" s="17"/>
      <c r="G76" s="17"/>
      <c r="H76" s="17"/>
    </row>
    <row r="77" spans="1:8" s="27" customFormat="1" ht="16.5" customHeight="1" thickTop="1">
      <c r="A77" s="50" t="s">
        <v>84</v>
      </c>
      <c r="B77" s="50"/>
      <c r="C77" s="50"/>
      <c r="D77" s="50"/>
      <c r="E77" s="50"/>
      <c r="F77" s="50"/>
      <c r="G77" s="50"/>
      <c r="H77" s="50"/>
    </row>
    <row r="78" spans="1:8" customFormat="1">
      <c r="A78" s="28"/>
    </row>
    <row r="79" spans="1:8" customFormat="1" ht="15.6">
      <c r="A79" s="23" t="s">
        <v>85</v>
      </c>
      <c r="B79" s="24"/>
      <c r="C79" s="24"/>
      <c r="D79" s="24"/>
      <c r="E79" s="24"/>
      <c r="F79" s="24"/>
    </row>
    <row r="80" spans="1:8" customFormat="1" ht="19.95" customHeight="1">
      <c r="A80" s="43" t="s">
        <v>86</v>
      </c>
      <c r="B80" s="43"/>
      <c r="C80" s="43"/>
      <c r="D80" s="43"/>
      <c r="E80" s="43"/>
      <c r="F80" s="43"/>
      <c r="G80" s="43"/>
      <c r="H80" s="43"/>
    </row>
    <row r="81" spans="1:8" customFormat="1" ht="40.950000000000003" customHeight="1">
      <c r="A81" s="57" t="s">
        <v>113</v>
      </c>
      <c r="B81" s="57"/>
      <c r="C81" s="57"/>
      <c r="D81" s="57"/>
      <c r="E81" s="57"/>
      <c r="F81" s="57"/>
      <c r="G81" s="57"/>
      <c r="H81" s="57"/>
    </row>
    <row r="82" spans="1:8" customFormat="1" ht="52.05" customHeight="1">
      <c r="A82" s="44" t="s">
        <v>133</v>
      </c>
      <c r="B82" s="44"/>
      <c r="C82" s="44"/>
      <c r="D82" s="44"/>
      <c r="E82" s="44"/>
      <c r="F82" s="44"/>
      <c r="G82" s="44"/>
      <c r="H82" s="44"/>
    </row>
    <row r="83" spans="1:8" customFormat="1"/>
    <row r="84" spans="1:8" customFormat="1"/>
  </sheetData>
  <mergeCells count="7">
    <mergeCell ref="A80:H80"/>
    <mergeCell ref="A81:H81"/>
    <mergeCell ref="A82:H82"/>
    <mergeCell ref="A9:A10"/>
    <mergeCell ref="B9:B10"/>
    <mergeCell ref="C9:H9"/>
    <mergeCell ref="A77:H77"/>
  </mergeCells>
  <pageMargins left="0.7" right="0.7" top="0.75" bottom="0.75" header="0.3" footer="0.3"/>
  <pageSetup paperSize="9" orientation="portrait" r:id="rId1"/>
  <ignoredErrors>
    <ignoredError sqref="C67:C71"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7:H86"/>
  <sheetViews>
    <sheetView showGridLines="0" zoomScale="80" zoomScaleNormal="80" workbookViewId="0">
      <pane ySplit="10" topLeftCell="A11" activePane="bottomLeft" state="frozen"/>
      <selection pane="bottomLeft" activeCell="A9" sqref="A9:A10"/>
    </sheetView>
  </sheetViews>
  <sheetFormatPr baseColWidth="10" defaultColWidth="11.44140625" defaultRowHeight="14.4"/>
  <cols>
    <col min="1" max="1" width="64.21875" style="1" customWidth="1"/>
    <col min="2" max="8" width="24.77734375" style="1" customWidth="1"/>
    <col min="9" max="16384" width="11.44140625" style="1"/>
  </cols>
  <sheetData>
    <row r="7" spans="1:8" ht="21" customHeight="1"/>
    <row r="8" spans="1:8" ht="21" customHeight="1"/>
    <row r="9" spans="1:8" s="27" customFormat="1" ht="15.6">
      <c r="A9" s="52" t="s">
        <v>0</v>
      </c>
      <c r="B9" s="54" t="s">
        <v>1</v>
      </c>
      <c r="C9" s="58" t="s">
        <v>2</v>
      </c>
      <c r="D9" s="58"/>
      <c r="E9" s="58"/>
      <c r="F9" s="58"/>
      <c r="G9" s="58"/>
      <c r="H9" s="58"/>
    </row>
    <row r="10" spans="1:8" s="32" customFormat="1" ht="63" thickBot="1">
      <c r="A10" s="53"/>
      <c r="B10" s="55"/>
      <c r="C10" s="29" t="s">
        <v>39</v>
      </c>
      <c r="D10" s="29" t="s">
        <v>48</v>
      </c>
      <c r="E10" s="29" t="s">
        <v>89</v>
      </c>
      <c r="F10" s="29" t="s">
        <v>90</v>
      </c>
      <c r="G10" s="29" t="s">
        <v>105</v>
      </c>
      <c r="H10" s="29" t="s">
        <v>106</v>
      </c>
    </row>
    <row r="11" spans="1:8" ht="16.2" thickTop="1">
      <c r="A11" s="7"/>
      <c r="B11" s="7"/>
      <c r="C11" s="7"/>
      <c r="D11" s="7"/>
      <c r="E11" s="7"/>
    </row>
    <row r="12" spans="1:8" ht="15.6">
      <c r="A12" s="23" t="s">
        <v>3</v>
      </c>
      <c r="B12" s="7"/>
      <c r="C12" s="7"/>
      <c r="D12" s="7"/>
      <c r="E12" s="7"/>
    </row>
    <row r="13" spans="1:8" ht="15.6">
      <c r="A13" s="24"/>
      <c r="B13" s="7"/>
      <c r="C13" s="7"/>
      <c r="D13" s="7"/>
      <c r="E13" s="7"/>
    </row>
    <row r="14" spans="1:8" ht="15.6">
      <c r="A14" s="23" t="s">
        <v>4</v>
      </c>
      <c r="B14" s="7"/>
      <c r="C14" s="7"/>
      <c r="D14" s="7"/>
      <c r="E14" s="7"/>
    </row>
    <row r="15" spans="1:8" ht="15.6">
      <c r="A15" s="25" t="s">
        <v>65</v>
      </c>
      <c r="B15" s="9">
        <f>+SUM(C15:H15)</f>
        <v>68339.222222222219</v>
      </c>
      <c r="C15" s="9">
        <f>(+'I Trimestre'!C15+'II trimestre'!C15+'III Trimestre'!C15)</f>
        <v>67336</v>
      </c>
      <c r="D15" s="9">
        <f>(+'I Trimestre'!D15+'II trimestre'!D15+'III Trimestre'!D15)/3</f>
        <v>856.44444444444434</v>
      </c>
      <c r="E15" s="9">
        <f>(+'I Trimestre'!E15+'II trimestre'!E15+'III Trimestre'!E15)/3</f>
        <v>0</v>
      </c>
      <c r="F15" s="9">
        <f>(+'I Trimestre'!F15+'II trimestre'!F15+'III Trimestre'!F15)/3</f>
        <v>146.77777777777777</v>
      </c>
      <c r="G15" s="9">
        <f>+'III Trimestre'!G15</f>
        <v>0</v>
      </c>
      <c r="H15" s="9">
        <f>+'III Trimestre'!H15</f>
        <v>0</v>
      </c>
    </row>
    <row r="16" spans="1:8" ht="15.6">
      <c r="A16" s="25" t="s">
        <v>114</v>
      </c>
      <c r="B16" s="9">
        <f t="shared" ref="B16:B18" si="0">+SUM(C16:H16)</f>
        <v>70653.093305691262</v>
      </c>
      <c r="C16" s="9">
        <f>(+'I Trimestre'!C16+'II trimestre'!C16+'III Trimestre'!C16)</f>
        <v>55944</v>
      </c>
      <c r="D16" s="9">
        <f>(+'I Trimestre'!D16+'II trimestre'!D16+'III Trimestre'!D16)/3</f>
        <v>4075.093305691264</v>
      </c>
      <c r="E16" s="9">
        <f>(+'II trimestre'!E16+'III Trimestre'!E16)/2</f>
        <v>351</v>
      </c>
      <c r="F16" s="9">
        <f>(+'II trimestre'!F16+'III Trimestre'!F16)/2</f>
        <v>3440</v>
      </c>
      <c r="G16" s="9">
        <f>+'III Trimestre'!G16</f>
        <v>2243</v>
      </c>
      <c r="H16" s="9">
        <f>+'III Trimestre'!H16</f>
        <v>4600</v>
      </c>
    </row>
    <row r="17" spans="1:8" ht="15.6">
      <c r="A17" s="25" t="s">
        <v>115</v>
      </c>
      <c r="B17" s="9">
        <f t="shared" si="0"/>
        <v>63856</v>
      </c>
      <c r="C17" s="9">
        <f>(+'I Trimestre'!C17+'II trimestre'!C17+'III Trimestre'!C17)</f>
        <v>51855</v>
      </c>
      <c r="D17" s="9">
        <f>(+'I Trimestre'!D17+'II trimestre'!D17+'III Trimestre'!D17)/3</f>
        <v>4023.8888888888887</v>
      </c>
      <c r="E17" s="9">
        <f>(+'I Trimestre'!E17+'II trimestre'!E17+'III Trimestre'!E17)/3</f>
        <v>315.4444444444444</v>
      </c>
      <c r="F17" s="9">
        <f>+'III Trimestre'!F17</f>
        <v>1096.6666666666667</v>
      </c>
      <c r="G17" s="9">
        <f>+'III Trimestre'!G17</f>
        <v>2136</v>
      </c>
      <c r="H17" s="9">
        <f>+'III Trimestre'!H17</f>
        <v>4429</v>
      </c>
    </row>
    <row r="18" spans="1:8" ht="15.6">
      <c r="A18" s="25" t="s">
        <v>79</v>
      </c>
      <c r="B18" s="9">
        <f t="shared" si="0"/>
        <v>89704.819979268446</v>
      </c>
      <c r="C18" s="9">
        <f>+'III Trimestre'!C18</f>
        <v>74592</v>
      </c>
      <c r="D18" s="9">
        <f>+'III Trimestre'!D18</f>
        <v>4478.8199792684482</v>
      </c>
      <c r="E18" s="9">
        <f>+'III Trimestre'!E18</f>
        <v>351</v>
      </c>
      <c r="F18" s="9">
        <f>+'III Trimestre'!F18</f>
        <v>3440</v>
      </c>
      <c r="G18" s="9">
        <f>+'III Trimestre'!G18</f>
        <v>2243</v>
      </c>
      <c r="H18" s="9">
        <f>+'III Trimestre'!H18</f>
        <v>4600</v>
      </c>
    </row>
    <row r="19" spans="1:8" ht="15.6">
      <c r="A19" s="24"/>
      <c r="B19" s="9"/>
      <c r="C19" s="9"/>
      <c r="D19" s="9"/>
      <c r="E19" s="9"/>
    </row>
    <row r="20" spans="1:8" ht="15.6">
      <c r="A20" s="26" t="s">
        <v>5</v>
      </c>
      <c r="B20" s="9"/>
      <c r="C20" s="9"/>
      <c r="D20" s="9"/>
      <c r="E20" s="9"/>
    </row>
    <row r="21" spans="1:8" ht="15.6">
      <c r="A21" s="25" t="s">
        <v>65</v>
      </c>
      <c r="B21" s="9">
        <f>SUM(C21:H21)</f>
        <v>8096121551.3199987</v>
      </c>
      <c r="C21" s="9">
        <f>+'I Trimestre'!C21+'II trimestre'!C21+'III Trimestre'!C21</f>
        <v>7113015233.0299988</v>
      </c>
      <c r="D21" s="9">
        <f>+'I Trimestre'!D21+'II trimestre'!D21+'III Trimestre'!D21</f>
        <v>930067064.43000007</v>
      </c>
      <c r="E21" s="9">
        <f>+'I Trimestre'!E21+'II trimestre'!E21+'III Trimestre'!E21</f>
        <v>0</v>
      </c>
      <c r="F21" s="9">
        <f>+'I Trimestre'!F21+'II trimestre'!F21+'III Trimestre'!F21</f>
        <v>53039253.859999992</v>
      </c>
      <c r="G21" s="9">
        <f>+'I Trimestre'!G21+'II trimestre'!G21+'III Trimestre'!G21</f>
        <v>0</v>
      </c>
      <c r="H21" s="9">
        <f>+'I Trimestre'!H21+'II trimestre'!H21+'III Trimestre'!H21</f>
        <v>0</v>
      </c>
    </row>
    <row r="22" spans="1:8" ht="15.6">
      <c r="A22" s="25" t="s">
        <v>114</v>
      </c>
      <c r="B22" s="9">
        <f t="shared" ref="B22:B25" si="1">SUM(C22:H22)</f>
        <v>17273972467.010239</v>
      </c>
      <c r="C22" s="9">
        <f>+'I Trimestre'!C22+'II trimestre'!C22+'III Trimestre'!C22</f>
        <v>7754216312.3399992</v>
      </c>
      <c r="D22" s="9">
        <f>+'I Trimestre'!D22+'II trimestre'!D22+'III Trimestre'!D22</f>
        <v>4053905007.29</v>
      </c>
      <c r="E22" s="9">
        <f>+'I Trimestre'!E22+'II trimestre'!E22+'III Trimestre'!E22</f>
        <v>1898916149.25</v>
      </c>
      <c r="F22" s="9">
        <f>+'I Trimestre'!F22+'II trimestre'!F22+'III Trimestre'!F22</f>
        <v>314479138.81999999</v>
      </c>
      <c r="G22" s="9">
        <f>+'I Trimestre'!G22+'II trimestre'!G22+'III Trimestre'!G22</f>
        <v>2229978359.1902399</v>
      </c>
      <c r="H22" s="9">
        <f>+'I Trimestre'!H22+'II trimestre'!H22+'III Trimestre'!H22</f>
        <v>1022477500.12</v>
      </c>
    </row>
    <row r="23" spans="1:8" ht="15.6">
      <c r="A23" s="25" t="s">
        <v>115</v>
      </c>
      <c r="B23" s="9">
        <f t="shared" si="1"/>
        <v>15463188857.970001</v>
      </c>
      <c r="C23" s="9">
        <f>+'I Trimestre'!C23+'II trimestre'!C23+'III Trimestre'!C23</f>
        <v>6773390081.2399998</v>
      </c>
      <c r="D23" s="9">
        <f>+'I Trimestre'!D23+'II trimestre'!D23+'III Trimestre'!D23</f>
        <v>3858911659.2000003</v>
      </c>
      <c r="E23" s="9">
        <f>+'I Trimestre'!E23+'II trimestre'!E23+'III Trimestre'!E23</f>
        <v>1576344668.0699997</v>
      </c>
      <c r="F23" s="9">
        <f>+'I Trimestre'!F23+'II trimestre'!F23+'III Trimestre'!F23</f>
        <v>82984865.260000005</v>
      </c>
      <c r="G23" s="9">
        <f>+'I Trimestre'!G23+'II trimestre'!G23+'III Trimestre'!G23</f>
        <v>2191067584.1999998</v>
      </c>
      <c r="H23" s="9">
        <f>+'I Trimestre'!H23+'II trimestre'!H23+'III Trimestre'!H23</f>
        <v>980490000</v>
      </c>
    </row>
    <row r="24" spans="1:8" ht="15.6">
      <c r="A24" s="25" t="s">
        <v>79</v>
      </c>
      <c r="B24" s="9">
        <f t="shared" si="1"/>
        <v>29827000980.380478</v>
      </c>
      <c r="C24" s="9">
        <f>+'III Trimestre'!C24</f>
        <v>11030265854.059999</v>
      </c>
      <c r="D24" s="9">
        <f>+'III Trimestre'!D24</f>
        <v>6785668495.9400005</v>
      </c>
      <c r="E24" s="9">
        <f>+'III Trimestre'!E24</f>
        <v>2701182056.0500002</v>
      </c>
      <c r="F24" s="9">
        <f>+'III Trimestre'!F24</f>
        <v>471718708.23000002</v>
      </c>
      <c r="G24" s="9">
        <f>+'III Trimestre'!G24</f>
        <v>5770733365.7404804</v>
      </c>
      <c r="H24" s="9">
        <f>+'III Trimestre'!H24</f>
        <v>3067432500.3600001</v>
      </c>
    </row>
    <row r="25" spans="1:8" ht="15.6">
      <c r="A25" s="25" t="s">
        <v>116</v>
      </c>
      <c r="B25" s="9">
        <f t="shared" si="1"/>
        <v>15463188857.970001</v>
      </c>
      <c r="C25" s="9">
        <f t="shared" ref="C25" si="2">C23</f>
        <v>6773390081.2399998</v>
      </c>
      <c r="D25" s="9">
        <f t="shared" ref="D25:F25" si="3">D23</f>
        <v>3858911659.2000003</v>
      </c>
      <c r="E25" s="9">
        <f t="shared" si="3"/>
        <v>1576344668.0699997</v>
      </c>
      <c r="F25" s="9">
        <f t="shared" si="3"/>
        <v>82984865.260000005</v>
      </c>
      <c r="G25" s="9">
        <f t="shared" ref="G25:H25" si="4">G23</f>
        <v>2191067584.1999998</v>
      </c>
      <c r="H25" s="9">
        <f t="shared" si="4"/>
        <v>980490000</v>
      </c>
    </row>
    <row r="26" spans="1:8" ht="15.6">
      <c r="A26" s="24"/>
      <c r="B26" s="9"/>
      <c r="C26" s="9"/>
      <c r="D26" s="9"/>
      <c r="E26" s="9"/>
    </row>
    <row r="27" spans="1:8" ht="15.6">
      <c r="A27" s="23" t="s">
        <v>6</v>
      </c>
      <c r="B27" s="9"/>
      <c r="C27" s="9"/>
      <c r="D27" s="9"/>
      <c r="E27" s="9"/>
    </row>
    <row r="28" spans="1:8" ht="15.6">
      <c r="A28" s="25" t="s">
        <v>114</v>
      </c>
      <c r="B28" s="9">
        <f>'I Trimestre'!B28+'II trimestre'!B28+'III Trimestre'!B28</f>
        <v>17273972467.010239</v>
      </c>
      <c r="C28" s="9"/>
      <c r="D28" s="9"/>
      <c r="E28" s="9"/>
    </row>
    <row r="29" spans="1:8" ht="15.6">
      <c r="A29" s="25" t="s">
        <v>115</v>
      </c>
      <c r="B29" s="9">
        <f>'I Trimestre'!B29+'II trimestre'!B29+'III Trimestre'!B29</f>
        <v>12621592170.68</v>
      </c>
      <c r="C29" s="9"/>
      <c r="D29" s="9"/>
      <c r="E29" s="9"/>
    </row>
    <row r="30" spans="1:8" ht="15.6">
      <c r="A30" s="24"/>
      <c r="B30" s="15"/>
      <c r="C30" s="15"/>
      <c r="D30" s="15"/>
      <c r="E30" s="15"/>
    </row>
    <row r="31" spans="1:8" ht="15.6">
      <c r="A31" s="23" t="s">
        <v>7</v>
      </c>
      <c r="B31" s="15"/>
      <c r="C31" s="15"/>
      <c r="D31" s="15"/>
      <c r="E31" s="15"/>
    </row>
    <row r="32" spans="1:8" ht="15.6">
      <c r="A32" s="25" t="s">
        <v>66</v>
      </c>
      <c r="B32" s="37">
        <v>1.0863</v>
      </c>
      <c r="C32" s="37">
        <v>1.0863</v>
      </c>
      <c r="D32" s="37">
        <v>1.0863</v>
      </c>
      <c r="E32" s="37">
        <v>1.0863</v>
      </c>
      <c r="F32" s="37">
        <v>1.0863</v>
      </c>
      <c r="G32" s="37">
        <v>1.0863</v>
      </c>
      <c r="H32" s="37">
        <v>1.0863</v>
      </c>
    </row>
    <row r="33" spans="1:8" ht="15.6">
      <c r="A33" s="25" t="s">
        <v>117</v>
      </c>
      <c r="B33" s="37">
        <v>1.1197999999999999</v>
      </c>
      <c r="C33" s="37">
        <v>1.1197999999999999</v>
      </c>
      <c r="D33" s="37">
        <v>1.1197999999999999</v>
      </c>
      <c r="E33" s="37">
        <v>1.1197999999999999</v>
      </c>
      <c r="F33" s="37">
        <v>1.1197999999999999</v>
      </c>
      <c r="G33" s="37">
        <v>1.1197999999999999</v>
      </c>
      <c r="H33" s="37">
        <v>1.1197999999999999</v>
      </c>
    </row>
    <row r="34" spans="1:8" ht="15.6">
      <c r="A34" s="25" t="s">
        <v>8</v>
      </c>
      <c r="B34" s="38" t="s">
        <v>36</v>
      </c>
      <c r="C34" s="38" t="s">
        <v>36</v>
      </c>
      <c r="D34" s="38" t="s">
        <v>36</v>
      </c>
      <c r="E34" s="38" t="s">
        <v>36</v>
      </c>
      <c r="F34" s="38" t="s">
        <v>36</v>
      </c>
      <c r="G34" s="38" t="s">
        <v>36</v>
      </c>
      <c r="H34" s="38" t="s">
        <v>36</v>
      </c>
    </row>
    <row r="35" spans="1:8" ht="15.6">
      <c r="A35" s="24"/>
      <c r="B35" s="15"/>
      <c r="C35" s="15"/>
      <c r="D35" s="15"/>
      <c r="E35" s="15"/>
    </row>
    <row r="36" spans="1:8" ht="15.6">
      <c r="A36" s="23" t="s">
        <v>9</v>
      </c>
      <c r="B36" s="15"/>
      <c r="C36" s="15"/>
      <c r="D36" s="15"/>
      <c r="E36" s="15"/>
    </row>
    <row r="37" spans="1:8" ht="15.6">
      <c r="A37" s="25" t="s">
        <v>67</v>
      </c>
      <c r="B37" s="16">
        <f>B21/B32</f>
        <v>7452933398.9873867</v>
      </c>
      <c r="C37" s="16">
        <f t="shared" ref="C37:H37" si="5">C21/C32</f>
        <v>6547928963.4815416</v>
      </c>
      <c r="D37" s="16">
        <f t="shared" si="5"/>
        <v>856178831.28969896</v>
      </c>
      <c r="E37" s="16">
        <f t="shared" si="5"/>
        <v>0</v>
      </c>
      <c r="F37" s="16">
        <f t="shared" si="5"/>
        <v>48825604.216146544</v>
      </c>
      <c r="G37" s="16">
        <f t="shared" si="5"/>
        <v>0</v>
      </c>
      <c r="H37" s="16">
        <f t="shared" si="5"/>
        <v>0</v>
      </c>
    </row>
    <row r="38" spans="1:8" ht="15.6">
      <c r="A38" s="25" t="s">
        <v>118</v>
      </c>
      <c r="B38" s="16">
        <f>B23/B33</f>
        <v>13808884495.418827</v>
      </c>
      <c r="C38" s="16">
        <f t="shared" ref="C38:H38" si="6">C23/C33</f>
        <v>6048749849.2945175</v>
      </c>
      <c r="D38" s="16">
        <f t="shared" si="6"/>
        <v>3446072208.6086807</v>
      </c>
      <c r="E38" s="16">
        <f t="shared" si="6"/>
        <v>1407701971.8431861</v>
      </c>
      <c r="F38" s="16">
        <f t="shared" si="6"/>
        <v>74106863.064833015</v>
      </c>
      <c r="G38" s="16">
        <f t="shared" si="6"/>
        <v>1956659746.5618861</v>
      </c>
      <c r="H38" s="16">
        <f t="shared" si="6"/>
        <v>875593856.04572248</v>
      </c>
    </row>
    <row r="39" spans="1:8" ht="15.6">
      <c r="A39" s="25" t="s">
        <v>68</v>
      </c>
      <c r="B39" s="9">
        <f>B37/B15</f>
        <v>109057.9195465862</v>
      </c>
      <c r="C39" s="9">
        <f t="shared" ref="C39:F39" si="7">C37/C15</f>
        <v>97242.618561862037</v>
      </c>
      <c r="D39" s="9">
        <f t="shared" si="7"/>
        <v>999689.86528376897</v>
      </c>
      <c r="E39" s="9" t="s">
        <v>36</v>
      </c>
      <c r="F39" s="9">
        <f t="shared" si="7"/>
        <v>332649.83947412483</v>
      </c>
      <c r="G39" s="9" t="s">
        <v>36</v>
      </c>
      <c r="H39" s="9" t="s">
        <v>36</v>
      </c>
    </row>
    <row r="40" spans="1:8" ht="15.6">
      <c r="A40" s="25" t="s">
        <v>119</v>
      </c>
      <c r="B40" s="9">
        <f>B38/B17</f>
        <v>216250.38360402823</v>
      </c>
      <c r="C40" s="9">
        <f t="shared" ref="C40:H40" si="8">C38/C17</f>
        <v>116647.37921694182</v>
      </c>
      <c r="D40" s="9">
        <f t="shared" si="8"/>
        <v>856403.42061240168</v>
      </c>
      <c r="E40" s="9">
        <f t="shared" si="8"/>
        <v>4462598.7131344406</v>
      </c>
      <c r="F40" s="9">
        <f t="shared" si="8"/>
        <v>67574.647171580247</v>
      </c>
      <c r="G40" s="9">
        <f t="shared" si="8"/>
        <v>916039.20719189418</v>
      </c>
      <c r="H40" s="9">
        <f t="shared" si="8"/>
        <v>197695.60985453206</v>
      </c>
    </row>
    <row r="41" spans="1:8" ht="15.6">
      <c r="A41" s="24"/>
      <c r="B41" s="15"/>
      <c r="C41" s="15"/>
      <c r="D41" s="15"/>
      <c r="E41" s="15"/>
      <c r="F41" s="15"/>
      <c r="G41" s="15"/>
      <c r="H41" s="15"/>
    </row>
    <row r="42" spans="1:8" ht="15.6">
      <c r="A42" s="23" t="s">
        <v>10</v>
      </c>
      <c r="B42" s="15"/>
      <c r="C42" s="15"/>
      <c r="D42" s="15"/>
      <c r="E42" s="15"/>
      <c r="F42" s="15"/>
      <c r="G42" s="15"/>
      <c r="H42" s="15"/>
    </row>
    <row r="43" spans="1:8" ht="15.6">
      <c r="A43" s="24"/>
      <c r="B43" s="15"/>
      <c r="C43" s="15"/>
      <c r="D43" s="15"/>
      <c r="E43" s="15"/>
      <c r="F43" s="15"/>
      <c r="G43" s="15"/>
      <c r="H43" s="15"/>
    </row>
    <row r="44" spans="1:8" ht="15.6">
      <c r="A44" s="23" t="s">
        <v>11</v>
      </c>
      <c r="B44" s="15"/>
      <c r="C44" s="15"/>
      <c r="D44" s="15"/>
      <c r="E44" s="15"/>
      <c r="F44" s="15"/>
      <c r="G44" s="15"/>
      <c r="H44" s="15"/>
    </row>
    <row r="45" spans="1:8" ht="15.6">
      <c r="A45" s="24" t="s">
        <v>12</v>
      </c>
      <c r="B45" s="21" t="s">
        <v>35</v>
      </c>
      <c r="C45" s="21" t="s">
        <v>35</v>
      </c>
      <c r="D45" s="21" t="s">
        <v>35</v>
      </c>
      <c r="E45" s="21" t="s">
        <v>35</v>
      </c>
      <c r="F45" s="21" t="s">
        <v>35</v>
      </c>
      <c r="G45" s="21" t="s">
        <v>35</v>
      </c>
      <c r="H45" s="21" t="s">
        <v>35</v>
      </c>
    </row>
    <row r="46" spans="1:8" ht="15.6">
      <c r="A46" s="24" t="s">
        <v>13</v>
      </c>
      <c r="B46" s="21" t="s">
        <v>35</v>
      </c>
      <c r="C46" s="21" t="s">
        <v>35</v>
      </c>
      <c r="D46" s="21" t="s">
        <v>35</v>
      </c>
      <c r="E46" s="21" t="s">
        <v>35</v>
      </c>
      <c r="F46" s="21" t="s">
        <v>35</v>
      </c>
      <c r="G46" s="21" t="s">
        <v>35</v>
      </c>
      <c r="H46" s="21" t="s">
        <v>35</v>
      </c>
    </row>
    <row r="47" spans="1:8" ht="15.6">
      <c r="A47" s="24"/>
      <c r="B47" s="15"/>
      <c r="C47" s="15"/>
      <c r="D47" s="15"/>
      <c r="E47" s="15"/>
      <c r="F47" s="15"/>
      <c r="G47" s="15"/>
      <c r="H47" s="15"/>
    </row>
    <row r="48" spans="1:8" ht="15.6">
      <c r="A48" s="23" t="s">
        <v>14</v>
      </c>
      <c r="B48" s="15"/>
      <c r="C48" s="15"/>
      <c r="D48" s="15"/>
      <c r="E48" s="15"/>
      <c r="F48" s="15"/>
      <c r="G48" s="15"/>
      <c r="H48" s="15"/>
    </row>
    <row r="49" spans="1:8" ht="15.6">
      <c r="A49" s="24" t="s">
        <v>15</v>
      </c>
      <c r="B49" s="11">
        <f t="shared" ref="B49" si="9">B17/B16*100</f>
        <v>90.379623895187976</v>
      </c>
      <c r="C49" s="11">
        <f t="shared" ref="C49:H49" si="10">C17/C16*100</f>
        <v>92.690905190905198</v>
      </c>
      <c r="D49" s="11">
        <f t="shared" si="10"/>
        <v>98.743478665117607</v>
      </c>
      <c r="E49" s="11">
        <f t="shared" si="10"/>
        <v>89.870212092434301</v>
      </c>
      <c r="F49" s="11">
        <f t="shared" si="10"/>
        <v>31.879844961240313</v>
      </c>
      <c r="G49" s="11">
        <f t="shared" si="10"/>
        <v>95.229603209986621</v>
      </c>
      <c r="H49" s="11">
        <f t="shared" si="10"/>
        <v>96.282608695652172</v>
      </c>
    </row>
    <row r="50" spans="1:8" ht="15.6">
      <c r="A50" s="24" t="s">
        <v>16</v>
      </c>
      <c r="B50" s="11">
        <f t="shared" ref="B50" si="11">B23/B22*100</f>
        <v>89.517271649596154</v>
      </c>
      <c r="C50" s="11">
        <f t="shared" ref="C50:H50" si="12">C23/C22*100</f>
        <v>87.351059196799554</v>
      </c>
      <c r="D50" s="11">
        <f t="shared" si="12"/>
        <v>95.189987240960264</v>
      </c>
      <c r="E50" s="11">
        <f t="shared" si="12"/>
        <v>83.012863347999655</v>
      </c>
      <c r="F50" s="11">
        <f t="shared" si="12"/>
        <v>26.38803501287202</v>
      </c>
      <c r="G50" s="11">
        <f t="shared" si="12"/>
        <v>98.255105264592373</v>
      </c>
      <c r="H50" s="11">
        <f t="shared" si="12"/>
        <v>95.893552658608897</v>
      </c>
    </row>
    <row r="51" spans="1:8" ht="15.6">
      <c r="A51" s="24" t="s">
        <v>17</v>
      </c>
      <c r="B51" s="11">
        <f t="shared" ref="B51" si="13">AVERAGE(B49:B50)</f>
        <v>89.948447772392058</v>
      </c>
      <c r="C51" s="11">
        <f t="shared" ref="C51:H51" si="14">AVERAGE(C49:C50)</f>
        <v>90.020982193852376</v>
      </c>
      <c r="D51" s="11">
        <f t="shared" si="14"/>
        <v>96.966732953038928</v>
      </c>
      <c r="E51" s="11">
        <f t="shared" si="14"/>
        <v>86.441537720216985</v>
      </c>
      <c r="F51" s="11">
        <f t="shared" si="14"/>
        <v>29.133939987056166</v>
      </c>
      <c r="G51" s="11">
        <f t="shared" si="14"/>
        <v>96.742354237289504</v>
      </c>
      <c r="H51" s="11">
        <f t="shared" si="14"/>
        <v>96.088080677130534</v>
      </c>
    </row>
    <row r="52" spans="1:8" ht="15.6">
      <c r="A52" s="24"/>
      <c r="B52" s="11"/>
      <c r="C52" s="11"/>
      <c r="D52" s="11"/>
      <c r="E52" s="11"/>
      <c r="F52" s="11"/>
      <c r="G52" s="11"/>
      <c r="H52" s="11"/>
    </row>
    <row r="53" spans="1:8" ht="15.6">
      <c r="A53" s="23" t="s">
        <v>18</v>
      </c>
      <c r="B53" s="11"/>
      <c r="C53" s="11"/>
      <c r="D53" s="11"/>
      <c r="E53" s="11"/>
      <c r="F53" s="11"/>
      <c r="G53" s="11"/>
      <c r="H53" s="11"/>
    </row>
    <row r="54" spans="1:8" ht="15.6">
      <c r="A54" s="24" t="s">
        <v>19</v>
      </c>
      <c r="B54" s="11">
        <f>B17/(B18)*100</f>
        <v>71.184580733518743</v>
      </c>
      <c r="C54" s="11">
        <f t="shared" ref="C54:H54" si="15">C17/(C18)*100</f>
        <v>69.518178893178899</v>
      </c>
      <c r="D54" s="11">
        <f t="shared" si="15"/>
        <v>89.842612730912535</v>
      </c>
      <c r="E54" s="11">
        <f t="shared" si="15"/>
        <v>89.870212092434301</v>
      </c>
      <c r="F54" s="11">
        <f t="shared" si="15"/>
        <v>31.879844961240313</v>
      </c>
      <c r="G54" s="11">
        <f t="shared" si="15"/>
        <v>95.229603209986621</v>
      </c>
      <c r="H54" s="11">
        <f t="shared" si="15"/>
        <v>96.282608695652172</v>
      </c>
    </row>
    <row r="55" spans="1:8" ht="15.6">
      <c r="A55" s="24" t="s">
        <v>20</v>
      </c>
      <c r="B55" s="11">
        <f>B23/B24*100</f>
        <v>51.842922015999314</v>
      </c>
      <c r="C55" s="11">
        <f t="shared" ref="C55:H55" si="16">C23/C24*100</f>
        <v>61.407314844971417</v>
      </c>
      <c r="D55" s="11">
        <f t="shared" si="16"/>
        <v>56.868555566910814</v>
      </c>
      <c r="E55" s="11">
        <f t="shared" si="16"/>
        <v>58.357586988235965</v>
      </c>
      <c r="F55" s="11">
        <f t="shared" si="16"/>
        <v>17.592023341914679</v>
      </c>
      <c r="G55" s="11">
        <f t="shared" si="16"/>
        <v>37.968615864456069</v>
      </c>
      <c r="H55" s="11">
        <f t="shared" si="16"/>
        <v>31.96451755286963</v>
      </c>
    </row>
    <row r="56" spans="1:8" ht="15.6">
      <c r="A56" s="24" t="s">
        <v>21</v>
      </c>
      <c r="B56" s="11">
        <f>(B54+B55)/2</f>
        <v>61.513751374759025</v>
      </c>
      <c r="C56" s="11">
        <f t="shared" ref="C56:H56" si="17">(C54+C55)/2</f>
        <v>65.462746869075161</v>
      </c>
      <c r="D56" s="11">
        <f t="shared" si="17"/>
        <v>73.355584148911674</v>
      </c>
      <c r="E56" s="11">
        <f t="shared" si="17"/>
        <v>74.113899540335126</v>
      </c>
      <c r="F56" s="11">
        <f t="shared" si="17"/>
        <v>24.735934151577496</v>
      </c>
      <c r="G56" s="11">
        <f t="shared" si="17"/>
        <v>66.599109537221352</v>
      </c>
      <c r="H56" s="11">
        <f t="shared" si="17"/>
        <v>64.123563124260897</v>
      </c>
    </row>
    <row r="57" spans="1:8" ht="15.6">
      <c r="A57" s="24"/>
      <c r="B57" s="11"/>
      <c r="C57" s="11"/>
      <c r="D57" s="11"/>
      <c r="E57" s="11"/>
    </row>
    <row r="58" spans="1:8" ht="15.6">
      <c r="A58" s="23" t="s">
        <v>32</v>
      </c>
      <c r="B58" s="11"/>
      <c r="C58" s="11"/>
      <c r="D58" s="11"/>
      <c r="E58" s="11"/>
    </row>
    <row r="59" spans="1:8" ht="15.6">
      <c r="A59" s="24" t="s">
        <v>22</v>
      </c>
      <c r="B59" s="11">
        <f>B25/B23*100</f>
        <v>100</v>
      </c>
      <c r="C59" s="11"/>
      <c r="D59" s="11"/>
      <c r="E59" s="11"/>
    </row>
    <row r="60" spans="1:8" ht="15.6">
      <c r="A60" s="24"/>
      <c r="B60" s="11"/>
      <c r="C60" s="11"/>
      <c r="D60" s="11"/>
      <c r="E60" s="11"/>
    </row>
    <row r="61" spans="1:8" ht="15.6">
      <c r="A61" s="23" t="s">
        <v>23</v>
      </c>
      <c r="B61" s="11"/>
      <c r="C61" s="11"/>
      <c r="D61" s="11"/>
      <c r="E61" s="11"/>
    </row>
    <row r="62" spans="1:8" ht="15.6">
      <c r="A62" s="24" t="s">
        <v>24</v>
      </c>
      <c r="B62" s="11">
        <f>((B17/B15)-1)*100</f>
        <v>-6.5602476534542546</v>
      </c>
      <c r="C62" s="11">
        <f t="shared" ref="C62:F62" si="18">((C17/C15)-1)*100</f>
        <v>-22.990673636687653</v>
      </c>
      <c r="D62" s="11">
        <f t="shared" si="18"/>
        <v>369.83653347171776</v>
      </c>
      <c r="E62" s="11" t="s">
        <v>36</v>
      </c>
      <c r="F62" s="11">
        <f t="shared" si="18"/>
        <v>647.16124148372444</v>
      </c>
      <c r="G62" s="11" t="s">
        <v>36</v>
      </c>
      <c r="H62" s="11" t="s">
        <v>36</v>
      </c>
    </row>
    <row r="63" spans="1:8" ht="15.6">
      <c r="A63" s="24" t="s">
        <v>25</v>
      </c>
      <c r="B63" s="11">
        <f>((B38/B37)-1)*100</f>
        <v>85.281200785921541</v>
      </c>
      <c r="C63" s="11">
        <f t="shared" ref="C63:F63" si="19">((C38/C37)-1)*100</f>
        <v>-7.6234656327366483</v>
      </c>
      <c r="D63" s="11">
        <f t="shared" si="19"/>
        <v>302.49444189337333</v>
      </c>
      <c r="E63" s="11" t="s">
        <v>36</v>
      </c>
      <c r="F63" s="11">
        <f t="shared" si="19"/>
        <v>51.778691230872688</v>
      </c>
      <c r="G63" s="11" t="s">
        <v>36</v>
      </c>
      <c r="H63" s="11" t="s">
        <v>36</v>
      </c>
    </row>
    <row r="64" spans="1:8" ht="15.6">
      <c r="A64" s="24" t="s">
        <v>26</v>
      </c>
      <c r="B64" s="11">
        <f>((B40/B39)-1)*100</f>
        <v>98.289481867158401</v>
      </c>
      <c r="C64" s="11">
        <f t="shared" ref="C64:F64" si="20">((C40/C39)-1)*100</f>
        <v>19.954996011070204</v>
      </c>
      <c r="D64" s="11">
        <f t="shared" si="20"/>
        <v>-14.333089655829856</v>
      </c>
      <c r="E64" s="11" t="s">
        <v>36</v>
      </c>
      <c r="F64" s="11">
        <f t="shared" si="20"/>
        <v>-79.685952267884218</v>
      </c>
      <c r="G64" s="11" t="s">
        <v>36</v>
      </c>
      <c r="H64" s="11" t="s">
        <v>36</v>
      </c>
    </row>
    <row r="65" spans="1:8" ht="15.6">
      <c r="A65" s="24"/>
      <c r="B65" s="11"/>
      <c r="C65" s="11"/>
      <c r="D65" s="11"/>
      <c r="E65" s="11"/>
    </row>
    <row r="66" spans="1:8" ht="15.6">
      <c r="A66" s="23" t="s">
        <v>27</v>
      </c>
      <c r="B66" s="11"/>
      <c r="C66" s="11"/>
      <c r="D66" s="11"/>
      <c r="E66" s="11"/>
    </row>
    <row r="67" spans="1:8" ht="15.6">
      <c r="A67" s="24" t="s">
        <v>40</v>
      </c>
      <c r="B67" s="11">
        <f>B22/(B16*9)</f>
        <v>27165.551914450185</v>
      </c>
      <c r="C67" s="11">
        <f>C22/C16</f>
        <v>138606.75518983268</v>
      </c>
      <c r="D67" s="36">
        <f>D22/(D16*8)</f>
        <v>124350.06707786075</v>
      </c>
      <c r="E67" s="11">
        <f t="shared" ref="E67" si="21">E22/(E16*9)</f>
        <v>601113.05769230775</v>
      </c>
      <c r="F67" s="11">
        <f>F22/(F16*4)</f>
        <v>22854.588577034883</v>
      </c>
      <c r="G67" s="11">
        <f>G22/(G16*2)</f>
        <v>497097.27133086044</v>
      </c>
      <c r="H67" s="11">
        <f>H22/(H16*2)</f>
        <v>111138.85870869565</v>
      </c>
    </row>
    <row r="68" spans="1:8" ht="15.6">
      <c r="A68" s="24" t="s">
        <v>41</v>
      </c>
      <c r="B68" s="11">
        <f>B23/(B17*9)</f>
        <v>26906.353284421199</v>
      </c>
      <c r="C68" s="11">
        <f>C23/C17</f>
        <v>130621.73524713142</v>
      </c>
      <c r="D68" s="36">
        <f>D23/(D17*8)</f>
        <v>119875.06880022092</v>
      </c>
      <c r="E68" s="11">
        <f t="shared" ref="E68" si="22">E23/(E17*9)</f>
        <v>555246.44877421623</v>
      </c>
      <c r="F68" s="11">
        <f>F23/(F17*4)</f>
        <v>18917.522475683891</v>
      </c>
      <c r="G68" s="11">
        <f>G23/(G17*2)</f>
        <v>512890.35210674151</v>
      </c>
      <c r="H68" s="11">
        <f>H23/(H17*2)</f>
        <v>110689.7719575525</v>
      </c>
    </row>
    <row r="69" spans="1:8" ht="15.6">
      <c r="A69" s="24" t="s">
        <v>28</v>
      </c>
      <c r="B69" s="11">
        <f>(B68/B67)*B51</f>
        <v>89.090209570228524</v>
      </c>
      <c r="C69" s="11">
        <f t="shared" ref="C69:D69" si="23">(C68/C67)*C51</f>
        <v>84.834948244100161</v>
      </c>
      <c r="D69" s="11">
        <f t="shared" si="23"/>
        <v>93.477181454192447</v>
      </c>
      <c r="E69" s="11">
        <f t="shared" ref="E69:H69" si="24">(E68/E67)*E51</f>
        <v>79.845806427816569</v>
      </c>
      <c r="F69" s="11">
        <f t="shared" si="24"/>
        <v>24.115155810075183</v>
      </c>
      <c r="G69" s="11">
        <f t="shared" si="24"/>
        <v>99.81591730640055</v>
      </c>
      <c r="H69" s="11">
        <f t="shared" si="24"/>
        <v>95.699810683392542</v>
      </c>
    </row>
    <row r="70" spans="1:8" ht="15.6">
      <c r="A70" s="24" t="s">
        <v>46</v>
      </c>
      <c r="B70" s="11">
        <f t="shared" ref="B70:D71" si="25">B22/B16</f>
        <v>244489.96723005167</v>
      </c>
      <c r="C70" s="11">
        <f>(C22/C16)*9</f>
        <v>1247460.7967084942</v>
      </c>
      <c r="D70" s="11">
        <f t="shared" si="25"/>
        <v>994800.53662288596</v>
      </c>
      <c r="E70" s="11">
        <f t="shared" ref="E70:H70" si="26">E22/E16</f>
        <v>5410017.519230769</v>
      </c>
      <c r="F70" s="11">
        <f t="shared" si="26"/>
        <v>91418.354308139533</v>
      </c>
      <c r="G70" s="11">
        <f t="shared" si="26"/>
        <v>994194.54266172089</v>
      </c>
      <c r="H70" s="11">
        <f t="shared" si="26"/>
        <v>222277.71741739131</v>
      </c>
    </row>
    <row r="71" spans="1:8" ht="15.6">
      <c r="A71" s="24" t="s">
        <v>47</v>
      </c>
      <c r="B71" s="11">
        <f t="shared" si="25"/>
        <v>242157.17955979079</v>
      </c>
      <c r="C71" s="11">
        <f>(C23/C17)*9</f>
        <v>1175595.6172241827</v>
      </c>
      <c r="D71" s="11">
        <f t="shared" si="25"/>
        <v>959000.55040176737</v>
      </c>
      <c r="E71" s="11">
        <f t="shared" ref="E71:H71" si="27">E23/E17</f>
        <v>4997218.0389679465</v>
      </c>
      <c r="F71" s="11">
        <f t="shared" si="27"/>
        <v>75670.089902735563</v>
      </c>
      <c r="G71" s="11">
        <f t="shared" si="27"/>
        <v>1025780.704213483</v>
      </c>
      <c r="H71" s="11">
        <f t="shared" si="27"/>
        <v>221379.54391510499</v>
      </c>
    </row>
    <row r="72" spans="1:8" ht="15.6">
      <c r="A72" s="24"/>
      <c r="B72" s="11"/>
      <c r="C72" s="11"/>
      <c r="D72" s="11"/>
      <c r="E72" s="11"/>
    </row>
    <row r="73" spans="1:8" ht="15.6">
      <c r="A73" s="23" t="s">
        <v>29</v>
      </c>
      <c r="B73" s="11"/>
      <c r="C73" s="11"/>
      <c r="D73" s="11"/>
      <c r="E73" s="11"/>
    </row>
    <row r="74" spans="1:8" ht="15.6">
      <c r="A74" s="24" t="s">
        <v>30</v>
      </c>
      <c r="B74" s="11">
        <f>(B29/B28)*100</f>
        <v>73.067108302879745</v>
      </c>
      <c r="C74" s="11"/>
      <c r="D74" s="11"/>
      <c r="E74" s="11"/>
    </row>
    <row r="75" spans="1:8" ht="15.6">
      <c r="A75" s="24" t="s">
        <v>31</v>
      </c>
      <c r="B75" s="11">
        <f>(B23/B29)*100</f>
        <v>122.51377361004454</v>
      </c>
      <c r="C75" s="11"/>
      <c r="D75" s="11"/>
      <c r="E75" s="11"/>
    </row>
    <row r="76" spans="1:8" ht="16.2" thickBot="1">
      <c r="A76" s="17"/>
      <c r="B76" s="17"/>
      <c r="C76" s="17"/>
      <c r="D76" s="17"/>
      <c r="E76" s="17"/>
    </row>
    <row r="77" spans="1:8" s="27" customFormat="1" ht="16.5" customHeight="1" thickTop="1">
      <c r="A77" s="50" t="s">
        <v>84</v>
      </c>
      <c r="B77" s="50"/>
      <c r="C77" s="50"/>
      <c r="D77" s="50"/>
      <c r="E77" s="50"/>
      <c r="F77" s="50"/>
      <c r="G77" s="50"/>
      <c r="H77" s="50"/>
    </row>
    <row r="78" spans="1:8" customFormat="1">
      <c r="A78" s="28"/>
    </row>
    <row r="79" spans="1:8" customFormat="1" ht="15.6">
      <c r="A79" s="23" t="s">
        <v>85</v>
      </c>
      <c r="B79" s="24"/>
      <c r="C79" s="24"/>
      <c r="D79" s="24"/>
      <c r="E79" s="24"/>
      <c r="F79" s="24"/>
    </row>
    <row r="80" spans="1:8" customFormat="1" ht="19.95" customHeight="1">
      <c r="A80" s="43" t="s">
        <v>86</v>
      </c>
      <c r="B80" s="43"/>
      <c r="C80" s="43"/>
      <c r="D80" s="43"/>
      <c r="E80" s="43"/>
      <c r="F80" s="43"/>
      <c r="G80" s="43"/>
      <c r="H80" s="43"/>
    </row>
    <row r="81" spans="1:8" customFormat="1" ht="40.950000000000003" customHeight="1">
      <c r="A81" s="57" t="s">
        <v>113</v>
      </c>
      <c r="B81" s="57"/>
      <c r="C81" s="57"/>
      <c r="D81" s="57"/>
      <c r="E81" s="57"/>
      <c r="F81" s="57"/>
      <c r="G81" s="57"/>
      <c r="H81" s="57"/>
    </row>
    <row r="82" spans="1:8" customFormat="1" ht="52.05" customHeight="1">
      <c r="A82" s="44" t="s">
        <v>133</v>
      </c>
      <c r="B82" s="44"/>
      <c r="C82" s="44"/>
      <c r="D82" s="44"/>
      <c r="E82" s="44"/>
      <c r="F82" s="44"/>
      <c r="G82" s="44"/>
      <c r="H82" s="44"/>
    </row>
    <row r="83" spans="1:8" customFormat="1"/>
    <row r="84" spans="1:8" customFormat="1"/>
    <row r="85" spans="1:8" customFormat="1"/>
    <row r="86" spans="1:8" customFormat="1"/>
  </sheetData>
  <mergeCells count="7">
    <mergeCell ref="A80:H80"/>
    <mergeCell ref="A81:H81"/>
    <mergeCell ref="A82:H82"/>
    <mergeCell ref="A9:A10"/>
    <mergeCell ref="B9:B10"/>
    <mergeCell ref="C9:H9"/>
    <mergeCell ref="A77:H77"/>
  </mergeCells>
  <pageMargins left="0.7" right="0.7" top="0.75" bottom="0.75" header="0.3" footer="0.3"/>
  <pageSetup orientation="portrait" r:id="rId1"/>
  <ignoredErrors>
    <ignoredError sqref="C67:C7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9:H84"/>
  <sheetViews>
    <sheetView showGridLines="0" zoomScale="80" zoomScaleNormal="80" workbookViewId="0">
      <pane ySplit="10" topLeftCell="A11" activePane="bottomLeft" state="frozen"/>
      <selection pane="bottomLeft" activeCell="A9" sqref="A9:A10"/>
    </sheetView>
  </sheetViews>
  <sheetFormatPr baseColWidth="10" defaultColWidth="11.44140625" defaultRowHeight="14.4"/>
  <cols>
    <col min="1" max="1" width="64.21875" style="1" customWidth="1"/>
    <col min="2" max="5" width="24.77734375" style="1" customWidth="1"/>
    <col min="6" max="8" width="24.77734375" style="39" customWidth="1"/>
    <col min="9" max="16384" width="11.44140625" style="1"/>
  </cols>
  <sheetData>
    <row r="9" spans="1:8" s="4" customFormat="1" ht="15.6">
      <c r="A9" s="45" t="s">
        <v>0</v>
      </c>
      <c r="B9" s="47" t="s">
        <v>1</v>
      </c>
      <c r="C9" s="61" t="s">
        <v>2</v>
      </c>
      <c r="D9" s="61"/>
      <c r="E9" s="61"/>
      <c r="F9" s="61"/>
      <c r="G9" s="61"/>
      <c r="H9" s="61"/>
    </row>
    <row r="10" spans="1:8" s="3" customFormat="1" ht="63" thickBot="1">
      <c r="A10" s="46"/>
      <c r="B10" s="48"/>
      <c r="C10" s="5" t="s">
        <v>39</v>
      </c>
      <c r="D10" s="5" t="s">
        <v>48</v>
      </c>
      <c r="E10" s="5" t="s">
        <v>89</v>
      </c>
      <c r="F10" s="5" t="s">
        <v>90</v>
      </c>
      <c r="G10" s="5" t="s">
        <v>105</v>
      </c>
      <c r="H10" s="5" t="s">
        <v>106</v>
      </c>
    </row>
    <row r="11" spans="1:8" ht="16.2" thickTop="1">
      <c r="A11" s="7"/>
      <c r="B11" s="7"/>
      <c r="C11" s="7"/>
      <c r="D11" s="7"/>
      <c r="E11" s="7"/>
      <c r="F11" s="7"/>
      <c r="G11" s="7"/>
      <c r="H11" s="7"/>
    </row>
    <row r="12" spans="1:8" ht="15.6">
      <c r="A12" s="6" t="s">
        <v>3</v>
      </c>
      <c r="B12" s="7"/>
      <c r="C12" s="7"/>
      <c r="D12" s="7"/>
      <c r="E12" s="7"/>
      <c r="F12" s="7"/>
      <c r="G12" s="7"/>
      <c r="H12" s="7"/>
    </row>
    <row r="13" spans="1:8" ht="15.6">
      <c r="A13" s="7"/>
      <c r="B13" s="7"/>
      <c r="C13" s="7"/>
      <c r="D13" s="7"/>
      <c r="E13" s="7"/>
      <c r="F13" s="7"/>
      <c r="G13" s="7"/>
      <c r="H13" s="7"/>
    </row>
    <row r="14" spans="1:8" ht="15.6">
      <c r="A14" s="6" t="s">
        <v>4</v>
      </c>
      <c r="B14" s="7"/>
      <c r="C14" s="7"/>
      <c r="D14" s="7"/>
      <c r="E14" s="7"/>
      <c r="F14" s="7"/>
      <c r="G14" s="7"/>
      <c r="H14" s="7"/>
    </row>
    <row r="15" spans="1:8" ht="15.6">
      <c r="A15" s="8" t="s">
        <v>69</v>
      </c>
      <c r="B15" s="9">
        <f>+SUM(C15:H15)</f>
        <v>27804.666666666668</v>
      </c>
      <c r="C15" s="9">
        <v>26483</v>
      </c>
      <c r="D15" s="9">
        <v>0</v>
      </c>
      <c r="E15" s="9">
        <v>0</v>
      </c>
      <c r="F15" s="9">
        <v>1321.6666666666667</v>
      </c>
      <c r="G15" s="9">
        <v>0</v>
      </c>
      <c r="H15" s="9">
        <v>0</v>
      </c>
    </row>
    <row r="16" spans="1:8" ht="15.6">
      <c r="A16" s="8" t="s">
        <v>120</v>
      </c>
      <c r="B16" s="9">
        <f>+SUM(C16:H16)</f>
        <v>34972</v>
      </c>
      <c r="C16" s="9">
        <v>18648</v>
      </c>
      <c r="D16" s="9">
        <v>5690</v>
      </c>
      <c r="E16" s="9">
        <v>351</v>
      </c>
      <c r="F16" s="9">
        <v>3440</v>
      </c>
      <c r="G16" s="9">
        <v>2243</v>
      </c>
      <c r="H16" s="9">
        <v>4600</v>
      </c>
    </row>
    <row r="17" spans="1:8" ht="15.6">
      <c r="A17" s="8" t="s">
        <v>121</v>
      </c>
      <c r="B17" s="9">
        <f t="shared" ref="B17" si="0">+SUM(C17:H17)</f>
        <v>29511.333333333332</v>
      </c>
      <c r="C17" s="9">
        <v>15614</v>
      </c>
      <c r="D17" s="9">
        <v>5706.666666666667</v>
      </c>
      <c r="E17" s="9">
        <v>306</v>
      </c>
      <c r="F17" s="9">
        <v>1204.3333333333333</v>
      </c>
      <c r="G17" s="9">
        <v>2175.3333333333335</v>
      </c>
      <c r="H17" s="9">
        <v>4505</v>
      </c>
    </row>
    <row r="18" spans="1:8" ht="15.6">
      <c r="A18" s="8" t="s">
        <v>79</v>
      </c>
      <c r="B18" s="9">
        <f>+SUM(C18:H18)</f>
        <v>89704.819979268446</v>
      </c>
      <c r="C18" s="9">
        <v>74592</v>
      </c>
      <c r="D18" s="9">
        <v>4478.8199792684482</v>
      </c>
      <c r="E18" s="9">
        <v>351</v>
      </c>
      <c r="F18" s="9">
        <v>3440</v>
      </c>
      <c r="G18" s="9">
        <v>2243</v>
      </c>
      <c r="H18" s="9">
        <v>4600</v>
      </c>
    </row>
    <row r="19" spans="1:8" ht="15.6">
      <c r="A19" s="7"/>
      <c r="B19" s="9"/>
      <c r="C19" s="9"/>
      <c r="D19" s="9"/>
      <c r="E19" s="9"/>
      <c r="F19" s="7"/>
      <c r="G19" s="7"/>
      <c r="H19" s="7"/>
    </row>
    <row r="20" spans="1:8" ht="15.6">
      <c r="A20" s="10" t="s">
        <v>5</v>
      </c>
      <c r="B20" s="9"/>
      <c r="C20" s="9"/>
      <c r="D20" s="9"/>
      <c r="E20" s="9"/>
      <c r="F20" s="7"/>
      <c r="G20" s="7"/>
      <c r="H20" s="7"/>
    </row>
    <row r="21" spans="1:8" ht="15.6">
      <c r="A21" s="8" t="s">
        <v>69</v>
      </c>
      <c r="B21" s="9">
        <f>SUM(C21:H21)</f>
        <v>3078873540.8599997</v>
      </c>
      <c r="C21" s="9">
        <v>2774627039.5799999</v>
      </c>
      <c r="D21" s="9">
        <v>786000</v>
      </c>
      <c r="E21" s="9">
        <v>0</v>
      </c>
      <c r="F21" s="9">
        <v>303460501.27999997</v>
      </c>
      <c r="G21" s="9">
        <v>0</v>
      </c>
      <c r="H21" s="9">
        <v>0</v>
      </c>
    </row>
    <row r="22" spans="1:8" ht="15.6">
      <c r="A22" s="8" t="s">
        <v>120</v>
      </c>
      <c r="B22" s="9">
        <f t="shared" ref="B22:B25" si="1">SUM(C22:H22)</f>
        <v>12553028513.370241</v>
      </c>
      <c r="C22" s="9">
        <v>3276049541.7199998</v>
      </c>
      <c r="D22" s="9">
        <v>2731763488.6500006</v>
      </c>
      <c r="E22" s="9">
        <v>802265906.79999995</v>
      </c>
      <c r="F22" s="9">
        <v>157239569.41</v>
      </c>
      <c r="G22" s="9">
        <v>3540755006.55024</v>
      </c>
      <c r="H22" s="9">
        <v>2044955000.24</v>
      </c>
    </row>
    <row r="23" spans="1:8" ht="15.6">
      <c r="A23" s="8" t="s">
        <v>121</v>
      </c>
      <c r="B23" s="9">
        <f t="shared" si="1"/>
        <v>11543917609.910002</v>
      </c>
      <c r="C23" s="9">
        <v>2768149948.1999998</v>
      </c>
      <c r="D23" s="9">
        <v>2530532323.0700006</v>
      </c>
      <c r="E23" s="9">
        <v>663783607.59000015</v>
      </c>
      <c r="F23" s="9">
        <v>324579137.59000003</v>
      </c>
      <c r="G23" s="9">
        <v>3172048843.4600005</v>
      </c>
      <c r="H23" s="9">
        <v>2084823750</v>
      </c>
    </row>
    <row r="24" spans="1:8" ht="15.6">
      <c r="A24" s="8" t="s">
        <v>79</v>
      </c>
      <c r="B24" s="9">
        <f>SUM(C24:H24)</f>
        <v>29827000980.380478</v>
      </c>
      <c r="C24" s="9">
        <v>11030265854.059999</v>
      </c>
      <c r="D24" s="9">
        <v>6785668495.9400005</v>
      </c>
      <c r="E24" s="9">
        <v>2701182056.0500002</v>
      </c>
      <c r="F24" s="9">
        <v>471718708.23000002</v>
      </c>
      <c r="G24" s="9">
        <v>5770733365.7404804</v>
      </c>
      <c r="H24" s="9">
        <v>3067432500.3600001</v>
      </c>
    </row>
    <row r="25" spans="1:8" ht="15.6">
      <c r="A25" s="8" t="s">
        <v>122</v>
      </c>
      <c r="B25" s="9">
        <f t="shared" si="1"/>
        <v>11543917609.910002</v>
      </c>
      <c r="C25" s="9">
        <f>+C23</f>
        <v>2768149948.1999998</v>
      </c>
      <c r="D25" s="9">
        <f t="shared" ref="D25" si="2">+D23</f>
        <v>2530532323.0700006</v>
      </c>
      <c r="E25" s="9">
        <f>+E23</f>
        <v>663783607.59000015</v>
      </c>
      <c r="F25" s="9">
        <f t="shared" ref="F25:H25" si="3">+F23</f>
        <v>324579137.59000003</v>
      </c>
      <c r="G25" s="9">
        <f t="shared" si="3"/>
        <v>3172048843.4600005</v>
      </c>
      <c r="H25" s="9">
        <f t="shared" si="3"/>
        <v>2084823750</v>
      </c>
    </row>
    <row r="26" spans="1:8" ht="15.6">
      <c r="A26" s="7"/>
      <c r="B26" s="9"/>
      <c r="C26" s="9"/>
      <c r="D26" s="9"/>
      <c r="E26" s="9"/>
      <c r="F26" s="7"/>
      <c r="G26" s="7"/>
      <c r="H26" s="7"/>
    </row>
    <row r="27" spans="1:8" ht="15.6">
      <c r="A27" s="14" t="s">
        <v>6</v>
      </c>
      <c r="B27" s="9"/>
      <c r="C27" s="9"/>
      <c r="D27" s="9"/>
      <c r="E27" s="9"/>
      <c r="F27" s="7"/>
      <c r="G27" s="7"/>
      <c r="H27" s="7"/>
    </row>
    <row r="28" spans="1:8" ht="15.6">
      <c r="A28" s="8" t="s">
        <v>120</v>
      </c>
      <c r="B28" s="9">
        <f>B22</f>
        <v>12553028513.370241</v>
      </c>
      <c r="C28" s="9"/>
      <c r="D28" s="9"/>
      <c r="E28" s="9"/>
      <c r="F28" s="7"/>
      <c r="G28" s="7"/>
      <c r="H28" s="7"/>
    </row>
    <row r="29" spans="1:8" ht="15.6">
      <c r="A29" s="8" t="s">
        <v>121</v>
      </c>
      <c r="B29" s="9">
        <v>17262666743.889999</v>
      </c>
      <c r="C29" s="9"/>
      <c r="D29" s="9"/>
      <c r="E29" s="9"/>
      <c r="F29" s="7"/>
      <c r="G29" s="7"/>
      <c r="H29" s="7"/>
    </row>
    <row r="30" spans="1:8" ht="15.6">
      <c r="A30" s="7"/>
      <c r="B30" s="15"/>
      <c r="C30" s="15"/>
      <c r="D30" s="15"/>
      <c r="E30" s="15"/>
      <c r="F30" s="7"/>
      <c r="G30" s="7"/>
      <c r="H30" s="7"/>
    </row>
    <row r="31" spans="1:8" ht="15.6">
      <c r="A31" s="6" t="s">
        <v>7</v>
      </c>
      <c r="B31" s="15"/>
      <c r="C31" s="15"/>
      <c r="D31" s="15"/>
      <c r="E31" s="15"/>
      <c r="F31" s="7"/>
      <c r="G31" s="7"/>
      <c r="H31" s="7"/>
    </row>
    <row r="32" spans="1:8" ht="15.6">
      <c r="A32" s="8" t="s">
        <v>70</v>
      </c>
      <c r="B32" s="12">
        <v>1.0863</v>
      </c>
      <c r="C32" s="12">
        <v>1.0863</v>
      </c>
      <c r="D32" s="12">
        <v>1.0863</v>
      </c>
      <c r="E32" s="12">
        <v>1.0863</v>
      </c>
      <c r="F32" s="12">
        <v>1.0863</v>
      </c>
      <c r="G32" s="12">
        <v>1.0863</v>
      </c>
      <c r="H32" s="12">
        <v>1.0863</v>
      </c>
    </row>
    <row r="33" spans="1:8" ht="15.6">
      <c r="A33" s="8" t="s">
        <v>123</v>
      </c>
      <c r="B33" s="12">
        <v>1.1144000000000001</v>
      </c>
      <c r="C33" s="12">
        <v>1.1144000000000001</v>
      </c>
      <c r="D33" s="12">
        <v>1.1144000000000001</v>
      </c>
      <c r="E33" s="12">
        <v>1.1144000000000001</v>
      </c>
      <c r="F33" s="12">
        <v>1.1144000000000001</v>
      </c>
      <c r="G33" s="12">
        <v>1.1144000000000001</v>
      </c>
      <c r="H33" s="12">
        <v>1.1144000000000001</v>
      </c>
    </row>
    <row r="34" spans="1:8" ht="15.6">
      <c r="A34" s="8" t="s">
        <v>8</v>
      </c>
      <c r="B34" s="20" t="s">
        <v>36</v>
      </c>
      <c r="C34" s="20" t="s">
        <v>36</v>
      </c>
      <c r="D34" s="20" t="s">
        <v>36</v>
      </c>
      <c r="E34" s="20" t="s">
        <v>36</v>
      </c>
      <c r="F34" s="20" t="s">
        <v>36</v>
      </c>
      <c r="G34" s="20" t="s">
        <v>36</v>
      </c>
      <c r="H34" s="20" t="s">
        <v>36</v>
      </c>
    </row>
    <row r="35" spans="1:8" ht="15.6">
      <c r="A35" s="7"/>
      <c r="B35" s="15"/>
      <c r="C35" s="15"/>
      <c r="D35" s="15"/>
      <c r="E35" s="15"/>
      <c r="F35" s="7"/>
      <c r="G35" s="7"/>
      <c r="H35" s="7"/>
    </row>
    <row r="36" spans="1:8" ht="15.6">
      <c r="A36" s="14" t="s">
        <v>9</v>
      </c>
      <c r="B36" s="15"/>
      <c r="C36" s="15"/>
      <c r="D36" s="15"/>
      <c r="E36" s="15"/>
      <c r="F36" s="7"/>
      <c r="G36" s="7"/>
      <c r="H36" s="7"/>
    </row>
    <row r="37" spans="1:8" ht="15.6">
      <c r="A37" s="8" t="s">
        <v>71</v>
      </c>
      <c r="B37" s="16">
        <f>B21/B32</f>
        <v>2834275560.0294576</v>
      </c>
      <c r="C37" s="16">
        <f t="shared" ref="C37:H37" si="4">C21/C32</f>
        <v>2554199612.9798398</v>
      </c>
      <c r="D37" s="16">
        <f>D21/D32</f>
        <v>723557.02844518085</v>
      </c>
      <c r="E37" s="16">
        <f t="shared" si="4"/>
        <v>0</v>
      </c>
      <c r="F37" s="16">
        <f t="shared" si="4"/>
        <v>279352390.02117276</v>
      </c>
      <c r="G37" s="16">
        <f t="shared" si="4"/>
        <v>0</v>
      </c>
      <c r="H37" s="16">
        <f t="shared" si="4"/>
        <v>0</v>
      </c>
    </row>
    <row r="38" spans="1:8" ht="15.6">
      <c r="A38" s="8" t="s">
        <v>124</v>
      </c>
      <c r="B38" s="16">
        <f>B23/B33</f>
        <v>10358863612.625629</v>
      </c>
      <c r="C38" s="16">
        <f t="shared" ref="C38:H38" si="5">C23/C33</f>
        <v>2483982365.577889</v>
      </c>
      <c r="D38" s="16">
        <f>D23/D33</f>
        <v>2270757648.1245518</v>
      </c>
      <c r="E38" s="16">
        <f t="shared" si="5"/>
        <v>595642146.07860744</v>
      </c>
      <c r="F38" s="16">
        <f t="shared" si="5"/>
        <v>291259096.90416372</v>
      </c>
      <c r="G38" s="16">
        <f t="shared" si="5"/>
        <v>2846418560.1758795</v>
      </c>
      <c r="H38" s="16">
        <f t="shared" si="5"/>
        <v>1870803795.7645369</v>
      </c>
    </row>
    <row r="39" spans="1:8" ht="15.6">
      <c r="A39" s="8" t="s">
        <v>72</v>
      </c>
      <c r="B39" s="9">
        <f>B37/B15</f>
        <v>101935.2468421173</v>
      </c>
      <c r="C39" s="9">
        <f t="shared" ref="C39:F39" si="6">C37/C15</f>
        <v>96446.76256390287</v>
      </c>
      <c r="D39" s="9" t="s">
        <v>36</v>
      </c>
      <c r="E39" s="9" t="s">
        <v>36</v>
      </c>
      <c r="F39" s="9">
        <f t="shared" si="6"/>
        <v>211363.7251105973</v>
      </c>
      <c r="G39" s="9" t="s">
        <v>36</v>
      </c>
      <c r="H39" s="9" t="s">
        <v>36</v>
      </c>
    </row>
    <row r="40" spans="1:8" ht="15.6">
      <c r="A40" s="8" t="s">
        <v>125</v>
      </c>
      <c r="B40" s="9">
        <f>B38/B17</f>
        <v>351013.06659449352</v>
      </c>
      <c r="C40" s="9">
        <f t="shared" ref="C40:H40" si="7">C38/C17</f>
        <v>159086.86855244581</v>
      </c>
      <c r="D40" s="9">
        <f t="shared" si="7"/>
        <v>397913.13927416207</v>
      </c>
      <c r="E40" s="9">
        <f t="shared" si="7"/>
        <v>1946542.9610412007</v>
      </c>
      <c r="F40" s="9">
        <f t="shared" si="7"/>
        <v>241842.59360987856</v>
      </c>
      <c r="G40" s="9">
        <f t="shared" si="7"/>
        <v>1308497.6525479066</v>
      </c>
      <c r="H40" s="9">
        <f t="shared" si="7"/>
        <v>415272.76265583502</v>
      </c>
    </row>
    <row r="41" spans="1:8" ht="15.6">
      <c r="A41" s="7"/>
      <c r="B41" s="15"/>
      <c r="C41" s="15"/>
      <c r="D41" s="15"/>
      <c r="E41" s="15"/>
      <c r="F41" s="7"/>
      <c r="G41" s="7"/>
      <c r="H41" s="7"/>
    </row>
    <row r="42" spans="1:8" ht="15.6">
      <c r="A42" s="6" t="s">
        <v>10</v>
      </c>
      <c r="B42" s="15"/>
      <c r="C42" s="15"/>
      <c r="D42" s="15"/>
      <c r="E42" s="15"/>
      <c r="F42" s="7"/>
      <c r="G42" s="7"/>
      <c r="H42" s="7"/>
    </row>
    <row r="43" spans="1:8" ht="15.6">
      <c r="A43" s="7"/>
      <c r="B43" s="15"/>
      <c r="C43" s="15"/>
      <c r="D43" s="15"/>
      <c r="E43" s="15"/>
      <c r="F43" s="7"/>
      <c r="G43" s="7"/>
      <c r="H43" s="7"/>
    </row>
    <row r="44" spans="1:8" ht="15.6">
      <c r="A44" s="6" t="s">
        <v>11</v>
      </c>
      <c r="B44" s="15"/>
      <c r="C44" s="15"/>
      <c r="D44" s="15"/>
      <c r="E44" s="15"/>
      <c r="F44" s="7"/>
      <c r="G44" s="7"/>
      <c r="H44" s="7"/>
    </row>
    <row r="45" spans="1:8" ht="15.6">
      <c r="A45" s="7" t="s">
        <v>12</v>
      </c>
      <c r="B45" s="11" t="s">
        <v>35</v>
      </c>
      <c r="C45" s="11" t="s">
        <v>35</v>
      </c>
      <c r="D45" s="11" t="s">
        <v>35</v>
      </c>
      <c r="E45" s="11" t="s">
        <v>35</v>
      </c>
      <c r="F45" s="11" t="s">
        <v>35</v>
      </c>
      <c r="G45" s="11" t="s">
        <v>35</v>
      </c>
      <c r="H45" s="11" t="s">
        <v>35</v>
      </c>
    </row>
    <row r="46" spans="1:8" ht="15.6">
      <c r="A46" s="7" t="s">
        <v>13</v>
      </c>
      <c r="B46" s="11" t="s">
        <v>35</v>
      </c>
      <c r="C46" s="11" t="s">
        <v>35</v>
      </c>
      <c r="D46" s="11" t="s">
        <v>35</v>
      </c>
      <c r="E46" s="11" t="s">
        <v>35</v>
      </c>
      <c r="F46" s="11" t="s">
        <v>35</v>
      </c>
      <c r="G46" s="11" t="s">
        <v>35</v>
      </c>
      <c r="H46" s="11" t="s">
        <v>35</v>
      </c>
    </row>
    <row r="47" spans="1:8" ht="15.6">
      <c r="A47" s="7"/>
      <c r="B47" s="11"/>
      <c r="C47" s="11"/>
      <c r="D47" s="11"/>
      <c r="E47" s="11"/>
      <c r="F47" s="7"/>
      <c r="G47" s="7"/>
      <c r="H47" s="7"/>
    </row>
    <row r="48" spans="1:8" ht="15.6">
      <c r="A48" s="6" t="s">
        <v>14</v>
      </c>
      <c r="B48" s="11"/>
      <c r="C48" s="11"/>
      <c r="D48" s="11"/>
      <c r="E48" s="11"/>
      <c r="F48" s="7"/>
      <c r="G48" s="7"/>
      <c r="H48" s="7"/>
    </row>
    <row r="49" spans="1:8" ht="15.6">
      <c r="A49" s="7" t="s">
        <v>15</v>
      </c>
      <c r="B49" s="11">
        <f>B17/B16*100</f>
        <v>84.385603721072087</v>
      </c>
      <c r="C49" s="11">
        <f t="shared" ref="C49:H49" si="8">C17/C16*100</f>
        <v>83.730158730158735</v>
      </c>
      <c r="D49" s="11">
        <f t="shared" si="8"/>
        <v>100.29291154071471</v>
      </c>
      <c r="E49" s="11">
        <f t="shared" si="8"/>
        <v>87.179487179487182</v>
      </c>
      <c r="F49" s="11">
        <f t="shared" si="8"/>
        <v>35.009689922480618</v>
      </c>
      <c r="G49" s="11">
        <f t="shared" si="8"/>
        <v>96.983207014415228</v>
      </c>
      <c r="H49" s="11">
        <f t="shared" si="8"/>
        <v>97.934782608695642</v>
      </c>
    </row>
    <row r="50" spans="1:8" ht="15.6">
      <c r="A50" s="7" t="s">
        <v>16</v>
      </c>
      <c r="B50" s="11">
        <f>B23/B22*100</f>
        <v>91.961215555390211</v>
      </c>
      <c r="C50" s="11">
        <f t="shared" ref="C50:H50" si="9">C23/C22*100</f>
        <v>84.496583856502326</v>
      </c>
      <c r="D50" s="11">
        <f t="shared" si="9"/>
        <v>92.633653447083532</v>
      </c>
      <c r="E50" s="11">
        <f t="shared" si="9"/>
        <v>82.73860349340228</v>
      </c>
      <c r="F50" s="11">
        <f t="shared" si="9"/>
        <v>206.42331876632429</v>
      </c>
      <c r="G50" s="11">
        <f t="shared" si="9"/>
        <v>89.586792579318555</v>
      </c>
      <c r="H50" s="11">
        <f t="shared" si="9"/>
        <v>101.94961501623854</v>
      </c>
    </row>
    <row r="51" spans="1:8" ht="15.6">
      <c r="A51" s="7" t="s">
        <v>17</v>
      </c>
      <c r="B51" s="11">
        <f>AVERAGE(B49:B50)</f>
        <v>88.173409638231149</v>
      </c>
      <c r="C51" s="11">
        <f t="shared" ref="C51:H51" si="10">AVERAGE(C49:C50)</f>
        <v>84.11337129333053</v>
      </c>
      <c r="D51" s="11">
        <f t="shared" si="10"/>
        <v>96.463282493899129</v>
      </c>
      <c r="E51" s="11">
        <f t="shared" si="10"/>
        <v>84.959045336444731</v>
      </c>
      <c r="F51" s="11">
        <f t="shared" si="10"/>
        <v>120.71650434440245</v>
      </c>
      <c r="G51" s="11">
        <f t="shared" si="10"/>
        <v>93.284999796866884</v>
      </c>
      <c r="H51" s="11">
        <f t="shared" si="10"/>
        <v>99.942198812467097</v>
      </c>
    </row>
    <row r="52" spans="1:8" ht="15.6">
      <c r="A52" s="7"/>
      <c r="B52" s="11"/>
      <c r="C52" s="11"/>
      <c r="D52" s="11"/>
      <c r="E52" s="11"/>
      <c r="F52" s="11"/>
      <c r="G52" s="11"/>
      <c r="H52" s="11"/>
    </row>
    <row r="53" spans="1:8" ht="15.6">
      <c r="A53" s="6" t="s">
        <v>18</v>
      </c>
      <c r="B53" s="11"/>
      <c r="C53" s="11"/>
      <c r="D53" s="11"/>
      <c r="E53" s="11"/>
      <c r="F53" s="11"/>
      <c r="G53" s="11"/>
      <c r="H53" s="11"/>
    </row>
    <row r="54" spans="1:8" ht="15.6">
      <c r="A54" s="7" t="s">
        <v>19</v>
      </c>
      <c r="B54" s="11">
        <f>B17/B18*100</f>
        <v>32.898269390823877</v>
      </c>
      <c r="C54" s="11">
        <f t="shared" ref="C54:H54" si="11">C17/C18*100</f>
        <v>20.932539682539684</v>
      </c>
      <c r="D54" s="11">
        <f t="shared" si="11"/>
        <v>127.41451304320496</v>
      </c>
      <c r="E54" s="11">
        <f t="shared" si="11"/>
        <v>87.179487179487182</v>
      </c>
      <c r="F54" s="11">
        <f t="shared" si="11"/>
        <v>35.009689922480618</v>
      </c>
      <c r="G54" s="11">
        <f t="shared" si="11"/>
        <v>96.983207014415228</v>
      </c>
      <c r="H54" s="11">
        <f t="shared" si="11"/>
        <v>97.934782608695642</v>
      </c>
    </row>
    <row r="55" spans="1:8" ht="15.6">
      <c r="A55" s="7" t="s">
        <v>20</v>
      </c>
      <c r="B55" s="11">
        <f>B23/B24*100</f>
        <v>38.702910887699801</v>
      </c>
      <c r="C55" s="11">
        <f t="shared" ref="C55:H55" si="12">C23/C24*100</f>
        <v>25.095949497727695</v>
      </c>
      <c r="D55" s="11">
        <f t="shared" si="12"/>
        <v>37.292306934594109</v>
      </c>
      <c r="E55" s="11">
        <f t="shared" si="12"/>
        <v>24.573819676585071</v>
      </c>
      <c r="F55" s="11">
        <f t="shared" si="12"/>
        <v>68.807772922108086</v>
      </c>
      <c r="G55" s="11">
        <f t="shared" si="12"/>
        <v>54.967863569849307</v>
      </c>
      <c r="H55" s="11">
        <f t="shared" si="12"/>
        <v>67.966410010825697</v>
      </c>
    </row>
    <row r="56" spans="1:8" ht="15.6">
      <c r="A56" s="7" t="s">
        <v>21</v>
      </c>
      <c r="B56" s="11">
        <f>(B54+B55)/2</f>
        <v>35.800590139261843</v>
      </c>
      <c r="C56" s="11">
        <f t="shared" ref="C56:H56" si="13">(C54+C55)/2</f>
        <v>23.014244590133689</v>
      </c>
      <c r="D56" s="11">
        <f t="shared" si="13"/>
        <v>82.353409988899529</v>
      </c>
      <c r="E56" s="11">
        <f t="shared" si="13"/>
        <v>55.876653428036128</v>
      </c>
      <c r="F56" s="11">
        <f t="shared" si="13"/>
        <v>51.908731422294352</v>
      </c>
      <c r="G56" s="11">
        <f t="shared" si="13"/>
        <v>75.975535292132264</v>
      </c>
      <c r="H56" s="11">
        <f t="shared" si="13"/>
        <v>82.95059630976067</v>
      </c>
    </row>
    <row r="57" spans="1:8" ht="15.6">
      <c r="A57" s="7"/>
      <c r="B57" s="11"/>
      <c r="C57" s="11"/>
      <c r="D57" s="11"/>
      <c r="E57" s="11"/>
      <c r="F57" s="7"/>
      <c r="G57" s="7"/>
      <c r="H57" s="7"/>
    </row>
    <row r="58" spans="1:8" ht="15.6">
      <c r="A58" s="6" t="s">
        <v>32</v>
      </c>
      <c r="B58" s="11"/>
      <c r="C58" s="11"/>
      <c r="D58" s="11"/>
      <c r="E58" s="11"/>
      <c r="F58" s="7"/>
      <c r="G58" s="7"/>
      <c r="H58" s="7"/>
    </row>
    <row r="59" spans="1:8" ht="15.6">
      <c r="A59" s="7" t="s">
        <v>22</v>
      </c>
      <c r="B59" s="11">
        <f t="shared" ref="B59" si="14">B25/B23*100</f>
        <v>100</v>
      </c>
      <c r="C59" s="11"/>
      <c r="D59" s="11"/>
      <c r="E59" s="11"/>
      <c r="F59" s="7"/>
      <c r="G59" s="7"/>
      <c r="H59" s="7"/>
    </row>
    <row r="60" spans="1:8" ht="15.6">
      <c r="A60" s="7"/>
      <c r="B60" s="11"/>
      <c r="C60" s="11"/>
      <c r="D60" s="11"/>
      <c r="E60" s="11"/>
      <c r="F60" s="7"/>
      <c r="G60" s="7"/>
      <c r="H60" s="7"/>
    </row>
    <row r="61" spans="1:8" ht="15.6">
      <c r="A61" s="6" t="s">
        <v>23</v>
      </c>
      <c r="B61" s="11"/>
      <c r="C61" s="11"/>
      <c r="D61" s="11"/>
      <c r="E61" s="11"/>
      <c r="F61" s="7"/>
      <c r="G61" s="7"/>
      <c r="H61" s="7"/>
    </row>
    <row r="62" spans="1:8" ht="15.6">
      <c r="A62" s="7" t="s">
        <v>24</v>
      </c>
      <c r="B62" s="11">
        <f>((B17/B15)-1)*100</f>
        <v>6.1380583595079807</v>
      </c>
      <c r="C62" s="11">
        <f t="shared" ref="C62:F62" si="15">((C17/C15)-1)*100</f>
        <v>-41.04142279953178</v>
      </c>
      <c r="D62" s="9" t="s">
        <v>36</v>
      </c>
      <c r="E62" s="9" t="s">
        <v>36</v>
      </c>
      <c r="F62" s="11">
        <f t="shared" si="15"/>
        <v>-8.8776796973518373</v>
      </c>
      <c r="G62" s="9" t="s">
        <v>36</v>
      </c>
      <c r="H62" s="9" t="s">
        <v>36</v>
      </c>
    </row>
    <row r="63" spans="1:8" ht="15.6">
      <c r="A63" s="7" t="s">
        <v>25</v>
      </c>
      <c r="B63" s="11">
        <f>((B38/B37)-1)*100</f>
        <v>265.48540864241039</v>
      </c>
      <c r="C63" s="11">
        <f t="shared" ref="C63:F63" si="16">((C38/C37)-1)*100</f>
        <v>-2.7490900493885917</v>
      </c>
      <c r="D63" s="11">
        <f>((D38/D37)-1)*100</f>
        <v>313732.57419309171</v>
      </c>
      <c r="E63" s="9" t="s">
        <v>36</v>
      </c>
      <c r="F63" s="11">
        <f t="shared" si="16"/>
        <v>4.2622534505928122</v>
      </c>
      <c r="G63" s="9" t="s">
        <v>36</v>
      </c>
      <c r="H63" s="9" t="s">
        <v>36</v>
      </c>
    </row>
    <row r="64" spans="1:8" ht="15.6">
      <c r="A64" s="7" t="s">
        <v>26</v>
      </c>
      <c r="B64" s="11">
        <f t="shared" ref="B64" si="17">((B40/B39)-1)*100</f>
        <v>244.34906224160238</v>
      </c>
      <c r="C64" s="11">
        <f t="shared" ref="C64:F64" si="18">((C40/C39)-1)*100</f>
        <v>64.947857577945541</v>
      </c>
      <c r="D64" s="9" t="s">
        <v>36</v>
      </c>
      <c r="E64" s="9" t="s">
        <v>36</v>
      </c>
      <c r="F64" s="11">
        <f t="shared" si="18"/>
        <v>14.420103772931236</v>
      </c>
      <c r="G64" s="9" t="s">
        <v>36</v>
      </c>
      <c r="H64" s="9" t="s">
        <v>36</v>
      </c>
    </row>
    <row r="65" spans="1:8" ht="15.6">
      <c r="A65" s="7"/>
      <c r="B65" s="11"/>
      <c r="C65" s="11"/>
      <c r="D65" s="11"/>
      <c r="E65" s="11"/>
      <c r="F65" s="7"/>
      <c r="G65" s="7"/>
      <c r="H65" s="7"/>
    </row>
    <row r="66" spans="1:8" ht="15.6">
      <c r="A66" s="6" t="s">
        <v>27</v>
      </c>
      <c r="B66" s="11"/>
      <c r="C66" s="11"/>
      <c r="D66" s="11"/>
      <c r="E66" s="11"/>
      <c r="F66" s="7"/>
      <c r="G66" s="7"/>
      <c r="H66" s="7"/>
    </row>
    <row r="67" spans="1:8" ht="15.6">
      <c r="A67" s="7" t="s">
        <v>40</v>
      </c>
      <c r="B67" s="11">
        <f>B22/(B16*3)</f>
        <v>119648.37120525222</v>
      </c>
      <c r="C67" s="11">
        <f>C22/(C16)</f>
        <v>175678.33235306735</v>
      </c>
      <c r="D67" s="11">
        <f t="shared" ref="D67:H67" si="19">D22/(D16*3)</f>
        <v>160033.01046572937</v>
      </c>
      <c r="E67" s="11">
        <f t="shared" si="19"/>
        <v>761885.95137701801</v>
      </c>
      <c r="F67" s="11">
        <f>F22/(F16*2)</f>
        <v>22854.588577034883</v>
      </c>
      <c r="G67" s="11">
        <f t="shared" si="19"/>
        <v>526193.34322339727</v>
      </c>
      <c r="H67" s="11">
        <f t="shared" si="19"/>
        <v>148185.14494492754</v>
      </c>
    </row>
    <row r="68" spans="1:8" ht="15.6">
      <c r="A68" s="7" t="s">
        <v>41</v>
      </c>
      <c r="B68" s="11">
        <f t="shared" ref="B68:H68" si="20">B23/(B17*3)</f>
        <v>130389.6538043012</v>
      </c>
      <c r="C68" s="11">
        <f>C23/(C17)</f>
        <v>177286.40631484563</v>
      </c>
      <c r="D68" s="11">
        <f t="shared" si="20"/>
        <v>147811.46746904208</v>
      </c>
      <c r="E68" s="11">
        <f t="shared" si="20"/>
        <v>723075.82526143803</v>
      </c>
      <c r="F68" s="11">
        <f>F23/(F17*2)</f>
        <v>134754.69315942432</v>
      </c>
      <c r="G68" s="11">
        <f t="shared" si="20"/>
        <v>486063.26133312908</v>
      </c>
      <c r="H68" s="11">
        <f t="shared" si="20"/>
        <v>154259.98890122087</v>
      </c>
    </row>
    <row r="69" spans="1:8" ht="15.6">
      <c r="A69" s="7" t="s">
        <v>28</v>
      </c>
      <c r="B69" s="11">
        <f>(B68/B67)*B51</f>
        <v>96.089067002435826</v>
      </c>
      <c r="C69" s="11">
        <f t="shared" ref="C69" si="21">(C68/C67)*C51</f>
        <v>84.883304160989795</v>
      </c>
      <c r="D69" s="11">
        <f t="shared" ref="D69:H69" si="22">(D68/D67)*D51</f>
        <v>89.096488910688706</v>
      </c>
      <c r="E69" s="11">
        <f t="shared" si="22"/>
        <v>80.631269954568651</v>
      </c>
      <c r="F69" s="11">
        <f>(F68/F67)*F51</f>
        <v>711.76584287997434</v>
      </c>
      <c r="G69" s="11">
        <f t="shared" si="22"/>
        <v>86.170628759693599</v>
      </c>
      <c r="H69" s="11">
        <f t="shared" si="22"/>
        <v>104.03932516518093</v>
      </c>
    </row>
    <row r="70" spans="1:8" ht="15.6">
      <c r="A70" s="7" t="s">
        <v>42</v>
      </c>
      <c r="B70" s="11">
        <f t="shared" ref="B70:H71" si="23">B22/B16</f>
        <v>358945.11361575662</v>
      </c>
      <c r="C70" s="11">
        <f>(C22/C16)*3</f>
        <v>527034.99705920205</v>
      </c>
      <c r="D70" s="11">
        <f t="shared" si="23"/>
        <v>480099.03139718814</v>
      </c>
      <c r="E70" s="11">
        <f t="shared" si="23"/>
        <v>2285657.8541310541</v>
      </c>
      <c r="F70" s="11">
        <f>F22/F16</f>
        <v>45709.177154069766</v>
      </c>
      <c r="G70" s="11">
        <f t="shared" si="23"/>
        <v>1578580.0296701917</v>
      </c>
      <c r="H70" s="11">
        <f t="shared" si="23"/>
        <v>444555.43483478262</v>
      </c>
    </row>
    <row r="71" spans="1:8" ht="15.6">
      <c r="A71" s="7" t="s">
        <v>43</v>
      </c>
      <c r="B71" s="11">
        <f t="shared" si="23"/>
        <v>391168.96141290362</v>
      </c>
      <c r="C71" s="11">
        <f>(C23/C17)*3</f>
        <v>531859.21894453687</v>
      </c>
      <c r="D71" s="11">
        <f t="shared" si="23"/>
        <v>443434.40240712627</v>
      </c>
      <c r="E71" s="11">
        <f t="shared" si="23"/>
        <v>2169227.4757843143</v>
      </c>
      <c r="F71" s="11">
        <f>F23/F17</f>
        <v>269509.38631884864</v>
      </c>
      <c r="G71" s="11">
        <f t="shared" si="23"/>
        <v>1458189.7839993872</v>
      </c>
      <c r="H71" s="11">
        <f t="shared" si="23"/>
        <v>462779.96670366259</v>
      </c>
    </row>
    <row r="72" spans="1:8" ht="15.6">
      <c r="A72" s="7"/>
      <c r="B72" s="11"/>
      <c r="C72" s="11"/>
      <c r="D72" s="11"/>
      <c r="E72" s="11"/>
      <c r="F72" s="7"/>
      <c r="G72" s="7"/>
      <c r="H72" s="7"/>
    </row>
    <row r="73" spans="1:8" ht="15.6">
      <c r="A73" s="6" t="s">
        <v>29</v>
      </c>
      <c r="B73" s="11"/>
      <c r="C73" s="11"/>
      <c r="D73" s="11"/>
      <c r="E73" s="11"/>
      <c r="F73" s="7"/>
      <c r="G73" s="7"/>
      <c r="H73" s="7"/>
    </row>
    <row r="74" spans="1:8" ht="15.6">
      <c r="A74" s="7" t="s">
        <v>30</v>
      </c>
      <c r="B74" s="11">
        <f>(B29/B28)*100</f>
        <v>137.51794417979312</v>
      </c>
      <c r="C74" s="11"/>
      <c r="D74" s="11"/>
      <c r="E74" s="11"/>
      <c r="F74" s="7"/>
      <c r="G74" s="7"/>
      <c r="H74" s="7"/>
    </row>
    <row r="75" spans="1:8" ht="15.6">
      <c r="A75" s="7" t="s">
        <v>31</v>
      </c>
      <c r="B75" s="11">
        <f>(B23/B29)*100</f>
        <v>66.872157014766515</v>
      </c>
      <c r="C75" s="11"/>
      <c r="D75" s="11"/>
      <c r="E75" s="11"/>
      <c r="F75" s="7"/>
      <c r="G75" s="7"/>
      <c r="H75" s="7"/>
    </row>
    <row r="76" spans="1:8" ht="16.2" thickBot="1">
      <c r="A76" s="17"/>
      <c r="B76" s="17"/>
      <c r="C76" s="17"/>
      <c r="D76" s="17"/>
      <c r="E76" s="17"/>
      <c r="F76" s="17"/>
      <c r="G76" s="17"/>
      <c r="H76" s="17"/>
    </row>
    <row r="77" spans="1:8" s="4" customFormat="1" ht="16.5" customHeight="1" thickTop="1">
      <c r="A77" s="62" t="s">
        <v>84</v>
      </c>
      <c r="B77" s="62"/>
      <c r="C77" s="62"/>
      <c r="D77" s="62"/>
      <c r="E77" s="62"/>
      <c r="F77" s="62"/>
      <c r="G77" s="62"/>
      <c r="H77" s="62"/>
    </row>
    <row r="78" spans="1:8">
      <c r="A78" s="2"/>
      <c r="F78" s="1"/>
      <c r="G78" s="1"/>
      <c r="H78" s="1"/>
    </row>
    <row r="79" spans="1:8" ht="15.6">
      <c r="A79" s="6" t="s">
        <v>85</v>
      </c>
      <c r="B79" s="7"/>
      <c r="C79" s="7"/>
      <c r="D79" s="7"/>
      <c r="E79" s="7"/>
      <c r="F79" s="7"/>
      <c r="G79" s="1"/>
      <c r="H79" s="1"/>
    </row>
    <row r="80" spans="1:8" ht="19.95" customHeight="1">
      <c r="A80" s="59" t="s">
        <v>86</v>
      </c>
      <c r="B80" s="59"/>
      <c r="C80" s="59"/>
      <c r="D80" s="59"/>
      <c r="E80" s="59"/>
      <c r="F80" s="59"/>
      <c r="G80" s="59"/>
      <c r="H80" s="59"/>
    </row>
    <row r="81" spans="1:8" ht="52.05" customHeight="1">
      <c r="A81" s="60" t="s">
        <v>132</v>
      </c>
      <c r="B81" s="60"/>
      <c r="C81" s="60"/>
      <c r="D81" s="60"/>
      <c r="E81" s="60"/>
      <c r="F81" s="60"/>
      <c r="G81" s="60"/>
      <c r="H81" s="60"/>
    </row>
    <row r="82" spans="1:8">
      <c r="F82" s="1"/>
      <c r="G82" s="1"/>
      <c r="H82" s="1"/>
    </row>
    <row r="83" spans="1:8">
      <c r="F83" s="1"/>
      <c r="G83" s="1"/>
      <c r="H83" s="1"/>
    </row>
    <row r="84" spans="1:8">
      <c r="F84" s="1"/>
      <c r="G84" s="1"/>
      <c r="H84" s="1"/>
    </row>
  </sheetData>
  <mergeCells count="6">
    <mergeCell ref="A80:H80"/>
    <mergeCell ref="A81:H81"/>
    <mergeCell ref="A9:A10"/>
    <mergeCell ref="B9:B10"/>
    <mergeCell ref="C9:H9"/>
    <mergeCell ref="A77:H77"/>
  </mergeCells>
  <pageMargins left="0.7" right="0.7" top="0.75" bottom="0.75" header="0.3" footer="0.3"/>
  <pageSetup paperSize="9" orientation="portrait" r:id="rId1"/>
  <ignoredErrors>
    <ignoredError sqref="D65:D66" evalError="1"/>
    <ignoredError sqref="C67:C71 F67:F70"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8:H86"/>
  <sheetViews>
    <sheetView showGridLines="0" zoomScale="80" zoomScaleNormal="80" zoomScaleSheetLayoutView="80" workbookViewId="0">
      <pane ySplit="10" topLeftCell="A11" activePane="bottomLeft" state="frozen"/>
      <selection pane="bottomLeft" activeCell="A9" sqref="A9:A10"/>
    </sheetView>
  </sheetViews>
  <sheetFormatPr baseColWidth="10" defaultColWidth="11.44140625" defaultRowHeight="14.4"/>
  <cols>
    <col min="1" max="1" width="64.21875" style="1" customWidth="1"/>
    <col min="2" max="8" width="24.77734375" style="1" customWidth="1"/>
    <col min="9" max="16384" width="11.44140625" style="1"/>
  </cols>
  <sheetData>
    <row r="8" spans="1:8" ht="16.5" customHeight="1">
      <c r="C8" s="41"/>
      <c r="D8" s="41"/>
      <c r="E8" s="41"/>
      <c r="F8" s="41"/>
      <c r="G8" s="41"/>
      <c r="H8" s="41"/>
    </row>
    <row r="9" spans="1:8" s="4" customFormat="1" ht="15.6">
      <c r="A9" s="45" t="s">
        <v>0</v>
      </c>
      <c r="B9" s="47" t="s">
        <v>1</v>
      </c>
      <c r="C9" s="61" t="s">
        <v>2</v>
      </c>
      <c r="D9" s="61"/>
      <c r="E9" s="61"/>
      <c r="F9" s="61"/>
      <c r="G9" s="61"/>
      <c r="H9" s="61"/>
    </row>
    <row r="10" spans="1:8" s="3" customFormat="1" ht="63" thickBot="1">
      <c r="A10" s="46"/>
      <c r="B10" s="48"/>
      <c r="C10" s="5" t="s">
        <v>39</v>
      </c>
      <c r="D10" s="5" t="s">
        <v>48</v>
      </c>
      <c r="E10" s="5" t="s">
        <v>89</v>
      </c>
      <c r="F10" s="5" t="s">
        <v>90</v>
      </c>
      <c r="G10" s="5" t="s">
        <v>105</v>
      </c>
      <c r="H10" s="5" t="s">
        <v>106</v>
      </c>
    </row>
    <row r="11" spans="1:8" ht="16.2" thickTop="1">
      <c r="A11" s="7"/>
      <c r="B11" s="7"/>
      <c r="C11" s="7"/>
      <c r="D11" s="7"/>
      <c r="E11" s="7"/>
    </row>
    <row r="12" spans="1:8" ht="15.6">
      <c r="A12" s="6" t="s">
        <v>3</v>
      </c>
      <c r="B12" s="7"/>
      <c r="C12" s="7"/>
      <c r="D12" s="7"/>
      <c r="E12" s="7"/>
    </row>
    <row r="13" spans="1:8" ht="15.6">
      <c r="A13" s="7"/>
      <c r="B13" s="7"/>
      <c r="C13" s="7"/>
      <c r="D13" s="7"/>
      <c r="E13" s="7"/>
    </row>
    <row r="14" spans="1:8" ht="15.6">
      <c r="A14" s="6" t="s">
        <v>4</v>
      </c>
      <c r="B14" s="7"/>
      <c r="C14" s="7"/>
      <c r="D14" s="7"/>
      <c r="E14" s="7"/>
    </row>
    <row r="15" spans="1:8" ht="15.6">
      <c r="A15" s="8" t="s">
        <v>73</v>
      </c>
      <c r="B15" s="18">
        <f>SUM(C15:H15)</f>
        <v>95984.666666666672</v>
      </c>
      <c r="C15" s="18">
        <f>(+'I Trimestre'!C15+'II trimestre'!C15+'III Trimestre'!C15+'IV Trimestre'!C15)</f>
        <v>93819</v>
      </c>
      <c r="D15" s="18">
        <f>(+'I Trimestre'!D15+'II trimestre'!D15+'III Trimestre'!D15+'IV Trimestre'!D15)/2</f>
        <v>1284.6666666666665</v>
      </c>
      <c r="E15" s="18">
        <f>(+'I Trimestre'!E15+'II trimestre'!E15+'III Trimestre'!E15+'IV Trimestre'!E15)/4</f>
        <v>0</v>
      </c>
      <c r="F15" s="18">
        <f>(+'I Trimestre'!F15+'II trimestre'!F15+'III Trimestre'!F15+'IV Trimestre'!F15)/2</f>
        <v>881</v>
      </c>
      <c r="G15" s="1">
        <v>0</v>
      </c>
      <c r="H15" s="1">
        <v>0</v>
      </c>
    </row>
    <row r="16" spans="1:8" ht="15.6">
      <c r="A16" s="8" t="s">
        <v>126</v>
      </c>
      <c r="B16" s="18">
        <f t="shared" ref="B16:B18" si="0">SUM(C16:H16)</f>
        <v>89704.819979268446</v>
      </c>
      <c r="C16" s="18">
        <f>(+'I Trimestre'!C16+'II trimestre'!C16+'III Trimestre'!C16+'IV Trimestre'!C16)</f>
        <v>74592</v>
      </c>
      <c r="D16" s="18">
        <f>(+'I Trimestre'!D16+'II trimestre'!D16+'III Trimestre'!D16+'IV Trimestre'!D16)/4</f>
        <v>4478.8199792684482</v>
      </c>
      <c r="E16" s="18">
        <f>(+'I Trimestre'!E16+'II trimestre'!E16+'III Trimestre'!E16+'IV Trimestre'!E16)/4</f>
        <v>351</v>
      </c>
      <c r="F16" s="18">
        <f>('II trimestre'!F16+'III Trimestre'!F16+'IV Trimestre'!F16)/3</f>
        <v>3440</v>
      </c>
      <c r="G16" s="18">
        <f>('II trimestre'!G16+'III Trimestre'!G16+'IV Trimestre'!G16)/2</f>
        <v>2243</v>
      </c>
      <c r="H16" s="18">
        <f>('II trimestre'!H16+'III Trimestre'!H16+'IV Trimestre'!H16)/2</f>
        <v>4600</v>
      </c>
    </row>
    <row r="17" spans="1:8" ht="15.6">
      <c r="A17" s="8" t="s">
        <v>127</v>
      </c>
      <c r="B17" s="18">
        <f>SUM(C17:H17)</f>
        <v>79999.833333333328</v>
      </c>
      <c r="C17" s="18">
        <f>(+'I Trimestre'!C17+'II trimestre'!C17+'III Trimestre'!C17+'IV Trimestre'!C17)</f>
        <v>67469</v>
      </c>
      <c r="D17" s="18">
        <f>(+'I Trimestre'!D17+'II trimestre'!D17+'III Trimestre'!D17+'IV Trimestre'!D17)/4</f>
        <v>4444.583333333333</v>
      </c>
      <c r="E17" s="18">
        <f>(+'I Trimestre'!E17+'II trimestre'!E17+'III Trimestre'!E17+'IV Trimestre'!E17)/4</f>
        <v>313.08333333333331</v>
      </c>
      <c r="F17" s="22">
        <f>('III Trimestre'!F17+'IV Trimestre'!F17)/2</f>
        <v>1150.5</v>
      </c>
      <c r="G17" s="18">
        <f>('II trimestre'!G17+'III Trimestre'!G17+'IV Trimestre'!G17)/2</f>
        <v>2155.666666666667</v>
      </c>
      <c r="H17" s="18">
        <f>('II trimestre'!H17+'III Trimestre'!H17+'IV Trimestre'!H17)/2</f>
        <v>4467</v>
      </c>
    </row>
    <row r="18" spans="1:8" ht="15.6">
      <c r="A18" s="8" t="s">
        <v>79</v>
      </c>
      <c r="B18" s="18">
        <f t="shared" si="0"/>
        <v>89704.819979268446</v>
      </c>
      <c r="C18" s="18">
        <f>+'IV Trimestre'!C18</f>
        <v>74592</v>
      </c>
      <c r="D18" s="18">
        <f>+'IV Trimestre'!D18</f>
        <v>4478.8199792684482</v>
      </c>
      <c r="E18" s="18">
        <f>+'IV Trimestre'!E18</f>
        <v>351</v>
      </c>
      <c r="F18" s="18">
        <f>+'IV Trimestre'!F18</f>
        <v>3440</v>
      </c>
      <c r="G18" s="18">
        <f>+'IV Trimestre'!G18</f>
        <v>2243</v>
      </c>
      <c r="H18" s="18">
        <f>+'IV Trimestre'!H18</f>
        <v>4600</v>
      </c>
    </row>
    <row r="19" spans="1:8" ht="15.6">
      <c r="A19" s="7"/>
      <c r="B19" s="18"/>
      <c r="C19" s="18"/>
      <c r="D19" s="18"/>
      <c r="E19" s="18"/>
    </row>
    <row r="20" spans="1:8" ht="15.6">
      <c r="A20" s="10" t="s">
        <v>5</v>
      </c>
      <c r="B20" s="18"/>
      <c r="C20" s="18"/>
      <c r="D20" s="18"/>
      <c r="E20" s="18"/>
    </row>
    <row r="21" spans="1:8" ht="15.6">
      <c r="A21" s="8" t="s">
        <v>49</v>
      </c>
      <c r="B21" s="18">
        <f>SUM(C21:H21)</f>
        <v>11174995092.179998</v>
      </c>
      <c r="C21" s="18">
        <f>+'I Trimestre'!C21+'II trimestre'!C21+'III Trimestre'!C21+'IV Trimestre'!C21</f>
        <v>9887642272.6099987</v>
      </c>
      <c r="D21" s="18">
        <f>+'I Trimestre'!D21+'II trimestre'!D21+'III Trimestre'!D21+'IV Trimestre'!D21</f>
        <v>930853064.43000007</v>
      </c>
      <c r="E21" s="18">
        <f>+'I Trimestre'!E21+'II trimestre'!E21+'III Trimestre'!E21+'IV Trimestre'!E21</f>
        <v>0</v>
      </c>
      <c r="F21" s="18">
        <f>+'I Trimestre'!F21+'II trimestre'!F21+'III Trimestre'!F21+'IV Trimestre'!F21</f>
        <v>356499755.13999999</v>
      </c>
      <c r="G21" s="18">
        <f>+'I Trimestre'!G21+'II trimestre'!G21+'III Trimestre'!G21+'IV Trimestre'!G21</f>
        <v>0</v>
      </c>
      <c r="H21" s="18">
        <f>+'I Trimestre'!H21+'II trimestre'!H21+'III Trimestre'!H21+'IV Trimestre'!H21</f>
        <v>0</v>
      </c>
    </row>
    <row r="22" spans="1:8" ht="15.6">
      <c r="A22" s="8" t="s">
        <v>126</v>
      </c>
      <c r="B22" s="18">
        <f t="shared" ref="B22:B25" si="1">SUM(C22:H22)</f>
        <v>29827000980.380478</v>
      </c>
      <c r="C22" s="18">
        <f>+'I Trimestre'!C22+'II trimestre'!C22+'III Trimestre'!C22+'IV Trimestre'!C22</f>
        <v>11030265854.059999</v>
      </c>
      <c r="D22" s="18">
        <f>+'I Trimestre'!D22+'II trimestre'!D22+'III Trimestre'!D22+'IV Trimestre'!D22</f>
        <v>6785668495.9400005</v>
      </c>
      <c r="E22" s="18">
        <f>+'I Trimestre'!E22+'II trimestre'!E22+'III Trimestre'!E22+'IV Trimestre'!E22</f>
        <v>2701182056.0500002</v>
      </c>
      <c r="F22" s="18">
        <f>+'I Trimestre'!F22+'II trimestre'!F22+'III Trimestre'!F22+'IV Trimestre'!F22</f>
        <v>471718708.23000002</v>
      </c>
      <c r="G22" s="18">
        <f>+'I Trimestre'!G22+'II trimestre'!G22+'III Trimestre'!G22+'IV Trimestre'!G22</f>
        <v>5770733365.7404804</v>
      </c>
      <c r="H22" s="18">
        <f>+'I Trimestre'!H22+'II trimestre'!H22+'III Trimestre'!H22+'IV Trimestre'!H22</f>
        <v>3067432500.3600001</v>
      </c>
    </row>
    <row r="23" spans="1:8" ht="15.6">
      <c r="A23" s="8" t="s">
        <v>127</v>
      </c>
      <c r="B23" s="18">
        <f t="shared" si="1"/>
        <v>27007106467.879997</v>
      </c>
      <c r="C23" s="18">
        <f>+'I Trimestre'!C23+'II trimestre'!C23+'III Trimestre'!C23+'IV Trimestre'!C23</f>
        <v>9541540029.4399986</v>
      </c>
      <c r="D23" s="18">
        <f>+'I Trimestre'!D23+'II trimestre'!D23+'III Trimestre'!D23+'IV Trimestre'!D23</f>
        <v>6389443982.2700005</v>
      </c>
      <c r="E23" s="18">
        <f>+'I Trimestre'!E23+'II trimestre'!E23+'III Trimestre'!E23+'IV Trimestre'!E23</f>
        <v>2240128275.6599998</v>
      </c>
      <c r="F23" s="18">
        <f>+'I Trimestre'!F23+'II trimestre'!F23+'III Trimestre'!F23+'IV Trimestre'!F23</f>
        <v>407564002.85000002</v>
      </c>
      <c r="G23" s="18">
        <f>+'I Trimestre'!G23+'II trimestre'!G23+'III Trimestre'!G23+'IV Trimestre'!G23</f>
        <v>5363116427.6599998</v>
      </c>
      <c r="H23" s="18">
        <f>+'I Trimestre'!H23+'II trimestre'!H23+'III Trimestre'!H23+'IV Trimestre'!H23</f>
        <v>3065313750</v>
      </c>
    </row>
    <row r="24" spans="1:8" ht="15.6">
      <c r="A24" s="8" t="s">
        <v>79</v>
      </c>
      <c r="B24" s="18">
        <f t="shared" si="1"/>
        <v>29827000980.380478</v>
      </c>
      <c r="C24" s="18">
        <f>+'IV Trimestre'!C24</f>
        <v>11030265854.059999</v>
      </c>
      <c r="D24" s="18">
        <f>+'IV Trimestre'!D24</f>
        <v>6785668495.9400005</v>
      </c>
      <c r="E24" s="18">
        <f>+'IV Trimestre'!E24</f>
        <v>2701182056.0500002</v>
      </c>
      <c r="F24" s="18">
        <f>+'IV Trimestre'!F24</f>
        <v>471718708.23000002</v>
      </c>
      <c r="G24" s="18">
        <f>+'IV Trimestre'!G24</f>
        <v>5770733365.7404804</v>
      </c>
      <c r="H24" s="18">
        <f>+'IV Trimestre'!H24</f>
        <v>3067432500.3600001</v>
      </c>
    </row>
    <row r="25" spans="1:8" ht="15.6">
      <c r="A25" s="8" t="s">
        <v>128</v>
      </c>
      <c r="B25" s="18">
        <f t="shared" si="1"/>
        <v>27007106467.879997</v>
      </c>
      <c r="C25" s="18">
        <f t="shared" ref="C25:E25" si="2">C23</f>
        <v>9541540029.4399986</v>
      </c>
      <c r="D25" s="18">
        <f t="shared" si="2"/>
        <v>6389443982.2700005</v>
      </c>
      <c r="E25" s="18">
        <f t="shared" si="2"/>
        <v>2240128275.6599998</v>
      </c>
      <c r="F25" s="18">
        <f t="shared" ref="F25:H25" si="3">F23</f>
        <v>407564002.85000002</v>
      </c>
      <c r="G25" s="18">
        <f t="shared" si="3"/>
        <v>5363116427.6599998</v>
      </c>
      <c r="H25" s="18">
        <f t="shared" si="3"/>
        <v>3065313750</v>
      </c>
    </row>
    <row r="26" spans="1:8" ht="15.6">
      <c r="A26" s="6"/>
      <c r="B26" s="18"/>
      <c r="C26" s="18"/>
      <c r="D26" s="18"/>
      <c r="E26" s="18"/>
    </row>
    <row r="27" spans="1:8" ht="15.6">
      <c r="A27" s="14" t="s">
        <v>6</v>
      </c>
      <c r="B27" s="18"/>
      <c r="C27" s="18"/>
      <c r="D27" s="18"/>
      <c r="E27" s="18"/>
    </row>
    <row r="28" spans="1:8" ht="15.6">
      <c r="A28" s="8" t="s">
        <v>126</v>
      </c>
      <c r="B28" s="18">
        <f>+B22</f>
        <v>29827000980.380478</v>
      </c>
      <c r="C28" s="18"/>
      <c r="D28" s="18"/>
      <c r="E28" s="18"/>
    </row>
    <row r="29" spans="1:8" ht="15.6">
      <c r="A29" s="8" t="s">
        <v>127</v>
      </c>
      <c r="B29" s="18">
        <f>'I Trimestre'!B29+'II trimestre'!B29+'III Trimestre'!B29+'IV Trimestre'!B29</f>
        <v>29884258914.57</v>
      </c>
      <c r="C29" s="18"/>
      <c r="D29" s="18"/>
      <c r="E29" s="18"/>
    </row>
    <row r="30" spans="1:8" ht="15.6">
      <c r="A30" s="7"/>
      <c r="B30" s="18"/>
      <c r="C30" s="18"/>
      <c r="D30" s="18"/>
      <c r="E30" s="18"/>
    </row>
    <row r="31" spans="1:8" ht="15.6">
      <c r="A31" s="6" t="s">
        <v>7</v>
      </c>
      <c r="B31" s="7"/>
      <c r="C31" s="7"/>
      <c r="D31" s="7"/>
      <c r="E31" s="7"/>
    </row>
    <row r="32" spans="1:8" ht="15.6">
      <c r="A32" s="8" t="s">
        <v>74</v>
      </c>
      <c r="B32" s="12">
        <v>1.0863</v>
      </c>
      <c r="C32" s="12">
        <v>1.0863</v>
      </c>
      <c r="D32" s="12">
        <v>1.0863</v>
      </c>
      <c r="E32" s="12">
        <v>1.0863</v>
      </c>
      <c r="F32" s="12">
        <v>1.0863</v>
      </c>
      <c r="G32" s="12">
        <v>1.0863</v>
      </c>
      <c r="H32" s="12">
        <v>1.0863</v>
      </c>
    </row>
    <row r="33" spans="1:8" ht="15.6">
      <c r="A33" s="8" t="s">
        <v>129</v>
      </c>
      <c r="B33" s="12">
        <v>1.1144000000000001</v>
      </c>
      <c r="C33" s="12">
        <v>1.1144000000000001</v>
      </c>
      <c r="D33" s="12">
        <v>1.1144000000000001</v>
      </c>
      <c r="E33" s="12">
        <v>1.1144000000000001</v>
      </c>
      <c r="F33" s="12">
        <v>1.1144000000000001</v>
      </c>
      <c r="G33" s="12">
        <v>1.1144000000000001</v>
      </c>
      <c r="H33" s="12">
        <v>1.1144000000000001</v>
      </c>
    </row>
    <row r="34" spans="1:8" ht="15.6">
      <c r="A34" s="8" t="s">
        <v>8</v>
      </c>
      <c r="B34" s="13" t="s">
        <v>36</v>
      </c>
      <c r="C34" s="13" t="s">
        <v>36</v>
      </c>
      <c r="D34" s="13" t="s">
        <v>36</v>
      </c>
      <c r="E34" s="13" t="s">
        <v>36</v>
      </c>
      <c r="F34" s="13" t="s">
        <v>36</v>
      </c>
      <c r="G34" s="13" t="s">
        <v>36</v>
      </c>
      <c r="H34" s="13" t="s">
        <v>36</v>
      </c>
    </row>
    <row r="35" spans="1:8" ht="15.6">
      <c r="A35" s="7"/>
      <c r="B35" s="7"/>
      <c r="C35" s="7"/>
      <c r="D35" s="7"/>
      <c r="E35" s="7"/>
    </row>
    <row r="36" spans="1:8" ht="15.6">
      <c r="A36" s="14" t="s">
        <v>9</v>
      </c>
      <c r="B36" s="7"/>
      <c r="C36" s="7"/>
      <c r="D36" s="7"/>
      <c r="E36" s="7"/>
    </row>
    <row r="37" spans="1:8" ht="15.6">
      <c r="A37" s="8" t="s">
        <v>75</v>
      </c>
      <c r="B37" s="16">
        <f>B21/B32</f>
        <v>10287208959.016844</v>
      </c>
      <c r="C37" s="16">
        <f t="shared" ref="C37:H37" si="4">C21/C32</f>
        <v>9102128576.4613819</v>
      </c>
      <c r="D37" s="16">
        <f>D21/D32</f>
        <v>856902388.3181442</v>
      </c>
      <c r="E37" s="16">
        <f t="shared" si="4"/>
        <v>0</v>
      </c>
      <c r="F37" s="16">
        <f t="shared" si="4"/>
        <v>328177994.23731929</v>
      </c>
      <c r="G37" s="16">
        <f t="shared" si="4"/>
        <v>0</v>
      </c>
      <c r="H37" s="16">
        <f t="shared" si="4"/>
        <v>0</v>
      </c>
    </row>
    <row r="38" spans="1:8" ht="15.6">
      <c r="A38" s="8" t="s">
        <v>130</v>
      </c>
      <c r="B38" s="16">
        <f>B23/B33</f>
        <v>24234661223.869343</v>
      </c>
      <c r="C38" s="16">
        <f t="shared" ref="C38:H38" si="5">C23/C33</f>
        <v>8562042381.0480957</v>
      </c>
      <c r="D38" s="16">
        <f>D23/D33</f>
        <v>5733528340.1561384</v>
      </c>
      <c r="E38" s="16">
        <f t="shared" si="5"/>
        <v>2010165358.6324477</v>
      </c>
      <c r="F38" s="16">
        <f t="shared" si="5"/>
        <v>365725056.39806175</v>
      </c>
      <c r="G38" s="16">
        <f t="shared" si="5"/>
        <v>4812559608.4529791</v>
      </c>
      <c r="H38" s="16">
        <f t="shared" si="5"/>
        <v>2750640479.181622</v>
      </c>
    </row>
    <row r="39" spans="1:8" ht="15.6">
      <c r="A39" s="8" t="s">
        <v>76</v>
      </c>
      <c r="B39" s="9">
        <f>B37/B15</f>
        <v>107175.54497263636</v>
      </c>
      <c r="C39" s="9">
        <f t="shared" ref="C39:F39" si="6">C37/C15</f>
        <v>97017.966259088047</v>
      </c>
      <c r="D39" s="9">
        <f t="shared" si="6"/>
        <v>667023.13569134218</v>
      </c>
      <c r="E39" s="9" t="s">
        <v>36</v>
      </c>
      <c r="F39" s="9">
        <f t="shared" si="6"/>
        <v>372506.23636472109</v>
      </c>
      <c r="G39" s="9" t="s">
        <v>36</v>
      </c>
      <c r="H39" s="9" t="s">
        <v>36</v>
      </c>
    </row>
    <row r="40" spans="1:8" ht="15.6">
      <c r="A40" s="8" t="s">
        <v>131</v>
      </c>
      <c r="B40" s="9">
        <f>B38/B17</f>
        <v>302933.89641065098</v>
      </c>
      <c r="C40" s="9">
        <f t="shared" ref="C40:H40" si="7">C38/C17</f>
        <v>126903.35385211128</v>
      </c>
      <c r="D40" s="9">
        <f t="shared" si="7"/>
        <v>1290003.5639237587</v>
      </c>
      <c r="E40" s="9">
        <f t="shared" si="7"/>
        <v>6420544.1319109323</v>
      </c>
      <c r="F40" s="9">
        <f t="shared" si="7"/>
        <v>317883.57792095764</v>
      </c>
      <c r="G40" s="9">
        <f t="shared" si="7"/>
        <v>2232515.6680623065</v>
      </c>
      <c r="H40" s="9">
        <f t="shared" si="7"/>
        <v>615769.07973620377</v>
      </c>
    </row>
    <row r="41" spans="1:8" ht="15.6">
      <c r="A41" s="7"/>
      <c r="B41" s="18"/>
      <c r="C41" s="18"/>
      <c r="D41" s="18"/>
      <c r="E41" s="18"/>
    </row>
    <row r="42" spans="1:8" ht="15.6">
      <c r="A42" s="6" t="s">
        <v>10</v>
      </c>
      <c r="B42" s="7"/>
      <c r="C42" s="7"/>
      <c r="D42" s="7"/>
      <c r="E42" s="7"/>
    </row>
    <row r="43" spans="1:8" ht="15.6">
      <c r="A43" s="7"/>
      <c r="B43" s="7"/>
      <c r="C43" s="7"/>
      <c r="D43" s="7"/>
      <c r="E43" s="7"/>
    </row>
    <row r="44" spans="1:8" ht="15.6">
      <c r="A44" s="6" t="s">
        <v>11</v>
      </c>
      <c r="B44" s="7"/>
      <c r="C44" s="7"/>
      <c r="D44" s="7"/>
      <c r="E44" s="7"/>
    </row>
    <row r="45" spans="1:8" ht="15.6">
      <c r="A45" s="7" t="s">
        <v>12</v>
      </c>
      <c r="B45" s="11" t="s">
        <v>35</v>
      </c>
      <c r="C45" s="11" t="s">
        <v>35</v>
      </c>
      <c r="D45" s="11" t="s">
        <v>35</v>
      </c>
      <c r="E45" s="11" t="s">
        <v>35</v>
      </c>
      <c r="F45" s="11" t="s">
        <v>35</v>
      </c>
      <c r="G45" s="11" t="s">
        <v>35</v>
      </c>
      <c r="H45" s="11" t="s">
        <v>35</v>
      </c>
    </row>
    <row r="46" spans="1:8" ht="15.6">
      <c r="A46" s="7" t="s">
        <v>13</v>
      </c>
      <c r="B46" s="11" t="s">
        <v>35</v>
      </c>
      <c r="C46" s="11" t="s">
        <v>35</v>
      </c>
      <c r="D46" s="11" t="s">
        <v>35</v>
      </c>
      <c r="E46" s="11" t="s">
        <v>35</v>
      </c>
      <c r="F46" s="11" t="s">
        <v>35</v>
      </c>
      <c r="G46" s="11" t="s">
        <v>35</v>
      </c>
      <c r="H46" s="11" t="s">
        <v>35</v>
      </c>
    </row>
    <row r="47" spans="1:8" ht="15.6">
      <c r="A47" s="7"/>
      <c r="B47" s="19"/>
      <c r="C47" s="19"/>
      <c r="D47" s="19"/>
      <c r="E47" s="19"/>
      <c r="F47" s="19"/>
      <c r="G47" s="19"/>
      <c r="H47" s="19"/>
    </row>
    <row r="48" spans="1:8" ht="15.6">
      <c r="A48" s="6" t="s">
        <v>14</v>
      </c>
      <c r="B48" s="19"/>
      <c r="C48" s="19"/>
      <c r="D48" s="19"/>
      <c r="E48" s="19"/>
      <c r="F48" s="19"/>
      <c r="G48" s="19"/>
      <c r="H48" s="19"/>
    </row>
    <row r="49" spans="1:8" ht="15.6">
      <c r="A49" s="7" t="s">
        <v>15</v>
      </c>
      <c r="B49" s="19">
        <f>B17/B16*100</f>
        <v>89.181198236418041</v>
      </c>
      <c r="C49" s="19">
        <f t="shared" ref="C49:H49" si="8">C17/C16*100</f>
        <v>90.450718575718582</v>
      </c>
      <c r="D49" s="19">
        <f t="shared" si="8"/>
        <v>99.235587808985642</v>
      </c>
      <c r="E49" s="19">
        <f t="shared" si="8"/>
        <v>89.197530864197532</v>
      </c>
      <c r="F49" s="19">
        <f t="shared" si="8"/>
        <v>33.444767441860463</v>
      </c>
      <c r="G49" s="19">
        <f t="shared" si="8"/>
        <v>96.106405112200932</v>
      </c>
      <c r="H49" s="19">
        <f t="shared" si="8"/>
        <v>97.108695652173921</v>
      </c>
    </row>
    <row r="50" spans="1:8" ht="15.6">
      <c r="A50" s="7" t="s">
        <v>16</v>
      </c>
      <c r="B50" s="19">
        <f>B23/B22*100</f>
        <v>90.545832903699079</v>
      </c>
      <c r="C50" s="19">
        <f t="shared" ref="C50:H50" si="9">C23/C22*100</f>
        <v>86.503264342699111</v>
      </c>
      <c r="D50" s="19">
        <f t="shared" si="9"/>
        <v>94.160862501504923</v>
      </c>
      <c r="E50" s="19">
        <f t="shared" si="9"/>
        <v>82.93140666482104</v>
      </c>
      <c r="F50" s="19">
        <f t="shared" si="9"/>
        <v>86.399796264022768</v>
      </c>
      <c r="G50" s="19">
        <f t="shared" si="9"/>
        <v>92.936479434305369</v>
      </c>
      <c r="H50" s="19">
        <f t="shared" si="9"/>
        <v>99.93092756369532</v>
      </c>
    </row>
    <row r="51" spans="1:8" ht="15.6">
      <c r="A51" s="7" t="s">
        <v>17</v>
      </c>
      <c r="B51" s="19">
        <f>AVERAGE(B49:B50)</f>
        <v>89.863515570058553</v>
      </c>
      <c r="C51" s="19">
        <f t="shared" ref="C51:H51" si="10">AVERAGE(C49:C50)</f>
        <v>88.476991459208847</v>
      </c>
      <c r="D51" s="19">
        <f t="shared" si="10"/>
        <v>96.698225155245282</v>
      </c>
      <c r="E51" s="19">
        <f t="shared" si="10"/>
        <v>86.064468764509286</v>
      </c>
      <c r="F51" s="19">
        <f t="shared" si="10"/>
        <v>59.922281852941616</v>
      </c>
      <c r="G51" s="19">
        <f t="shared" si="10"/>
        <v>94.521442273253143</v>
      </c>
      <c r="H51" s="19">
        <f t="shared" si="10"/>
        <v>98.519811607934628</v>
      </c>
    </row>
    <row r="52" spans="1:8" ht="15.6">
      <c r="A52" s="7"/>
      <c r="B52" s="19"/>
      <c r="C52" s="19"/>
      <c r="D52" s="19"/>
      <c r="E52" s="19"/>
      <c r="F52" s="19"/>
      <c r="G52" s="19"/>
      <c r="H52" s="19"/>
    </row>
    <row r="53" spans="1:8" ht="15.6">
      <c r="A53" s="6" t="s">
        <v>18</v>
      </c>
      <c r="B53" s="19"/>
      <c r="C53" s="19"/>
      <c r="D53" s="19"/>
      <c r="E53" s="19"/>
      <c r="F53" s="19"/>
      <c r="G53" s="19"/>
      <c r="H53" s="19"/>
    </row>
    <row r="54" spans="1:8" ht="15.6">
      <c r="A54" s="7" t="s">
        <v>19</v>
      </c>
      <c r="B54" s="19">
        <f>B17/B18*100</f>
        <v>89.181198236418041</v>
      </c>
      <c r="C54" s="19">
        <f t="shared" ref="C54:H54" si="11">C17/C18*100</f>
        <v>90.450718575718582</v>
      </c>
      <c r="D54" s="19">
        <f t="shared" si="11"/>
        <v>99.235587808985642</v>
      </c>
      <c r="E54" s="19">
        <f t="shared" si="11"/>
        <v>89.197530864197532</v>
      </c>
      <c r="F54" s="19">
        <f t="shared" si="11"/>
        <v>33.444767441860463</v>
      </c>
      <c r="G54" s="19">
        <f t="shared" si="11"/>
        <v>96.106405112200932</v>
      </c>
      <c r="H54" s="19">
        <f t="shared" si="11"/>
        <v>97.108695652173921</v>
      </c>
    </row>
    <row r="55" spans="1:8" ht="15.6">
      <c r="A55" s="7" t="s">
        <v>20</v>
      </c>
      <c r="B55" s="19">
        <f>B23/B24*100</f>
        <v>90.545832903699079</v>
      </c>
      <c r="C55" s="19">
        <f t="shared" ref="C55:H55" si="12">C23/C24*100</f>
        <v>86.503264342699111</v>
      </c>
      <c r="D55" s="19">
        <f t="shared" si="12"/>
        <v>94.160862501504923</v>
      </c>
      <c r="E55" s="19">
        <f t="shared" si="12"/>
        <v>82.93140666482104</v>
      </c>
      <c r="F55" s="19">
        <f t="shared" si="12"/>
        <v>86.399796264022768</v>
      </c>
      <c r="G55" s="19">
        <f t="shared" si="12"/>
        <v>92.936479434305369</v>
      </c>
      <c r="H55" s="19">
        <f t="shared" si="12"/>
        <v>99.93092756369532</v>
      </c>
    </row>
    <row r="56" spans="1:8" ht="15.6">
      <c r="A56" s="7" t="s">
        <v>21</v>
      </c>
      <c r="B56" s="19">
        <f>(B54+B55)/2</f>
        <v>89.863515570058553</v>
      </c>
      <c r="C56" s="19">
        <f t="shared" ref="C56:H56" si="13">(C54+C55)/2</f>
        <v>88.476991459208847</v>
      </c>
      <c r="D56" s="19">
        <f t="shared" si="13"/>
        <v>96.698225155245282</v>
      </c>
      <c r="E56" s="19">
        <f t="shared" si="13"/>
        <v>86.064468764509286</v>
      </c>
      <c r="F56" s="19">
        <f t="shared" si="13"/>
        <v>59.922281852941616</v>
      </c>
      <c r="G56" s="19">
        <f t="shared" si="13"/>
        <v>94.521442273253143</v>
      </c>
      <c r="H56" s="19">
        <f t="shared" si="13"/>
        <v>98.519811607934628</v>
      </c>
    </row>
    <row r="57" spans="1:8" ht="15.6">
      <c r="A57" s="7"/>
      <c r="B57" s="19"/>
      <c r="C57" s="19"/>
      <c r="D57" s="19"/>
      <c r="E57" s="19"/>
    </row>
    <row r="58" spans="1:8" ht="15.6">
      <c r="A58" s="6" t="s">
        <v>32</v>
      </c>
      <c r="B58" s="19"/>
      <c r="C58" s="19"/>
      <c r="D58" s="19"/>
      <c r="E58" s="19"/>
    </row>
    <row r="59" spans="1:8" ht="15.6">
      <c r="A59" s="7" t="s">
        <v>22</v>
      </c>
      <c r="B59" s="19">
        <f>B25/B23*100</f>
        <v>100</v>
      </c>
      <c r="C59" s="19"/>
      <c r="D59" s="19"/>
      <c r="E59" s="19"/>
    </row>
    <row r="60" spans="1:8" ht="15.6">
      <c r="A60" s="7"/>
      <c r="B60" s="19"/>
      <c r="C60" s="19"/>
      <c r="D60" s="19"/>
      <c r="E60" s="19"/>
    </row>
    <row r="61" spans="1:8" ht="15.6">
      <c r="A61" s="6" t="s">
        <v>23</v>
      </c>
      <c r="B61" s="19"/>
      <c r="C61" s="19"/>
      <c r="D61" s="19"/>
      <c r="E61" s="19"/>
    </row>
    <row r="62" spans="1:8" ht="15.6">
      <c r="A62" s="7" t="s">
        <v>24</v>
      </c>
      <c r="B62" s="11">
        <f t="shared" ref="B62:F62" si="14">((B17/B15)-1)*100</f>
        <v>-16.653527994054617</v>
      </c>
      <c r="C62" s="11">
        <f t="shared" si="14"/>
        <v>-28.085995374071349</v>
      </c>
      <c r="D62" s="11">
        <f t="shared" si="14"/>
        <v>245.9717176959004</v>
      </c>
      <c r="E62" s="11" t="s">
        <v>36</v>
      </c>
      <c r="F62" s="11">
        <f t="shared" si="14"/>
        <v>30.59023836549375</v>
      </c>
      <c r="G62" s="11" t="s">
        <v>36</v>
      </c>
      <c r="H62" s="11" t="s">
        <v>36</v>
      </c>
    </row>
    <row r="63" spans="1:8" ht="15.6">
      <c r="A63" s="7" t="s">
        <v>25</v>
      </c>
      <c r="B63" s="11">
        <f>((B38/B37)-1)*100</f>
        <v>135.58052840588425</v>
      </c>
      <c r="C63" s="11">
        <f t="shared" ref="C63:F63" si="15">((C38/C37)-1)*100</f>
        <v>-5.9336252050974032</v>
      </c>
      <c r="D63" s="11">
        <f>((D38/D37)-1)*100</f>
        <v>569.09935347588703</v>
      </c>
      <c r="E63" s="11" t="s">
        <v>36</v>
      </c>
      <c r="F63" s="11">
        <f t="shared" si="15"/>
        <v>11.44106637862825</v>
      </c>
      <c r="G63" s="11" t="s">
        <v>36</v>
      </c>
      <c r="H63" s="11" t="s">
        <v>36</v>
      </c>
    </row>
    <row r="64" spans="1:8" ht="15.6">
      <c r="A64" s="7" t="s">
        <v>26</v>
      </c>
      <c r="B64" s="11">
        <f t="shared" ref="B64:F64" si="16">((B40/B39)-1)*100</f>
        <v>182.65207001092912</v>
      </c>
      <c r="C64" s="11">
        <f t="shared" si="16"/>
        <v>30.803972444870496</v>
      </c>
      <c r="D64" s="11">
        <f t="shared" si="16"/>
        <v>93.397124462065733</v>
      </c>
      <c r="E64" s="11" t="s">
        <v>36</v>
      </c>
      <c r="F64" s="11">
        <f t="shared" si="16"/>
        <v>-14.663555428447205</v>
      </c>
      <c r="G64" s="11" t="s">
        <v>36</v>
      </c>
      <c r="H64" s="11" t="s">
        <v>36</v>
      </c>
    </row>
    <row r="65" spans="1:8" ht="15.6">
      <c r="A65" s="7"/>
      <c r="B65" s="19"/>
      <c r="C65" s="19"/>
      <c r="D65" s="19"/>
      <c r="E65" s="19"/>
    </row>
    <row r="66" spans="1:8" ht="15.6">
      <c r="A66" s="6" t="s">
        <v>27</v>
      </c>
      <c r="B66" s="19"/>
      <c r="C66" s="19"/>
      <c r="D66" s="19"/>
      <c r="E66" s="19"/>
    </row>
    <row r="67" spans="1:8" ht="15.6">
      <c r="A67" s="7" t="s">
        <v>33</v>
      </c>
      <c r="B67" s="19">
        <f>B22/(B16*12)</f>
        <v>27708.471134618478</v>
      </c>
      <c r="C67" s="19">
        <f>C22/C16</f>
        <v>147874.64948064135</v>
      </c>
      <c r="D67" s="40">
        <f>D22/(D16*11)</f>
        <v>137732.47351574112</v>
      </c>
      <c r="E67" s="19">
        <f>E22/(E16*12)</f>
        <v>641306.28111348534</v>
      </c>
      <c r="F67" s="19">
        <f t="shared" ref="F67" si="17">F22/(F16*6)</f>
        <v>22854.588577034883</v>
      </c>
      <c r="G67" s="19">
        <f>G22/(G16*5)</f>
        <v>514554.91446638259</v>
      </c>
      <c r="H67" s="19">
        <f>H22/(H16*5)</f>
        <v>133366.63045043478</v>
      </c>
    </row>
    <row r="68" spans="1:8" ht="15.6">
      <c r="A68" s="7" t="s">
        <v>34</v>
      </c>
      <c r="B68" s="19">
        <f t="shared" ref="B68" si="18">B23/(B17*12)</f>
        <v>28132.461180002454</v>
      </c>
      <c r="C68" s="19">
        <f>C23/C17</f>
        <v>141421.09753279283</v>
      </c>
      <c r="D68" s="40">
        <f>D23/(D17*11)</f>
        <v>130689.08833060332</v>
      </c>
      <c r="E68" s="19">
        <f>E23/(E17*12)</f>
        <v>596254.53171679529</v>
      </c>
      <c r="F68" s="19">
        <f t="shared" ref="F68" si="19">F23/(F17*6)</f>
        <v>59041.576539185866</v>
      </c>
      <c r="G68" s="19">
        <f>G23/(G17*5)</f>
        <v>497583.09209772677</v>
      </c>
      <c r="H68" s="19">
        <f>H23/(H17*5)</f>
        <v>137242.6124916051</v>
      </c>
    </row>
    <row r="69" spans="1:8" ht="15.6">
      <c r="A69" s="7" t="s">
        <v>28</v>
      </c>
      <c r="B69" s="19">
        <f>(B68/B67)*B51</f>
        <v>91.238590934549151</v>
      </c>
      <c r="C69" s="19">
        <f>(C68/C67)*C51</f>
        <v>84.615674711701658</v>
      </c>
      <c r="D69" s="19">
        <f>(D68/D67)*D51</f>
        <v>91.753255903605904</v>
      </c>
      <c r="E69" s="19">
        <f>(E68/E67)*E51</f>
        <v>80.018442095308785</v>
      </c>
      <c r="F69" s="19">
        <f t="shared" ref="F69:H69" si="20">(F68/F67)*F51</f>
        <v>154.80068601970532</v>
      </c>
      <c r="G69" s="19">
        <f t="shared" si="20"/>
        <v>91.40379421822594</v>
      </c>
      <c r="H69" s="19">
        <f t="shared" si="20"/>
        <v>101.38305422868717</v>
      </c>
    </row>
    <row r="70" spans="1:8" ht="15.6">
      <c r="A70" s="7" t="s">
        <v>37</v>
      </c>
      <c r="B70" s="19">
        <f t="shared" ref="B70:B71" si="21">B22/B16</f>
        <v>332501.65361542173</v>
      </c>
      <c r="C70" s="19">
        <f>(C22/C16)*12</f>
        <v>1774495.7937676962</v>
      </c>
      <c r="D70" s="19">
        <f t="shared" ref="D70" si="22">D22/D16</f>
        <v>1515057.2086731521</v>
      </c>
      <c r="E70" s="19">
        <f t="shared" ref="E70:F70" si="23">E22/E16</f>
        <v>7695675.3733618241</v>
      </c>
      <c r="F70" s="19">
        <f t="shared" si="23"/>
        <v>137127.5314622093</v>
      </c>
      <c r="G70" s="19">
        <f t="shared" ref="G70:H70" si="24">G22/G16</f>
        <v>2572774.5723319128</v>
      </c>
      <c r="H70" s="19">
        <f t="shared" si="24"/>
        <v>666833.15225217398</v>
      </c>
    </row>
    <row r="71" spans="1:8" ht="15.6">
      <c r="A71" s="7" t="s">
        <v>38</v>
      </c>
      <c r="B71" s="19">
        <f t="shared" si="21"/>
        <v>337589.53416002949</v>
      </c>
      <c r="C71" s="19">
        <f>(C23/C17)*12</f>
        <v>1697053.170393514</v>
      </c>
      <c r="D71" s="19">
        <f t="shared" ref="D71" si="25">D23/D17</f>
        <v>1437579.9716366366</v>
      </c>
      <c r="E71" s="19">
        <f t="shared" ref="E71:F71" si="26">E23/E17</f>
        <v>7155054.3806015439</v>
      </c>
      <c r="F71" s="19">
        <f t="shared" si="26"/>
        <v>354249.45923511521</v>
      </c>
      <c r="G71" s="19">
        <f t="shared" ref="G71:H71" si="27">G23/G17</f>
        <v>2487915.4604886342</v>
      </c>
      <c r="H71" s="19">
        <f t="shared" si="27"/>
        <v>686213.06245802552</v>
      </c>
    </row>
    <row r="72" spans="1:8" ht="15.6">
      <c r="A72" s="7"/>
      <c r="B72" s="19"/>
      <c r="C72" s="19"/>
      <c r="D72" s="19"/>
      <c r="E72" s="19"/>
    </row>
    <row r="73" spans="1:8" ht="15.6">
      <c r="A73" s="6" t="s">
        <v>29</v>
      </c>
      <c r="B73" s="19"/>
      <c r="C73" s="19"/>
      <c r="D73" s="19"/>
      <c r="E73" s="19"/>
    </row>
    <row r="74" spans="1:8" ht="15.6">
      <c r="A74" s="7" t="s">
        <v>30</v>
      </c>
      <c r="B74" s="19">
        <f>(B29/B28)*100</f>
        <v>100.19196678280591</v>
      </c>
      <c r="C74" s="19"/>
      <c r="D74" s="19"/>
      <c r="E74" s="19"/>
    </row>
    <row r="75" spans="1:8" ht="15.6">
      <c r="A75" s="7" t="s">
        <v>31</v>
      </c>
      <c r="B75" s="19">
        <f>(B23/B29)*100</f>
        <v>90.372348014669186</v>
      </c>
      <c r="C75" s="19"/>
      <c r="D75" s="19"/>
      <c r="E75" s="19"/>
    </row>
    <row r="76" spans="1:8" ht="16.2" thickBot="1">
      <c r="A76" s="17"/>
      <c r="B76" s="17"/>
      <c r="C76" s="17"/>
      <c r="D76" s="17"/>
      <c r="E76" s="17"/>
      <c r="F76" s="17"/>
      <c r="G76" s="17"/>
      <c r="H76" s="17"/>
    </row>
    <row r="77" spans="1:8" s="27" customFormat="1" ht="16.5" customHeight="1" thickTop="1">
      <c r="A77" s="50" t="s">
        <v>84</v>
      </c>
      <c r="B77" s="50"/>
      <c r="C77" s="50"/>
      <c r="D77" s="50"/>
      <c r="E77" s="50"/>
    </row>
    <row r="78" spans="1:8" customFormat="1">
      <c r="A78" s="28"/>
    </row>
    <row r="79" spans="1:8" customFormat="1" ht="15.6">
      <c r="A79" s="23" t="s">
        <v>85</v>
      </c>
      <c r="B79" s="24"/>
      <c r="C79" s="24"/>
      <c r="D79" s="24"/>
      <c r="E79" s="24"/>
      <c r="F79" s="24"/>
    </row>
    <row r="80" spans="1:8" customFormat="1" ht="19.95" customHeight="1">
      <c r="A80" s="43" t="s">
        <v>86</v>
      </c>
      <c r="B80" s="43"/>
      <c r="C80" s="43"/>
      <c r="D80" s="43"/>
      <c r="E80" s="43"/>
      <c r="F80" s="43"/>
    </row>
    <row r="82" spans="1:8" ht="52.05" customHeight="1">
      <c r="A82" s="60" t="s">
        <v>134</v>
      </c>
      <c r="B82" s="60"/>
      <c r="C82" s="60"/>
      <c r="D82" s="60"/>
      <c r="E82" s="60"/>
      <c r="F82" s="60"/>
      <c r="G82" s="60"/>
      <c r="H82" s="60"/>
    </row>
    <row r="84" spans="1:8" s="42" customFormat="1" ht="33" customHeight="1">
      <c r="A84" s="60" t="s">
        <v>135</v>
      </c>
      <c r="B84" s="60"/>
      <c r="C84" s="60"/>
      <c r="D84" s="60"/>
      <c r="E84" s="60"/>
      <c r="F84" s="60"/>
      <c r="G84" s="60"/>
      <c r="H84" s="60"/>
    </row>
    <row r="86" spans="1:8" s="42" customFormat="1" ht="33" customHeight="1">
      <c r="A86" s="60" t="s">
        <v>136</v>
      </c>
      <c r="B86" s="60"/>
      <c r="C86" s="60"/>
      <c r="D86" s="60"/>
      <c r="E86" s="60"/>
      <c r="F86" s="60"/>
      <c r="G86" s="60"/>
      <c r="H86" s="60"/>
    </row>
  </sheetData>
  <mergeCells count="8">
    <mergeCell ref="A9:A10"/>
    <mergeCell ref="B9:B10"/>
    <mergeCell ref="C9:H9"/>
    <mergeCell ref="A86:H86"/>
    <mergeCell ref="A80:F80"/>
    <mergeCell ref="A82:H82"/>
    <mergeCell ref="A84:H84"/>
    <mergeCell ref="A77:E77"/>
  </mergeCells>
  <pageMargins left="0.7" right="0.7" top="0.75" bottom="0.75" header="0.3" footer="0.3"/>
  <pageSetup scale="10" orientation="portrait" r:id="rId1"/>
  <ignoredErrors>
    <ignoredError sqref="C70:C71 G67:G68"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 Trimestre</vt:lpstr>
      <vt:lpstr>II trimestre</vt:lpstr>
      <vt:lpstr>I Semestre</vt:lpstr>
      <vt:lpstr>III Trimestre</vt:lpstr>
      <vt:lpstr>III T Acumulado</vt:lpstr>
      <vt:lpstr>IV Trimestre</vt:lpstr>
      <vt:lpstr>Anual</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Astorga</dc:creator>
  <cp:lastModifiedBy>Stephanie Tatiana Salas Soto</cp:lastModifiedBy>
  <dcterms:created xsi:type="dcterms:W3CDTF">2012-04-10T15:25:06Z</dcterms:created>
  <dcterms:modified xsi:type="dcterms:W3CDTF">2025-12-30T19:34:09Z</dcterms:modified>
</cp:coreProperties>
</file>