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207180055\Desktop\ACTUALIZACIÓN PW 2025\2022\Indicadores\"/>
    </mc:Choice>
  </mc:AlternateContent>
  <xr:revisionPtr revIDLastSave="0" documentId="13_ncr:1_{08CC8A20-6802-42FF-BC66-950689B5780A}" xr6:coauthVersionLast="47" xr6:coauthVersionMax="47" xr10:uidLastSave="{00000000-0000-0000-0000-000000000000}"/>
  <bookViews>
    <workbookView xWindow="-108" yWindow="-108" windowWidth="23256" windowHeight="13896" tabRatio="729" xr2:uid="{00000000-000D-0000-FFFF-FFFF00000000}"/>
  </bookViews>
  <sheets>
    <sheet name="I Trimestre" sheetId="2" r:id="rId1"/>
    <sheet name="II Trimestre" sheetId="3" r:id="rId2"/>
    <sheet name="I Semestre" sheetId="5" r:id="rId3"/>
    <sheet name="III Trimestre" sheetId="1" r:id="rId4"/>
    <sheet name="III T Acumulado" sheetId="6" r:id="rId5"/>
    <sheet name="IV Trimestre" sheetId="4" r:id="rId6"/>
    <sheet name="Anual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70" i="7" l="1"/>
  <c r="M69" i="7"/>
  <c r="M73" i="4"/>
  <c r="M72" i="4"/>
  <c r="M70" i="4"/>
  <c r="M69" i="4"/>
  <c r="M72" i="7"/>
  <c r="M61" i="4" l="1"/>
  <c r="M57" i="4"/>
  <c r="M56" i="4"/>
  <c r="M58" i="4" s="1"/>
  <c r="M52" i="4"/>
  <c r="M53" i="4" s="1"/>
  <c r="M51" i="4"/>
  <c r="M40" i="4"/>
  <c r="M73" i="7"/>
  <c r="M61" i="7"/>
  <c r="M57" i="7"/>
  <c r="M58" i="7" s="1"/>
  <c r="M56" i="7"/>
  <c r="M53" i="7"/>
  <c r="M71" i="7" s="1"/>
  <c r="M52" i="7"/>
  <c r="M51" i="7"/>
  <c r="M40" i="7"/>
  <c r="M42" i="7" s="1"/>
  <c r="M71" i="4" l="1"/>
  <c r="M42" i="4"/>
  <c r="J23" i="7" l="1"/>
  <c r="B27" i="7"/>
  <c r="B25" i="7"/>
  <c r="M25" i="7"/>
  <c r="H17" i="7"/>
  <c r="B19" i="7"/>
  <c r="B27" i="4"/>
  <c r="B25" i="4"/>
  <c r="B19" i="4"/>
  <c r="H25" i="5"/>
  <c r="B19" i="5"/>
  <c r="B26" i="7" l="1"/>
  <c r="B26" i="5"/>
  <c r="M57" i="5"/>
  <c r="M56" i="5"/>
  <c r="M58" i="5" s="1"/>
  <c r="M40" i="5"/>
  <c r="M27" i="5"/>
  <c r="B26" i="3"/>
  <c r="M57" i="3"/>
  <c r="M58" i="3" s="1"/>
  <c r="M56" i="3"/>
  <c r="M40" i="3"/>
  <c r="M27" i="3"/>
  <c r="C24" i="7"/>
  <c r="M26" i="7"/>
  <c r="M27" i="7"/>
  <c r="L25" i="7"/>
  <c r="L27" i="7" s="1"/>
  <c r="M24" i="7"/>
  <c r="I23" i="7"/>
  <c r="L23" i="7"/>
  <c r="M19" i="7"/>
  <c r="M20" i="7"/>
  <c r="M17" i="7"/>
  <c r="M16" i="7"/>
  <c r="B26" i="4"/>
  <c r="B24" i="4"/>
  <c r="B17" i="4"/>
  <c r="M27" i="4"/>
  <c r="M58" i="6" l="1"/>
  <c r="M57" i="6"/>
  <c r="M56" i="6"/>
  <c r="M40" i="6"/>
  <c r="B26" i="6"/>
  <c r="M24" i="6"/>
  <c r="M25" i="6"/>
  <c r="M26" i="6"/>
  <c r="M27" i="6"/>
  <c r="M23" i="6"/>
  <c r="L25" i="6"/>
  <c r="L23" i="6"/>
  <c r="J23" i="6"/>
  <c r="J26" i="6"/>
  <c r="J25" i="6"/>
  <c r="J24" i="6"/>
  <c r="C23" i="6"/>
  <c r="M20" i="6"/>
  <c r="M19" i="6"/>
  <c r="L19" i="6"/>
  <c r="M17" i="6"/>
  <c r="M16" i="6"/>
  <c r="C16" i="6"/>
  <c r="D16" i="6"/>
  <c r="E16" i="6"/>
  <c r="F16" i="6"/>
  <c r="G16" i="6"/>
  <c r="H16" i="6"/>
  <c r="I16" i="6"/>
  <c r="J16" i="6"/>
  <c r="K16" i="6"/>
  <c r="L16" i="6"/>
  <c r="B16" i="6"/>
  <c r="B26" i="1"/>
  <c r="B23" i="1"/>
  <c r="B17" i="1"/>
  <c r="M57" i="1"/>
  <c r="M56" i="1"/>
  <c r="M58" i="1" s="1"/>
  <c r="M40" i="1"/>
  <c r="M27" i="1"/>
  <c r="L27" i="1"/>
  <c r="J39" i="2"/>
  <c r="L40" i="7"/>
  <c r="L40" i="4"/>
  <c r="L39" i="4"/>
  <c r="I51" i="4"/>
  <c r="I52" i="4"/>
  <c r="I53" i="4" s="1"/>
  <c r="I69" i="4"/>
  <c r="I70" i="4"/>
  <c r="I72" i="4"/>
  <c r="I73" i="4"/>
  <c r="I71" i="4" l="1"/>
  <c r="B23" i="4"/>
  <c r="L39" i="7" l="1"/>
  <c r="L65" i="7" s="1"/>
  <c r="J64" i="5" l="1"/>
  <c r="L23" i="5"/>
  <c r="J23" i="5"/>
  <c r="J39" i="5" s="1"/>
  <c r="J41" i="5" s="1"/>
  <c r="J40" i="3"/>
  <c r="J39" i="3"/>
  <c r="J41" i="3" s="1"/>
  <c r="J64" i="3"/>
  <c r="B23" i="2"/>
  <c r="B23" i="3"/>
  <c r="J64" i="2"/>
  <c r="J40" i="2"/>
  <c r="J41" i="2"/>
  <c r="J65" i="3" l="1"/>
  <c r="J65" i="2"/>
  <c r="K19" i="7" l="1"/>
  <c r="G19" i="7"/>
  <c r="H19" i="7"/>
  <c r="I19" i="7"/>
  <c r="F19" i="7"/>
  <c r="E19" i="7"/>
  <c r="D19" i="7"/>
  <c r="J64" i="7" l="1"/>
  <c r="K66" i="7"/>
  <c r="K64" i="7"/>
  <c r="J64" i="4"/>
  <c r="K64" i="4"/>
  <c r="K40" i="4"/>
  <c r="K42" i="4" s="1"/>
  <c r="J40" i="4"/>
  <c r="K39" i="4"/>
  <c r="K41" i="4" s="1"/>
  <c r="J39" i="4"/>
  <c r="J41" i="4" s="1"/>
  <c r="J64" i="6"/>
  <c r="C64" i="6"/>
  <c r="C64" i="1"/>
  <c r="I64" i="7"/>
  <c r="K39" i="7"/>
  <c r="K65" i="7" s="1"/>
  <c r="J65" i="4" l="1"/>
  <c r="K66" i="4"/>
  <c r="K65" i="4"/>
  <c r="J24" i="7"/>
  <c r="J39" i="7"/>
  <c r="J41" i="7" s="1"/>
  <c r="C23" i="7"/>
  <c r="H25" i="7" l="1"/>
  <c r="J25" i="7"/>
  <c r="J27" i="7" s="1"/>
  <c r="K17" i="7" l="1"/>
  <c r="I64" i="6" l="1"/>
  <c r="H64" i="6"/>
  <c r="G64" i="6"/>
  <c r="F64" i="6"/>
  <c r="E64" i="6"/>
  <c r="B64" i="6"/>
  <c r="G48" i="6"/>
  <c r="E48" i="6"/>
  <c r="C48" i="6"/>
  <c r="B48" i="6"/>
  <c r="E23" i="6"/>
  <c r="E39" i="6" s="1"/>
  <c r="E41" i="6" s="1"/>
  <c r="L40" i="6"/>
  <c r="L39" i="6"/>
  <c r="K19" i="6"/>
  <c r="K17" i="6"/>
  <c r="I73" i="1"/>
  <c r="H73" i="1"/>
  <c r="G73" i="1"/>
  <c r="F73" i="1"/>
  <c r="E73" i="1"/>
  <c r="C73" i="1"/>
  <c r="I72" i="1"/>
  <c r="H72" i="1"/>
  <c r="G72" i="1"/>
  <c r="F72" i="1"/>
  <c r="E72" i="1"/>
  <c r="C72" i="1"/>
  <c r="I70" i="1"/>
  <c r="H70" i="1"/>
  <c r="G70" i="1"/>
  <c r="F70" i="1"/>
  <c r="E70" i="1"/>
  <c r="C70" i="1"/>
  <c r="I69" i="1"/>
  <c r="H69" i="1"/>
  <c r="G69" i="1"/>
  <c r="F69" i="1"/>
  <c r="E69" i="1"/>
  <c r="C69" i="1"/>
  <c r="J64" i="1"/>
  <c r="I64" i="1"/>
  <c r="H64" i="1"/>
  <c r="G64" i="1"/>
  <c r="F64" i="1"/>
  <c r="E64" i="1"/>
  <c r="B64" i="1"/>
  <c r="I57" i="1"/>
  <c r="H57" i="1"/>
  <c r="G57" i="1"/>
  <c r="F57" i="1"/>
  <c r="E57" i="1"/>
  <c r="C57" i="1"/>
  <c r="I56" i="1"/>
  <c r="H56" i="1"/>
  <c r="G56" i="1"/>
  <c r="F56" i="1"/>
  <c r="F58" i="1" s="1"/>
  <c r="E56" i="1"/>
  <c r="C56" i="1"/>
  <c r="I52" i="1"/>
  <c r="H52" i="1"/>
  <c r="G52" i="1"/>
  <c r="F52" i="1"/>
  <c r="E52" i="1"/>
  <c r="C52" i="1"/>
  <c r="I51" i="1"/>
  <c r="H51" i="1"/>
  <c r="G51" i="1"/>
  <c r="F51" i="1"/>
  <c r="E51" i="1"/>
  <c r="D51" i="1"/>
  <c r="D53" i="1" s="1"/>
  <c r="G48" i="1"/>
  <c r="E48" i="1"/>
  <c r="C48" i="1"/>
  <c r="B48" i="1"/>
  <c r="G47" i="1"/>
  <c r="E47" i="1"/>
  <c r="C47" i="1"/>
  <c r="L40" i="1"/>
  <c r="J40" i="1"/>
  <c r="I40" i="1"/>
  <c r="I42" i="1" s="1"/>
  <c r="H40" i="1"/>
  <c r="H42" i="1" s="1"/>
  <c r="G40" i="1"/>
  <c r="F40" i="1"/>
  <c r="F42" i="1" s="1"/>
  <c r="E40" i="1"/>
  <c r="E42" i="1" s="1"/>
  <c r="C40" i="1"/>
  <c r="C42" i="1" s="1"/>
  <c r="L39" i="1"/>
  <c r="J39" i="1"/>
  <c r="J41" i="1" s="1"/>
  <c r="I39" i="1"/>
  <c r="I41" i="1" s="1"/>
  <c r="H39" i="1"/>
  <c r="H41" i="1" s="1"/>
  <c r="G39" i="1"/>
  <c r="G41" i="1" s="1"/>
  <c r="F39" i="1"/>
  <c r="F41" i="1" s="1"/>
  <c r="E39" i="1"/>
  <c r="E41" i="1" s="1"/>
  <c r="C39" i="1"/>
  <c r="C41" i="1" s="1"/>
  <c r="B39" i="1"/>
  <c r="B41" i="1" s="1"/>
  <c r="I64" i="5"/>
  <c r="H64" i="5"/>
  <c r="G64" i="5"/>
  <c r="F64" i="5"/>
  <c r="E64" i="5"/>
  <c r="C64" i="5"/>
  <c r="B64" i="5"/>
  <c r="G48" i="5"/>
  <c r="E48" i="5"/>
  <c r="C48" i="5"/>
  <c r="B48" i="5"/>
  <c r="L25" i="5"/>
  <c r="L39" i="5"/>
  <c r="J26" i="5"/>
  <c r="J24" i="5"/>
  <c r="J25" i="5"/>
  <c r="F23" i="5"/>
  <c r="F39" i="5" s="1"/>
  <c r="F41" i="5" s="1"/>
  <c r="G23" i="5"/>
  <c r="G39" i="5" s="1"/>
  <c r="G41" i="5" s="1"/>
  <c r="H23" i="5"/>
  <c r="H39" i="5" s="1"/>
  <c r="H41" i="5" s="1"/>
  <c r="I23" i="5"/>
  <c r="I39" i="5" s="1"/>
  <c r="I41" i="5" s="1"/>
  <c r="F24" i="5"/>
  <c r="G24" i="5"/>
  <c r="H24" i="5"/>
  <c r="I24" i="5"/>
  <c r="F25" i="5"/>
  <c r="G25" i="5"/>
  <c r="H40" i="5"/>
  <c r="I25" i="5"/>
  <c r="F26" i="5"/>
  <c r="G26" i="5"/>
  <c r="H26" i="5"/>
  <c r="I26" i="5"/>
  <c r="F27" i="5"/>
  <c r="F61" i="5" s="1"/>
  <c r="G27" i="5"/>
  <c r="G61" i="5" s="1"/>
  <c r="H27" i="5"/>
  <c r="H61" i="5" s="1"/>
  <c r="I27" i="5"/>
  <c r="I61" i="5" s="1"/>
  <c r="E23" i="5"/>
  <c r="E39" i="5" s="1"/>
  <c r="E41" i="5" s="1"/>
  <c r="C23" i="5"/>
  <c r="J20" i="5"/>
  <c r="K20" i="5"/>
  <c r="L20" i="5"/>
  <c r="D19" i="5"/>
  <c r="E19" i="5"/>
  <c r="F19" i="5"/>
  <c r="G19" i="5"/>
  <c r="H19" i="5"/>
  <c r="I19" i="5"/>
  <c r="K19" i="5"/>
  <c r="D17" i="5"/>
  <c r="E17" i="5"/>
  <c r="F17" i="5"/>
  <c r="G17" i="5"/>
  <c r="H17" i="5"/>
  <c r="I17" i="5"/>
  <c r="K17" i="5"/>
  <c r="J16" i="5"/>
  <c r="K16" i="5"/>
  <c r="L16" i="5"/>
  <c r="B16" i="5"/>
  <c r="C16" i="5"/>
  <c r="D16" i="5"/>
  <c r="D51" i="5" s="1"/>
  <c r="E16" i="5"/>
  <c r="E47" i="5" s="1"/>
  <c r="F16" i="5"/>
  <c r="F51" i="5" s="1"/>
  <c r="G16" i="5"/>
  <c r="G51" i="5" s="1"/>
  <c r="H16" i="5"/>
  <c r="H51" i="5" s="1"/>
  <c r="I16" i="5"/>
  <c r="I51" i="5" s="1"/>
  <c r="I73" i="3"/>
  <c r="H73" i="3"/>
  <c r="G73" i="3"/>
  <c r="F73" i="3"/>
  <c r="E73" i="3"/>
  <c r="C73" i="3"/>
  <c r="I72" i="3"/>
  <c r="H72" i="3"/>
  <c r="G72" i="3"/>
  <c r="F72" i="3"/>
  <c r="E72" i="3"/>
  <c r="C72" i="3"/>
  <c r="I70" i="3"/>
  <c r="H70" i="3"/>
  <c r="G70" i="3"/>
  <c r="F70" i="3"/>
  <c r="E70" i="3"/>
  <c r="C70" i="3"/>
  <c r="I69" i="3"/>
  <c r="H69" i="3"/>
  <c r="G69" i="3"/>
  <c r="F69" i="3"/>
  <c r="E69" i="3"/>
  <c r="C69" i="3"/>
  <c r="I64" i="3"/>
  <c r="H64" i="3"/>
  <c r="G64" i="3"/>
  <c r="F64" i="3"/>
  <c r="E64" i="3"/>
  <c r="C64" i="3"/>
  <c r="B64" i="3"/>
  <c r="I57" i="3"/>
  <c r="H57" i="3"/>
  <c r="G57" i="3"/>
  <c r="F57" i="3"/>
  <c r="E57" i="3"/>
  <c r="C57" i="3"/>
  <c r="I56" i="3"/>
  <c r="H56" i="3"/>
  <c r="G56" i="3"/>
  <c r="F56" i="3"/>
  <c r="E56" i="3"/>
  <c r="C56" i="3"/>
  <c r="I52" i="3"/>
  <c r="H52" i="3"/>
  <c r="G52" i="3"/>
  <c r="F52" i="3"/>
  <c r="E52" i="3"/>
  <c r="C52" i="3"/>
  <c r="I51" i="3"/>
  <c r="H51" i="3"/>
  <c r="G51" i="3"/>
  <c r="F51" i="3"/>
  <c r="E51" i="3"/>
  <c r="D51" i="3"/>
  <c r="G48" i="3"/>
  <c r="E48" i="3"/>
  <c r="C48" i="3"/>
  <c r="B48" i="3"/>
  <c r="G47" i="3"/>
  <c r="E47" i="3"/>
  <c r="C47" i="3"/>
  <c r="I40" i="3"/>
  <c r="H40" i="3"/>
  <c r="H42" i="3" s="1"/>
  <c r="G40" i="3"/>
  <c r="F40" i="3"/>
  <c r="E40" i="3"/>
  <c r="C40" i="3"/>
  <c r="C65" i="3" s="1"/>
  <c r="I39" i="3"/>
  <c r="I41" i="3" s="1"/>
  <c r="H39" i="3"/>
  <c r="H41" i="3" s="1"/>
  <c r="G39" i="3"/>
  <c r="G41" i="3" s="1"/>
  <c r="F39" i="3"/>
  <c r="F41" i="3" s="1"/>
  <c r="E39" i="3"/>
  <c r="E41" i="3" s="1"/>
  <c r="C39" i="3"/>
  <c r="C41" i="3" s="1"/>
  <c r="L27" i="3"/>
  <c r="B25" i="3"/>
  <c r="B77" i="3" s="1"/>
  <c r="B24" i="3"/>
  <c r="B39" i="3"/>
  <c r="B41" i="3" s="1"/>
  <c r="B19" i="3"/>
  <c r="B17" i="3"/>
  <c r="I73" i="2"/>
  <c r="H73" i="2"/>
  <c r="G73" i="2"/>
  <c r="F73" i="2"/>
  <c r="E73" i="2"/>
  <c r="C73" i="2"/>
  <c r="I72" i="2"/>
  <c r="H72" i="2"/>
  <c r="G72" i="2"/>
  <c r="E72" i="2"/>
  <c r="C72" i="2"/>
  <c r="I70" i="2"/>
  <c r="H70" i="2"/>
  <c r="G70" i="2"/>
  <c r="F70" i="2"/>
  <c r="E70" i="2"/>
  <c r="C70" i="2"/>
  <c r="I69" i="2"/>
  <c r="H69" i="2"/>
  <c r="G69" i="2"/>
  <c r="E69" i="2"/>
  <c r="C69" i="2"/>
  <c r="I64" i="2"/>
  <c r="H64" i="2"/>
  <c r="G64" i="2"/>
  <c r="F64" i="2"/>
  <c r="E64" i="2"/>
  <c r="C64" i="2"/>
  <c r="B64" i="2"/>
  <c r="I57" i="2"/>
  <c r="H57" i="2"/>
  <c r="G57" i="2"/>
  <c r="E57" i="2"/>
  <c r="C57" i="2"/>
  <c r="I56" i="2"/>
  <c r="H56" i="2"/>
  <c r="G56" i="2"/>
  <c r="E56" i="2"/>
  <c r="C56" i="2"/>
  <c r="I52" i="2"/>
  <c r="H52" i="2"/>
  <c r="G52" i="2"/>
  <c r="E52" i="2"/>
  <c r="C52" i="2"/>
  <c r="I51" i="2"/>
  <c r="H51" i="2"/>
  <c r="G51" i="2"/>
  <c r="E51" i="2"/>
  <c r="D51" i="2"/>
  <c r="G48" i="2"/>
  <c r="E48" i="2"/>
  <c r="C48" i="2"/>
  <c r="B48" i="2"/>
  <c r="G47" i="2"/>
  <c r="E47" i="2"/>
  <c r="C47" i="2"/>
  <c r="L40" i="2"/>
  <c r="I40" i="2"/>
  <c r="H40" i="2"/>
  <c r="G40" i="2"/>
  <c r="F40" i="2"/>
  <c r="E40" i="2"/>
  <c r="C40" i="2"/>
  <c r="L39" i="2"/>
  <c r="I39" i="2"/>
  <c r="I41" i="2" s="1"/>
  <c r="H39" i="2"/>
  <c r="H41" i="2" s="1"/>
  <c r="G39" i="2"/>
  <c r="G41" i="2" s="1"/>
  <c r="F39" i="2"/>
  <c r="F41" i="2" s="1"/>
  <c r="E39" i="2"/>
  <c r="E41" i="2" s="1"/>
  <c r="C39" i="2"/>
  <c r="C41" i="2" s="1"/>
  <c r="B26" i="2"/>
  <c r="L27" i="2"/>
  <c r="B25" i="2"/>
  <c r="B24" i="2"/>
  <c r="B39" i="2"/>
  <c r="B41" i="2" s="1"/>
  <c r="B19" i="2"/>
  <c r="B17" i="2"/>
  <c r="B72" i="2" s="1"/>
  <c r="F65" i="3" l="1"/>
  <c r="G53" i="1"/>
  <c r="H53" i="1"/>
  <c r="E58" i="1"/>
  <c r="H58" i="3"/>
  <c r="I69" i="5"/>
  <c r="F53" i="3"/>
  <c r="C58" i="3"/>
  <c r="C39" i="5"/>
  <c r="C41" i="5" s="1"/>
  <c r="B23" i="5"/>
  <c r="B39" i="5" s="1"/>
  <c r="B41" i="5" s="1"/>
  <c r="H53" i="3"/>
  <c r="H71" i="3" s="1"/>
  <c r="F53" i="1"/>
  <c r="F71" i="1" s="1"/>
  <c r="H58" i="1"/>
  <c r="E53" i="1"/>
  <c r="E71" i="1" s="1"/>
  <c r="I58" i="1"/>
  <c r="H53" i="2"/>
  <c r="H71" i="2" s="1"/>
  <c r="C47" i="5"/>
  <c r="L65" i="6"/>
  <c r="D53" i="2"/>
  <c r="C71" i="2" s="1"/>
  <c r="I53" i="1"/>
  <c r="I71" i="1" s="1"/>
  <c r="G58" i="1"/>
  <c r="D53" i="3"/>
  <c r="C71" i="3" s="1"/>
  <c r="F58" i="3"/>
  <c r="C58" i="1"/>
  <c r="J27" i="5"/>
  <c r="J40" i="5"/>
  <c r="E66" i="1"/>
  <c r="I66" i="1"/>
  <c r="E65" i="1"/>
  <c r="G65" i="1"/>
  <c r="I65" i="1"/>
  <c r="G42" i="1"/>
  <c r="G66" i="1" s="1"/>
  <c r="G71" i="1"/>
  <c r="C71" i="1"/>
  <c r="H71" i="1"/>
  <c r="E65" i="3"/>
  <c r="G65" i="3"/>
  <c r="I65" i="3"/>
  <c r="F42" i="3"/>
  <c r="F66" i="3" s="1"/>
  <c r="B73" i="3"/>
  <c r="B57" i="3"/>
  <c r="H65" i="3"/>
  <c r="E53" i="3"/>
  <c r="E71" i="3" s="1"/>
  <c r="G53" i="3"/>
  <c r="G71" i="3" s="1"/>
  <c r="I53" i="3"/>
  <c r="I71" i="3" s="1"/>
  <c r="E58" i="3"/>
  <c r="G58" i="3"/>
  <c r="I58" i="3"/>
  <c r="I57" i="5"/>
  <c r="B72" i="3"/>
  <c r="B40" i="3"/>
  <c r="B65" i="3" s="1"/>
  <c r="C42" i="3"/>
  <c r="C66" i="3" s="1"/>
  <c r="B52" i="3"/>
  <c r="B70" i="3"/>
  <c r="G73" i="5"/>
  <c r="B69" i="3"/>
  <c r="G47" i="5"/>
  <c r="E51" i="5"/>
  <c r="L65" i="2"/>
  <c r="G57" i="5"/>
  <c r="E53" i="2"/>
  <c r="G53" i="2"/>
  <c r="G71" i="2" s="1"/>
  <c r="I53" i="2"/>
  <c r="I71" i="2" s="1"/>
  <c r="E58" i="2"/>
  <c r="G58" i="2"/>
  <c r="I58" i="2"/>
  <c r="I73" i="5"/>
  <c r="I52" i="5"/>
  <c r="I53" i="5" s="1"/>
  <c r="G72" i="5"/>
  <c r="I72" i="5"/>
  <c r="B77" i="2"/>
  <c r="B57" i="2"/>
  <c r="B69" i="2"/>
  <c r="B70" i="2"/>
  <c r="B73" i="2"/>
  <c r="H65" i="5"/>
  <c r="B40" i="2"/>
  <c r="B65" i="2" s="1"/>
  <c r="E65" i="2"/>
  <c r="G65" i="2"/>
  <c r="I65" i="2"/>
  <c r="E71" i="2"/>
  <c r="B52" i="2"/>
  <c r="C58" i="2"/>
  <c r="H58" i="2"/>
  <c r="H73" i="5"/>
  <c r="H70" i="5"/>
  <c r="H57" i="5"/>
  <c r="H52" i="5"/>
  <c r="H53" i="5" s="1"/>
  <c r="F73" i="5"/>
  <c r="F70" i="5"/>
  <c r="F57" i="5"/>
  <c r="F52" i="5"/>
  <c r="F53" i="5" s="1"/>
  <c r="H72" i="5"/>
  <c r="H69" i="5"/>
  <c r="F72" i="5"/>
  <c r="F69" i="5"/>
  <c r="L40" i="5"/>
  <c r="L27" i="5"/>
  <c r="F40" i="5"/>
  <c r="F65" i="5" s="1"/>
  <c r="I70" i="5"/>
  <c r="C65" i="2"/>
  <c r="F65" i="2"/>
  <c r="H65" i="2"/>
  <c r="G40" i="5"/>
  <c r="G65" i="5" s="1"/>
  <c r="I40" i="5"/>
  <c r="I65" i="5" s="1"/>
  <c r="G52" i="5"/>
  <c r="G53" i="5" s="1"/>
  <c r="G69" i="5"/>
  <c r="G70" i="5"/>
  <c r="J40" i="6"/>
  <c r="C66" i="1"/>
  <c r="F66" i="1"/>
  <c r="H66" i="1"/>
  <c r="C65" i="1"/>
  <c r="F65" i="1"/>
  <c r="H65" i="1"/>
  <c r="J65" i="1"/>
  <c r="H42" i="5"/>
  <c r="H66" i="5" s="1"/>
  <c r="H66" i="3"/>
  <c r="F71" i="3"/>
  <c r="E42" i="3"/>
  <c r="E66" i="3" s="1"/>
  <c r="G42" i="3"/>
  <c r="G66" i="3" s="1"/>
  <c r="I42" i="3"/>
  <c r="I66" i="3" s="1"/>
  <c r="E42" i="2"/>
  <c r="E66" i="2" s="1"/>
  <c r="G42" i="2"/>
  <c r="G66" i="2" s="1"/>
  <c r="I42" i="2"/>
  <c r="I66" i="2" s="1"/>
  <c r="C42" i="2"/>
  <c r="C66" i="2" s="1"/>
  <c r="F42" i="2"/>
  <c r="F66" i="2" s="1"/>
  <c r="H42" i="2"/>
  <c r="H66" i="2" s="1"/>
  <c r="L27" i="4"/>
  <c r="G42" i="5" l="1"/>
  <c r="G66" i="5" s="1"/>
  <c r="I71" i="5"/>
  <c r="F71" i="5"/>
  <c r="J65" i="5"/>
  <c r="B42" i="3"/>
  <c r="B66" i="3" s="1"/>
  <c r="B42" i="2"/>
  <c r="B66" i="2" s="1"/>
  <c r="F42" i="5"/>
  <c r="F66" i="5" s="1"/>
  <c r="H71" i="5"/>
  <c r="I42" i="5"/>
  <c r="I66" i="5" s="1"/>
  <c r="G71" i="5"/>
  <c r="K20" i="7" l="1"/>
  <c r="G17" i="7"/>
  <c r="I17" i="7"/>
  <c r="F17" i="7"/>
  <c r="E17" i="7"/>
  <c r="D17" i="7"/>
  <c r="K16" i="7"/>
  <c r="I16" i="7"/>
  <c r="J26" i="7"/>
  <c r="I24" i="7"/>
  <c r="B17" i="7" l="1"/>
  <c r="J40" i="7"/>
  <c r="J65" i="7" s="1"/>
  <c r="J27" i="4" l="1"/>
  <c r="B25" i="1" l="1"/>
  <c r="B77" i="1" l="1"/>
  <c r="B40" i="1"/>
  <c r="B57" i="1"/>
  <c r="B24" i="1"/>
  <c r="B52" i="1" s="1"/>
  <c r="B19" i="1"/>
  <c r="L26" i="6"/>
  <c r="J39" i="6"/>
  <c r="K20" i="6"/>
  <c r="L20" i="6"/>
  <c r="L17" i="6"/>
  <c r="B65" i="1" l="1"/>
  <c r="B42" i="1"/>
  <c r="B66" i="1" s="1"/>
  <c r="B73" i="1"/>
  <c r="B70" i="1"/>
  <c r="B72" i="1"/>
  <c r="B69" i="1"/>
  <c r="J41" i="6"/>
  <c r="J65" i="6"/>
  <c r="L27" i="6"/>
  <c r="E48" i="7" l="1"/>
  <c r="H73" i="4" l="1"/>
  <c r="G73" i="4"/>
  <c r="F73" i="4"/>
  <c r="E73" i="4"/>
  <c r="C73" i="4"/>
  <c r="H72" i="4"/>
  <c r="G72" i="4"/>
  <c r="F72" i="4"/>
  <c r="E72" i="4"/>
  <c r="C72" i="4"/>
  <c r="H70" i="4"/>
  <c r="G70" i="4"/>
  <c r="F70" i="4"/>
  <c r="E70" i="4"/>
  <c r="C70" i="4"/>
  <c r="H69" i="4"/>
  <c r="G69" i="4"/>
  <c r="F69" i="4"/>
  <c r="E69" i="4"/>
  <c r="C69" i="4"/>
  <c r="I64" i="4"/>
  <c r="H64" i="4"/>
  <c r="G64" i="4"/>
  <c r="F64" i="4"/>
  <c r="E64" i="4"/>
  <c r="C64" i="4"/>
  <c r="B64" i="4"/>
  <c r="I57" i="4"/>
  <c r="H57" i="4"/>
  <c r="G57" i="4"/>
  <c r="F57" i="4"/>
  <c r="E57" i="4"/>
  <c r="C57" i="4"/>
  <c r="I56" i="4"/>
  <c r="H56" i="4"/>
  <c r="G56" i="4"/>
  <c r="F56" i="4"/>
  <c r="E56" i="4"/>
  <c r="C56" i="4"/>
  <c r="C58" i="4" s="1"/>
  <c r="H52" i="4"/>
  <c r="G52" i="4"/>
  <c r="F52" i="4"/>
  <c r="E52" i="4"/>
  <c r="C52" i="4"/>
  <c r="H51" i="4"/>
  <c r="G51" i="4"/>
  <c r="F51" i="4"/>
  <c r="F53" i="4" s="1"/>
  <c r="E51" i="4"/>
  <c r="E53" i="4" s="1"/>
  <c r="D51" i="4"/>
  <c r="G48" i="4"/>
  <c r="E48" i="4"/>
  <c r="C48" i="4"/>
  <c r="B48" i="4"/>
  <c r="G47" i="4"/>
  <c r="E47" i="4"/>
  <c r="C47" i="4"/>
  <c r="I40" i="4"/>
  <c r="H40" i="4"/>
  <c r="G40" i="4"/>
  <c r="F40" i="4"/>
  <c r="E40" i="4"/>
  <c r="C40" i="4"/>
  <c r="I39" i="4"/>
  <c r="I41" i="4" s="1"/>
  <c r="H39" i="4"/>
  <c r="H41" i="4" s="1"/>
  <c r="G39" i="4"/>
  <c r="G41" i="4" s="1"/>
  <c r="F39" i="4"/>
  <c r="F41" i="4" s="1"/>
  <c r="E39" i="4"/>
  <c r="E41" i="4" s="1"/>
  <c r="C39" i="4"/>
  <c r="C41" i="4" s="1"/>
  <c r="H53" i="4" l="1"/>
  <c r="H71" i="4" s="1"/>
  <c r="E58" i="4"/>
  <c r="H58" i="4"/>
  <c r="D53" i="4"/>
  <c r="C71" i="4" s="1"/>
  <c r="C65" i="4"/>
  <c r="F58" i="4"/>
  <c r="E65" i="4"/>
  <c r="G53" i="4"/>
  <c r="G71" i="4" s="1"/>
  <c r="G58" i="4"/>
  <c r="F65" i="4"/>
  <c r="G65" i="4"/>
  <c r="E71" i="4"/>
  <c r="H65" i="4"/>
  <c r="F71" i="4"/>
  <c r="I65" i="4"/>
  <c r="I58" i="4"/>
  <c r="E42" i="4"/>
  <c r="E66" i="4" s="1"/>
  <c r="G42" i="4"/>
  <c r="G66" i="4" s="1"/>
  <c r="H42" i="4"/>
  <c r="H66" i="4" s="1"/>
  <c r="I42" i="4"/>
  <c r="I66" i="4" s="1"/>
  <c r="F42" i="4"/>
  <c r="F66" i="4" s="1"/>
  <c r="C42" i="4"/>
  <c r="C66" i="4" s="1"/>
  <c r="F24" i="7" l="1"/>
  <c r="G24" i="7"/>
  <c r="H24" i="7"/>
  <c r="E24" i="7"/>
  <c r="B24" i="7" s="1"/>
  <c r="C26" i="7"/>
  <c r="G72" i="7" l="1"/>
  <c r="G69" i="7"/>
  <c r="F69" i="7"/>
  <c r="F72" i="7"/>
  <c r="E72" i="7"/>
  <c r="E69" i="7"/>
  <c r="I72" i="7"/>
  <c r="I69" i="7"/>
  <c r="C72" i="7"/>
  <c r="C69" i="7"/>
  <c r="H72" i="7"/>
  <c r="H69" i="7"/>
  <c r="C19" i="7" l="1"/>
  <c r="C17" i="7"/>
  <c r="J17" i="6"/>
  <c r="J19" i="6"/>
  <c r="J20" i="6"/>
  <c r="C19" i="6"/>
  <c r="D19" i="6"/>
  <c r="E19" i="6"/>
  <c r="F19" i="6"/>
  <c r="G19" i="6"/>
  <c r="H19" i="6"/>
  <c r="I19" i="6"/>
  <c r="C17" i="6"/>
  <c r="D17" i="6"/>
  <c r="E17" i="6"/>
  <c r="F17" i="6"/>
  <c r="G17" i="6"/>
  <c r="H17" i="6"/>
  <c r="I17" i="6"/>
  <c r="B17" i="6" l="1"/>
  <c r="B69" i="7"/>
  <c r="B72" i="7"/>
  <c r="B69" i="4"/>
  <c r="B72" i="4"/>
  <c r="B17" i="5"/>
  <c r="B19" i="6"/>
  <c r="C25" i="7" l="1"/>
  <c r="F23" i="7"/>
  <c r="G23" i="7"/>
  <c r="H23" i="7"/>
  <c r="B20" i="7"/>
  <c r="B16" i="7"/>
  <c r="C25" i="6"/>
  <c r="C24" i="6"/>
  <c r="B20" i="6"/>
  <c r="C25" i="5"/>
  <c r="C24" i="5"/>
  <c r="B20" i="5"/>
  <c r="I27" i="4"/>
  <c r="I61" i="4" s="1"/>
  <c r="B39" i="4"/>
  <c r="B41" i="4" s="1"/>
  <c r="C72" i="5" l="1"/>
  <c r="C69" i="5"/>
  <c r="C72" i="6"/>
  <c r="C69" i="6"/>
  <c r="C73" i="5"/>
  <c r="C70" i="5"/>
  <c r="C52" i="5"/>
  <c r="D53" i="5" s="1"/>
  <c r="C40" i="5"/>
  <c r="C39" i="6"/>
  <c r="C41" i="6" s="1"/>
  <c r="C73" i="6"/>
  <c r="C70" i="6"/>
  <c r="C40" i="6"/>
  <c r="C52" i="6"/>
  <c r="B40" i="4"/>
  <c r="B57" i="4"/>
  <c r="B52" i="4"/>
  <c r="B70" i="4"/>
  <c r="B77" i="4"/>
  <c r="B73" i="4"/>
  <c r="J27" i="6"/>
  <c r="C40" i="7"/>
  <c r="C42" i="7" s="1"/>
  <c r="C70" i="7"/>
  <c r="C73" i="7"/>
  <c r="C65" i="5" l="1"/>
  <c r="C42" i="5"/>
  <c r="C66" i="5" s="1"/>
  <c r="C71" i="5"/>
  <c r="C65" i="6"/>
  <c r="C42" i="6"/>
  <c r="C66" i="6" s="1"/>
  <c r="B65" i="4"/>
  <c r="B42" i="4"/>
  <c r="B66" i="4" s="1"/>
  <c r="I27" i="1" l="1"/>
  <c r="I61" i="1" s="1"/>
  <c r="J27" i="1"/>
  <c r="I27" i="3" l="1"/>
  <c r="I61" i="3" s="1"/>
  <c r="J27" i="3"/>
  <c r="I27" i="2"/>
  <c r="I61" i="2" s="1"/>
  <c r="J27" i="2"/>
  <c r="C27" i="2"/>
  <c r="C61" i="2" l="1"/>
  <c r="L61" i="7"/>
  <c r="D16" i="7" l="1"/>
  <c r="D51" i="7" s="1"/>
  <c r="E16" i="7"/>
  <c r="F16" i="7"/>
  <c r="G16" i="7"/>
  <c r="H16" i="7"/>
  <c r="C16" i="7"/>
  <c r="F51" i="6"/>
  <c r="H51" i="6"/>
  <c r="I51" i="6"/>
  <c r="G51" i="6" l="1"/>
  <c r="G47" i="6"/>
  <c r="E51" i="6"/>
  <c r="E47" i="6"/>
  <c r="C47" i="6"/>
  <c r="D51" i="6"/>
  <c r="D53" i="6" s="1"/>
  <c r="C71" i="6" s="1"/>
  <c r="I51" i="7"/>
  <c r="C26" i="6" l="1"/>
  <c r="C57" i="6" l="1"/>
  <c r="I25" i="7"/>
  <c r="H51" i="7"/>
  <c r="I39" i="7"/>
  <c r="I41" i="7" s="1"/>
  <c r="H39" i="7"/>
  <c r="H41" i="7" s="1"/>
  <c r="H64" i="7"/>
  <c r="H20" i="7"/>
  <c r="H56" i="7" s="1"/>
  <c r="C27" i="7"/>
  <c r="F25" i="7"/>
  <c r="G25" i="7"/>
  <c r="C39" i="7"/>
  <c r="C41" i="7" s="1"/>
  <c r="G39" i="7"/>
  <c r="G41" i="7" s="1"/>
  <c r="I23" i="6"/>
  <c r="I39" i="6" s="1"/>
  <c r="I41" i="6" s="1"/>
  <c r="C20" i="6"/>
  <c r="H23" i="6"/>
  <c r="H39" i="6" s="1"/>
  <c r="H41" i="6" s="1"/>
  <c r="F25" i="6"/>
  <c r="G25" i="6"/>
  <c r="H25" i="6"/>
  <c r="G23" i="6"/>
  <c r="G39" i="6" s="1"/>
  <c r="G41" i="6" s="1"/>
  <c r="I20" i="5"/>
  <c r="I56" i="5" s="1"/>
  <c r="I58" i="5" s="1"/>
  <c r="F64" i="7"/>
  <c r="G64" i="7"/>
  <c r="G48" i="7"/>
  <c r="F26" i="7"/>
  <c r="G26" i="7"/>
  <c r="H26" i="7"/>
  <c r="I26" i="7"/>
  <c r="E26" i="7"/>
  <c r="F39" i="7"/>
  <c r="F41" i="7" s="1"/>
  <c r="C20" i="7"/>
  <c r="D20" i="7"/>
  <c r="C56" i="7" s="1"/>
  <c r="E20" i="7"/>
  <c r="E56" i="7" s="1"/>
  <c r="F20" i="7"/>
  <c r="F56" i="7" s="1"/>
  <c r="G20" i="7"/>
  <c r="G56" i="7" s="1"/>
  <c r="I20" i="7"/>
  <c r="I56" i="7" s="1"/>
  <c r="E51" i="7"/>
  <c r="G47" i="7"/>
  <c r="G51" i="7"/>
  <c r="F26" i="6"/>
  <c r="G26" i="6"/>
  <c r="H26" i="6"/>
  <c r="I26" i="6"/>
  <c r="E26" i="6"/>
  <c r="I25" i="6"/>
  <c r="G24" i="6"/>
  <c r="H24" i="6"/>
  <c r="I24" i="6"/>
  <c r="D20" i="6"/>
  <c r="C56" i="6" s="1"/>
  <c r="E20" i="6"/>
  <c r="E56" i="6" s="1"/>
  <c r="F20" i="6"/>
  <c r="F56" i="6" s="1"/>
  <c r="G20" i="6"/>
  <c r="G56" i="6" s="1"/>
  <c r="H20" i="6"/>
  <c r="H56" i="6" s="1"/>
  <c r="I20" i="6"/>
  <c r="I56" i="6" s="1"/>
  <c r="E26" i="5"/>
  <c r="E24" i="5"/>
  <c r="C20" i="5"/>
  <c r="D20" i="5"/>
  <c r="C56" i="5" s="1"/>
  <c r="E20" i="5"/>
  <c r="E56" i="5" s="1"/>
  <c r="F20" i="5"/>
  <c r="F56" i="5" s="1"/>
  <c r="F58" i="5" s="1"/>
  <c r="G20" i="5"/>
  <c r="G56" i="5" s="1"/>
  <c r="G58" i="5" s="1"/>
  <c r="H20" i="5"/>
  <c r="H56" i="5" s="1"/>
  <c r="H58" i="5" s="1"/>
  <c r="B30" i="4"/>
  <c r="B76" i="4" s="1"/>
  <c r="B30" i="3"/>
  <c r="B76" i="3" s="1"/>
  <c r="F27" i="4"/>
  <c r="F61" i="4" s="1"/>
  <c r="G27" i="4"/>
  <c r="G61" i="4" s="1"/>
  <c r="H27" i="4"/>
  <c r="H61" i="4" s="1"/>
  <c r="F27" i="1"/>
  <c r="F61" i="1" s="1"/>
  <c r="G27" i="1"/>
  <c r="G61" i="1" s="1"/>
  <c r="H27" i="1"/>
  <c r="H61" i="1" s="1"/>
  <c r="F27" i="3"/>
  <c r="F61" i="3" s="1"/>
  <c r="G27" i="3"/>
  <c r="G61" i="3" s="1"/>
  <c r="H27" i="3"/>
  <c r="H61" i="3" s="1"/>
  <c r="F27" i="2"/>
  <c r="F61" i="2" s="1"/>
  <c r="G27" i="2"/>
  <c r="G61" i="2" s="1"/>
  <c r="H27" i="2"/>
  <c r="H61" i="2" s="1"/>
  <c r="F24" i="6"/>
  <c r="F23" i="6"/>
  <c r="C26" i="5"/>
  <c r="E23" i="7"/>
  <c r="B23" i="7" s="1"/>
  <c r="E27" i="4"/>
  <c r="E61" i="4" s="1"/>
  <c r="C27" i="4"/>
  <c r="E27" i="1"/>
  <c r="E61" i="1" s="1"/>
  <c r="C27" i="1"/>
  <c r="C61" i="1" s="1"/>
  <c r="C27" i="3"/>
  <c r="E27" i="2"/>
  <c r="E24" i="6"/>
  <c r="E64" i="7"/>
  <c r="C64" i="7"/>
  <c r="C48" i="7"/>
  <c r="B31" i="6"/>
  <c r="B31" i="5"/>
  <c r="C47" i="7"/>
  <c r="C58" i="6" l="1"/>
  <c r="C61" i="3"/>
  <c r="C57" i="5"/>
  <c r="C58" i="5" s="1"/>
  <c r="E72" i="5"/>
  <c r="E69" i="5"/>
  <c r="B24" i="5"/>
  <c r="I72" i="6"/>
  <c r="I69" i="6"/>
  <c r="G72" i="6"/>
  <c r="G69" i="6"/>
  <c r="G57" i="6"/>
  <c r="G58" i="6" s="1"/>
  <c r="G52" i="6"/>
  <c r="G53" i="6" s="1"/>
  <c r="G73" i="6"/>
  <c r="G70" i="6"/>
  <c r="G40" i="6"/>
  <c r="E61" i="2"/>
  <c r="B27" i="2"/>
  <c r="B61" i="2" s="1"/>
  <c r="F39" i="6"/>
  <c r="F41" i="6" s="1"/>
  <c r="B23" i="6"/>
  <c r="B39" i="6" s="1"/>
  <c r="B41" i="6" s="1"/>
  <c r="E72" i="6"/>
  <c r="E69" i="6"/>
  <c r="B24" i="6"/>
  <c r="F72" i="6"/>
  <c r="F69" i="6"/>
  <c r="H72" i="6"/>
  <c r="H69" i="6"/>
  <c r="I57" i="6"/>
  <c r="I58" i="6" s="1"/>
  <c r="I52" i="6"/>
  <c r="I53" i="6" s="1"/>
  <c r="I73" i="6"/>
  <c r="I70" i="6"/>
  <c r="I40" i="6"/>
  <c r="H73" i="6"/>
  <c r="H70" i="6"/>
  <c r="H40" i="6"/>
  <c r="H57" i="6"/>
  <c r="H58" i="6" s="1"/>
  <c r="H52" i="6"/>
  <c r="H53" i="6" s="1"/>
  <c r="F73" i="6"/>
  <c r="F70" i="6"/>
  <c r="F40" i="6"/>
  <c r="F57" i="6"/>
  <c r="F58" i="6" s="1"/>
  <c r="F52" i="6"/>
  <c r="F53" i="6" s="1"/>
  <c r="C61" i="4"/>
  <c r="B27" i="1"/>
  <c r="B61" i="1" s="1"/>
  <c r="H27" i="6"/>
  <c r="H61" i="6" s="1"/>
  <c r="G73" i="7"/>
  <c r="G70" i="7"/>
  <c r="I73" i="7"/>
  <c r="I70" i="7"/>
  <c r="F73" i="7"/>
  <c r="F70" i="7"/>
  <c r="H40" i="7"/>
  <c r="H42" i="7" s="1"/>
  <c r="H66" i="7" s="1"/>
  <c r="H73" i="7"/>
  <c r="H70" i="7"/>
  <c r="B30" i="7"/>
  <c r="C61" i="7"/>
  <c r="I40" i="7"/>
  <c r="I65" i="7" s="1"/>
  <c r="I52" i="7"/>
  <c r="I53" i="7" s="1"/>
  <c r="I57" i="7"/>
  <c r="I58" i="7" s="1"/>
  <c r="I27" i="7"/>
  <c r="I61" i="7" s="1"/>
  <c r="E39" i="7"/>
  <c r="E41" i="7" s="1"/>
  <c r="B39" i="7"/>
  <c r="B41" i="7" s="1"/>
  <c r="I27" i="6"/>
  <c r="I61" i="6" s="1"/>
  <c r="B61" i="4"/>
  <c r="B30" i="2"/>
  <c r="B76" i="2" s="1"/>
  <c r="C57" i="7"/>
  <c r="C58" i="7" s="1"/>
  <c r="C65" i="7"/>
  <c r="B30" i="1"/>
  <c r="B76" i="1" s="1"/>
  <c r="F51" i="7"/>
  <c r="C27" i="6"/>
  <c r="C61" i="6" s="1"/>
  <c r="G27" i="7"/>
  <c r="G61" i="7" s="1"/>
  <c r="G57" i="7"/>
  <c r="G58" i="7" s="1"/>
  <c r="G40" i="7"/>
  <c r="G52" i="7"/>
  <c r="G53" i="7" s="1"/>
  <c r="F27" i="7"/>
  <c r="F61" i="7" s="1"/>
  <c r="F57" i="7"/>
  <c r="F58" i="7" s="1"/>
  <c r="F40" i="7"/>
  <c r="F52" i="7"/>
  <c r="H57" i="7"/>
  <c r="H58" i="7" s="1"/>
  <c r="F27" i="6"/>
  <c r="F61" i="6" s="1"/>
  <c r="H27" i="7"/>
  <c r="H61" i="7" s="1"/>
  <c r="C52" i="7"/>
  <c r="D53" i="7" s="1"/>
  <c r="C71" i="7" s="1"/>
  <c r="E47" i="7"/>
  <c r="G27" i="6"/>
  <c r="G61" i="6" s="1"/>
  <c r="C27" i="5"/>
  <c r="H52" i="7"/>
  <c r="H53" i="7" s="1"/>
  <c r="B64" i="7"/>
  <c r="B48" i="7"/>
  <c r="H71" i="6" l="1"/>
  <c r="F65" i="6"/>
  <c r="F42" i="6"/>
  <c r="F66" i="6" s="1"/>
  <c r="I42" i="6"/>
  <c r="I66" i="6" s="1"/>
  <c r="I65" i="6"/>
  <c r="G42" i="6"/>
  <c r="G66" i="6" s="1"/>
  <c r="G65" i="6"/>
  <c r="C61" i="5"/>
  <c r="F71" i="6"/>
  <c r="H65" i="6"/>
  <c r="H42" i="6"/>
  <c r="H66" i="6" s="1"/>
  <c r="I71" i="6"/>
  <c r="B72" i="6"/>
  <c r="B69" i="6"/>
  <c r="G71" i="6"/>
  <c r="B72" i="5"/>
  <c r="B69" i="5"/>
  <c r="F53" i="7"/>
  <c r="F71" i="7" s="1"/>
  <c r="H65" i="7"/>
  <c r="I71" i="7"/>
  <c r="H71" i="7"/>
  <c r="G71" i="7"/>
  <c r="I42" i="7"/>
  <c r="I66" i="7" s="1"/>
  <c r="B30" i="5"/>
  <c r="B76" i="5" s="1"/>
  <c r="B30" i="6"/>
  <c r="B76" i="6" s="1"/>
  <c r="B76" i="7"/>
  <c r="C66" i="7"/>
  <c r="G65" i="7"/>
  <c r="G42" i="7"/>
  <c r="G66" i="7" s="1"/>
  <c r="F65" i="7"/>
  <c r="F42" i="7"/>
  <c r="F66" i="7" s="1"/>
  <c r="E27" i="3" l="1"/>
  <c r="E25" i="5"/>
  <c r="E25" i="6"/>
  <c r="E25" i="7"/>
  <c r="E61" i="3" l="1"/>
  <c r="B27" i="3"/>
  <c r="B61" i="3" s="1"/>
  <c r="E57" i="5"/>
  <c r="E58" i="5" s="1"/>
  <c r="E40" i="5"/>
  <c r="E73" i="5"/>
  <c r="E70" i="5"/>
  <c r="E52" i="5"/>
  <c r="E53" i="5" s="1"/>
  <c r="B25" i="5"/>
  <c r="B25" i="6"/>
  <c r="E57" i="6"/>
  <c r="E58" i="6" s="1"/>
  <c r="E52" i="6"/>
  <c r="E53" i="6" s="1"/>
  <c r="E73" i="6"/>
  <c r="E70" i="6"/>
  <c r="E40" i="6"/>
  <c r="E73" i="7"/>
  <c r="E70" i="7"/>
  <c r="E52" i="7"/>
  <c r="E53" i="7" s="1"/>
  <c r="E57" i="7"/>
  <c r="E58" i="7" s="1"/>
  <c r="E27" i="7"/>
  <c r="E27" i="5"/>
  <c r="E40" i="7"/>
  <c r="E27" i="6"/>
  <c r="E42" i="6" l="1"/>
  <c r="E66" i="6" s="1"/>
  <c r="E65" i="6"/>
  <c r="B77" i="5"/>
  <c r="B73" i="5"/>
  <c r="B70" i="5"/>
  <c r="B52" i="5"/>
  <c r="B40" i="5"/>
  <c r="B57" i="5"/>
  <c r="E65" i="5"/>
  <c r="E42" i="5"/>
  <c r="E66" i="5" s="1"/>
  <c r="B27" i="6"/>
  <c r="B61" i="6" s="1"/>
  <c r="E61" i="6"/>
  <c r="E61" i="5"/>
  <c r="B27" i="5"/>
  <c r="B61" i="5" s="1"/>
  <c r="E71" i="6"/>
  <c r="B77" i="6"/>
  <c r="B57" i="6"/>
  <c r="B52" i="6"/>
  <c r="B73" i="6"/>
  <c r="B70" i="6"/>
  <c r="B40" i="6"/>
  <c r="E71" i="5"/>
  <c r="E71" i="7"/>
  <c r="B70" i="7"/>
  <c r="B73" i="7"/>
  <c r="E61" i="7"/>
  <c r="B61" i="7"/>
  <c r="B40" i="7"/>
  <c r="B57" i="7"/>
  <c r="B77" i="7"/>
  <c r="B52" i="7"/>
  <c r="E65" i="7"/>
  <c r="E42" i="7"/>
  <c r="E66" i="7" s="1"/>
  <c r="B42" i="6" l="1"/>
  <c r="B66" i="6" s="1"/>
  <c r="B65" i="6"/>
  <c r="B65" i="5"/>
  <c r="B42" i="5"/>
  <c r="B66" i="5" s="1"/>
  <c r="B42" i="7"/>
  <c r="B66" i="7" s="1"/>
  <c r="B65" i="7"/>
</calcChain>
</file>

<file path=xl/sharedStrings.xml><?xml version="1.0" encoding="utf-8"?>
<sst xmlns="http://schemas.openxmlformats.org/spreadsheetml/2006/main" count="1144" uniqueCount="138">
  <si>
    <t>Indicador</t>
  </si>
  <si>
    <t>Avancemos</t>
  </si>
  <si>
    <t>Insumos</t>
  </si>
  <si>
    <t>Gasto FODESAF</t>
  </si>
  <si>
    <t>Ingresos FODESAF</t>
  </si>
  <si>
    <t>Otros insumos</t>
  </si>
  <si>
    <t>Población objetivo</t>
  </si>
  <si>
    <t>Cálculos intermedios</t>
  </si>
  <si>
    <t>Indicadores</t>
  </si>
  <si>
    <t>De Cobertura Potencial</t>
  </si>
  <si>
    <t>Cobertura Programada</t>
  </si>
  <si>
    <t>Cobertura Efectiva</t>
  </si>
  <si>
    <t>De resultado</t>
  </si>
  <si>
    <t>Índice efectividad en beneficiarios (IEB)</t>
  </si>
  <si>
    <t xml:space="preserve">Índice efectividad en gasto (IEG) </t>
  </si>
  <si>
    <t>Índice efectividad total (IET)</t>
  </si>
  <si>
    <t xml:space="preserve">De avance </t>
  </si>
  <si>
    <t xml:space="preserve">Índice avance beneficiarios (IAB) </t>
  </si>
  <si>
    <t>Índice avance gasto (IAG)</t>
  </si>
  <si>
    <t xml:space="preserve">Índice avance total (IAT) </t>
  </si>
  <si>
    <t>Índice transferencia efectiva del gasto (ITG)</t>
  </si>
  <si>
    <t>De expansión</t>
  </si>
  <si>
    <t xml:space="preserve">Índice de crecimiento beneficiarios (ICB) </t>
  </si>
  <si>
    <t xml:space="preserve">Índice de crecimiento del gasto real (ICGR) </t>
  </si>
  <si>
    <t xml:space="preserve">Índice de crecimiento del gasto real por beneficiario (ICGRB) </t>
  </si>
  <si>
    <t>De gasto medio</t>
  </si>
  <si>
    <t xml:space="preserve">Índice de eficiencia (IE) </t>
  </si>
  <si>
    <t>De giro de recursos</t>
  </si>
  <si>
    <t>Índice de giro efectivo (IGE)</t>
  </si>
  <si>
    <t xml:space="preserve">Índice de uso de recursos (IUR) </t>
  </si>
  <si>
    <t>De Composición</t>
  </si>
  <si>
    <t xml:space="preserve">Gasto trimestral programado por beneficiario (GPB) </t>
  </si>
  <si>
    <t xml:space="preserve">Gasto trimestral efectivo por beneficiario (GEB) </t>
  </si>
  <si>
    <t xml:space="preserve">Gasto mensual programado por beneficiario (GPB) </t>
  </si>
  <si>
    <t xml:space="preserve">Gasto mensual efectivo por beneficiario (GEB) </t>
  </si>
  <si>
    <t xml:space="preserve">Gasto semestral programado por beneficiario (GPB) </t>
  </si>
  <si>
    <t xml:space="preserve">Gasto semestral efectivo por beneficiario (GEB) </t>
  </si>
  <si>
    <t xml:space="preserve">Gasto acumulado programado por beneficiario (GPB) </t>
  </si>
  <si>
    <t xml:space="preserve">Gasto acumulado efectivo por beneficiario (GEB) </t>
  </si>
  <si>
    <t xml:space="preserve">Gasto anual programado por beneficiario (GPB) </t>
  </si>
  <si>
    <t xml:space="preserve">Gasto anual efectivo por beneficiario (GEB) </t>
  </si>
  <si>
    <t>Beneficiarios (familias)</t>
  </si>
  <si>
    <t>Familias</t>
  </si>
  <si>
    <t>Estudiantes</t>
  </si>
  <si>
    <t>Asignación Familiar</t>
  </si>
  <si>
    <t>Prestación Alimentaria</t>
  </si>
  <si>
    <t>Seguridad Alimentaria</t>
  </si>
  <si>
    <t xml:space="preserve">                                 </t>
  </si>
  <si>
    <t>n.d.</t>
  </si>
  <si>
    <t>n.d</t>
  </si>
  <si>
    <t>Alternativas de Cuido</t>
  </si>
  <si>
    <t>Niños/Niñas</t>
  </si>
  <si>
    <t>Programa de Promoción y Protección Social</t>
  </si>
  <si>
    <t xml:space="preserve">Protección Familiar </t>
  </si>
  <si>
    <t xml:space="preserve">Fideicomiso e Intereses Avancemos </t>
  </si>
  <si>
    <t xml:space="preserve">    Subsidios </t>
  </si>
  <si>
    <t xml:space="preserve">n.d. </t>
  </si>
  <si>
    <t xml:space="preserve">Familias </t>
  </si>
  <si>
    <t>Programa de Protección y Promoción Social</t>
  </si>
  <si>
    <t xml:space="preserve">Productos </t>
  </si>
  <si>
    <t xml:space="preserve">Cuidado y Desarrollo Infantil </t>
  </si>
  <si>
    <t xml:space="preserve">Crecemos </t>
  </si>
  <si>
    <t xml:space="preserve">Estudiantes </t>
  </si>
  <si>
    <t xml:space="preserve">Familias diferentes </t>
  </si>
  <si>
    <t>Efectivos 1T 2021</t>
  </si>
  <si>
    <t>IPC (1T 2021)</t>
  </si>
  <si>
    <t>Gasto efectivo real 1T 2021</t>
  </si>
  <si>
    <t>Gasto efectivo real por beneficiario 1T 2021</t>
  </si>
  <si>
    <t>Efectivos 2T 2021</t>
  </si>
  <si>
    <t>IPC (2T 2021)</t>
  </si>
  <si>
    <t>Gasto efectivo real 2T 2021</t>
  </si>
  <si>
    <t>Gasto efectivo real por beneficiario 2T 2021</t>
  </si>
  <si>
    <t>Efectivos 1S 2021</t>
  </si>
  <si>
    <t>IPC (1S 2021)</t>
  </si>
  <si>
    <t>Gasto efectivo real 1S 2021</t>
  </si>
  <si>
    <t>Gasto efectivo real por beneficiario 1S 2021</t>
  </si>
  <si>
    <t>Efectivos 3T 2021</t>
  </si>
  <si>
    <t>IPC (3T 2021)</t>
  </si>
  <si>
    <t>Gasto efectivo real 3T 2021</t>
  </si>
  <si>
    <t>Gasto efectivo real por beneficiario 3T 2021</t>
  </si>
  <si>
    <t>Efectivos 3TA 2021</t>
  </si>
  <si>
    <t>IPC (3TA 2021)</t>
  </si>
  <si>
    <t>Gasto efectivo real 3TA 2021</t>
  </si>
  <si>
    <t>Gasto efectivo real por beneficiario 3TA 2021</t>
  </si>
  <si>
    <t>Efectivos 4T 2021</t>
  </si>
  <si>
    <t>IPC (4T 2021)</t>
  </si>
  <si>
    <t>Gasto efectivo real 4T 2021</t>
  </si>
  <si>
    <t>Gasto efectivo real por beneficiario 4T 2021</t>
  </si>
  <si>
    <t>Efectivos 2021</t>
  </si>
  <si>
    <t>IPC (2021)</t>
  </si>
  <si>
    <t>Gasto efectivo real 2021</t>
  </si>
  <si>
    <t>Gasto efectivo real por beneficiario 2021</t>
  </si>
  <si>
    <t>Programados 1T 2022</t>
  </si>
  <si>
    <t>Efectivos 1T 2022</t>
  </si>
  <si>
    <t>Programados año 2022</t>
  </si>
  <si>
    <t>En transferencias 1T 2022</t>
  </si>
  <si>
    <t>IPC (1T 2022)</t>
  </si>
  <si>
    <t>Gasto efectivo real 1T 2022</t>
  </si>
  <si>
    <t>Gasto efectivo real por beneficiario 1T 2022</t>
  </si>
  <si>
    <r>
      <rPr>
        <b/>
        <sz val="11"/>
        <color theme="1"/>
        <rFont val="Palatino Linotype"/>
        <family val="1"/>
      </rPr>
      <t xml:space="preserve">Fuentes: </t>
    </r>
    <r>
      <rPr>
        <sz val="11"/>
        <color theme="1"/>
        <rFont val="Palatino Linotype"/>
        <family val="1"/>
      </rPr>
      <t>Informes Trimestrales IMAS 2021 y 2022 - Cronogramas de Metas e Inversión - Modificaciones 2022 - IPC, INEC 2021 y 2022</t>
    </r>
  </si>
  <si>
    <t>Programados 2T 2022</t>
  </si>
  <si>
    <t>Efectivos 2T 2022</t>
  </si>
  <si>
    <t>En transferencias 2T 2022</t>
  </si>
  <si>
    <t>IPC (2T 2022)</t>
  </si>
  <si>
    <t>Gasto efectivo real 2T 2022</t>
  </si>
  <si>
    <t>Gasto efectivo real por beneficiario 2T 2022</t>
  </si>
  <si>
    <t>Programados 1S 2022</t>
  </si>
  <si>
    <t>Efectivos 1S 2022</t>
  </si>
  <si>
    <t>En transferencias 1S 2022</t>
  </si>
  <si>
    <t>IPC (1S 2022)</t>
  </si>
  <si>
    <t>Gasto efectivo real 1S 2022</t>
  </si>
  <si>
    <t>Gasto efectivo real por beneficiario 1S 2022</t>
  </si>
  <si>
    <t>Programados 3T 2022</t>
  </si>
  <si>
    <t>Efectivos 3T 2022</t>
  </si>
  <si>
    <t>En transferencias 3T 2022</t>
  </si>
  <si>
    <t>IPC (3T 2022)</t>
  </si>
  <si>
    <t>Gasto efectivo real 3T 2022</t>
  </si>
  <si>
    <t>Gasto efectivo real por beneficiario 3T 2022</t>
  </si>
  <si>
    <t>Beneficio Temporal por Inflación</t>
  </si>
  <si>
    <t>Programados 3TA 2022</t>
  </si>
  <si>
    <t>Efectivos 3TA 2022</t>
  </si>
  <si>
    <t>En transferencias 3TA 2022</t>
  </si>
  <si>
    <t>IPC (3TA 2022)</t>
  </si>
  <si>
    <t>Gasto efectivo real 3TA 2022</t>
  </si>
  <si>
    <t>Gasto efectivo real por beneficiario 3TA 2022</t>
  </si>
  <si>
    <t>Programados 4T 2022</t>
  </si>
  <si>
    <t>Efectivos 4T 2022</t>
  </si>
  <si>
    <t>En transferencias 4T 2022</t>
  </si>
  <si>
    <t>IPC (4T 2022)</t>
  </si>
  <si>
    <t>Gasto efectivo real 4T 2022</t>
  </si>
  <si>
    <t>Gasto efectivo real por beneficiario 4T 2022</t>
  </si>
  <si>
    <t>Programados 2022</t>
  </si>
  <si>
    <t>Efectivos 2022</t>
  </si>
  <si>
    <t>En transferencias 2022</t>
  </si>
  <si>
    <t>IPC (2022)</t>
  </si>
  <si>
    <t>Gasto efectivo real 2022</t>
  </si>
  <si>
    <t>Gasto efectivo real por beneficiario 2022</t>
  </si>
  <si>
    <r>
      <t xml:space="preserve">Nota: </t>
    </r>
    <r>
      <rPr>
        <sz val="11"/>
        <color theme="1"/>
        <rFont val="Calibri"/>
        <family val="2"/>
        <scheme val="minor"/>
      </rPr>
      <t xml:space="preserve">El dato del ingreso efectivo recibido para el cálculo de los indicadores anuales se ingresó de manera manual, esto debido a que en el reporte de ejecución anual la UE del programa realizó el reporte del ingreso de </t>
    </r>
    <r>
      <rPr>
        <b/>
        <sz val="11"/>
        <color theme="1"/>
        <rFont val="Calibri"/>
        <family val="2"/>
        <scheme val="minor"/>
      </rPr>
      <t>841 715 553,29</t>
    </r>
    <r>
      <rPr>
        <sz val="11"/>
        <color theme="1"/>
        <rFont val="Calibri"/>
        <family val="2"/>
        <scheme val="minor"/>
      </rPr>
      <t xml:space="preserve"> por concepto de superávit específico 2021 y </t>
    </r>
    <r>
      <rPr>
        <b/>
        <sz val="11"/>
        <color theme="1"/>
        <rFont val="Calibri"/>
        <family val="2"/>
        <scheme val="minor"/>
      </rPr>
      <t>272 977 580,29</t>
    </r>
    <r>
      <rPr>
        <sz val="11"/>
        <color theme="1"/>
        <rFont val="Calibri"/>
        <family val="2"/>
        <scheme val="minor"/>
      </rPr>
      <t xml:space="preserve"> por concepto de Reintegros y Devoluciones, empero el ajuste se realizó al finalizar el año, es decir, no se cuenta con el detalle trimestral.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</si>
</sst>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u/>
      <sz val="11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92">
    <xf numFmtId="0" fontId="0" fillId="0" borderId="0" xfId="0"/>
    <xf numFmtId="0" fontId="2" fillId="0" borderId="0" xfId="0" applyFont="1" applyFill="1"/>
    <xf numFmtId="165" fontId="0" fillId="0" borderId="0" xfId="1" applyNumberFormat="1" applyFont="1" applyFill="1"/>
    <xf numFmtId="165" fontId="1" fillId="0" borderId="0" xfId="1" applyNumberFormat="1" applyFont="1" applyFill="1"/>
    <xf numFmtId="165" fontId="1" fillId="0" borderId="5" xfId="1" applyNumberFormat="1" applyFont="1" applyFill="1" applyBorder="1"/>
    <xf numFmtId="0" fontId="0" fillId="0" borderId="0" xfId="0" applyFont="1" applyFill="1"/>
    <xf numFmtId="165" fontId="0" fillId="0" borderId="0" xfId="1" applyNumberFormat="1" applyFont="1" applyFill="1" applyBorder="1"/>
    <xf numFmtId="165" fontId="0" fillId="0" borderId="0" xfId="4" applyNumberFormat="1" applyFont="1" applyFill="1" applyBorder="1"/>
    <xf numFmtId="165" fontId="0" fillId="0" borderId="0" xfId="1" applyNumberFormat="1" applyFont="1" applyFill="1" applyBorder="1" applyAlignment="1">
      <alignment horizontal="left"/>
    </xf>
    <xf numFmtId="165" fontId="7" fillId="0" borderId="0" xfId="1" applyNumberFormat="1" applyFont="1" applyFill="1"/>
    <xf numFmtId="165" fontId="6" fillId="0" borderId="0" xfId="1" applyNumberFormat="1" applyFont="1" applyFill="1"/>
    <xf numFmtId="0" fontId="6" fillId="0" borderId="0" xfId="0" applyFont="1" applyFill="1" applyAlignment="1">
      <alignment horizontal="center" vertical="center"/>
    </xf>
    <xf numFmtId="165" fontId="6" fillId="0" borderId="0" xfId="1" applyNumberFormat="1" applyFont="1" applyFill="1" applyAlignment="1">
      <alignment horizontal="center" vertical="center"/>
    </xf>
    <xf numFmtId="165" fontId="7" fillId="0" borderId="0" xfId="1" applyNumberFormat="1" applyFont="1" applyFill="1" applyAlignment="1">
      <alignment horizontal="left" indent="1"/>
    </xf>
    <xf numFmtId="165" fontId="6" fillId="0" borderId="0" xfId="1" applyNumberFormat="1" applyFont="1" applyFill="1" applyAlignment="1">
      <alignment horizontal="left"/>
    </xf>
    <xf numFmtId="165" fontId="7" fillId="0" borderId="0" xfId="1" applyNumberFormat="1" applyFont="1" applyFill="1" applyAlignment="1">
      <alignment horizontal="right"/>
    </xf>
    <xf numFmtId="165" fontId="7" fillId="0" borderId="3" xfId="1" applyNumberFormat="1" applyFont="1" applyFill="1" applyBorder="1"/>
    <xf numFmtId="165" fontId="7" fillId="0" borderId="3" xfId="1" applyNumberFormat="1" applyFont="1" applyFill="1" applyBorder="1" applyAlignment="1">
      <alignment horizontal="right"/>
    </xf>
    <xf numFmtId="165" fontId="7" fillId="0" borderId="0" xfId="1" applyNumberFormat="1" applyFont="1" applyFill="1" applyBorder="1"/>
    <xf numFmtId="165" fontId="7" fillId="0" borderId="0" xfId="1" applyNumberFormat="1" applyFont="1" applyFill="1" applyAlignment="1">
      <alignment wrapText="1"/>
    </xf>
    <xf numFmtId="0" fontId="7" fillId="0" borderId="0" xfId="0" applyFont="1" applyFill="1"/>
    <xf numFmtId="164" fontId="7" fillId="0" borderId="0" xfId="1" applyFont="1" applyFill="1"/>
    <xf numFmtId="0" fontId="7" fillId="0" borderId="0" xfId="0" applyFont="1" applyFill="1" applyAlignment="1">
      <alignment horizontal="center"/>
    </xf>
    <xf numFmtId="3" fontId="7" fillId="0" borderId="0" xfId="0" applyNumberFormat="1" applyFont="1" applyFill="1" applyAlignment="1">
      <alignment horizontal="right"/>
    </xf>
    <xf numFmtId="0" fontId="7" fillId="0" borderId="3" xfId="0" applyFont="1" applyFill="1" applyBorder="1"/>
    <xf numFmtId="4" fontId="7" fillId="0" borderId="3" xfId="1" applyNumberFormat="1" applyFont="1" applyFill="1" applyBorder="1" applyAlignment="1">
      <alignment horizontal="right"/>
    </xf>
    <xf numFmtId="3" fontId="7" fillId="0" borderId="0" xfId="0" applyNumberFormat="1" applyFont="1" applyFill="1"/>
    <xf numFmtId="0" fontId="7" fillId="0" borderId="0" xfId="0" applyFont="1" applyFill="1" applyAlignment="1">
      <alignment wrapText="1"/>
    </xf>
    <xf numFmtId="0" fontId="7" fillId="0" borderId="0" xfId="0" applyFont="1" applyFill="1" applyAlignment="1">
      <alignment horizontal="right" vertical="center"/>
    </xf>
    <xf numFmtId="166" fontId="7" fillId="0" borderId="0" xfId="0" applyNumberFormat="1" applyFont="1" applyFill="1"/>
    <xf numFmtId="0" fontId="6" fillId="0" borderId="0" xfId="0" applyFont="1" applyFill="1"/>
    <xf numFmtId="165" fontId="7" fillId="0" borderId="0" xfId="1" applyNumberFormat="1" applyFont="1" applyFill="1" applyAlignment="1">
      <alignment horizontal="right" vertical="center"/>
    </xf>
    <xf numFmtId="165" fontId="7" fillId="0" borderId="3" xfId="1" applyNumberFormat="1" applyFont="1" applyFill="1" applyBorder="1" applyAlignment="1">
      <alignment horizontal="right" vertical="center"/>
    </xf>
    <xf numFmtId="165" fontId="0" fillId="0" borderId="0" xfId="1" applyNumberFormat="1" applyFont="1" applyFill="1" applyAlignment="1">
      <alignment horizontal="left" indent="3"/>
    </xf>
    <xf numFmtId="0" fontId="0" fillId="0" borderId="0" xfId="0" applyFont="1" applyFill="1" applyAlignment="1">
      <alignment horizontal="right"/>
    </xf>
    <xf numFmtId="165" fontId="7" fillId="0" borderId="0" xfId="1" applyNumberFormat="1" applyFont="1" applyFill="1" applyAlignment="1">
      <alignment horizontal="center" vertical="center"/>
    </xf>
    <xf numFmtId="3" fontId="7" fillId="0" borderId="0" xfId="1" applyNumberFormat="1" applyFont="1" applyFill="1"/>
    <xf numFmtId="2" fontId="7" fillId="0" borderId="0" xfId="0" applyNumberFormat="1" applyFont="1" applyFill="1" applyAlignment="1">
      <alignment horizontal="right"/>
    </xf>
    <xf numFmtId="4" fontId="7" fillId="0" borderId="0" xfId="1" applyNumberFormat="1" applyFont="1" applyFill="1" applyAlignment="1">
      <alignment horizontal="right" vertical="center"/>
    </xf>
    <xf numFmtId="4" fontId="7" fillId="0" borderId="0" xfId="0" applyNumberFormat="1" applyFont="1" applyFill="1" applyAlignment="1">
      <alignment horizontal="right"/>
    </xf>
    <xf numFmtId="4" fontId="7" fillId="0" borderId="0" xfId="1" applyNumberFormat="1" applyFont="1" applyFill="1" applyAlignment="1">
      <alignment horizontal="right"/>
    </xf>
    <xf numFmtId="3" fontId="7" fillId="0" borderId="0" xfId="1" applyNumberFormat="1" applyFont="1" applyFill="1" applyAlignment="1">
      <alignment horizontal="center" vertical="center"/>
    </xf>
    <xf numFmtId="3" fontId="7" fillId="0" borderId="0" xfId="1" applyNumberFormat="1" applyFont="1" applyFill="1" applyAlignment="1">
      <alignment horizontal="right"/>
    </xf>
    <xf numFmtId="3" fontId="7" fillId="0" borderId="0" xfId="1" applyNumberFormat="1" applyFont="1" applyFill="1" applyAlignment="1">
      <alignment horizontal="right" vertical="center"/>
    </xf>
    <xf numFmtId="165" fontId="6" fillId="0" borderId="3" xfId="1" applyNumberFormat="1" applyFont="1" applyFill="1" applyBorder="1" applyAlignment="1">
      <alignment horizontal="center" vertical="center" wrapText="1"/>
    </xf>
    <xf numFmtId="165" fontId="6" fillId="0" borderId="4" xfId="1" applyNumberFormat="1" applyFont="1" applyFill="1" applyBorder="1" applyAlignment="1">
      <alignment horizontal="center" vertical="center" wrapText="1"/>
    </xf>
    <xf numFmtId="3" fontId="7" fillId="0" borderId="0" xfId="1" applyNumberFormat="1" applyFont="1" applyFill="1" applyAlignment="1">
      <alignment horizontal="center"/>
    </xf>
    <xf numFmtId="3" fontId="7" fillId="0" borderId="0" xfId="0" applyNumberFormat="1" applyFont="1" applyFill="1" applyAlignment="1">
      <alignment horizontal="center"/>
    </xf>
    <xf numFmtId="3" fontId="7" fillId="0" borderId="0" xfId="0" applyNumberFormat="1" applyFont="1" applyFill="1" applyAlignment="1">
      <alignment horizontal="center" vertical="center"/>
    </xf>
    <xf numFmtId="3" fontId="7" fillId="0" borderId="0" xfId="0" applyNumberFormat="1" applyFont="1" applyFill="1" applyAlignment="1">
      <alignment horizontal="right" vertical="center"/>
    </xf>
    <xf numFmtId="4" fontId="7" fillId="0" borderId="0" xfId="0" applyNumberFormat="1" applyFont="1" applyFill="1" applyAlignment="1">
      <alignment horizontal="right" vertical="center"/>
    </xf>
    <xf numFmtId="164" fontId="7" fillId="0" borderId="0" xfId="1" applyFont="1" applyFill="1" applyAlignment="1">
      <alignment horizontal="right" vertical="center"/>
    </xf>
    <xf numFmtId="0" fontId="0" fillId="0" borderId="7" xfId="0" applyFont="1" applyFill="1" applyBorder="1"/>
    <xf numFmtId="165" fontId="7" fillId="0" borderId="0" xfId="1" applyNumberFormat="1" applyFont="1" applyFill="1" applyBorder="1" applyAlignment="1">
      <alignment horizontal="right" vertical="center"/>
    </xf>
    <xf numFmtId="165" fontId="6" fillId="0" borderId="0" xfId="1" applyNumberFormat="1" applyFont="1" applyFill="1" applyAlignment="1">
      <alignment horizontal="center" vertical="center" wrapText="1"/>
    </xf>
    <xf numFmtId="165" fontId="6" fillId="0" borderId="0" xfId="1" applyNumberFormat="1" applyFont="1" applyFill="1" applyAlignment="1">
      <alignment vertical="center"/>
    </xf>
    <xf numFmtId="165" fontId="7" fillId="0" borderId="0" xfId="1" applyNumberFormat="1" applyFont="1" applyFill="1" applyAlignment="1">
      <alignment vertical="center"/>
    </xf>
    <xf numFmtId="165" fontId="1" fillId="0" borderId="0" xfId="1" applyNumberFormat="1" applyFont="1" applyFill="1" applyAlignment="1">
      <alignment vertical="center"/>
    </xf>
    <xf numFmtId="165" fontId="1" fillId="0" borderId="0" xfId="1" applyNumberFormat="1" applyFont="1" applyFill="1" applyAlignment="1">
      <alignment horizontal="center"/>
    </xf>
    <xf numFmtId="165" fontId="7" fillId="0" borderId="0" xfId="1" applyNumberFormat="1" applyFont="1" applyFill="1" applyAlignment="1">
      <alignment horizontal="left"/>
    </xf>
    <xf numFmtId="165" fontId="7" fillId="0" borderId="0" xfId="1" applyNumberFormat="1" applyFont="1" applyFill="1" applyAlignment="1">
      <alignment horizontal="left" indent="3"/>
    </xf>
    <xf numFmtId="166" fontId="0" fillId="0" borderId="0" xfId="0" applyNumberFormat="1" applyFont="1" applyFill="1"/>
    <xf numFmtId="165" fontId="0" fillId="0" borderId="0" xfId="1" applyNumberFormat="1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right"/>
    </xf>
    <xf numFmtId="0" fontId="7" fillId="0" borderId="0" xfId="0" applyFont="1" applyFill="1" applyAlignment="1">
      <alignment horizontal="right"/>
    </xf>
    <xf numFmtId="3" fontId="8" fillId="2" borderId="0" xfId="0" applyNumberFormat="1" applyFont="1" applyFill="1" applyAlignment="1">
      <alignment horizontal="center" vertical="center"/>
    </xf>
    <xf numFmtId="165" fontId="6" fillId="0" borderId="1" xfId="1" applyNumberFormat="1" applyFont="1" applyFill="1" applyBorder="1" applyAlignment="1">
      <alignment horizontal="center" vertical="center"/>
    </xf>
    <xf numFmtId="165" fontId="6" fillId="0" borderId="3" xfId="1" applyNumberFormat="1" applyFont="1" applyFill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center" vertical="center" wrapText="1"/>
    </xf>
    <xf numFmtId="165" fontId="6" fillId="0" borderId="3" xfId="1" applyNumberFormat="1" applyFont="1" applyFill="1" applyBorder="1" applyAlignment="1">
      <alignment horizontal="center" vertical="center" wrapText="1"/>
    </xf>
    <xf numFmtId="3" fontId="7" fillId="0" borderId="0" xfId="1" applyNumberFormat="1" applyFont="1" applyFill="1" applyAlignment="1">
      <alignment horizontal="center" vertical="center"/>
    </xf>
    <xf numFmtId="3" fontId="7" fillId="0" borderId="0" xfId="1" applyNumberFormat="1" applyFont="1" applyFill="1" applyAlignment="1">
      <alignment horizontal="right" vertical="center"/>
    </xf>
    <xf numFmtId="3" fontId="7" fillId="0" borderId="0" xfId="1" applyNumberFormat="1" applyFont="1" applyFill="1" applyAlignment="1">
      <alignment horizontal="right"/>
    </xf>
    <xf numFmtId="165" fontId="6" fillId="0" borderId="4" xfId="1" applyNumberFormat="1" applyFont="1" applyFill="1" applyBorder="1" applyAlignment="1">
      <alignment horizontal="center" vertical="center"/>
    </xf>
    <xf numFmtId="165" fontId="6" fillId="0" borderId="2" xfId="1" applyNumberFormat="1" applyFont="1" applyFill="1" applyBorder="1" applyAlignment="1">
      <alignment horizontal="center" vertical="center"/>
    </xf>
    <xf numFmtId="165" fontId="6" fillId="0" borderId="4" xfId="1" applyNumberFormat="1" applyFont="1" applyFill="1" applyBorder="1" applyAlignment="1">
      <alignment horizontal="center" vertical="center" wrapText="1"/>
    </xf>
    <xf numFmtId="4" fontId="7" fillId="0" borderId="0" xfId="1" applyNumberFormat="1" applyFont="1" applyFill="1" applyAlignment="1">
      <alignment horizontal="right"/>
    </xf>
    <xf numFmtId="4" fontId="7" fillId="0" borderId="0" xfId="0" applyNumberFormat="1" applyFont="1" applyFill="1" applyAlignment="1">
      <alignment horizontal="right"/>
    </xf>
    <xf numFmtId="4" fontId="7" fillId="0" borderId="0" xfId="1" applyNumberFormat="1" applyFont="1" applyFill="1" applyAlignment="1">
      <alignment horizontal="right" vertical="center"/>
    </xf>
    <xf numFmtId="0" fontId="7" fillId="0" borderId="6" xfId="0" applyFont="1" applyFill="1" applyBorder="1" applyAlignment="1">
      <alignment horizontal="left" vertical="top" wrapText="1"/>
    </xf>
    <xf numFmtId="3" fontId="7" fillId="0" borderId="0" xfId="0" applyNumberFormat="1" applyFont="1" applyFill="1" applyAlignment="1">
      <alignment horizontal="center"/>
    </xf>
    <xf numFmtId="165" fontId="6" fillId="0" borderId="7" xfId="1" applyNumberFormat="1" applyFont="1" applyFill="1" applyBorder="1" applyAlignment="1">
      <alignment horizontal="center" vertical="center"/>
    </xf>
    <xf numFmtId="3" fontId="7" fillId="0" borderId="0" xfId="1" applyNumberFormat="1" applyFont="1" applyFill="1" applyAlignment="1">
      <alignment horizontal="center"/>
    </xf>
    <xf numFmtId="3" fontId="7" fillId="0" borderId="0" xfId="0" applyNumberFormat="1" applyFont="1" applyFill="1" applyAlignment="1">
      <alignment horizontal="center" vertical="center"/>
    </xf>
    <xf numFmtId="4" fontId="7" fillId="0" borderId="0" xfId="0" applyNumberFormat="1" applyFont="1" applyFill="1" applyAlignment="1">
      <alignment horizontal="right" vertical="center"/>
    </xf>
    <xf numFmtId="3" fontId="7" fillId="0" borderId="0" xfId="0" applyNumberFormat="1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65" fontId="6" fillId="0" borderId="7" xfId="1" applyNumberFormat="1" applyFont="1" applyFill="1" applyBorder="1" applyAlignment="1">
      <alignment horizontal="center"/>
    </xf>
    <xf numFmtId="0" fontId="2" fillId="0" borderId="0" xfId="1" applyNumberFormat="1" applyFont="1" applyFill="1" applyAlignment="1">
      <alignment horizontal="left" vertical="center" wrapText="1"/>
    </xf>
  </cellXfs>
  <cellStyles count="19">
    <cellStyle name="Hipervínculo" xfId="2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 visitado" xfId="3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Millares" xfId="1" builtinId="3"/>
    <cellStyle name="Millares 2 2" xfId="4" xr:uid="{00000000-0005-0000-0000-000011000000}"/>
    <cellStyle name="Normal" xfId="0" builtinId="0"/>
  </cellStyles>
  <dxfs count="0"/>
  <tableStyles count="0" defaultTableStyle="TableStyleMedium2" defaultPivotStyle="PivotStyleLight16"/>
  <colors>
    <mruColors>
      <color rgb="FFFF00FF"/>
      <color rgb="FF102D7C"/>
      <color rgb="FFA2BFE6"/>
      <color rgb="FF4071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/>
              <a:t>IMAS: Indicadores de Cobertura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0"/>
      <c:rotY val="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Anual!$A$47</c:f>
              <c:strCache>
                <c:ptCount val="1"/>
                <c:pt idx="0">
                  <c:v> Cobertura Programada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(Anual!$B$9,Anual!$C$10,Anual!$E$10,Anual!$G$10)</c:f>
              <c:strCache>
                <c:ptCount val="4"/>
                <c:pt idx="0">
                  <c:v> Programa de Promoción y Protección Social </c:v>
                </c:pt>
                <c:pt idx="1">
                  <c:v> Avancemos </c:v>
                </c:pt>
                <c:pt idx="2">
                  <c:v> Asignación Familiar </c:v>
                </c:pt>
                <c:pt idx="3">
                  <c:v> Seguridad Alimentaria </c:v>
                </c:pt>
              </c:strCache>
            </c:strRef>
          </c:cat>
          <c:val>
            <c:numRef>
              <c:f>(Anual!$B$47,Anual!$C$47,Anual!$E$47,Anual!$G$47)</c:f>
              <c:numCache>
                <c:formatCode>#,##0.00</c:formatCode>
                <c:ptCount val="4"/>
                <c:pt idx="0">
                  <c:v>0</c:v>
                </c:pt>
                <c:pt idx="1">
                  <c:v>125.37848541524875</c:v>
                </c:pt>
                <c:pt idx="2">
                  <c:v>1.1298300691769947</c:v>
                </c:pt>
                <c:pt idx="3">
                  <c:v>7.7586206896551726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DC-4DD0-A8A5-86DE66536A7A}"/>
            </c:ext>
          </c:extLst>
        </c:ser>
        <c:ser>
          <c:idx val="1"/>
          <c:order val="1"/>
          <c:tx>
            <c:strRef>
              <c:f>Anual!$A$48</c:f>
              <c:strCache>
                <c:ptCount val="1"/>
                <c:pt idx="0">
                  <c:v> Cobertura Efectiva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(Anual!$B$9,Anual!$C$10,Anual!$E$10,Anual!$G$10)</c:f>
              <c:strCache>
                <c:ptCount val="4"/>
                <c:pt idx="0">
                  <c:v> Programa de Promoción y Protección Social </c:v>
                </c:pt>
                <c:pt idx="1">
                  <c:v> Avancemos </c:v>
                </c:pt>
                <c:pt idx="2">
                  <c:v> Asignación Familiar </c:v>
                </c:pt>
                <c:pt idx="3">
                  <c:v> Seguridad Alimentaria </c:v>
                </c:pt>
              </c:strCache>
            </c:strRef>
          </c:cat>
          <c:val>
            <c:numRef>
              <c:f>(Anual!$B$48,Anual!$C$48,Anual!$E$48,Anual!$G$48)</c:f>
              <c:numCache>
                <c:formatCode>#,##0.00</c:formatCode>
                <c:ptCount val="4"/>
                <c:pt idx="0">
                  <c:v>80.064002846598441</c:v>
                </c:pt>
                <c:pt idx="1">
                  <c:v>207.70850862008908</c:v>
                </c:pt>
                <c:pt idx="2">
                  <c:v>0.96981644063981121</c:v>
                </c:pt>
                <c:pt idx="3">
                  <c:v>13.466748768472906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DC-4DD0-A8A5-86DE66536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114993936"/>
        <c:axId val="114994328"/>
        <c:axId val="0"/>
      </c:bar3DChart>
      <c:catAx>
        <c:axId val="114993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114994328"/>
        <c:crosses val="autoZero"/>
        <c:auto val="1"/>
        <c:lblAlgn val="ctr"/>
        <c:lblOffset val="100"/>
        <c:noMultiLvlLbl val="0"/>
      </c:catAx>
      <c:valAx>
        <c:axId val="114994328"/>
        <c:scaling>
          <c:orientation val="minMax"/>
          <c:max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114993936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1000"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/>
              <a:t>IMAS: Indicadores de resultado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0"/>
      <c:rotY val="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Anual!$A$51</c:f>
              <c:strCache>
                <c:ptCount val="1"/>
                <c:pt idx="0">
                  <c:v> Índice efectividad en beneficiarios (IEB)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(Anual!$C$10,Anual!$E$10,Anual!$F$10,Anual!$G$10,Anual!$H$10,Anual!$I$10,Anual!$M$10)</c:f>
              <c:strCache>
                <c:ptCount val="7"/>
                <c:pt idx="0">
                  <c:v> Avancemos </c:v>
                </c:pt>
                <c:pt idx="1">
                  <c:v> Asignación Familiar </c:v>
                </c:pt>
                <c:pt idx="2">
                  <c:v> Prestación Alimentaria </c:v>
                </c:pt>
                <c:pt idx="3">
                  <c:v> Seguridad Alimentaria </c:v>
                </c:pt>
                <c:pt idx="4">
                  <c:v> Protección Familiar  </c:v>
                </c:pt>
                <c:pt idx="5">
                  <c:v> Alternativas de Cuido </c:v>
                </c:pt>
                <c:pt idx="6">
                  <c:v> Beneficio Temporal por Inflación </c:v>
                </c:pt>
              </c:strCache>
            </c:strRef>
          </c:cat>
          <c:val>
            <c:numRef>
              <c:f>(Anual!$D$51,Anual!$E$51,Anual!$F$51,Anual!$G$51,Anual!$H$51,Anual!$I$51,Anual!$M$51)</c:f>
              <c:numCache>
                <c:formatCode>#,##0.00</c:formatCode>
                <c:ptCount val="7"/>
                <c:pt idx="0">
                  <c:v>165.6651920241072</c:v>
                </c:pt>
                <c:pt idx="1">
                  <c:v>85.837372105546578</c:v>
                </c:pt>
                <c:pt idx="2">
                  <c:v>163.50364963503651</c:v>
                </c:pt>
                <c:pt idx="3">
                  <c:v>173.57142857142858</c:v>
                </c:pt>
                <c:pt idx="4">
                  <c:v>153.80934412733259</c:v>
                </c:pt>
                <c:pt idx="5">
                  <c:v>155.42693233621884</c:v>
                </c:pt>
                <c:pt idx="6">
                  <c:v>71.757071757071756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88-41ED-A7CD-19270DCAF9EE}"/>
            </c:ext>
          </c:extLst>
        </c:ser>
        <c:ser>
          <c:idx val="1"/>
          <c:order val="1"/>
          <c:tx>
            <c:strRef>
              <c:f>Anual!$A$52</c:f>
              <c:strCache>
                <c:ptCount val="1"/>
                <c:pt idx="0">
                  <c:v> Índice efectividad en gasto (IEG) 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(Anual!$C$10,Anual!$E$10,Anual!$F$10,Anual!$G$10,Anual!$H$10,Anual!$I$10,Anual!$M$10)</c:f>
              <c:strCache>
                <c:ptCount val="7"/>
                <c:pt idx="0">
                  <c:v> Avancemos </c:v>
                </c:pt>
                <c:pt idx="1">
                  <c:v> Asignación Familiar </c:v>
                </c:pt>
                <c:pt idx="2">
                  <c:v> Prestación Alimentaria </c:v>
                </c:pt>
                <c:pt idx="3">
                  <c:v> Seguridad Alimentaria </c:v>
                </c:pt>
                <c:pt idx="4">
                  <c:v> Protección Familiar  </c:v>
                </c:pt>
                <c:pt idx="5">
                  <c:v> Alternativas de Cuido </c:v>
                </c:pt>
                <c:pt idx="6">
                  <c:v> Beneficio Temporal por Inflación </c:v>
                </c:pt>
              </c:strCache>
            </c:strRef>
          </c:cat>
          <c:val>
            <c:numRef>
              <c:f>(Anual!$C$52,Anual!$E$52,Anual!$F$52,Anual!$G$52,Anual!$H$52,Anual!$I$52,Anual!$M$52)</c:f>
              <c:numCache>
                <c:formatCode>#,##0.00</c:formatCode>
                <c:ptCount val="7"/>
                <c:pt idx="0">
                  <c:v>99.554235311565236</c:v>
                </c:pt>
                <c:pt idx="1">
                  <c:v>99.917567122958701</c:v>
                </c:pt>
                <c:pt idx="2">
                  <c:v>95.258906674989959</c:v>
                </c:pt>
                <c:pt idx="3">
                  <c:v>99.912615574729131</c:v>
                </c:pt>
                <c:pt idx="4">
                  <c:v>87.850898955457822</c:v>
                </c:pt>
                <c:pt idx="5">
                  <c:v>121.06982997647083</c:v>
                </c:pt>
                <c:pt idx="6">
                  <c:v>70.075270075270083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88-41ED-A7CD-19270DCAF9EE}"/>
            </c:ext>
          </c:extLst>
        </c:ser>
        <c:ser>
          <c:idx val="2"/>
          <c:order val="2"/>
          <c:tx>
            <c:strRef>
              <c:f>Anual!$A$53</c:f>
              <c:strCache>
                <c:ptCount val="1"/>
                <c:pt idx="0">
                  <c:v> Índice efectividad total (IET) </c:v>
                </c:pt>
              </c:strCache>
            </c:strRef>
          </c:tx>
          <c:spPr>
            <a:solidFill>
              <a:srgbClr val="A2BFE6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1"/>
              <c:layout>
                <c:manualLayout>
                  <c:x val="1.040426296242131E-2"/>
                  <c:y val="-3.08316260623862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C7-47AA-8222-0F6673CA45EE}"/>
                </c:ext>
              </c:extLst>
            </c:dLbl>
            <c:dLbl>
              <c:idx val="3"/>
              <c:layout>
                <c:manualLayout>
                  <c:x val="1.040426296242135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C7-47AA-8222-0F6673CA45EE}"/>
                </c:ext>
              </c:extLst>
            </c:dLbl>
            <c:dLbl>
              <c:idx val="5"/>
              <c:layout>
                <c:manualLayout>
                  <c:x val="6.502664351513348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AC7-47AA-8222-0F6673CA45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(Anual!$C$10,Anual!$E$10,Anual!$F$10,Anual!$G$10,Anual!$H$10,Anual!$I$10,Anual!$M$10)</c:f>
              <c:strCache>
                <c:ptCount val="7"/>
                <c:pt idx="0">
                  <c:v> Avancemos </c:v>
                </c:pt>
                <c:pt idx="1">
                  <c:v> Asignación Familiar </c:v>
                </c:pt>
                <c:pt idx="2">
                  <c:v> Prestación Alimentaria </c:v>
                </c:pt>
                <c:pt idx="3">
                  <c:v> Seguridad Alimentaria </c:v>
                </c:pt>
                <c:pt idx="4">
                  <c:v> Protección Familiar  </c:v>
                </c:pt>
                <c:pt idx="5">
                  <c:v> Alternativas de Cuido </c:v>
                </c:pt>
                <c:pt idx="6">
                  <c:v> Beneficio Temporal por Inflación </c:v>
                </c:pt>
              </c:strCache>
            </c:strRef>
          </c:cat>
          <c:val>
            <c:numRef>
              <c:f>(Anual!$D$53,Anual!$E$53,Anual!$F$53,Anual!$G$53,Anual!$H$53,Anual!$I$53,Anual!$M$53)</c:f>
              <c:numCache>
                <c:formatCode>#,##0.00</c:formatCode>
                <c:ptCount val="7"/>
                <c:pt idx="0">
                  <c:v>132.60971366783622</c:v>
                </c:pt>
                <c:pt idx="1">
                  <c:v>92.877469614252647</c:v>
                </c:pt>
                <c:pt idx="2">
                  <c:v>129.38127815501323</c:v>
                </c:pt>
                <c:pt idx="3">
                  <c:v>136.74202207307886</c:v>
                </c:pt>
                <c:pt idx="4">
                  <c:v>120.83012154139521</c:v>
                </c:pt>
                <c:pt idx="5">
                  <c:v>138.24838115634483</c:v>
                </c:pt>
                <c:pt idx="6">
                  <c:v>70.916170916170927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88-41ED-A7CD-19270DCAF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114995112"/>
        <c:axId val="114995504"/>
        <c:axId val="0"/>
      </c:bar3DChart>
      <c:catAx>
        <c:axId val="114995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114995504"/>
        <c:crosses val="autoZero"/>
        <c:auto val="1"/>
        <c:lblAlgn val="ctr"/>
        <c:lblOffset val="100"/>
        <c:noMultiLvlLbl val="0"/>
      </c:catAx>
      <c:valAx>
        <c:axId val="114995504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114995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/>
              <a:t>IMAS: Indicadores de avance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0"/>
      <c:rotY val="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Anual!$A$56</c:f>
              <c:strCache>
                <c:ptCount val="1"/>
                <c:pt idx="0">
                  <c:v> Índice avance beneficiarios (IAB) 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(Anual!$C$10,Anual!$E$10,Anual!$F$10,Anual!$G$10,Anual!$H$10,Anual!$I$10,Anual!$M$10)</c:f>
              <c:strCache>
                <c:ptCount val="7"/>
                <c:pt idx="0">
                  <c:v> Avancemos </c:v>
                </c:pt>
                <c:pt idx="1">
                  <c:v> Asignación Familiar </c:v>
                </c:pt>
                <c:pt idx="2">
                  <c:v> Prestación Alimentaria </c:v>
                </c:pt>
                <c:pt idx="3">
                  <c:v> Seguridad Alimentaria </c:v>
                </c:pt>
                <c:pt idx="4">
                  <c:v> Protección Familiar  </c:v>
                </c:pt>
                <c:pt idx="5">
                  <c:v> Alternativas de Cuido </c:v>
                </c:pt>
                <c:pt idx="6">
                  <c:v> Beneficio Temporal por Inflación </c:v>
                </c:pt>
              </c:strCache>
            </c:strRef>
          </c:cat>
          <c:val>
            <c:numRef>
              <c:f>(Anual!$C$56,Anual!$E$56,Anual!$F$56,Anual!$G$56,Anual!$H$56,Anual!$I$56,Anual!$M$56)</c:f>
              <c:numCache>
                <c:formatCode>#,##0.00</c:formatCode>
                <c:ptCount val="7"/>
                <c:pt idx="0">
                  <c:v>165.6651920241072</c:v>
                </c:pt>
                <c:pt idx="1">
                  <c:v>85.837372105546578</c:v>
                </c:pt>
                <c:pt idx="2">
                  <c:v>163.50364963503651</c:v>
                </c:pt>
                <c:pt idx="3">
                  <c:v>173.57142857142858</c:v>
                </c:pt>
                <c:pt idx="4">
                  <c:v>153.80934412733259</c:v>
                </c:pt>
                <c:pt idx="5">
                  <c:v>155.42693233621884</c:v>
                </c:pt>
                <c:pt idx="6">
                  <c:v>71.757071757071756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6B-4459-B5EF-38E5794C6196}"/>
            </c:ext>
          </c:extLst>
        </c:ser>
        <c:ser>
          <c:idx val="1"/>
          <c:order val="1"/>
          <c:tx>
            <c:strRef>
              <c:f>Anual!$A$57</c:f>
              <c:strCache>
                <c:ptCount val="1"/>
                <c:pt idx="0">
                  <c:v> Índice avance gasto (IAG)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(Anual!$C$10,Anual!$E$10,Anual!$F$10,Anual!$G$10,Anual!$H$10,Anual!$I$10,Anual!$M$10)</c:f>
              <c:strCache>
                <c:ptCount val="7"/>
                <c:pt idx="0">
                  <c:v> Avancemos </c:v>
                </c:pt>
                <c:pt idx="1">
                  <c:v> Asignación Familiar </c:v>
                </c:pt>
                <c:pt idx="2">
                  <c:v> Prestación Alimentaria </c:v>
                </c:pt>
                <c:pt idx="3">
                  <c:v> Seguridad Alimentaria </c:v>
                </c:pt>
                <c:pt idx="4">
                  <c:v> Protección Familiar  </c:v>
                </c:pt>
                <c:pt idx="5">
                  <c:v> Alternativas de Cuido </c:v>
                </c:pt>
                <c:pt idx="6">
                  <c:v> Beneficio Temporal por Inflación </c:v>
                </c:pt>
              </c:strCache>
            </c:strRef>
          </c:cat>
          <c:val>
            <c:numRef>
              <c:f>(Anual!$C$57,Anual!$E$57,Anual!$F$57,Anual!$G$57,Anual!$H$57,Anual!$I$57,Anual!$M$57)</c:f>
              <c:numCache>
                <c:formatCode>#,##0.00</c:formatCode>
                <c:ptCount val="7"/>
                <c:pt idx="0">
                  <c:v>99.554235311565236</c:v>
                </c:pt>
                <c:pt idx="1">
                  <c:v>99.917567122958701</c:v>
                </c:pt>
                <c:pt idx="2">
                  <c:v>95.258906674989959</c:v>
                </c:pt>
                <c:pt idx="3">
                  <c:v>99.912615574729131</c:v>
                </c:pt>
                <c:pt idx="4">
                  <c:v>87.850898955457822</c:v>
                </c:pt>
                <c:pt idx="5">
                  <c:v>121.06982997647083</c:v>
                </c:pt>
                <c:pt idx="6">
                  <c:v>70.075270075270083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6B-4459-B5EF-38E5794C6196}"/>
            </c:ext>
          </c:extLst>
        </c:ser>
        <c:ser>
          <c:idx val="2"/>
          <c:order val="2"/>
          <c:tx>
            <c:strRef>
              <c:f>Anual!$A$58</c:f>
              <c:strCache>
                <c:ptCount val="1"/>
                <c:pt idx="0">
                  <c:v> Índice avance total (IAT)  </c:v>
                </c:pt>
              </c:strCache>
            </c:strRef>
          </c:tx>
          <c:spPr>
            <a:solidFill>
              <a:srgbClr val="A2BFE6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(Anual!$C$10,Anual!$E$10,Anual!$F$10,Anual!$G$10,Anual!$H$10,Anual!$I$10,Anual!$M$10)</c:f>
              <c:strCache>
                <c:ptCount val="7"/>
                <c:pt idx="0">
                  <c:v> Avancemos </c:v>
                </c:pt>
                <c:pt idx="1">
                  <c:v> Asignación Familiar </c:v>
                </c:pt>
                <c:pt idx="2">
                  <c:v> Prestación Alimentaria </c:v>
                </c:pt>
                <c:pt idx="3">
                  <c:v> Seguridad Alimentaria </c:v>
                </c:pt>
                <c:pt idx="4">
                  <c:v> Protección Familiar  </c:v>
                </c:pt>
                <c:pt idx="5">
                  <c:v> Alternativas de Cuido </c:v>
                </c:pt>
                <c:pt idx="6">
                  <c:v> Beneficio Temporal por Inflación </c:v>
                </c:pt>
              </c:strCache>
            </c:strRef>
          </c:cat>
          <c:val>
            <c:numRef>
              <c:f>(Anual!$C$58,Anual!$E$58,Anual!$F$58,Anual!$G$58,Anual!$H$58,Anual!$I$58,Anual!$M$58)</c:f>
              <c:numCache>
                <c:formatCode>#,##0.00</c:formatCode>
                <c:ptCount val="7"/>
                <c:pt idx="0">
                  <c:v>132.60971366783622</c:v>
                </c:pt>
                <c:pt idx="1">
                  <c:v>92.877469614252647</c:v>
                </c:pt>
                <c:pt idx="2">
                  <c:v>129.38127815501323</c:v>
                </c:pt>
                <c:pt idx="3">
                  <c:v>136.74202207307886</c:v>
                </c:pt>
                <c:pt idx="4">
                  <c:v>120.83012154139521</c:v>
                </c:pt>
                <c:pt idx="5">
                  <c:v>138.24838115634483</c:v>
                </c:pt>
                <c:pt idx="6">
                  <c:v>70.916170916170927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6B-4459-B5EF-38E5794C6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114996288"/>
        <c:axId val="387613528"/>
        <c:axId val="0"/>
      </c:bar3DChart>
      <c:catAx>
        <c:axId val="114996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387613528"/>
        <c:crosses val="autoZero"/>
        <c:auto val="1"/>
        <c:lblAlgn val="ctr"/>
        <c:lblOffset val="100"/>
        <c:noMultiLvlLbl val="0"/>
      </c:catAx>
      <c:valAx>
        <c:axId val="387613528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114996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/>
              <a:t>IMAS: Indicadores de expansión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0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Anual!$A$64</c:f>
              <c:strCache>
                <c:ptCount val="1"/>
                <c:pt idx="0">
                  <c:v> Índice de crecimiento beneficiarios (ICB) 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(Anual!$B$9,Anual!$C$10,Anual!$G$10,Anual!$H$10,Anual!$E$10,Anual!$F$10,Anual!$I$10)</c:f>
              <c:strCache>
                <c:ptCount val="7"/>
                <c:pt idx="0">
                  <c:v> Programa de Promoción y Protección Social </c:v>
                </c:pt>
                <c:pt idx="1">
                  <c:v> Avancemos </c:v>
                </c:pt>
                <c:pt idx="2">
                  <c:v> Seguridad Alimentaria </c:v>
                </c:pt>
                <c:pt idx="3">
                  <c:v> Protección Familiar  </c:v>
                </c:pt>
                <c:pt idx="4">
                  <c:v> Asignación Familiar </c:v>
                </c:pt>
                <c:pt idx="5">
                  <c:v> Prestación Alimentaria </c:v>
                </c:pt>
                <c:pt idx="6">
                  <c:v> Alternativas de Cuido </c:v>
                </c:pt>
              </c:strCache>
            </c:strRef>
          </c:cat>
          <c:val>
            <c:numRef>
              <c:f>(Anual!$B$64,Anual!$C$64,Anual!$E$64,Anual!$F$64,Anual!$G$64,Anual!$H$64,Anual!$I$64)</c:f>
              <c:numCache>
                <c:formatCode>#,##0.00</c:formatCode>
                <c:ptCount val="7"/>
                <c:pt idx="0">
                  <c:v>13.992926895010838</c:v>
                </c:pt>
                <c:pt idx="1">
                  <c:v>102.45823713160398</c:v>
                </c:pt>
                <c:pt idx="2">
                  <c:v>-18.962887646161665</c:v>
                </c:pt>
                <c:pt idx="3">
                  <c:v>10.344827586206895</c:v>
                </c:pt>
                <c:pt idx="4">
                  <c:v>52.937062937062926</c:v>
                </c:pt>
                <c:pt idx="5">
                  <c:v>-22.85716743513867</c:v>
                </c:pt>
                <c:pt idx="6">
                  <c:v>21.061240773987635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37-4AE3-8828-A9F9BA43A25A}"/>
            </c:ext>
          </c:extLst>
        </c:ser>
        <c:ser>
          <c:idx val="1"/>
          <c:order val="1"/>
          <c:tx>
            <c:strRef>
              <c:f>Anual!$A$65</c:f>
              <c:strCache>
                <c:ptCount val="1"/>
                <c:pt idx="0">
                  <c:v> Índice de crecimiento del gasto real (ICGR) 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7"/>
              <c:layout>
                <c:manualLayout>
                  <c:x val="-1.7394640752273927E-2"/>
                  <c:y val="5.726072597287252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D3-4946-AE59-05519A53AA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(Anual!$B$9,Anual!$C$10,Anual!$G$10,Anual!$H$10,Anual!$E$10,Anual!$F$10,Anual!$I$10)</c:f>
              <c:strCache>
                <c:ptCount val="7"/>
                <c:pt idx="0">
                  <c:v> Programa de Promoción y Protección Social </c:v>
                </c:pt>
                <c:pt idx="1">
                  <c:v> Avancemos </c:v>
                </c:pt>
                <c:pt idx="2">
                  <c:v> Seguridad Alimentaria </c:v>
                </c:pt>
                <c:pt idx="3">
                  <c:v> Protección Familiar  </c:v>
                </c:pt>
                <c:pt idx="4">
                  <c:v> Asignación Familiar </c:v>
                </c:pt>
                <c:pt idx="5">
                  <c:v> Prestación Alimentaria </c:v>
                </c:pt>
                <c:pt idx="6">
                  <c:v> Alternativas de Cuido </c:v>
                </c:pt>
              </c:strCache>
            </c:strRef>
          </c:cat>
          <c:val>
            <c:numRef>
              <c:f>(Anual!$B$65:$C$65,Anual!$G$65:$H$65,Anual!$E$65,Anual!$F$65,Anual!$I$65)</c:f>
              <c:numCache>
                <c:formatCode>#,##0.00</c:formatCode>
                <c:ptCount val="7"/>
                <c:pt idx="0">
                  <c:v>15.866502618453261</c:v>
                </c:pt>
                <c:pt idx="1">
                  <c:v>51.800448105268494</c:v>
                </c:pt>
                <c:pt idx="2">
                  <c:v>-2.3208467052711179</c:v>
                </c:pt>
                <c:pt idx="3">
                  <c:v>-11.687671256172127</c:v>
                </c:pt>
                <c:pt idx="4">
                  <c:v>-10.433001612937842</c:v>
                </c:pt>
                <c:pt idx="5">
                  <c:v>-0.93972226830827399</c:v>
                </c:pt>
                <c:pt idx="6">
                  <c:v>27.897853056641587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37-4AE3-8828-A9F9BA43A25A}"/>
            </c:ext>
          </c:extLst>
        </c:ser>
        <c:ser>
          <c:idx val="2"/>
          <c:order val="2"/>
          <c:tx>
            <c:strRef>
              <c:f>Anual!$A$66</c:f>
              <c:strCache>
                <c:ptCount val="1"/>
                <c:pt idx="0">
                  <c:v> Índice de crecimiento del gasto real por beneficiario (ICGRB)  </c:v>
                </c:pt>
              </c:strCache>
            </c:strRef>
          </c:tx>
          <c:spPr>
            <a:solidFill>
              <a:srgbClr val="A2BFE6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(Anual!$B$9,Anual!$C$10,Anual!$G$10,Anual!$H$10,Anual!$E$10,Anual!$F$10,Anual!$I$10)</c:f>
              <c:strCache>
                <c:ptCount val="7"/>
                <c:pt idx="0">
                  <c:v> Programa de Promoción y Protección Social </c:v>
                </c:pt>
                <c:pt idx="1">
                  <c:v> Avancemos </c:v>
                </c:pt>
                <c:pt idx="2">
                  <c:v> Seguridad Alimentaria </c:v>
                </c:pt>
                <c:pt idx="3">
                  <c:v> Protección Familiar  </c:v>
                </c:pt>
                <c:pt idx="4">
                  <c:v> Asignación Familiar </c:v>
                </c:pt>
                <c:pt idx="5">
                  <c:v> Prestación Alimentaria </c:v>
                </c:pt>
                <c:pt idx="6">
                  <c:v> Alternativas de Cuido </c:v>
                </c:pt>
              </c:strCache>
            </c:strRef>
          </c:cat>
          <c:val>
            <c:numRef>
              <c:f>(Anual!$B$66:$C$66,Anual!$G$66:$H$66,Anual!$E$66,Anual!$F$66,Anual!$I$66)</c:f>
              <c:numCache>
                <c:formatCode>#,##0.00</c:formatCode>
                <c:ptCount val="7"/>
                <c:pt idx="0">
                  <c:v>1.6435894528509021</c:v>
                </c:pt>
                <c:pt idx="1">
                  <c:v>-25.021352425096133</c:v>
                </c:pt>
                <c:pt idx="2">
                  <c:v>-36.131143478983866</c:v>
                </c:pt>
                <c:pt idx="3">
                  <c:v>14.478981141346182</c:v>
                </c:pt>
                <c:pt idx="4">
                  <c:v>10.525900769981988</c:v>
                </c:pt>
                <c:pt idx="5">
                  <c:v>-10.226623305654382</c:v>
                </c:pt>
                <c:pt idx="6">
                  <c:v>5.6472346053493716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37-4AE3-8828-A9F9BA43A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87617448"/>
        <c:axId val="387617840"/>
        <c:axId val="0"/>
      </c:bar3DChart>
      <c:catAx>
        <c:axId val="387617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387617840"/>
        <c:crosses val="autoZero"/>
        <c:auto val="1"/>
        <c:lblAlgn val="ctr"/>
        <c:lblOffset val="100"/>
        <c:noMultiLvlLbl val="0"/>
      </c:catAx>
      <c:valAx>
        <c:axId val="387617840"/>
        <c:scaling>
          <c:orientation val="minMax"/>
          <c:max val="15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387617448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195099716201018E-3"/>
          <c:y val="0.93035266539853489"/>
          <c:w val="0.98124547501478188"/>
          <c:h val="6.9647334601464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/>
              <a:t>IMAS: Indicadores de gasto medio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0"/>
      <c:rotY val="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Anual!$A$69</c:f>
              <c:strCache>
                <c:ptCount val="1"/>
                <c:pt idx="0">
                  <c:v> Gasto anual programado por beneficiario (GPB) 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(Anual!$B$9,Anual!$C$10,Anual!$E$10,Anual!$F$10,Anual!$G$10,Anual!$H$10,Anual!$I$10,Anual!$M$10)</c:f>
              <c:strCache>
                <c:ptCount val="8"/>
                <c:pt idx="0">
                  <c:v> Programa de Promoción y Protección Social </c:v>
                </c:pt>
                <c:pt idx="1">
                  <c:v> Avancemos </c:v>
                </c:pt>
                <c:pt idx="2">
                  <c:v> Asignación Familiar </c:v>
                </c:pt>
                <c:pt idx="3">
                  <c:v> Prestación Alimentaria </c:v>
                </c:pt>
                <c:pt idx="4">
                  <c:v> Seguridad Alimentaria </c:v>
                </c:pt>
                <c:pt idx="5">
                  <c:v> Protección Familiar  </c:v>
                </c:pt>
                <c:pt idx="6">
                  <c:v> Alternativas de Cuido </c:v>
                </c:pt>
                <c:pt idx="7">
                  <c:v> Beneficio Temporal por Inflación </c:v>
                </c:pt>
              </c:strCache>
            </c:strRef>
          </c:cat>
          <c:val>
            <c:numRef>
              <c:f>(Anual!$B$69,Anual!$C$69,Anual!$E$69,Anual!$F$69,Anual!$G$69,Anual!$H$69,Anual!$I$69,Anual!$M$69)</c:f>
              <c:numCache>
                <c:formatCode>#,##0.00</c:formatCode>
                <c:ptCount val="8"/>
                <c:pt idx="0">
                  <c:v>628077.80400429852</c:v>
                </c:pt>
                <c:pt idx="1">
                  <c:v>360000</c:v>
                </c:pt>
                <c:pt idx="2">
                  <c:v>1200000</c:v>
                </c:pt>
                <c:pt idx="3">
                  <c:v>3936000</c:v>
                </c:pt>
                <c:pt idx="4">
                  <c:v>900000</c:v>
                </c:pt>
                <c:pt idx="5">
                  <c:v>900000</c:v>
                </c:pt>
                <c:pt idx="6">
                  <c:v>1560000</c:v>
                </c:pt>
                <c:pt idx="7">
                  <c:v>180000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04-4AFD-AF47-E4E269E62DE3}"/>
            </c:ext>
          </c:extLst>
        </c:ser>
        <c:ser>
          <c:idx val="1"/>
          <c:order val="1"/>
          <c:tx>
            <c:strRef>
              <c:f>Anual!$A$70</c:f>
              <c:strCache>
                <c:ptCount val="1"/>
                <c:pt idx="0">
                  <c:v> Gasto anual efectivo por beneficiario (GEB) 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(Anual!$B$9,Anual!$C$10,Anual!$E$10,Anual!$F$10,Anual!$G$10,Anual!$H$10,Anual!$I$10,Anual!$M$10)</c:f>
              <c:strCache>
                <c:ptCount val="8"/>
                <c:pt idx="0">
                  <c:v> Programa de Promoción y Protección Social </c:v>
                </c:pt>
                <c:pt idx="1">
                  <c:v> Avancemos </c:v>
                </c:pt>
                <c:pt idx="2">
                  <c:v> Asignación Familiar </c:v>
                </c:pt>
                <c:pt idx="3">
                  <c:v> Prestación Alimentaria </c:v>
                </c:pt>
                <c:pt idx="4">
                  <c:v> Seguridad Alimentaria </c:v>
                </c:pt>
                <c:pt idx="5">
                  <c:v> Protección Familiar  </c:v>
                </c:pt>
                <c:pt idx="6">
                  <c:v> Alternativas de Cuido </c:v>
                </c:pt>
                <c:pt idx="7">
                  <c:v> Beneficio Temporal por Inflación </c:v>
                </c:pt>
              </c:strCache>
            </c:strRef>
          </c:cat>
          <c:val>
            <c:numRef>
              <c:f>(Anual!$B$70,Anual!$C$70,Anual!$E$70,Anual!$F$70,Anual!$G$70,Anual!$H$70,Anual!$I$70,Anual!$M$70)</c:f>
              <c:numCache>
                <c:formatCode>#,##0.00</c:formatCode>
                <c:ptCount val="8"/>
                <c:pt idx="0">
                  <c:v>510205.82605702721</c:v>
                </c:pt>
                <c:pt idx="1">
                  <c:v>293472.10148341721</c:v>
                </c:pt>
                <c:pt idx="2">
                  <c:v>1224822.0776448944</c:v>
                </c:pt>
                <c:pt idx="3">
                  <c:v>2765902.4140256238</c:v>
                </c:pt>
                <c:pt idx="4">
                  <c:v>861760.96771805896</c:v>
                </c:pt>
                <c:pt idx="5">
                  <c:v>945710.20873010019</c:v>
                </c:pt>
                <c:pt idx="6">
                  <c:v>1513662.8798635835</c:v>
                </c:pt>
                <c:pt idx="7">
                  <c:v>272892.67355522094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04-4AFD-AF47-E4E269E62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7618624"/>
        <c:axId val="387619016"/>
        <c:axId val="0"/>
      </c:bar3DChart>
      <c:catAx>
        <c:axId val="38761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387619016"/>
        <c:crosses val="autoZero"/>
        <c:auto val="1"/>
        <c:lblAlgn val="ctr"/>
        <c:lblOffset val="100"/>
        <c:noMultiLvlLbl val="0"/>
      </c:catAx>
      <c:valAx>
        <c:axId val="387619016"/>
        <c:scaling>
          <c:orientation val="minMax"/>
          <c:max val="55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387618624"/>
        <c:crosses val="autoZero"/>
        <c:crossBetween val="between"/>
        <c:majorUnit val="100000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n-US" sz="1800"/>
              <a:t>IMAS: Índice de eficiencia (IE) 2022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0"/>
      <c:rotY val="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Anual!$A$71</c:f>
              <c:strCache>
                <c:ptCount val="1"/>
                <c:pt idx="0">
                  <c:v> Índice de eficiencia (IE) 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(Anual!$C$10,Anual!$E$10,Anual!$F$10,Anual!$G$10,Anual!$H$10,Anual!$I$10,Anual!$M$10)</c:f>
              <c:strCache>
                <c:ptCount val="7"/>
                <c:pt idx="0">
                  <c:v> Avancemos </c:v>
                </c:pt>
                <c:pt idx="1">
                  <c:v> Asignación Familiar </c:v>
                </c:pt>
                <c:pt idx="2">
                  <c:v> Prestación Alimentaria </c:v>
                </c:pt>
                <c:pt idx="3">
                  <c:v> Seguridad Alimentaria </c:v>
                </c:pt>
                <c:pt idx="4">
                  <c:v> Protección Familiar  </c:v>
                </c:pt>
                <c:pt idx="5">
                  <c:v> Alternativas de Cuido </c:v>
                </c:pt>
                <c:pt idx="6">
                  <c:v> Beneficio Temporal por Inflación </c:v>
                </c:pt>
              </c:strCache>
            </c:strRef>
          </c:cat>
          <c:val>
            <c:numRef>
              <c:f>(Anual!$C$71,Anual!$E$71,Anual!$F$71,Anual!$G$71,Anual!$H$71,Anual!$I$71,Anual!$M$71)</c:f>
              <c:numCache>
                <c:formatCode>#,##0.00</c:formatCode>
                <c:ptCount val="7"/>
                <c:pt idx="0">
                  <c:v>108.10347596448369</c:v>
                </c:pt>
                <c:pt idx="1">
                  <c:v>94.798646082774553</c:v>
                </c:pt>
                <c:pt idx="2">
                  <c:v>90.91869653929669</c:v>
                </c:pt>
                <c:pt idx="3">
                  <c:v>130.93215252157847</c:v>
                </c:pt>
                <c:pt idx="4">
                  <c:v>126.96697718199582</c:v>
                </c:pt>
                <c:pt idx="5">
                  <c:v>134.14195048563545</c:v>
                </c:pt>
                <c:pt idx="6">
                  <c:v>107.5139082200716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B3-4C78-BA13-161098274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87619800"/>
        <c:axId val="387620192"/>
        <c:axId val="0"/>
      </c:bar3DChart>
      <c:catAx>
        <c:axId val="387619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387620192"/>
        <c:crosses val="autoZero"/>
        <c:auto val="1"/>
        <c:lblAlgn val="ctr"/>
        <c:lblOffset val="100"/>
        <c:noMultiLvlLbl val="0"/>
      </c:catAx>
      <c:valAx>
        <c:axId val="387620192"/>
        <c:scaling>
          <c:orientation val="minMax"/>
          <c:max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387619800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 b="1"/>
              <a:t>IMAS: Indicadores de giro de recursos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0"/>
      <c:rotY val="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25400"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5E0C-4C8E-8B21-D791378433CE}"/>
              </c:ext>
            </c:extLst>
          </c:dPt>
          <c:dPt>
            <c:idx val="1"/>
            <c:invertIfNegative val="0"/>
            <c:bubble3D val="0"/>
            <c:spPr>
              <a:solidFill>
                <a:srgbClr val="102D7C"/>
              </a:solidFill>
              <a:ln w="1905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053-43A9-8BEA-F1A22FF426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Anual!$A$76:$A$77</c:f>
              <c:strCache>
                <c:ptCount val="2"/>
                <c:pt idx="0">
                  <c:v> Índice de giro efectivo (IGE) </c:v>
                </c:pt>
                <c:pt idx="1">
                  <c:v> Índice de uso de recursos (IUR)  </c:v>
                </c:pt>
              </c:strCache>
            </c:strRef>
          </c:cat>
          <c:val>
            <c:numRef>
              <c:f>Anual!$B$76:$B$77</c:f>
              <c:numCache>
                <c:formatCode>#,##0.00</c:formatCode>
                <c:ptCount val="2"/>
                <c:pt idx="0">
                  <c:v>99.980470687882786</c:v>
                </c:pt>
                <c:pt idx="1">
                  <c:v>96.222198047648106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53-43A9-8BEA-F1A22FF42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09038640"/>
        <c:axId val="209039952"/>
        <c:axId val="0"/>
      </c:bar3DChart>
      <c:valAx>
        <c:axId val="209039952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209038640"/>
        <c:crosses val="autoZero"/>
        <c:crossBetween val="between"/>
        <c:majorUnit val="20"/>
      </c:valAx>
      <c:catAx>
        <c:axId val="2090386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90399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18505714" cy="440531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10343"/>
          <a:ext cx="18505714" cy="440531"/>
        </a:xfrm>
        <a:prstGeom prst="rect">
          <a:avLst/>
        </a:prstGeom>
      </xdr:spPr>
    </xdr:pic>
    <xdr:clientData/>
  </xdr:oneCellAnchor>
  <xdr:twoCellAnchor>
    <xdr:from>
      <xdr:col>0</xdr:col>
      <xdr:colOff>47626</xdr:colOff>
      <xdr:row>6</xdr:row>
      <xdr:rowOff>95250</xdr:rowOff>
    </xdr:from>
    <xdr:to>
      <xdr:col>11</xdr:col>
      <xdr:colOff>1238250</xdr:colOff>
      <xdr:row>7</xdr:row>
      <xdr:rowOff>202405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47626" y="1238250"/>
          <a:ext cx="17897474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          Instituto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Mixto de Ayuda Social             Programa  Protección y Promoción Social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Trimestre 2022   Fecha Actualización: 27-05-2022</a:t>
          </a: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12</xdr:col>
      <xdr:colOff>0</xdr:colOff>
      <xdr:row>6</xdr:row>
      <xdr:rowOff>35719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0"/>
          <a:ext cx="18002249" cy="1178719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2</xdr:col>
      <xdr:colOff>109500</xdr:colOff>
      <xdr:row>5</xdr:row>
      <xdr:rowOff>136071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2643" y="95250"/>
          <a:ext cx="5123732" cy="9933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19801114" cy="440531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10343"/>
          <a:ext cx="19801114" cy="440531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13</xdr:col>
      <xdr:colOff>13606</xdr:colOff>
      <xdr:row>6</xdr:row>
      <xdr:rowOff>35719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267713" cy="1178719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2</xdr:col>
      <xdr:colOff>109500</xdr:colOff>
      <xdr:row>5</xdr:row>
      <xdr:rowOff>136071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2643" y="95250"/>
          <a:ext cx="5123732" cy="993321"/>
        </a:xfrm>
        <a:prstGeom prst="rect">
          <a:avLst/>
        </a:prstGeom>
      </xdr:spPr>
    </xdr:pic>
    <xdr:clientData/>
  </xdr:twoCellAnchor>
  <xdr:twoCellAnchor>
    <xdr:from>
      <xdr:col>0</xdr:col>
      <xdr:colOff>35720</xdr:colOff>
      <xdr:row>6</xdr:row>
      <xdr:rowOff>95250</xdr:rowOff>
    </xdr:from>
    <xdr:to>
      <xdr:col>12</xdr:col>
      <xdr:colOff>1</xdr:colOff>
      <xdr:row>8</xdr:row>
      <xdr:rowOff>31749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35720" y="1238250"/>
          <a:ext cx="17918906" cy="346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         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Instituto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Mixto de Ayuda Social             Programa  Protección y Promoción Social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 Trimestre 2022    Fecha Actualización: 27-10-2022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19790228" cy="440531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10343"/>
          <a:ext cx="19790228" cy="440531"/>
        </a:xfrm>
        <a:prstGeom prst="rect">
          <a:avLst/>
        </a:prstGeom>
      </xdr:spPr>
    </xdr:pic>
    <xdr:clientData/>
  </xdr:oneCellAnchor>
  <xdr:twoCellAnchor>
    <xdr:from>
      <xdr:col>0</xdr:col>
      <xdr:colOff>47626</xdr:colOff>
      <xdr:row>6</xdr:row>
      <xdr:rowOff>95250</xdr:rowOff>
    </xdr:from>
    <xdr:to>
      <xdr:col>11</xdr:col>
      <xdr:colOff>1206500</xdr:colOff>
      <xdr:row>7</xdr:row>
      <xdr:rowOff>174625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47626" y="1238250"/>
          <a:ext cx="17856199" cy="269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             Instituto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Mixto de Ayuda Social             Programa  Protección y Promoción Social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 Semestre 2022     Fecha Actualización: 27-10-2022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13607</xdr:colOff>
      <xdr:row>6</xdr:row>
      <xdr:rowOff>35719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254107" cy="1178719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2</xdr:col>
      <xdr:colOff>121406</xdr:colOff>
      <xdr:row>5</xdr:row>
      <xdr:rowOff>136071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2643" y="95250"/>
          <a:ext cx="5126113" cy="9933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19735800" cy="440531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10343"/>
          <a:ext cx="19735800" cy="440531"/>
        </a:xfrm>
        <a:prstGeom prst="rect">
          <a:avLst/>
        </a:prstGeom>
      </xdr:spPr>
    </xdr:pic>
    <xdr:clientData/>
  </xdr:oneCellAnchor>
  <xdr:twoCellAnchor editAs="oneCell">
    <xdr:from>
      <xdr:col>0</xdr:col>
      <xdr:colOff>1</xdr:colOff>
      <xdr:row>0</xdr:row>
      <xdr:rowOff>0</xdr:rowOff>
    </xdr:from>
    <xdr:to>
      <xdr:col>12</xdr:col>
      <xdr:colOff>1224643</xdr:colOff>
      <xdr:row>6</xdr:row>
      <xdr:rowOff>35719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0"/>
          <a:ext cx="19226892" cy="1178719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2</xdr:col>
      <xdr:colOff>109500</xdr:colOff>
      <xdr:row>5</xdr:row>
      <xdr:rowOff>136071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2643" y="95250"/>
          <a:ext cx="5123732" cy="993321"/>
        </a:xfrm>
        <a:prstGeom prst="rect">
          <a:avLst/>
        </a:prstGeom>
      </xdr:spPr>
    </xdr:pic>
    <xdr:clientData/>
  </xdr:twoCellAnchor>
  <xdr:twoCellAnchor>
    <xdr:from>
      <xdr:col>0</xdr:col>
      <xdr:colOff>35720</xdr:colOff>
      <xdr:row>6</xdr:row>
      <xdr:rowOff>95250</xdr:rowOff>
    </xdr:from>
    <xdr:to>
      <xdr:col>12</xdr:col>
      <xdr:colOff>1</xdr:colOff>
      <xdr:row>8</xdr:row>
      <xdr:rowOff>31749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35720" y="1238250"/>
          <a:ext cx="17918906" cy="346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         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Instituto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Mixto de Ayuda Social             Programa  Protección y Promoción Social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2022    Fecha Actualización: 14-12-2022</a:t>
          </a: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19801114" cy="440531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10343"/>
          <a:ext cx="19801114" cy="440531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13</xdr:col>
      <xdr:colOff>13606</xdr:colOff>
      <xdr:row>6</xdr:row>
      <xdr:rowOff>35719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267713" cy="1178719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2</xdr:col>
      <xdr:colOff>109500</xdr:colOff>
      <xdr:row>5</xdr:row>
      <xdr:rowOff>136071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2643" y="95250"/>
          <a:ext cx="5123732" cy="993321"/>
        </a:xfrm>
        <a:prstGeom prst="rect">
          <a:avLst/>
        </a:prstGeom>
      </xdr:spPr>
    </xdr:pic>
    <xdr:clientData/>
  </xdr:twoCellAnchor>
  <xdr:twoCellAnchor>
    <xdr:from>
      <xdr:col>0</xdr:col>
      <xdr:colOff>35720</xdr:colOff>
      <xdr:row>6</xdr:row>
      <xdr:rowOff>95250</xdr:rowOff>
    </xdr:from>
    <xdr:to>
      <xdr:col>12</xdr:col>
      <xdr:colOff>1</xdr:colOff>
      <xdr:row>8</xdr:row>
      <xdr:rowOff>31749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35720" y="1238250"/>
          <a:ext cx="17918906" cy="346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         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Instituto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Mixto de Ayuda Social             Programa  Protección y Promoción Social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Acumulado 2022    Fecha Actualización: 14-12-2022</a:t>
          </a: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11906</xdr:colOff>
      <xdr:row>6</xdr:row>
      <xdr:rowOff>35719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240500" cy="1178719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2</xdr:col>
      <xdr:colOff>109500</xdr:colOff>
      <xdr:row>5</xdr:row>
      <xdr:rowOff>136071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2643" y="95250"/>
          <a:ext cx="5123732" cy="993321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6</xdr:row>
      <xdr:rowOff>0</xdr:rowOff>
    </xdr:from>
    <xdr:ext cx="19801114" cy="440531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110343"/>
          <a:ext cx="19801114" cy="44053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6</xdr:row>
      <xdr:rowOff>71437</xdr:rowOff>
    </xdr:from>
    <xdr:to>
      <xdr:col>11</xdr:col>
      <xdr:colOff>1202531</xdr:colOff>
      <xdr:row>7</xdr:row>
      <xdr:rowOff>178592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0" y="1214437"/>
          <a:ext cx="17930812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                 Instituto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Mixto de Ayuda Social             Programa  Protección y Promoción Social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IV Trimestre  2022    Fecha Actualización: 19-05-2023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20312</xdr:colOff>
      <xdr:row>14</xdr:row>
      <xdr:rowOff>178594</xdr:rowOff>
    </xdr:from>
    <xdr:to>
      <xdr:col>26</xdr:col>
      <xdr:colOff>635000</xdr:colOff>
      <xdr:row>34</xdr:row>
      <xdr:rowOff>95250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13772</xdr:colOff>
      <xdr:row>34</xdr:row>
      <xdr:rowOff>182977</xdr:rowOff>
    </xdr:from>
    <xdr:to>
      <xdr:col>26</xdr:col>
      <xdr:colOff>635000</xdr:colOff>
      <xdr:row>54</xdr:row>
      <xdr:rowOff>111124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31516</xdr:colOff>
      <xdr:row>55</xdr:row>
      <xdr:rowOff>63918</xdr:rowOff>
    </xdr:from>
    <xdr:to>
      <xdr:col>26</xdr:col>
      <xdr:colOff>635000</xdr:colOff>
      <xdr:row>74</xdr:row>
      <xdr:rowOff>190500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109257</xdr:colOff>
      <xdr:row>14</xdr:row>
      <xdr:rowOff>172476</xdr:rowOff>
    </xdr:from>
    <xdr:to>
      <xdr:col>41</xdr:col>
      <xdr:colOff>392906</xdr:colOff>
      <xdr:row>34</xdr:row>
      <xdr:rowOff>63500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155248</xdr:colOff>
      <xdr:row>34</xdr:row>
      <xdr:rowOff>171778</xdr:rowOff>
    </xdr:from>
    <xdr:to>
      <xdr:col>43</xdr:col>
      <xdr:colOff>158750</xdr:colOff>
      <xdr:row>57</xdr:row>
      <xdr:rowOff>111125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436799</xdr:colOff>
      <xdr:row>58</xdr:row>
      <xdr:rowOff>126719</xdr:rowOff>
    </xdr:from>
    <xdr:to>
      <xdr:col>40</xdr:col>
      <xdr:colOff>396875</xdr:colOff>
      <xdr:row>77</xdr:row>
      <xdr:rowOff>127000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543723</xdr:colOff>
      <xdr:row>76</xdr:row>
      <xdr:rowOff>23061</xdr:rowOff>
    </xdr:from>
    <xdr:to>
      <xdr:col>26</xdr:col>
      <xdr:colOff>91282</xdr:colOff>
      <xdr:row>94</xdr:row>
      <xdr:rowOff>142875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8105</xdr:colOff>
      <xdr:row>6</xdr:row>
      <xdr:rowOff>35719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19262212" cy="1178719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2</xdr:col>
      <xdr:colOff>109500</xdr:colOff>
      <xdr:row>5</xdr:row>
      <xdr:rowOff>136071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62643" y="95250"/>
          <a:ext cx="5123732" cy="993321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6</xdr:row>
      <xdr:rowOff>0</xdr:rowOff>
    </xdr:from>
    <xdr:ext cx="19801114" cy="440531"/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110343"/>
          <a:ext cx="19801114" cy="44053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6</xdr:row>
      <xdr:rowOff>71437</xdr:rowOff>
    </xdr:from>
    <xdr:to>
      <xdr:col>11</xdr:col>
      <xdr:colOff>1202531</xdr:colOff>
      <xdr:row>7</xdr:row>
      <xdr:rowOff>178592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/>
      </xdr:nvSpPr>
      <xdr:spPr>
        <a:xfrm>
          <a:off x="0" y="1214437"/>
          <a:ext cx="17930812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 Instituto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Mixto de Ayuda Social             Programa  Protección y Promoción Social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Anual  2022    Fecha Actualización: 19-05-2023</a:t>
          </a:r>
          <a:endParaRPr lang="es-CR" sz="1100">
            <a:solidFill>
              <a:schemeClr val="bg1"/>
            </a:solidFill>
            <a:latin typeface="Palatino Linotype" panose="0204050205050503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M160"/>
  <sheetViews>
    <sheetView showGridLines="0" tabSelected="1" zoomScale="70" zoomScaleNormal="70" zoomScalePageLayoutView="9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3.44140625" style="3" customWidth="1"/>
    <col min="2" max="12" width="18.6640625" style="3" customWidth="1"/>
    <col min="13" max="16384" width="11.44140625" style="3"/>
  </cols>
  <sheetData>
    <row r="8" spans="1:13" ht="18" customHeight="1" x14ac:dyDescent="0.3"/>
    <row r="9" spans="1:13" ht="15.6" x14ac:dyDescent="0.35">
      <c r="A9" s="68" t="s">
        <v>0</v>
      </c>
      <c r="B9" s="70" t="s">
        <v>58</v>
      </c>
      <c r="C9" s="76" t="s">
        <v>59</v>
      </c>
      <c r="D9" s="76"/>
      <c r="E9" s="76"/>
      <c r="F9" s="76"/>
      <c r="G9" s="76"/>
      <c r="H9" s="76"/>
      <c r="I9" s="76"/>
      <c r="J9" s="76"/>
      <c r="K9" s="76"/>
      <c r="L9" s="76"/>
      <c r="M9" s="9"/>
    </row>
    <row r="10" spans="1:13" ht="51.75" customHeight="1" thickBot="1" x14ac:dyDescent="0.4">
      <c r="A10" s="69"/>
      <c r="B10" s="71"/>
      <c r="C10" s="75" t="s">
        <v>1</v>
      </c>
      <c r="D10" s="75"/>
      <c r="E10" s="44" t="s">
        <v>44</v>
      </c>
      <c r="F10" s="44" t="s">
        <v>45</v>
      </c>
      <c r="G10" s="45" t="s">
        <v>46</v>
      </c>
      <c r="H10" s="45" t="s">
        <v>53</v>
      </c>
      <c r="I10" s="44" t="s">
        <v>60</v>
      </c>
      <c r="J10" s="77" t="s">
        <v>61</v>
      </c>
      <c r="K10" s="77"/>
      <c r="L10" s="44" t="s">
        <v>54</v>
      </c>
      <c r="M10" s="9"/>
    </row>
    <row r="11" spans="1:13" ht="16.2" thickTop="1" x14ac:dyDescent="0.3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3" ht="15.6" x14ac:dyDescent="0.35">
      <c r="A12" s="10" t="s">
        <v>2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13" ht="15.6" x14ac:dyDescent="0.3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3" s="57" customFormat="1" ht="31.2" x14ac:dyDescent="0.3">
      <c r="A14" s="55" t="s">
        <v>41</v>
      </c>
      <c r="B14" s="11" t="s">
        <v>57</v>
      </c>
      <c r="C14" s="11" t="s">
        <v>42</v>
      </c>
      <c r="D14" s="11" t="s">
        <v>43</v>
      </c>
      <c r="E14" s="12" t="s">
        <v>42</v>
      </c>
      <c r="F14" s="12" t="s">
        <v>42</v>
      </c>
      <c r="G14" s="12" t="s">
        <v>42</v>
      </c>
      <c r="H14" s="54" t="s">
        <v>63</v>
      </c>
      <c r="I14" s="12" t="s">
        <v>51</v>
      </c>
      <c r="J14" s="12" t="s">
        <v>42</v>
      </c>
      <c r="K14" s="12" t="s">
        <v>62</v>
      </c>
      <c r="L14" s="12" t="s">
        <v>57</v>
      </c>
      <c r="M14" s="56"/>
    </row>
    <row r="15" spans="1:13" ht="15.6" x14ac:dyDescent="0.35">
      <c r="A15" s="13" t="s">
        <v>64</v>
      </c>
      <c r="B15" s="41">
        <v>224636</v>
      </c>
      <c r="C15" s="41">
        <v>119170</v>
      </c>
      <c r="D15" s="41">
        <v>147873</v>
      </c>
      <c r="E15" s="41">
        <v>1124</v>
      </c>
      <c r="F15" s="41">
        <v>42</v>
      </c>
      <c r="G15" s="41">
        <v>7466</v>
      </c>
      <c r="H15" s="41">
        <v>48205</v>
      </c>
      <c r="I15" s="41">
        <v>20460</v>
      </c>
      <c r="J15" s="41">
        <v>121802</v>
      </c>
      <c r="K15" s="46">
        <v>162297</v>
      </c>
      <c r="L15" s="46" t="s">
        <v>48</v>
      </c>
      <c r="M15" s="9"/>
    </row>
    <row r="16" spans="1:13" ht="15.6" x14ac:dyDescent="0.35">
      <c r="A16" s="13" t="s">
        <v>92</v>
      </c>
      <c r="B16" s="41" t="s">
        <v>49</v>
      </c>
      <c r="C16" s="41" t="s">
        <v>49</v>
      </c>
      <c r="D16" s="41">
        <v>231140</v>
      </c>
      <c r="E16" s="41">
        <v>1805</v>
      </c>
      <c r="F16" s="41">
        <v>0</v>
      </c>
      <c r="G16" s="41">
        <v>7539</v>
      </c>
      <c r="H16" s="41">
        <v>57749</v>
      </c>
      <c r="I16" s="41">
        <v>16660</v>
      </c>
      <c r="J16" s="41" t="s">
        <v>56</v>
      </c>
      <c r="K16" s="46">
        <v>0</v>
      </c>
      <c r="L16" s="46" t="s">
        <v>48</v>
      </c>
      <c r="M16" s="9"/>
    </row>
    <row r="17" spans="1:13" ht="15.6" x14ac:dyDescent="0.35">
      <c r="A17" s="13" t="s">
        <v>55</v>
      </c>
      <c r="B17" s="41">
        <f>+D17+E17+F17+G17+H17+I17+K17</f>
        <v>944674</v>
      </c>
      <c r="C17" s="41" t="s">
        <v>49</v>
      </c>
      <c r="D17" s="41">
        <v>693420</v>
      </c>
      <c r="E17" s="41">
        <v>5414</v>
      </c>
      <c r="F17" s="41">
        <v>0</v>
      </c>
      <c r="G17" s="41">
        <v>22615</v>
      </c>
      <c r="H17" s="41">
        <v>173245</v>
      </c>
      <c r="I17" s="41">
        <v>49980</v>
      </c>
      <c r="J17" s="41" t="s">
        <v>56</v>
      </c>
      <c r="K17" s="46">
        <v>0</v>
      </c>
      <c r="L17" s="46" t="s">
        <v>48</v>
      </c>
      <c r="M17" s="9"/>
    </row>
    <row r="18" spans="1:13" ht="15.6" x14ac:dyDescent="0.35">
      <c r="A18" s="13" t="s">
        <v>93</v>
      </c>
      <c r="B18" s="41">
        <v>159164</v>
      </c>
      <c r="C18" s="41">
        <v>119502</v>
      </c>
      <c r="D18" s="41">
        <v>168234</v>
      </c>
      <c r="E18" s="41">
        <v>1348</v>
      </c>
      <c r="F18" s="41">
        <v>67</v>
      </c>
      <c r="G18" s="41">
        <v>7767</v>
      </c>
      <c r="H18" s="41">
        <v>40931</v>
      </c>
      <c r="I18" s="41">
        <v>22611</v>
      </c>
      <c r="J18" s="41">
        <v>0</v>
      </c>
      <c r="K18" s="46">
        <v>0</v>
      </c>
      <c r="L18" s="46" t="s">
        <v>48</v>
      </c>
      <c r="M18" s="9"/>
    </row>
    <row r="19" spans="1:13" ht="15.6" x14ac:dyDescent="0.35">
      <c r="A19" s="13" t="s">
        <v>55</v>
      </c>
      <c r="B19" s="41">
        <f>+D19+E19+F19+G19+H19+I19+K19</f>
        <v>679403</v>
      </c>
      <c r="C19" s="41" t="s">
        <v>49</v>
      </c>
      <c r="D19" s="41">
        <v>489825</v>
      </c>
      <c r="E19" s="41">
        <v>3656</v>
      </c>
      <c r="F19" s="41">
        <v>67</v>
      </c>
      <c r="G19" s="41">
        <v>22692</v>
      </c>
      <c r="H19" s="41">
        <v>99451</v>
      </c>
      <c r="I19" s="41">
        <v>63712</v>
      </c>
      <c r="J19" s="41" t="s">
        <v>56</v>
      </c>
      <c r="K19" s="46">
        <v>0</v>
      </c>
      <c r="L19" s="46" t="s">
        <v>48</v>
      </c>
      <c r="M19" s="9"/>
    </row>
    <row r="20" spans="1:13" ht="15.6" x14ac:dyDescent="0.35">
      <c r="A20" s="13" t="s">
        <v>94</v>
      </c>
      <c r="B20" s="41" t="s">
        <v>49</v>
      </c>
      <c r="C20" s="41" t="s">
        <v>49</v>
      </c>
      <c r="D20" s="41">
        <v>231141</v>
      </c>
      <c r="E20" s="41">
        <v>1805</v>
      </c>
      <c r="F20" s="41">
        <v>0</v>
      </c>
      <c r="G20" s="41">
        <v>7539</v>
      </c>
      <c r="H20" s="41">
        <v>57752</v>
      </c>
      <c r="I20" s="41">
        <v>16661</v>
      </c>
      <c r="J20" s="41" t="s">
        <v>56</v>
      </c>
      <c r="K20" s="46">
        <v>0</v>
      </c>
      <c r="L20" s="46" t="s">
        <v>48</v>
      </c>
      <c r="M20" s="9"/>
    </row>
    <row r="21" spans="1:13" ht="15.6" x14ac:dyDescent="0.35">
      <c r="A21" s="9"/>
      <c r="B21" s="41"/>
      <c r="C21" s="41" t="s">
        <v>47</v>
      </c>
      <c r="D21" s="41"/>
      <c r="E21" s="41"/>
      <c r="F21" s="41"/>
      <c r="G21" s="41"/>
      <c r="H21" s="41"/>
      <c r="I21" s="41"/>
      <c r="J21" s="41"/>
      <c r="K21" s="46"/>
      <c r="L21" s="46"/>
      <c r="M21" s="9"/>
    </row>
    <row r="22" spans="1:13" ht="15.6" x14ac:dyDescent="0.35">
      <c r="A22" s="14" t="s">
        <v>3</v>
      </c>
      <c r="B22" s="41"/>
      <c r="C22" s="41"/>
      <c r="D22" s="41"/>
      <c r="E22" s="41"/>
      <c r="F22" s="41"/>
      <c r="G22" s="41"/>
      <c r="H22" s="41"/>
      <c r="I22" s="41"/>
      <c r="J22" s="41"/>
      <c r="K22" s="46"/>
      <c r="L22" s="46"/>
      <c r="M22" s="9"/>
    </row>
    <row r="23" spans="1:13" ht="15.6" x14ac:dyDescent="0.35">
      <c r="A23" s="13" t="s">
        <v>64</v>
      </c>
      <c r="B23" s="41">
        <f>+C23+E23+F23+G23+H23+I23+J23+L23</f>
        <v>32400556249</v>
      </c>
      <c r="C23" s="72">
        <v>11180990000</v>
      </c>
      <c r="D23" s="72"/>
      <c r="E23" s="41">
        <v>312855800</v>
      </c>
      <c r="F23" s="41">
        <v>19022400</v>
      </c>
      <c r="G23" s="41">
        <v>1657310000</v>
      </c>
      <c r="H23" s="41">
        <v>7909611231</v>
      </c>
      <c r="I23" s="41">
        <v>7674823818</v>
      </c>
      <c r="J23" s="72">
        <v>3295943000</v>
      </c>
      <c r="K23" s="72"/>
      <c r="L23" s="46">
        <v>350000000</v>
      </c>
      <c r="M23" s="9"/>
    </row>
    <row r="24" spans="1:13" ht="15.6" x14ac:dyDescent="0.35">
      <c r="A24" s="13" t="s">
        <v>92</v>
      </c>
      <c r="B24" s="41">
        <f>+C24+E24+F24+G24+H24+I24+J24</f>
        <v>42530900000</v>
      </c>
      <c r="C24" s="72">
        <v>20802600000</v>
      </c>
      <c r="D24" s="72"/>
      <c r="E24" s="41">
        <v>541400000</v>
      </c>
      <c r="F24" s="41">
        <v>0</v>
      </c>
      <c r="G24" s="41">
        <v>1696125000</v>
      </c>
      <c r="H24" s="41">
        <v>12993375000</v>
      </c>
      <c r="I24" s="41">
        <v>6497400000</v>
      </c>
      <c r="J24" s="72">
        <v>0</v>
      </c>
      <c r="K24" s="72"/>
      <c r="L24" s="46" t="s">
        <v>48</v>
      </c>
      <c r="M24" s="9"/>
    </row>
    <row r="25" spans="1:13" ht="15.6" x14ac:dyDescent="0.35">
      <c r="A25" s="13" t="s">
        <v>93</v>
      </c>
      <c r="B25" s="41">
        <f>+C25+E25+F25+G25+H25+I25+J25+L25</f>
        <v>36212682746</v>
      </c>
      <c r="C25" s="72">
        <v>18067228000</v>
      </c>
      <c r="D25" s="72"/>
      <c r="E25" s="41">
        <v>375975000</v>
      </c>
      <c r="F25" s="41">
        <v>28051000</v>
      </c>
      <c r="G25" s="41">
        <v>1670405000</v>
      </c>
      <c r="H25" s="41">
        <v>7810101162</v>
      </c>
      <c r="I25" s="41">
        <v>8210922584.000001</v>
      </c>
      <c r="J25" s="72">
        <v>0</v>
      </c>
      <c r="K25" s="72"/>
      <c r="L25" s="46">
        <v>50000000</v>
      </c>
      <c r="M25" s="9"/>
    </row>
    <row r="26" spans="1:13" ht="15.6" x14ac:dyDescent="0.35">
      <c r="A26" s="13" t="s">
        <v>94</v>
      </c>
      <c r="B26" s="41">
        <f>+C26+E26+F26+G26+H26+I26+J26</f>
        <v>148782485000</v>
      </c>
      <c r="C26" s="72">
        <v>62407980000</v>
      </c>
      <c r="D26" s="72"/>
      <c r="E26" s="48">
        <v>1624400000</v>
      </c>
      <c r="F26" s="48">
        <v>0</v>
      </c>
      <c r="G26" s="41">
        <v>6784950000</v>
      </c>
      <c r="H26" s="41">
        <v>51974775000</v>
      </c>
      <c r="I26" s="41">
        <v>25990380000</v>
      </c>
      <c r="J26" s="72">
        <v>0</v>
      </c>
      <c r="K26" s="72"/>
      <c r="L26" s="46" t="s">
        <v>48</v>
      </c>
      <c r="M26" s="9"/>
    </row>
    <row r="27" spans="1:13" ht="15.6" x14ac:dyDescent="0.35">
      <c r="A27" s="13" t="s">
        <v>95</v>
      </c>
      <c r="B27" s="41">
        <f>+C27+E27+F27+G27+H27+I27+J27+L27</f>
        <v>36212682746</v>
      </c>
      <c r="C27" s="72">
        <f>C25</f>
        <v>18067228000</v>
      </c>
      <c r="D27" s="72"/>
      <c r="E27" s="41">
        <f>E25</f>
        <v>375975000</v>
      </c>
      <c r="F27" s="41">
        <f t="shared" ref="F27:J27" si="0">F25</f>
        <v>28051000</v>
      </c>
      <c r="G27" s="41">
        <f t="shared" si="0"/>
        <v>1670405000</v>
      </c>
      <c r="H27" s="41">
        <f t="shared" si="0"/>
        <v>7810101162</v>
      </c>
      <c r="I27" s="41">
        <f t="shared" si="0"/>
        <v>8210922584.000001</v>
      </c>
      <c r="J27" s="72">
        <f t="shared" si="0"/>
        <v>0</v>
      </c>
      <c r="K27" s="72"/>
      <c r="L27" s="46">
        <f>+L25</f>
        <v>50000000</v>
      </c>
      <c r="M27" s="9"/>
    </row>
    <row r="28" spans="1:13" ht="15.6" x14ac:dyDescent="0.35">
      <c r="A28" s="9"/>
      <c r="B28" s="41"/>
      <c r="C28" s="41"/>
      <c r="D28" s="41"/>
      <c r="E28" s="41"/>
      <c r="F28" s="41"/>
      <c r="G28" s="41"/>
      <c r="H28" s="41"/>
      <c r="I28" s="41"/>
      <c r="J28" s="41"/>
      <c r="K28" s="46"/>
      <c r="L28" s="46"/>
      <c r="M28" s="9"/>
    </row>
    <row r="29" spans="1:13" ht="15.6" x14ac:dyDescent="0.35">
      <c r="A29" s="14" t="s">
        <v>4</v>
      </c>
      <c r="B29" s="41"/>
      <c r="C29" s="41"/>
      <c r="D29" s="41"/>
      <c r="E29" s="41"/>
      <c r="F29" s="41"/>
      <c r="G29" s="41"/>
      <c r="H29" s="41"/>
      <c r="I29" s="41"/>
      <c r="J29" s="41"/>
      <c r="K29" s="46"/>
      <c r="L29" s="46"/>
      <c r="M29" s="9"/>
    </row>
    <row r="30" spans="1:13" ht="15.6" x14ac:dyDescent="0.35">
      <c r="A30" s="13" t="s">
        <v>92</v>
      </c>
      <c r="B30" s="41">
        <f>B24</f>
        <v>42530900000</v>
      </c>
      <c r="C30" s="41"/>
      <c r="D30" s="41"/>
      <c r="E30" s="41"/>
      <c r="F30" s="41"/>
      <c r="G30" s="41"/>
      <c r="H30" s="41"/>
      <c r="I30" s="41"/>
      <c r="J30" s="41"/>
      <c r="K30" s="46"/>
      <c r="L30" s="46"/>
      <c r="M30" s="9"/>
    </row>
    <row r="31" spans="1:13" ht="15.6" x14ac:dyDescent="0.35">
      <c r="A31" s="13" t="s">
        <v>93</v>
      </c>
      <c r="B31" s="41">
        <v>41161953512.020004</v>
      </c>
      <c r="C31" s="41"/>
      <c r="D31" s="41"/>
      <c r="E31" s="41"/>
      <c r="F31" s="41"/>
      <c r="G31" s="41"/>
      <c r="H31" s="41"/>
      <c r="I31" s="41"/>
      <c r="J31" s="41"/>
      <c r="K31" s="46"/>
      <c r="L31" s="46"/>
      <c r="M31" s="9"/>
    </row>
    <row r="32" spans="1:13" ht="15.6" x14ac:dyDescent="0.35">
      <c r="A32" s="9"/>
      <c r="B32" s="35"/>
      <c r="C32" s="35"/>
      <c r="D32" s="35"/>
      <c r="E32" s="35"/>
      <c r="F32" s="35"/>
      <c r="G32" s="35"/>
      <c r="H32" s="35"/>
      <c r="I32" s="35"/>
      <c r="J32" s="35"/>
      <c r="K32" s="9"/>
      <c r="L32" s="9"/>
      <c r="M32" s="9"/>
    </row>
    <row r="33" spans="1:13" ht="15.6" x14ac:dyDescent="0.35">
      <c r="A33" s="10" t="s">
        <v>5</v>
      </c>
      <c r="B33" s="35"/>
      <c r="C33" s="35"/>
      <c r="D33" s="35"/>
      <c r="E33" s="35"/>
      <c r="F33" s="35"/>
      <c r="G33" s="35"/>
      <c r="H33" s="35"/>
      <c r="I33" s="35"/>
      <c r="J33" s="35"/>
      <c r="K33" s="9"/>
      <c r="L33" s="9"/>
      <c r="M33" s="9"/>
    </row>
    <row r="34" spans="1:13" ht="15.6" x14ac:dyDescent="0.35">
      <c r="A34" s="13" t="s">
        <v>65</v>
      </c>
      <c r="B34" s="51">
        <v>1.07</v>
      </c>
      <c r="C34" s="51">
        <v>1.07</v>
      </c>
      <c r="D34" s="51">
        <v>1.07</v>
      </c>
      <c r="E34" s="51">
        <v>1.07</v>
      </c>
      <c r="F34" s="51">
        <v>1.07</v>
      </c>
      <c r="G34" s="51">
        <v>1.07</v>
      </c>
      <c r="H34" s="51">
        <v>1.07</v>
      </c>
      <c r="I34" s="51">
        <v>1.07</v>
      </c>
      <c r="J34" s="51">
        <v>1.07</v>
      </c>
      <c r="K34" s="51">
        <v>1.07</v>
      </c>
      <c r="L34" s="51">
        <v>1.07</v>
      </c>
      <c r="M34" s="9"/>
    </row>
    <row r="35" spans="1:13" ht="15.6" x14ac:dyDescent="0.35">
      <c r="A35" s="13" t="s">
        <v>96</v>
      </c>
      <c r="B35" s="51">
        <v>1.0573999999999999</v>
      </c>
      <c r="C35" s="51">
        <v>1.0573999999999999</v>
      </c>
      <c r="D35" s="51">
        <v>1.0573999999999999</v>
      </c>
      <c r="E35" s="51">
        <v>1.0573999999999999</v>
      </c>
      <c r="F35" s="51">
        <v>1.0573999999999999</v>
      </c>
      <c r="G35" s="51">
        <v>1.0573999999999999</v>
      </c>
      <c r="H35" s="51">
        <v>1.0573999999999999</v>
      </c>
      <c r="I35" s="51">
        <v>1.0573999999999999</v>
      </c>
      <c r="J35" s="51">
        <v>1.0573999999999999</v>
      </c>
      <c r="K35" s="51">
        <v>1.0573999999999999</v>
      </c>
      <c r="L35" s="51">
        <v>1.0573999999999999</v>
      </c>
      <c r="M35" s="9"/>
    </row>
    <row r="36" spans="1:13" ht="15.6" x14ac:dyDescent="0.35">
      <c r="A36" s="13" t="s">
        <v>6</v>
      </c>
      <c r="B36" s="43">
        <v>438418</v>
      </c>
      <c r="C36" s="73">
        <v>186599</v>
      </c>
      <c r="D36" s="73"/>
      <c r="E36" s="43">
        <v>164361</v>
      </c>
      <c r="F36" s="43" t="s">
        <v>56</v>
      </c>
      <c r="G36" s="43">
        <v>97440</v>
      </c>
      <c r="H36" s="43" t="s">
        <v>56</v>
      </c>
      <c r="I36" s="43" t="s">
        <v>56</v>
      </c>
      <c r="J36" s="43" t="s">
        <v>56</v>
      </c>
      <c r="K36" s="42" t="s">
        <v>56</v>
      </c>
      <c r="L36" s="42" t="s">
        <v>56</v>
      </c>
      <c r="M36" s="9"/>
    </row>
    <row r="37" spans="1:13" ht="15.6" x14ac:dyDescent="0.3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36"/>
      <c r="L37" s="36"/>
      <c r="M37" s="9"/>
    </row>
    <row r="38" spans="1:13" ht="15.6" x14ac:dyDescent="0.35">
      <c r="A38" s="10" t="s">
        <v>7</v>
      </c>
      <c r="B38" s="41"/>
      <c r="C38" s="41"/>
      <c r="D38" s="41"/>
      <c r="E38" s="41"/>
      <c r="F38" s="41"/>
      <c r="G38" s="41"/>
      <c r="H38" s="41"/>
      <c r="I38" s="41"/>
      <c r="J38" s="41"/>
      <c r="K38" s="36"/>
      <c r="L38" s="36"/>
      <c r="M38" s="9"/>
    </row>
    <row r="39" spans="1:13" ht="15.6" x14ac:dyDescent="0.35">
      <c r="A39" s="9" t="s">
        <v>66</v>
      </c>
      <c r="B39" s="42">
        <f>B23/B34</f>
        <v>30280893690.654205</v>
      </c>
      <c r="C39" s="74">
        <f>C23/C34</f>
        <v>10449523364.485981</v>
      </c>
      <c r="D39" s="74"/>
      <c r="E39" s="42">
        <f>E23/E34</f>
        <v>292388598.13084108</v>
      </c>
      <c r="F39" s="42">
        <f t="shared" ref="F39:I39" si="1">F23/F34</f>
        <v>17777943.925233644</v>
      </c>
      <c r="G39" s="42">
        <f t="shared" si="1"/>
        <v>1548887850.4672897</v>
      </c>
      <c r="H39" s="42">
        <f t="shared" si="1"/>
        <v>7392160028.971962</v>
      </c>
      <c r="I39" s="42">
        <f t="shared" si="1"/>
        <v>7172732540.1869154</v>
      </c>
      <c r="J39" s="74">
        <f>J23/J34</f>
        <v>3080320560.7476635</v>
      </c>
      <c r="K39" s="74"/>
      <c r="L39" s="42">
        <f t="shared" ref="L39" si="2">L23/L34</f>
        <v>327102803.73831773</v>
      </c>
      <c r="M39" s="9"/>
    </row>
    <row r="40" spans="1:13" ht="15.6" x14ac:dyDescent="0.35">
      <c r="A40" s="9" t="s">
        <v>97</v>
      </c>
      <c r="B40" s="42">
        <f>B25/B35</f>
        <v>34246910105.920185</v>
      </c>
      <c r="C40" s="74">
        <f>C25/C35</f>
        <v>17086464913.939854</v>
      </c>
      <c r="D40" s="74"/>
      <c r="E40" s="42">
        <f>E25/E35</f>
        <v>355565538.11235106</v>
      </c>
      <c r="F40" s="42">
        <f t="shared" ref="F40:I40" si="3">F25/F35</f>
        <v>26528276.905617554</v>
      </c>
      <c r="G40" s="42">
        <f t="shared" si="3"/>
        <v>1579728579.534708</v>
      </c>
      <c r="H40" s="42">
        <f t="shared" si="3"/>
        <v>7386136903.7261209</v>
      </c>
      <c r="I40" s="42">
        <f t="shared" si="3"/>
        <v>7765200098.3544559</v>
      </c>
      <c r="J40" s="74">
        <f>J25/J35</f>
        <v>0</v>
      </c>
      <c r="K40" s="74"/>
      <c r="L40" s="42">
        <f t="shared" ref="L40" si="4">L25/L35</f>
        <v>47285795.347077742</v>
      </c>
      <c r="M40" s="9"/>
    </row>
    <row r="41" spans="1:13" ht="15.6" x14ac:dyDescent="0.35">
      <c r="A41" s="9" t="s">
        <v>67</v>
      </c>
      <c r="B41" s="42">
        <f>B39/B15</f>
        <v>134799.82589902868</v>
      </c>
      <c r="C41" s="74">
        <f>C39/D15</f>
        <v>70665.526258924758</v>
      </c>
      <c r="D41" s="74"/>
      <c r="E41" s="42">
        <f>E39/E15</f>
        <v>260132.20474274116</v>
      </c>
      <c r="F41" s="42">
        <f t="shared" ref="F41:I41" si="5">F39/F15</f>
        <v>423284.37917222962</v>
      </c>
      <c r="G41" s="42">
        <f t="shared" si="5"/>
        <v>207458.86022867527</v>
      </c>
      <c r="H41" s="42">
        <f t="shared" si="5"/>
        <v>153348.40844252592</v>
      </c>
      <c r="I41" s="42">
        <f t="shared" si="5"/>
        <v>350573.43793679937</v>
      </c>
      <c r="J41" s="73">
        <f>J39/K15</f>
        <v>18979.528646540992</v>
      </c>
      <c r="K41" s="73"/>
      <c r="L41" s="42" t="s">
        <v>48</v>
      </c>
      <c r="M41" s="9"/>
    </row>
    <row r="42" spans="1:13" ht="15.6" x14ac:dyDescent="0.35">
      <c r="A42" s="9" t="s">
        <v>98</v>
      </c>
      <c r="B42" s="42">
        <f>B40/B18</f>
        <v>215167.43802568538</v>
      </c>
      <c r="C42" s="74">
        <f>C40/D18</f>
        <v>101563.68459371978</v>
      </c>
      <c r="D42" s="74"/>
      <c r="E42" s="42">
        <f>E40/E18</f>
        <v>263772.65438601712</v>
      </c>
      <c r="F42" s="42">
        <f t="shared" ref="F42:I42" si="6">F40/F18</f>
        <v>395944.43142712768</v>
      </c>
      <c r="G42" s="42">
        <f t="shared" si="6"/>
        <v>203389.80037784317</v>
      </c>
      <c r="H42" s="42">
        <f t="shared" si="6"/>
        <v>180453.37039715913</v>
      </c>
      <c r="I42" s="42">
        <f t="shared" si="6"/>
        <v>343425.77056983131</v>
      </c>
      <c r="J42" s="73" t="s">
        <v>48</v>
      </c>
      <c r="K42" s="73"/>
      <c r="L42" s="42" t="s">
        <v>48</v>
      </c>
      <c r="M42" s="9"/>
    </row>
    <row r="43" spans="1:13" ht="15.6" x14ac:dyDescent="0.35">
      <c r="A43" s="9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9"/>
    </row>
    <row r="44" spans="1:13" ht="15.6" x14ac:dyDescent="0.35">
      <c r="A44" s="10" t="s">
        <v>8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9"/>
    </row>
    <row r="45" spans="1:13" ht="15.6" x14ac:dyDescent="0.35">
      <c r="A45" s="9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9"/>
    </row>
    <row r="46" spans="1:13" ht="15.6" x14ac:dyDescent="0.35">
      <c r="A46" s="10" t="s">
        <v>9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9"/>
    </row>
    <row r="47" spans="1:13" ht="15.6" x14ac:dyDescent="0.35">
      <c r="A47" s="9" t="s">
        <v>10</v>
      </c>
      <c r="B47" s="38" t="s">
        <v>56</v>
      </c>
      <c r="C47" s="78">
        <f>(D16/C36)*100</f>
        <v>123.86990283977941</v>
      </c>
      <c r="D47" s="78"/>
      <c r="E47" s="40">
        <f>(E16/E36)*100</f>
        <v>1.0981923935726845</v>
      </c>
      <c r="F47" s="40" t="s">
        <v>48</v>
      </c>
      <c r="G47" s="40">
        <f t="shared" ref="G47" si="7">(G16/G36)*100</f>
        <v>7.7370689655172411</v>
      </c>
      <c r="H47" s="38" t="s">
        <v>48</v>
      </c>
      <c r="I47" s="38" t="s">
        <v>48</v>
      </c>
      <c r="J47" s="80" t="s">
        <v>56</v>
      </c>
      <c r="K47" s="80"/>
      <c r="L47" s="40" t="s">
        <v>48</v>
      </c>
      <c r="M47" s="9"/>
    </row>
    <row r="48" spans="1:13" ht="15.6" x14ac:dyDescent="0.35">
      <c r="A48" s="9" t="s">
        <v>11</v>
      </c>
      <c r="B48" s="40">
        <f>(B18/B36)*100</f>
        <v>36.304166343535165</v>
      </c>
      <c r="C48" s="78">
        <f>(D18/C36)*100</f>
        <v>90.158039432151298</v>
      </c>
      <c r="D48" s="78"/>
      <c r="E48" s="40">
        <f>(E18/E36)*100</f>
        <v>0.82014589835788299</v>
      </c>
      <c r="F48" s="40" t="s">
        <v>48</v>
      </c>
      <c r="G48" s="40">
        <f t="shared" ref="G48" si="8">(G18/G36)*100</f>
        <v>7.971059113300492</v>
      </c>
      <c r="H48" s="38" t="s">
        <v>48</v>
      </c>
      <c r="I48" s="38" t="s">
        <v>48</v>
      </c>
      <c r="J48" s="80" t="s">
        <v>56</v>
      </c>
      <c r="K48" s="80"/>
      <c r="L48" s="40" t="s">
        <v>48</v>
      </c>
      <c r="M48" s="9"/>
    </row>
    <row r="49" spans="1:13" ht="15.6" x14ac:dyDescent="0.35">
      <c r="A49" s="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9"/>
    </row>
    <row r="50" spans="1:13" ht="15.6" x14ac:dyDescent="0.35">
      <c r="A50" s="10" t="s">
        <v>12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9"/>
    </row>
    <row r="51" spans="1:13" ht="15.6" x14ac:dyDescent="0.35">
      <c r="A51" s="9" t="s">
        <v>13</v>
      </c>
      <c r="B51" s="38" t="s">
        <v>56</v>
      </c>
      <c r="C51" s="38" t="s">
        <v>56</v>
      </c>
      <c r="D51" s="40">
        <f>D18/D16*100</f>
        <v>72.784459634853334</v>
      </c>
      <c r="E51" s="40">
        <f>E18/E16*100</f>
        <v>74.681440443213305</v>
      </c>
      <c r="F51" s="40" t="s">
        <v>48</v>
      </c>
      <c r="G51" s="40">
        <f t="shared" ref="G51:I51" si="9">G18/G16*100</f>
        <v>103.02427377636292</v>
      </c>
      <c r="H51" s="40">
        <f t="shared" si="9"/>
        <v>70.877417790784264</v>
      </c>
      <c r="I51" s="40">
        <f t="shared" si="9"/>
        <v>135.72028811524609</v>
      </c>
      <c r="J51" s="38" t="s">
        <v>56</v>
      </c>
      <c r="K51" s="40" t="s">
        <v>48</v>
      </c>
      <c r="L51" s="40" t="s">
        <v>48</v>
      </c>
      <c r="M51" s="9"/>
    </row>
    <row r="52" spans="1:13" ht="15.6" x14ac:dyDescent="0.35">
      <c r="A52" s="9" t="s">
        <v>14</v>
      </c>
      <c r="B52" s="40">
        <f>B25/B24*100</f>
        <v>85.144407350890759</v>
      </c>
      <c r="C52" s="78">
        <f>C25/C24*100</f>
        <v>86.85081672483247</v>
      </c>
      <c r="D52" s="78"/>
      <c r="E52" s="40">
        <f>E25/E24*100</f>
        <v>69.444957517547095</v>
      </c>
      <c r="F52" s="40" t="s">
        <v>48</v>
      </c>
      <c r="G52" s="40">
        <f t="shared" ref="G52:I52" si="10">G25/G24*100</f>
        <v>98.48360232883779</v>
      </c>
      <c r="H52" s="40">
        <f t="shared" si="10"/>
        <v>60.108333377586654</v>
      </c>
      <c r="I52" s="40">
        <f t="shared" si="10"/>
        <v>126.37243488164498</v>
      </c>
      <c r="J52" s="80" t="s">
        <v>48</v>
      </c>
      <c r="K52" s="80"/>
      <c r="L52" s="40" t="s">
        <v>48</v>
      </c>
      <c r="M52" s="9"/>
    </row>
    <row r="53" spans="1:13" ht="15.6" x14ac:dyDescent="0.35">
      <c r="A53" s="9" t="s">
        <v>15</v>
      </c>
      <c r="B53" s="38" t="s">
        <v>56</v>
      </c>
      <c r="C53" s="38" t="s">
        <v>56</v>
      </c>
      <c r="D53" s="40">
        <f>AVERAGE(D51,C52)</f>
        <v>79.817638179842902</v>
      </c>
      <c r="E53" s="40">
        <f>AVERAGE(E51:E52)</f>
        <v>72.063198980380207</v>
      </c>
      <c r="F53" s="40" t="s">
        <v>48</v>
      </c>
      <c r="G53" s="40">
        <f t="shared" ref="G53:I53" si="11">AVERAGE(G51:G52)</f>
        <v>100.75393805260035</v>
      </c>
      <c r="H53" s="40">
        <f t="shared" si="11"/>
        <v>65.492875584185455</v>
      </c>
      <c r="I53" s="40">
        <f t="shared" si="11"/>
        <v>131.04636149844555</v>
      </c>
      <c r="J53" s="38" t="s">
        <v>56</v>
      </c>
      <c r="K53" s="40" t="s">
        <v>48</v>
      </c>
      <c r="L53" s="40" t="s">
        <v>48</v>
      </c>
      <c r="M53" s="9"/>
    </row>
    <row r="54" spans="1:13" ht="15.6" x14ac:dyDescent="0.35">
      <c r="A54" s="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9"/>
    </row>
    <row r="55" spans="1:13" ht="15.6" x14ac:dyDescent="0.35">
      <c r="A55" s="10" t="s">
        <v>16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9"/>
    </row>
    <row r="56" spans="1:13" ht="15.6" x14ac:dyDescent="0.35">
      <c r="A56" s="9" t="s">
        <v>17</v>
      </c>
      <c r="B56" s="38" t="s">
        <v>56</v>
      </c>
      <c r="C56" s="78">
        <f>D18/D20*100</f>
        <v>72.784144742819322</v>
      </c>
      <c r="D56" s="78"/>
      <c r="E56" s="40">
        <f>E18/E20*100</f>
        <v>74.681440443213305</v>
      </c>
      <c r="F56" s="40" t="s">
        <v>48</v>
      </c>
      <c r="G56" s="40">
        <f t="shared" ref="G56:I56" si="12">G18/G20*100</f>
        <v>103.02427377636292</v>
      </c>
      <c r="H56" s="40">
        <f t="shared" si="12"/>
        <v>70.873735974511703</v>
      </c>
      <c r="I56" s="40">
        <f t="shared" si="12"/>
        <v>135.71214212832362</v>
      </c>
      <c r="J56" s="80" t="s">
        <v>48</v>
      </c>
      <c r="K56" s="80"/>
      <c r="L56" s="40" t="s">
        <v>48</v>
      </c>
      <c r="M56" s="9"/>
    </row>
    <row r="57" spans="1:13" ht="15.6" x14ac:dyDescent="0.35">
      <c r="A57" s="9" t="s">
        <v>18</v>
      </c>
      <c r="B57" s="40">
        <f>B25/B26*100</f>
        <v>24.339345283821547</v>
      </c>
      <c r="C57" s="78">
        <f>C25/C26*100</f>
        <v>28.950188741888454</v>
      </c>
      <c r="D57" s="78"/>
      <c r="E57" s="40">
        <f>E25/E26*100</f>
        <v>23.145469096281705</v>
      </c>
      <c r="F57" s="40" t="s">
        <v>48</v>
      </c>
      <c r="G57" s="40">
        <f t="shared" ref="G57:I57" si="13">G25/G26*100</f>
        <v>24.619267643829357</v>
      </c>
      <c r="H57" s="40">
        <f t="shared" si="13"/>
        <v>15.026714713050707</v>
      </c>
      <c r="I57" s="40">
        <f t="shared" si="13"/>
        <v>31.592160576336326</v>
      </c>
      <c r="J57" s="80" t="s">
        <v>48</v>
      </c>
      <c r="K57" s="80"/>
      <c r="L57" s="40" t="s">
        <v>48</v>
      </c>
      <c r="M57" s="9"/>
    </row>
    <row r="58" spans="1:13" ht="15.6" x14ac:dyDescent="0.35">
      <c r="A58" s="9" t="s">
        <v>19</v>
      </c>
      <c r="B58" s="38" t="s">
        <v>56</v>
      </c>
      <c r="C58" s="78">
        <f>(C56+C57)/2</f>
        <v>50.867166742353888</v>
      </c>
      <c r="D58" s="78"/>
      <c r="E58" s="40">
        <f>(E56+E57)/2</f>
        <v>48.913454769747503</v>
      </c>
      <c r="F58" s="40" t="s">
        <v>48</v>
      </c>
      <c r="G58" s="40">
        <f t="shared" ref="G58:I58" si="14">(G56+G57)/2</f>
        <v>63.821770710096139</v>
      </c>
      <c r="H58" s="40">
        <f t="shared" si="14"/>
        <v>42.950225343781206</v>
      </c>
      <c r="I58" s="40">
        <f t="shared" si="14"/>
        <v>83.65215135232998</v>
      </c>
      <c r="J58" s="80" t="s">
        <v>48</v>
      </c>
      <c r="K58" s="80"/>
      <c r="L58" s="40" t="s">
        <v>48</v>
      </c>
      <c r="M58" s="9"/>
    </row>
    <row r="59" spans="1:13" ht="15.6" x14ac:dyDescent="0.35">
      <c r="A59" s="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9"/>
    </row>
    <row r="60" spans="1:13" ht="15.6" x14ac:dyDescent="0.35">
      <c r="A60" s="10" t="s">
        <v>30</v>
      </c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9"/>
    </row>
    <row r="61" spans="1:13" ht="15.6" x14ac:dyDescent="0.35">
      <c r="A61" s="9" t="s">
        <v>20</v>
      </c>
      <c r="B61" s="40">
        <f>B27/B25*100</f>
        <v>100</v>
      </c>
      <c r="C61" s="78">
        <f>C27/C25*100</f>
        <v>100</v>
      </c>
      <c r="D61" s="78"/>
      <c r="E61" s="40">
        <f>E27/E25*100</f>
        <v>100</v>
      </c>
      <c r="F61" s="40">
        <f t="shared" ref="F61:I61" si="15">F27/F25*100</f>
        <v>100</v>
      </c>
      <c r="G61" s="40">
        <f t="shared" si="15"/>
        <v>100</v>
      </c>
      <c r="H61" s="40">
        <f t="shared" si="15"/>
        <v>100</v>
      </c>
      <c r="I61" s="40">
        <f t="shared" si="15"/>
        <v>100</v>
      </c>
      <c r="J61" s="78" t="s">
        <v>48</v>
      </c>
      <c r="K61" s="78"/>
      <c r="L61" s="40" t="s">
        <v>48</v>
      </c>
      <c r="M61" s="9"/>
    </row>
    <row r="62" spans="1:13" ht="15.6" x14ac:dyDescent="0.35">
      <c r="A62" s="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9"/>
    </row>
    <row r="63" spans="1:13" ht="15.6" x14ac:dyDescent="0.35">
      <c r="A63" s="10" t="s">
        <v>21</v>
      </c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9"/>
    </row>
    <row r="64" spans="1:13" ht="15.6" x14ac:dyDescent="0.35">
      <c r="A64" s="9" t="s">
        <v>22</v>
      </c>
      <c r="B64" s="39">
        <f>((B18/B15)-1)*100</f>
        <v>-29.145818123542089</v>
      </c>
      <c r="C64" s="79">
        <f>((D18/D15)-1)*100</f>
        <v>13.769247935728623</v>
      </c>
      <c r="D64" s="79"/>
      <c r="E64" s="39">
        <f>((E18/E15)-1)*100</f>
        <v>19.928825622775804</v>
      </c>
      <c r="F64" s="39">
        <f t="shared" ref="F64:I64" si="16">((F18/F15)-1)*100</f>
        <v>59.523809523809533</v>
      </c>
      <c r="G64" s="39">
        <f t="shared" si="16"/>
        <v>4.0316099651754644</v>
      </c>
      <c r="H64" s="39">
        <f t="shared" si="16"/>
        <v>-15.089720983300491</v>
      </c>
      <c r="I64" s="39">
        <f t="shared" si="16"/>
        <v>10.513196480938426</v>
      </c>
      <c r="J64" s="80">
        <f>((K18/K15)-1)*100</f>
        <v>-100</v>
      </c>
      <c r="K64" s="80"/>
      <c r="L64" s="40" t="s">
        <v>48</v>
      </c>
      <c r="M64" s="9"/>
    </row>
    <row r="65" spans="1:13" ht="15.6" x14ac:dyDescent="0.35">
      <c r="A65" s="9" t="s">
        <v>23</v>
      </c>
      <c r="B65" s="39">
        <f>((B40/B39)-1)*100</f>
        <v>13.097421944617293</v>
      </c>
      <c r="C65" s="79">
        <f>((C40/C39)-1)*100</f>
        <v>63.514299341253718</v>
      </c>
      <c r="D65" s="79"/>
      <c r="E65" s="39">
        <f>((E40/E39)-1)*100</f>
        <v>21.607183175193079</v>
      </c>
      <c r="F65" s="39">
        <f t="shared" ref="F65:I65" si="17">((F40/F39)-1)*100</f>
        <v>49.220163013136009</v>
      </c>
      <c r="G65" s="39">
        <f t="shared" si="17"/>
        <v>1.9911531398554061</v>
      </c>
      <c r="H65" s="39">
        <f t="shared" si="17"/>
        <v>-8.1479908744330753E-2</v>
      </c>
      <c r="I65" s="39">
        <f t="shared" si="17"/>
        <v>8.2599979135999035</v>
      </c>
      <c r="J65" s="80">
        <f>((J40/J39)-1)*100</f>
        <v>-100</v>
      </c>
      <c r="K65" s="80"/>
      <c r="L65" s="40">
        <f t="shared" ref="L65" si="18">((L40/L39)-1)*100</f>
        <v>-85.544056851036231</v>
      </c>
      <c r="M65" s="9"/>
    </row>
    <row r="66" spans="1:13" ht="15.6" x14ac:dyDescent="0.35">
      <c r="A66" s="9" t="s">
        <v>24</v>
      </c>
      <c r="B66" s="39">
        <f>((B42/B41)-1)*100</f>
        <v>59.619967303856725</v>
      </c>
      <c r="C66" s="79">
        <f>((C42/C41)-1)*100</f>
        <v>43.724514583789322</v>
      </c>
      <c r="D66" s="79"/>
      <c r="E66" s="39">
        <f>((E42/E41)-1)*100</f>
        <v>1.3994613419265889</v>
      </c>
      <c r="F66" s="39">
        <f t="shared" ref="F66:I66" si="19">((F42/F41)-1)*100</f>
        <v>-6.4590022902729416</v>
      </c>
      <c r="G66" s="39">
        <f t="shared" si="19"/>
        <v>-1.9613815704698778</v>
      </c>
      <c r="H66" s="39">
        <f t="shared" si="19"/>
        <v>17.675411326353597</v>
      </c>
      <c r="I66" s="39">
        <f t="shared" si="19"/>
        <v>-2.0388502360685457</v>
      </c>
      <c r="J66" s="80" t="s">
        <v>48</v>
      </c>
      <c r="K66" s="80"/>
      <c r="L66" s="40" t="s">
        <v>48</v>
      </c>
      <c r="M66" s="9"/>
    </row>
    <row r="67" spans="1:13" ht="15.6" x14ac:dyDescent="0.35">
      <c r="A67" s="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9"/>
    </row>
    <row r="68" spans="1:13" ht="15.6" x14ac:dyDescent="0.35">
      <c r="A68" s="10" t="s">
        <v>25</v>
      </c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9"/>
    </row>
    <row r="69" spans="1:13" ht="15.6" x14ac:dyDescent="0.35">
      <c r="A69" s="9" t="s">
        <v>31</v>
      </c>
      <c r="B69" s="40">
        <f>(B24/B17)*3</f>
        <v>135065.32412239566</v>
      </c>
      <c r="C69" s="79">
        <f>(C24/D17)*3</f>
        <v>90000</v>
      </c>
      <c r="D69" s="79"/>
      <c r="E69" s="40">
        <f>(E24/E17)*3</f>
        <v>300000</v>
      </c>
      <c r="F69" s="40" t="s">
        <v>48</v>
      </c>
      <c r="G69" s="40">
        <f t="shared" ref="G69:I69" si="20">(G24/G17)*3</f>
        <v>225000</v>
      </c>
      <c r="H69" s="40">
        <f t="shared" si="20"/>
        <v>225000</v>
      </c>
      <c r="I69" s="40">
        <f t="shared" si="20"/>
        <v>390000</v>
      </c>
      <c r="J69" s="80" t="s">
        <v>48</v>
      </c>
      <c r="K69" s="80"/>
      <c r="L69" s="40" t="s">
        <v>48</v>
      </c>
      <c r="M69" s="9"/>
    </row>
    <row r="70" spans="1:13" ht="15.6" x14ac:dyDescent="0.35">
      <c r="A70" s="9" t="s">
        <v>32</v>
      </c>
      <c r="B70" s="40">
        <f>(B25/B19)*3</f>
        <v>159902.22038760499</v>
      </c>
      <c r="C70" s="79">
        <f>(C25/D19)*3</f>
        <v>110655.20134742001</v>
      </c>
      <c r="D70" s="79"/>
      <c r="E70" s="40">
        <f>(E25/E19)*3</f>
        <v>308513.40262582054</v>
      </c>
      <c r="F70" s="40">
        <f t="shared" ref="F70:I70" si="21">(F25/F19)*3</f>
        <v>1256014.9253731344</v>
      </c>
      <c r="G70" s="40">
        <f t="shared" si="21"/>
        <v>220836.19777895295</v>
      </c>
      <c r="H70" s="40">
        <f t="shared" si="21"/>
        <v>235596.45942222804</v>
      </c>
      <c r="I70" s="40">
        <f t="shared" si="21"/>
        <v>386626.81680060271</v>
      </c>
      <c r="J70" s="80" t="s">
        <v>48</v>
      </c>
      <c r="K70" s="80"/>
      <c r="L70" s="40" t="s">
        <v>48</v>
      </c>
      <c r="M70" s="9"/>
    </row>
    <row r="71" spans="1:13" ht="15.6" x14ac:dyDescent="0.35">
      <c r="A71" s="9" t="s">
        <v>26</v>
      </c>
      <c r="B71" s="38" t="s">
        <v>56</v>
      </c>
      <c r="C71" s="78">
        <f>(C70/C69)*D53</f>
        <v>98.135964709622598</v>
      </c>
      <c r="D71" s="78"/>
      <c r="E71" s="40">
        <f>(E70/E69)*E53</f>
        <v>74.108209071795542</v>
      </c>
      <c r="F71" s="40" t="s">
        <v>48</v>
      </c>
      <c r="G71" s="40">
        <f t="shared" ref="G71:I71" si="22">(G70/G69)*G53</f>
        <v>98.88940707018854</v>
      </c>
      <c r="H71" s="40">
        <f t="shared" si="22"/>
        <v>68.57728713339813</v>
      </c>
      <c r="I71" s="40">
        <f t="shared" si="22"/>
        <v>129.91291692165402</v>
      </c>
      <c r="J71" s="80" t="s">
        <v>48</v>
      </c>
      <c r="K71" s="80"/>
      <c r="L71" s="40" t="s">
        <v>48</v>
      </c>
      <c r="M71" s="9"/>
    </row>
    <row r="72" spans="1:13" ht="15.6" x14ac:dyDescent="0.35">
      <c r="A72" s="9" t="s">
        <v>33</v>
      </c>
      <c r="B72" s="40">
        <f>B24/B17</f>
        <v>45021.774707465222</v>
      </c>
      <c r="C72" s="78">
        <f>C24/D17</f>
        <v>30000</v>
      </c>
      <c r="D72" s="78"/>
      <c r="E72" s="40">
        <f>E24/E17</f>
        <v>100000</v>
      </c>
      <c r="F72" s="40" t="s">
        <v>48</v>
      </c>
      <c r="G72" s="40">
        <f t="shared" ref="G72:I72" si="23">G24/G17</f>
        <v>75000</v>
      </c>
      <c r="H72" s="40">
        <f t="shared" si="23"/>
        <v>75000</v>
      </c>
      <c r="I72" s="40">
        <f t="shared" si="23"/>
        <v>130000</v>
      </c>
      <c r="J72" s="80" t="s">
        <v>48</v>
      </c>
      <c r="K72" s="80"/>
      <c r="L72" s="40" t="s">
        <v>48</v>
      </c>
      <c r="M72" s="9"/>
    </row>
    <row r="73" spans="1:13" ht="15.6" x14ac:dyDescent="0.35">
      <c r="A73" s="9" t="s">
        <v>34</v>
      </c>
      <c r="B73" s="40">
        <f>B25/B19</f>
        <v>53300.740129201666</v>
      </c>
      <c r="C73" s="78">
        <f>C25/D19</f>
        <v>36885.067115806669</v>
      </c>
      <c r="D73" s="78"/>
      <c r="E73" s="40">
        <f>E25/E19</f>
        <v>102837.80087527352</v>
      </c>
      <c r="F73" s="40">
        <f>F25/F19</f>
        <v>418671.64179104479</v>
      </c>
      <c r="G73" s="40">
        <f t="shared" ref="G73:I73" si="24">G25/G19</f>
        <v>73612.065926317649</v>
      </c>
      <c r="H73" s="40">
        <f t="shared" si="24"/>
        <v>78532.153140742681</v>
      </c>
      <c r="I73" s="40">
        <f t="shared" si="24"/>
        <v>128875.60560020091</v>
      </c>
      <c r="J73" s="80" t="s">
        <v>48</v>
      </c>
      <c r="K73" s="80"/>
      <c r="L73" s="40" t="s">
        <v>48</v>
      </c>
      <c r="M73" s="9"/>
    </row>
    <row r="74" spans="1:13" ht="15.6" x14ac:dyDescent="0.35">
      <c r="A74" s="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9"/>
    </row>
    <row r="75" spans="1:13" ht="15.6" x14ac:dyDescent="0.35">
      <c r="A75" s="10" t="s">
        <v>27</v>
      </c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9"/>
    </row>
    <row r="76" spans="1:13" ht="15.6" x14ac:dyDescent="0.35">
      <c r="A76" s="9" t="s">
        <v>28</v>
      </c>
      <c r="B76" s="40">
        <f>(B31/B30)*100</f>
        <v>96.781289631820641</v>
      </c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9"/>
    </row>
    <row r="77" spans="1:13" ht="15.6" x14ac:dyDescent="0.35">
      <c r="A77" s="9" t="s">
        <v>29</v>
      </c>
      <c r="B77" s="40">
        <f>(B25/B31)*100</f>
        <v>87.976103309638276</v>
      </c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9"/>
    </row>
    <row r="78" spans="1:13" ht="16.2" thickBot="1" x14ac:dyDescent="0.4">
      <c r="A78" s="16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</row>
    <row r="79" spans="1:13" ht="16.2" thickTop="1" x14ac:dyDescent="0.35">
      <c r="A79" s="81" t="s">
        <v>99</v>
      </c>
      <c r="B79" s="81"/>
      <c r="C79" s="81"/>
      <c r="D79" s="81"/>
      <c r="E79" s="81"/>
      <c r="F79" s="81"/>
      <c r="G79" s="9"/>
      <c r="H79" s="9"/>
      <c r="I79" s="9"/>
      <c r="J79" s="9"/>
      <c r="K79" s="9"/>
      <c r="L79" s="9"/>
      <c r="M79" s="9"/>
    </row>
    <row r="80" spans="1:13" ht="15.6" x14ac:dyDescent="0.35">
      <c r="A80" s="5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</row>
    <row r="81" spans="1:13" ht="15.6" x14ac:dyDescent="0.3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</row>
    <row r="82" spans="1:13" ht="15.6" x14ac:dyDescent="0.3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</row>
    <row r="83" spans="1:13" ht="15.6" x14ac:dyDescent="0.35">
      <c r="A83" s="60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</row>
    <row r="84" spans="1:13" ht="15.6" x14ac:dyDescent="0.35">
      <c r="A84" s="60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</row>
    <row r="85" spans="1:13" ht="15.6" x14ac:dyDescent="0.35">
      <c r="A85" s="60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</row>
    <row r="86" spans="1:13" ht="15.6" x14ac:dyDescent="0.3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</row>
    <row r="87" spans="1:13" ht="15.6" x14ac:dyDescent="0.3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</row>
    <row r="88" spans="1:13" ht="15.6" x14ac:dyDescent="0.3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</row>
    <row r="89" spans="1:13" ht="15.6" x14ac:dyDescent="0.3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</row>
    <row r="90" spans="1:13" ht="15.6" x14ac:dyDescent="0.3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1:13" ht="15.6" x14ac:dyDescent="0.3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</row>
    <row r="92" spans="1:13" ht="15.6" x14ac:dyDescent="0.3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</row>
    <row r="93" spans="1:13" ht="15.6" x14ac:dyDescent="0.3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</row>
    <row r="94" spans="1:13" ht="15.6" x14ac:dyDescent="0.3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</row>
    <row r="95" spans="1:13" ht="15.6" x14ac:dyDescent="0.3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</row>
    <row r="96" spans="1:13" ht="15.6" x14ac:dyDescent="0.3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</row>
    <row r="97" spans="1:13" ht="15.6" x14ac:dyDescent="0.3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</row>
    <row r="98" spans="1:13" ht="15.6" x14ac:dyDescent="0.3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</row>
    <row r="99" spans="1:13" ht="15.6" x14ac:dyDescent="0.3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</row>
    <row r="100" spans="1:13" ht="15.6" x14ac:dyDescent="0.3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</row>
    <row r="159" spans="3:3" x14ac:dyDescent="0.3">
      <c r="C159" s="4"/>
    </row>
    <row r="160" spans="3:3" x14ac:dyDescent="0.3">
      <c r="C160" s="4"/>
    </row>
  </sheetData>
  <mergeCells count="55">
    <mergeCell ref="A79:F79"/>
    <mergeCell ref="C70:D70"/>
    <mergeCell ref="C66:D66"/>
    <mergeCell ref="J72:K72"/>
    <mergeCell ref="J73:K73"/>
    <mergeCell ref="J70:K70"/>
    <mergeCell ref="J71:K71"/>
    <mergeCell ref="J69:K69"/>
    <mergeCell ref="J58:K58"/>
    <mergeCell ref="J61:K61"/>
    <mergeCell ref="J64:K64"/>
    <mergeCell ref="J65:K65"/>
    <mergeCell ref="J66:K66"/>
    <mergeCell ref="J27:K27"/>
    <mergeCell ref="J39:K39"/>
    <mergeCell ref="J40:K40"/>
    <mergeCell ref="J41:K41"/>
    <mergeCell ref="J42:K42"/>
    <mergeCell ref="J47:K47"/>
    <mergeCell ref="J48:K48"/>
    <mergeCell ref="J52:K52"/>
    <mergeCell ref="J56:K56"/>
    <mergeCell ref="J57:K57"/>
    <mergeCell ref="C40:D40"/>
    <mergeCell ref="C58:D58"/>
    <mergeCell ref="C64:D64"/>
    <mergeCell ref="C65:D65"/>
    <mergeCell ref="C73:D73"/>
    <mergeCell ref="C72:D72"/>
    <mergeCell ref="C69:D69"/>
    <mergeCell ref="C41:D41"/>
    <mergeCell ref="C42:D42"/>
    <mergeCell ref="C47:D47"/>
    <mergeCell ref="C56:D56"/>
    <mergeCell ref="C71:D71"/>
    <mergeCell ref="C48:D48"/>
    <mergeCell ref="C61:D61"/>
    <mergeCell ref="C52:D52"/>
    <mergeCell ref="C57:D57"/>
    <mergeCell ref="A9:A10"/>
    <mergeCell ref="B9:B10"/>
    <mergeCell ref="C27:D27"/>
    <mergeCell ref="C36:D36"/>
    <mergeCell ref="C39:D39"/>
    <mergeCell ref="C10:D10"/>
    <mergeCell ref="C24:D24"/>
    <mergeCell ref="C25:D25"/>
    <mergeCell ref="C26:D26"/>
    <mergeCell ref="C23:D23"/>
    <mergeCell ref="C9:L9"/>
    <mergeCell ref="J10:K10"/>
    <mergeCell ref="J23:K23"/>
    <mergeCell ref="J24:K24"/>
    <mergeCell ref="J25:K25"/>
    <mergeCell ref="J26:K26"/>
  </mergeCells>
  <pageMargins left="0.7" right="0.7" top="0.75" bottom="0.75" header="0.3" footer="0.3"/>
  <pageSetup orientation="portrait" r:id="rId1"/>
  <ignoredErrors>
    <ignoredError sqref="B24:B26" formula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8:M94"/>
  <sheetViews>
    <sheetView showGridLines="0" zoomScale="70" zoomScaleNormal="70" zoomScalePageLayoutView="9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3.44140625" style="5" customWidth="1"/>
    <col min="2" max="13" width="18.6640625" style="5" customWidth="1"/>
    <col min="14" max="16384" width="11.44140625" style="5"/>
  </cols>
  <sheetData>
    <row r="8" spans="1:13" ht="17.25" customHeight="1" x14ac:dyDescent="0.3"/>
    <row r="9" spans="1:13" s="2" customFormat="1" ht="21.75" customHeight="1" x14ac:dyDescent="0.3">
      <c r="A9" s="68" t="s">
        <v>0</v>
      </c>
      <c r="B9" s="70" t="s">
        <v>58</v>
      </c>
      <c r="C9" s="83" t="s">
        <v>59</v>
      </c>
      <c r="D9" s="83"/>
      <c r="E9" s="83"/>
      <c r="F9" s="83"/>
      <c r="G9" s="83"/>
      <c r="H9" s="83"/>
      <c r="I9" s="83"/>
      <c r="J9" s="83"/>
      <c r="K9" s="83"/>
      <c r="L9" s="83"/>
      <c r="M9" s="83"/>
    </row>
    <row r="10" spans="1:13" s="2" customFormat="1" ht="51.75" customHeight="1" thickBot="1" x14ac:dyDescent="0.35">
      <c r="A10" s="69"/>
      <c r="B10" s="71"/>
      <c r="C10" s="69" t="s">
        <v>1</v>
      </c>
      <c r="D10" s="69"/>
      <c r="E10" s="44" t="s">
        <v>44</v>
      </c>
      <c r="F10" s="44" t="s">
        <v>45</v>
      </c>
      <c r="G10" s="44" t="s">
        <v>46</v>
      </c>
      <c r="H10" s="44" t="s">
        <v>53</v>
      </c>
      <c r="I10" s="44" t="s">
        <v>60</v>
      </c>
      <c r="J10" s="71" t="s">
        <v>61</v>
      </c>
      <c r="K10" s="71"/>
      <c r="L10" s="44" t="s">
        <v>54</v>
      </c>
      <c r="M10" s="45" t="s">
        <v>118</v>
      </c>
    </row>
    <row r="11" spans="1:13" ht="16.2" thickTop="1" x14ac:dyDescent="0.3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pans="1:13" ht="15.6" x14ac:dyDescent="0.35">
      <c r="A12" s="10" t="s">
        <v>2</v>
      </c>
      <c r="B12" s="20"/>
      <c r="C12" s="20"/>
      <c r="D12" s="21"/>
      <c r="E12" s="21"/>
      <c r="F12" s="20"/>
      <c r="G12" s="20"/>
      <c r="H12" s="20"/>
      <c r="I12" s="20"/>
      <c r="J12" s="20"/>
      <c r="K12" s="20"/>
      <c r="L12" s="20"/>
      <c r="M12" s="20"/>
    </row>
    <row r="13" spans="1:13" ht="15.6" x14ac:dyDescent="0.35">
      <c r="A13" s="9"/>
      <c r="B13" s="20"/>
      <c r="C13" s="20"/>
      <c r="D13" s="21"/>
      <c r="E13" s="21"/>
      <c r="F13" s="20"/>
      <c r="G13" s="20"/>
      <c r="H13" s="20"/>
      <c r="I13" s="20"/>
      <c r="J13" s="20"/>
      <c r="K13" s="20"/>
      <c r="L13" s="20"/>
      <c r="M13" s="20"/>
    </row>
    <row r="14" spans="1:13" s="62" customFormat="1" ht="31.2" x14ac:dyDescent="0.3">
      <c r="A14" s="55" t="s">
        <v>41</v>
      </c>
      <c r="B14" s="11" t="s">
        <v>57</v>
      </c>
      <c r="C14" s="11" t="s">
        <v>42</v>
      </c>
      <c r="D14" s="11" t="s">
        <v>43</v>
      </c>
      <c r="E14" s="12" t="s">
        <v>42</v>
      </c>
      <c r="F14" s="12" t="s">
        <v>42</v>
      </c>
      <c r="G14" s="12" t="s">
        <v>42</v>
      </c>
      <c r="H14" s="54" t="s">
        <v>63</v>
      </c>
      <c r="I14" s="12" t="s">
        <v>51</v>
      </c>
      <c r="J14" s="12" t="s">
        <v>42</v>
      </c>
      <c r="K14" s="12" t="s">
        <v>62</v>
      </c>
      <c r="L14" s="12" t="s">
        <v>57</v>
      </c>
      <c r="M14" s="12" t="s">
        <v>57</v>
      </c>
    </row>
    <row r="15" spans="1:13" ht="15.6" x14ac:dyDescent="0.35">
      <c r="A15" s="13" t="s">
        <v>68</v>
      </c>
      <c r="B15" s="47">
        <v>263007</v>
      </c>
      <c r="C15" s="47">
        <v>132142</v>
      </c>
      <c r="D15" s="47">
        <v>163962</v>
      </c>
      <c r="E15" s="47">
        <v>1536</v>
      </c>
      <c r="F15" s="47">
        <v>126</v>
      </c>
      <c r="G15" s="47">
        <v>7558</v>
      </c>
      <c r="H15" s="47">
        <v>72717</v>
      </c>
      <c r="I15" s="47">
        <v>20976</v>
      </c>
      <c r="J15" s="47">
        <v>141298</v>
      </c>
      <c r="K15" s="47">
        <v>190172</v>
      </c>
      <c r="L15" s="47" t="s">
        <v>48</v>
      </c>
      <c r="M15" s="47" t="s">
        <v>48</v>
      </c>
    </row>
    <row r="16" spans="1:13" ht="15.6" x14ac:dyDescent="0.35">
      <c r="A16" s="13" t="s">
        <v>100</v>
      </c>
      <c r="B16" s="46" t="s">
        <v>49</v>
      </c>
      <c r="C16" s="46" t="s">
        <v>49</v>
      </c>
      <c r="D16" s="46">
        <v>233954</v>
      </c>
      <c r="E16" s="46">
        <v>1856</v>
      </c>
      <c r="F16" s="46">
        <v>136</v>
      </c>
      <c r="G16" s="46">
        <v>7560</v>
      </c>
      <c r="H16" s="46">
        <v>58069</v>
      </c>
      <c r="I16" s="46">
        <v>16693</v>
      </c>
      <c r="J16" s="47" t="s">
        <v>56</v>
      </c>
      <c r="K16" s="47">
        <v>0</v>
      </c>
      <c r="L16" s="47" t="s">
        <v>48</v>
      </c>
      <c r="M16" s="47">
        <v>0</v>
      </c>
    </row>
    <row r="17" spans="1:13" ht="15.6" x14ac:dyDescent="0.35">
      <c r="A17" s="13" t="s">
        <v>55</v>
      </c>
      <c r="B17" s="46">
        <f>+D17+E17+F17+G17+H17+I17+K17</f>
        <v>951430</v>
      </c>
      <c r="C17" s="46" t="s">
        <v>49</v>
      </c>
      <c r="D17" s="46">
        <v>699049</v>
      </c>
      <c r="E17" s="46">
        <v>5517</v>
      </c>
      <c r="F17" s="46">
        <v>272</v>
      </c>
      <c r="G17" s="46">
        <v>22659</v>
      </c>
      <c r="H17" s="46">
        <v>173887</v>
      </c>
      <c r="I17" s="46">
        <v>50046</v>
      </c>
      <c r="J17" s="47" t="s">
        <v>56</v>
      </c>
      <c r="K17" s="47">
        <v>0</v>
      </c>
      <c r="L17" s="47" t="s">
        <v>48</v>
      </c>
      <c r="M17" s="47">
        <v>0</v>
      </c>
    </row>
    <row r="18" spans="1:13" ht="15.6" x14ac:dyDescent="0.35">
      <c r="A18" s="13" t="s">
        <v>101</v>
      </c>
      <c r="B18" s="47">
        <v>169199</v>
      </c>
      <c r="C18" s="47">
        <v>122447</v>
      </c>
      <c r="D18" s="47">
        <v>175909</v>
      </c>
      <c r="E18" s="47">
        <v>1525</v>
      </c>
      <c r="F18" s="47">
        <v>152</v>
      </c>
      <c r="G18" s="47">
        <v>8434</v>
      </c>
      <c r="H18" s="47">
        <v>53894</v>
      </c>
      <c r="I18" s="47">
        <v>22484</v>
      </c>
      <c r="J18" s="47">
        <v>0</v>
      </c>
      <c r="K18" s="47">
        <v>0</v>
      </c>
      <c r="L18" s="47" t="s">
        <v>48</v>
      </c>
      <c r="M18" s="47">
        <v>0</v>
      </c>
    </row>
    <row r="19" spans="1:13" ht="15.6" x14ac:dyDescent="0.35">
      <c r="A19" s="13" t="s">
        <v>55</v>
      </c>
      <c r="B19" s="47">
        <f>+D19+E19+F19+G19+H19+I19+K19</f>
        <v>742149</v>
      </c>
      <c r="C19" s="47" t="s">
        <v>49</v>
      </c>
      <c r="D19" s="47">
        <v>505574</v>
      </c>
      <c r="E19" s="47">
        <v>4403</v>
      </c>
      <c r="F19" s="47">
        <v>411</v>
      </c>
      <c r="G19" s="47">
        <v>23568</v>
      </c>
      <c r="H19" s="47">
        <v>146304</v>
      </c>
      <c r="I19" s="47">
        <v>61889</v>
      </c>
      <c r="J19" s="47" t="s">
        <v>56</v>
      </c>
      <c r="K19" s="47">
        <v>0</v>
      </c>
      <c r="L19" s="47" t="s">
        <v>48</v>
      </c>
      <c r="M19" s="47">
        <v>0</v>
      </c>
    </row>
    <row r="20" spans="1:13" ht="15.6" x14ac:dyDescent="0.35">
      <c r="A20" s="13" t="s">
        <v>94</v>
      </c>
      <c r="B20" s="46" t="s">
        <v>49</v>
      </c>
      <c r="C20" s="46" t="s">
        <v>49</v>
      </c>
      <c r="D20" s="46">
        <v>233955</v>
      </c>
      <c r="E20" s="46">
        <v>1857</v>
      </c>
      <c r="F20" s="46">
        <v>137</v>
      </c>
      <c r="G20" s="46">
        <v>7560</v>
      </c>
      <c r="H20" s="46">
        <v>58304</v>
      </c>
      <c r="I20" s="47">
        <v>19523</v>
      </c>
      <c r="J20" s="47" t="s">
        <v>56</v>
      </c>
      <c r="K20" s="47">
        <v>0</v>
      </c>
      <c r="L20" s="47" t="s">
        <v>48</v>
      </c>
      <c r="M20" s="47">
        <v>111111</v>
      </c>
    </row>
    <row r="21" spans="1:13" ht="15.6" x14ac:dyDescent="0.35">
      <c r="A21" s="9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26"/>
    </row>
    <row r="22" spans="1:13" ht="15.6" x14ac:dyDescent="0.35">
      <c r="A22" s="14" t="s">
        <v>3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26"/>
    </row>
    <row r="23" spans="1:13" ht="15.6" x14ac:dyDescent="0.35">
      <c r="A23" s="13" t="s">
        <v>68</v>
      </c>
      <c r="B23" s="47">
        <f>+C23+E23+F23+G23+H23+I23+J23</f>
        <v>39256971677.400002</v>
      </c>
      <c r="C23" s="82">
        <v>11625449000</v>
      </c>
      <c r="D23" s="82"/>
      <c r="E23" s="47">
        <v>438981700</v>
      </c>
      <c r="F23" s="47">
        <v>89142400</v>
      </c>
      <c r="G23" s="47">
        <v>1666658000</v>
      </c>
      <c r="H23" s="47">
        <v>13629373318.4</v>
      </c>
      <c r="I23" s="47">
        <v>7693741259</v>
      </c>
      <c r="J23" s="82">
        <v>4113626000</v>
      </c>
      <c r="K23" s="82"/>
      <c r="L23" s="47" t="s">
        <v>49</v>
      </c>
      <c r="M23" s="48" t="s">
        <v>48</v>
      </c>
    </row>
    <row r="24" spans="1:13" ht="15.6" x14ac:dyDescent="0.35">
      <c r="A24" s="13" t="s">
        <v>100</v>
      </c>
      <c r="B24" s="47">
        <f>+C24+E24+F24+G24+H24+I24+J24</f>
        <v>42859316000</v>
      </c>
      <c r="C24" s="82">
        <v>20971470000</v>
      </c>
      <c r="D24" s="82"/>
      <c r="E24" s="47">
        <v>551700000</v>
      </c>
      <c r="F24" s="47">
        <v>89216000</v>
      </c>
      <c r="G24" s="47">
        <v>1699425000</v>
      </c>
      <c r="H24" s="47">
        <v>13041525000</v>
      </c>
      <c r="I24" s="47">
        <v>6505980000</v>
      </c>
      <c r="J24" s="82">
        <v>0</v>
      </c>
      <c r="K24" s="82"/>
      <c r="L24" s="47" t="s">
        <v>49</v>
      </c>
      <c r="M24" s="47">
        <v>0</v>
      </c>
    </row>
    <row r="25" spans="1:13" ht="15.6" x14ac:dyDescent="0.35">
      <c r="A25" s="13" t="s">
        <v>101</v>
      </c>
      <c r="B25" s="47">
        <f>+C25+E25+F25+G25+H25+I25+J25</f>
        <v>41593569289</v>
      </c>
      <c r="C25" s="82">
        <v>19438820000</v>
      </c>
      <c r="D25" s="82"/>
      <c r="E25" s="47">
        <v>454889200</v>
      </c>
      <c r="F25" s="47">
        <v>105863000</v>
      </c>
      <c r="G25" s="47">
        <v>1733842000</v>
      </c>
      <c r="H25" s="47">
        <v>11875637951</v>
      </c>
      <c r="I25" s="47">
        <v>7984517138</v>
      </c>
      <c r="J25" s="82">
        <v>0</v>
      </c>
      <c r="K25" s="82"/>
      <c r="L25" s="47" t="s">
        <v>49</v>
      </c>
      <c r="M25" s="48">
        <v>0</v>
      </c>
    </row>
    <row r="26" spans="1:13" ht="15.6" x14ac:dyDescent="0.35">
      <c r="A26" s="13" t="s">
        <v>94</v>
      </c>
      <c r="B26" s="47">
        <f>+C26+E26+F26+G26+H26+I26+J26+M26</f>
        <v>182205842000</v>
      </c>
      <c r="C26" s="84">
        <v>74036820000</v>
      </c>
      <c r="D26" s="84"/>
      <c r="E26" s="47">
        <v>1665600000</v>
      </c>
      <c r="F26" s="47">
        <v>358832000</v>
      </c>
      <c r="G26" s="47">
        <v>6797550000</v>
      </c>
      <c r="H26" s="47">
        <v>52219050000</v>
      </c>
      <c r="I26" s="47">
        <v>27128010000</v>
      </c>
      <c r="J26" s="84">
        <v>0</v>
      </c>
      <c r="K26" s="84"/>
      <c r="L26" s="47" t="s">
        <v>49</v>
      </c>
      <c r="M26" s="47">
        <v>19999980000</v>
      </c>
    </row>
    <row r="27" spans="1:13" ht="15.6" x14ac:dyDescent="0.35">
      <c r="A27" s="13" t="s">
        <v>102</v>
      </c>
      <c r="B27" s="47">
        <f>+C27+E27+F27+G27+H27+I27+J27</f>
        <v>41593569289</v>
      </c>
      <c r="C27" s="82">
        <f>C25</f>
        <v>19438820000</v>
      </c>
      <c r="D27" s="82"/>
      <c r="E27" s="47">
        <f>E25</f>
        <v>454889200</v>
      </c>
      <c r="F27" s="47">
        <f t="shared" ref="F27:J27" si="0">F25</f>
        <v>105863000</v>
      </c>
      <c r="G27" s="47">
        <f t="shared" si="0"/>
        <v>1733842000</v>
      </c>
      <c r="H27" s="47">
        <f t="shared" si="0"/>
        <v>11875637951</v>
      </c>
      <c r="I27" s="47">
        <f t="shared" si="0"/>
        <v>7984517138</v>
      </c>
      <c r="J27" s="82">
        <f t="shared" si="0"/>
        <v>0</v>
      </c>
      <c r="K27" s="82"/>
      <c r="L27" s="46" t="str">
        <f>+L25</f>
        <v>n.d</v>
      </c>
      <c r="M27" s="48">
        <f>M25</f>
        <v>0</v>
      </c>
    </row>
    <row r="28" spans="1:13" ht="15.6" x14ac:dyDescent="0.35">
      <c r="A28" s="9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8"/>
    </row>
    <row r="29" spans="1:13" ht="15.6" x14ac:dyDescent="0.35">
      <c r="A29" s="14" t="s">
        <v>4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26"/>
    </row>
    <row r="30" spans="1:13" ht="15.6" x14ac:dyDescent="0.35">
      <c r="A30" s="13" t="s">
        <v>100</v>
      </c>
      <c r="B30" s="47">
        <f>B24</f>
        <v>42859316000</v>
      </c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8"/>
    </row>
    <row r="31" spans="1:13" ht="15.6" x14ac:dyDescent="0.35">
      <c r="A31" s="13" t="s">
        <v>101</v>
      </c>
      <c r="B31" s="47">
        <v>43717407513.669998</v>
      </c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26"/>
    </row>
    <row r="32" spans="1:13" ht="15.6" x14ac:dyDescent="0.35">
      <c r="A32" s="9"/>
      <c r="B32" s="22"/>
      <c r="C32" s="22"/>
      <c r="D32" s="22"/>
      <c r="E32" s="22"/>
      <c r="F32" s="22"/>
      <c r="G32" s="22"/>
      <c r="H32" s="22"/>
      <c r="I32" s="22"/>
      <c r="J32" s="22"/>
      <c r="K32" s="20"/>
      <c r="L32" s="20"/>
      <c r="M32" s="20"/>
    </row>
    <row r="33" spans="1:13" ht="15.6" x14ac:dyDescent="0.35">
      <c r="A33" s="10" t="s">
        <v>5</v>
      </c>
      <c r="B33" s="22"/>
      <c r="C33" s="22"/>
      <c r="D33" s="22"/>
      <c r="E33" s="22"/>
      <c r="F33" s="22"/>
      <c r="G33" s="22"/>
      <c r="H33" s="22"/>
      <c r="I33" s="22"/>
      <c r="J33" s="22"/>
      <c r="K33" s="20"/>
      <c r="L33" s="20"/>
      <c r="M33" s="20"/>
    </row>
    <row r="34" spans="1:13" ht="15.6" x14ac:dyDescent="0.35">
      <c r="A34" s="13" t="s">
        <v>69</v>
      </c>
      <c r="B34" s="39">
        <v>1.0788</v>
      </c>
      <c r="C34" s="39">
        <v>1.0788</v>
      </c>
      <c r="D34" s="39">
        <v>1.0788</v>
      </c>
      <c r="E34" s="39">
        <v>1.0788</v>
      </c>
      <c r="F34" s="39">
        <v>1.0788</v>
      </c>
      <c r="G34" s="39">
        <v>1.0788</v>
      </c>
      <c r="H34" s="39">
        <v>1.0788</v>
      </c>
      <c r="I34" s="39">
        <v>1.0788</v>
      </c>
      <c r="J34" s="39">
        <v>1.0788</v>
      </c>
      <c r="K34" s="39">
        <v>1.0788</v>
      </c>
      <c r="L34" s="39">
        <v>1.0788</v>
      </c>
      <c r="M34" s="39">
        <v>1.0788</v>
      </c>
    </row>
    <row r="35" spans="1:13" ht="15.6" x14ac:dyDescent="0.35">
      <c r="A35" s="13" t="s">
        <v>103</v>
      </c>
      <c r="B35" s="39">
        <v>1.121</v>
      </c>
      <c r="C35" s="39">
        <v>1.121</v>
      </c>
      <c r="D35" s="39">
        <v>1.121</v>
      </c>
      <c r="E35" s="39">
        <v>1.121</v>
      </c>
      <c r="F35" s="39">
        <v>1.121</v>
      </c>
      <c r="G35" s="39">
        <v>1.121</v>
      </c>
      <c r="H35" s="39">
        <v>1.121</v>
      </c>
      <c r="I35" s="39">
        <v>1.121</v>
      </c>
      <c r="J35" s="39">
        <v>1.121</v>
      </c>
      <c r="K35" s="39">
        <v>1.121</v>
      </c>
      <c r="L35" s="39">
        <v>1.121</v>
      </c>
      <c r="M35" s="39">
        <v>1.121</v>
      </c>
    </row>
    <row r="36" spans="1:13" s="2" customFormat="1" ht="15.6" x14ac:dyDescent="0.35">
      <c r="A36" s="13" t="s">
        <v>6</v>
      </c>
      <c r="B36" s="43">
        <v>438418</v>
      </c>
      <c r="C36" s="73">
        <v>186599</v>
      </c>
      <c r="D36" s="73"/>
      <c r="E36" s="43">
        <v>164361</v>
      </c>
      <c r="F36" s="43" t="s">
        <v>56</v>
      </c>
      <c r="G36" s="43">
        <v>97440</v>
      </c>
      <c r="H36" s="43" t="s">
        <v>56</v>
      </c>
      <c r="I36" s="43" t="s">
        <v>56</v>
      </c>
      <c r="J36" s="43" t="s">
        <v>56</v>
      </c>
      <c r="K36" s="42" t="s">
        <v>56</v>
      </c>
      <c r="L36" s="42" t="s">
        <v>56</v>
      </c>
      <c r="M36" s="9"/>
    </row>
    <row r="37" spans="1:13" ht="15.6" x14ac:dyDescent="0.35">
      <c r="A37" s="9"/>
      <c r="B37" s="49"/>
      <c r="C37" s="49"/>
      <c r="D37" s="49"/>
      <c r="E37" s="49"/>
      <c r="F37" s="49"/>
      <c r="G37" s="49"/>
      <c r="H37" s="49"/>
      <c r="I37" s="49"/>
      <c r="J37" s="49"/>
      <c r="K37" s="26"/>
      <c r="L37" s="26"/>
      <c r="M37" s="23"/>
    </row>
    <row r="38" spans="1:13" ht="15.6" x14ac:dyDescent="0.35">
      <c r="A38" s="10" t="s">
        <v>7</v>
      </c>
      <c r="B38" s="49"/>
      <c r="C38" s="49"/>
      <c r="D38" s="49"/>
      <c r="E38" s="49"/>
      <c r="F38" s="49"/>
      <c r="G38" s="49"/>
      <c r="H38" s="49"/>
      <c r="I38" s="49"/>
      <c r="J38" s="49"/>
      <c r="K38" s="26"/>
      <c r="L38" s="26"/>
      <c r="M38" s="23"/>
    </row>
    <row r="39" spans="1:13" ht="15.6" x14ac:dyDescent="0.35">
      <c r="A39" s="9" t="s">
        <v>70</v>
      </c>
      <c r="B39" s="42">
        <f>B23/B34</f>
        <v>36389480605.672974</v>
      </c>
      <c r="C39" s="74">
        <f>C23/C34</f>
        <v>10776278272.154245</v>
      </c>
      <c r="D39" s="74"/>
      <c r="E39" s="42">
        <f>E23/E34</f>
        <v>406916666.66666669</v>
      </c>
      <c r="F39" s="42">
        <f t="shared" ref="F39:I39" si="1">F23/F34</f>
        <v>82631071.560993701</v>
      </c>
      <c r="G39" s="42">
        <f t="shared" si="1"/>
        <v>1544918427.8828328</v>
      </c>
      <c r="H39" s="42">
        <f t="shared" si="1"/>
        <v>12633827695.958471</v>
      </c>
      <c r="I39" s="42">
        <f t="shared" si="1"/>
        <v>7131758675.3800516</v>
      </c>
      <c r="J39" s="74">
        <f>J23/J34</f>
        <v>3813149796.0697069</v>
      </c>
      <c r="K39" s="74"/>
      <c r="L39" s="42" t="s">
        <v>48</v>
      </c>
      <c r="M39" s="49" t="s">
        <v>48</v>
      </c>
    </row>
    <row r="40" spans="1:13" ht="15.6" x14ac:dyDescent="0.35">
      <c r="A40" s="9" t="s">
        <v>104</v>
      </c>
      <c r="B40" s="42">
        <f>B25/B35</f>
        <v>37103986876.89563</v>
      </c>
      <c r="C40" s="74">
        <f>C25/C35</f>
        <v>17340606601.248886</v>
      </c>
      <c r="D40" s="74"/>
      <c r="E40" s="42">
        <f>E25/E35</f>
        <v>405788760.03568244</v>
      </c>
      <c r="F40" s="42">
        <f t="shared" ref="F40:I40" si="2">F25/F35</f>
        <v>94436217.662801072</v>
      </c>
      <c r="G40" s="42">
        <f t="shared" si="2"/>
        <v>1546692239.0722568</v>
      </c>
      <c r="H40" s="42">
        <f t="shared" si="2"/>
        <v>10593789429.973238</v>
      </c>
      <c r="I40" s="42">
        <f t="shared" si="2"/>
        <v>7122673628.9027653</v>
      </c>
      <c r="J40" s="74">
        <f>J25/J35</f>
        <v>0</v>
      </c>
      <c r="K40" s="74"/>
      <c r="L40" s="42" t="s">
        <v>48</v>
      </c>
      <c r="M40" s="49">
        <f t="shared" ref="M40" si="3">M25/M35</f>
        <v>0</v>
      </c>
    </row>
    <row r="41" spans="1:13" ht="15.6" x14ac:dyDescent="0.35">
      <c r="A41" s="9" t="s">
        <v>71</v>
      </c>
      <c r="B41" s="42">
        <f>B39/B15</f>
        <v>138359.36155947551</v>
      </c>
      <c r="C41" s="74">
        <f>C39/D15</f>
        <v>65724.242642528421</v>
      </c>
      <c r="D41" s="74"/>
      <c r="E41" s="42">
        <f>E39/E15</f>
        <v>264919.70486111112</v>
      </c>
      <c r="F41" s="42">
        <f t="shared" ref="F41:I41" si="4">F39/F15</f>
        <v>655802.15524598176</v>
      </c>
      <c r="G41" s="42">
        <f t="shared" si="4"/>
        <v>204408.3656897106</v>
      </c>
      <c r="H41" s="42">
        <f t="shared" si="4"/>
        <v>173739.67154803514</v>
      </c>
      <c r="I41" s="42">
        <f t="shared" si="4"/>
        <v>339996.12296815653</v>
      </c>
      <c r="J41" s="74">
        <f>J39/K15</f>
        <v>20051.057968942361</v>
      </c>
      <c r="K41" s="74"/>
      <c r="L41" s="42" t="s">
        <v>48</v>
      </c>
      <c r="M41" s="49" t="s">
        <v>48</v>
      </c>
    </row>
    <row r="42" spans="1:13" ht="15.6" x14ac:dyDescent="0.35">
      <c r="A42" s="9" t="s">
        <v>105</v>
      </c>
      <c r="B42" s="42">
        <f>B40/B18</f>
        <v>219291.99863412685</v>
      </c>
      <c r="C42" s="74">
        <f>C40/D18</f>
        <v>98577.142734305162</v>
      </c>
      <c r="D42" s="74"/>
      <c r="E42" s="42">
        <f>E40/E18</f>
        <v>266090.99018733273</v>
      </c>
      <c r="F42" s="42">
        <f t="shared" ref="F42:I42" si="5">F40/F18</f>
        <v>621290.90567632287</v>
      </c>
      <c r="G42" s="42">
        <f t="shared" si="5"/>
        <v>183387.74473230456</v>
      </c>
      <c r="H42" s="42">
        <f t="shared" si="5"/>
        <v>196567.13975532042</v>
      </c>
      <c r="I42" s="42">
        <f t="shared" si="5"/>
        <v>316788.54424936691</v>
      </c>
      <c r="J42" s="74" t="s">
        <v>48</v>
      </c>
      <c r="K42" s="74"/>
      <c r="L42" s="42" t="s">
        <v>48</v>
      </c>
      <c r="M42" s="49" t="s">
        <v>48</v>
      </c>
    </row>
    <row r="43" spans="1:13" ht="15.6" x14ac:dyDescent="0.35">
      <c r="A43" s="9"/>
      <c r="B43" s="15"/>
      <c r="C43" s="15"/>
      <c r="D43" s="15"/>
      <c r="E43" s="15"/>
      <c r="F43" s="15"/>
      <c r="G43" s="15"/>
      <c r="H43" s="15"/>
      <c r="I43" s="15"/>
      <c r="J43" s="15"/>
      <c r="K43" s="9"/>
      <c r="L43" s="9"/>
      <c r="M43" s="20"/>
    </row>
    <row r="44" spans="1:13" ht="15.6" x14ac:dyDescent="0.35">
      <c r="A44" s="10" t="s">
        <v>8</v>
      </c>
      <c r="B44" s="15"/>
      <c r="C44" s="15"/>
      <c r="D44" s="15"/>
      <c r="E44" s="15"/>
      <c r="F44" s="15"/>
      <c r="G44" s="15"/>
      <c r="H44" s="15"/>
      <c r="I44" s="15"/>
      <c r="J44" s="15"/>
      <c r="K44" s="9"/>
      <c r="L44" s="9"/>
      <c r="M44" s="20"/>
    </row>
    <row r="45" spans="1:13" ht="15.6" x14ac:dyDescent="0.35">
      <c r="A45" s="9"/>
      <c r="B45" s="15"/>
      <c r="C45" s="15"/>
      <c r="D45" s="15"/>
      <c r="E45" s="15"/>
      <c r="F45" s="15"/>
      <c r="G45" s="15"/>
      <c r="H45" s="15"/>
      <c r="I45" s="15"/>
      <c r="J45" s="15"/>
      <c r="K45" s="9"/>
      <c r="L45" s="9"/>
      <c r="M45" s="20"/>
    </row>
    <row r="46" spans="1:13" ht="15.6" x14ac:dyDescent="0.35">
      <c r="A46" s="10" t="s">
        <v>9</v>
      </c>
      <c r="B46" s="15"/>
      <c r="C46" s="15"/>
      <c r="D46" s="15"/>
      <c r="E46" s="15"/>
      <c r="F46" s="15"/>
      <c r="G46" s="15"/>
      <c r="H46" s="15"/>
      <c r="I46" s="15"/>
      <c r="J46" s="15"/>
      <c r="K46" s="9"/>
      <c r="L46" s="9"/>
      <c r="M46" s="20"/>
    </row>
    <row r="47" spans="1:13" ht="15.6" x14ac:dyDescent="0.35">
      <c r="A47" s="9" t="s">
        <v>10</v>
      </c>
      <c r="B47" s="38" t="s">
        <v>56</v>
      </c>
      <c r="C47" s="78">
        <f>(D16/C36)*100</f>
        <v>125.37794950669618</v>
      </c>
      <c r="D47" s="78"/>
      <c r="E47" s="40">
        <f>(E16/E36)*100</f>
        <v>1.1292216523384502</v>
      </c>
      <c r="F47" s="40" t="s">
        <v>48</v>
      </c>
      <c r="G47" s="40">
        <f t="shared" ref="G47" si="6">(G16/G36)*100</f>
        <v>7.7586206896551726</v>
      </c>
      <c r="H47" s="38" t="s">
        <v>48</v>
      </c>
      <c r="I47" s="38" t="s">
        <v>48</v>
      </c>
      <c r="J47" s="78" t="s">
        <v>56</v>
      </c>
      <c r="K47" s="78"/>
      <c r="L47" s="40" t="s">
        <v>48</v>
      </c>
      <c r="M47" s="50" t="s">
        <v>48</v>
      </c>
    </row>
    <row r="48" spans="1:13" ht="15.6" x14ac:dyDescent="0.35">
      <c r="A48" s="9" t="s">
        <v>11</v>
      </c>
      <c r="B48" s="40">
        <f>(B18/B36)*100</f>
        <v>38.593077838957342</v>
      </c>
      <c r="C48" s="78">
        <f>(D18/C36)*100</f>
        <v>94.27113757308453</v>
      </c>
      <c r="D48" s="78"/>
      <c r="E48" s="40">
        <f>(E18/E36)*100</f>
        <v>0.92783567878024586</v>
      </c>
      <c r="F48" s="40" t="s">
        <v>48</v>
      </c>
      <c r="G48" s="40">
        <f t="shared" ref="G48" si="7">(G18/G36)*100</f>
        <v>8.6555829228243031</v>
      </c>
      <c r="H48" s="38" t="s">
        <v>48</v>
      </c>
      <c r="I48" s="38" t="s">
        <v>48</v>
      </c>
      <c r="J48" s="78" t="s">
        <v>56</v>
      </c>
      <c r="K48" s="78"/>
      <c r="L48" s="40" t="s">
        <v>48</v>
      </c>
      <c r="M48" s="50" t="s">
        <v>48</v>
      </c>
    </row>
    <row r="49" spans="1:13" ht="15.6" x14ac:dyDescent="0.35">
      <c r="A49" s="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39"/>
    </row>
    <row r="50" spans="1:13" ht="15.6" x14ac:dyDescent="0.35">
      <c r="A50" s="10" t="s">
        <v>12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39"/>
    </row>
    <row r="51" spans="1:13" ht="15.6" x14ac:dyDescent="0.35">
      <c r="A51" s="9" t="s">
        <v>13</v>
      </c>
      <c r="B51" s="38" t="s">
        <v>56</v>
      </c>
      <c r="C51" s="38" t="s">
        <v>56</v>
      </c>
      <c r="D51" s="40">
        <f>D18/D16*100</f>
        <v>75.189567179872967</v>
      </c>
      <c r="E51" s="40">
        <f>E18/E16*100</f>
        <v>82.165948275862064</v>
      </c>
      <c r="F51" s="40">
        <f t="shared" ref="F51:I51" si="8">F18/F16*100</f>
        <v>111.76470588235294</v>
      </c>
      <c r="G51" s="40">
        <f t="shared" si="8"/>
        <v>111.56084656084657</v>
      </c>
      <c r="H51" s="40">
        <f t="shared" si="8"/>
        <v>92.810277428576342</v>
      </c>
      <c r="I51" s="40">
        <f t="shared" si="8"/>
        <v>134.69118792308151</v>
      </c>
      <c r="J51" s="38" t="s">
        <v>56</v>
      </c>
      <c r="K51" s="40" t="s">
        <v>48</v>
      </c>
      <c r="L51" s="40" t="s">
        <v>48</v>
      </c>
      <c r="M51" s="50" t="s">
        <v>48</v>
      </c>
    </row>
    <row r="52" spans="1:13" ht="15.6" x14ac:dyDescent="0.35">
      <c r="A52" s="9" t="s">
        <v>14</v>
      </c>
      <c r="B52" s="40">
        <f>B25/B24*100</f>
        <v>97.046740757598656</v>
      </c>
      <c r="C52" s="78">
        <f>C25/C24*100</f>
        <v>92.691737870545083</v>
      </c>
      <c r="D52" s="78"/>
      <c r="E52" s="40">
        <f>E25/E24*100</f>
        <v>82.452274787021935</v>
      </c>
      <c r="F52" s="40">
        <f t="shared" ref="F52:I52" si="9">F25/F24*100</f>
        <v>118.65920911047345</v>
      </c>
      <c r="G52" s="40">
        <f t="shared" si="9"/>
        <v>102.02521441075658</v>
      </c>
      <c r="H52" s="40">
        <f t="shared" si="9"/>
        <v>91.060193888368119</v>
      </c>
      <c r="I52" s="40">
        <f t="shared" si="9"/>
        <v>122.72581744794789</v>
      </c>
      <c r="J52" s="78" t="s">
        <v>56</v>
      </c>
      <c r="K52" s="78"/>
      <c r="L52" s="40" t="s">
        <v>48</v>
      </c>
      <c r="M52" s="50" t="s">
        <v>48</v>
      </c>
    </row>
    <row r="53" spans="1:13" ht="15.6" x14ac:dyDescent="0.35">
      <c r="A53" s="9" t="s">
        <v>15</v>
      </c>
      <c r="B53" s="38" t="s">
        <v>56</v>
      </c>
      <c r="C53" s="38" t="s">
        <v>56</v>
      </c>
      <c r="D53" s="40">
        <f>AVERAGE(D51,C52)</f>
        <v>83.940652525209032</v>
      </c>
      <c r="E53" s="40">
        <f>AVERAGE(E51:E52)</f>
        <v>82.309111531441999</v>
      </c>
      <c r="F53" s="40">
        <f t="shared" ref="F53:I53" si="10">AVERAGE(F51:F52)</f>
        <v>115.21195749641319</v>
      </c>
      <c r="G53" s="40">
        <f t="shared" si="10"/>
        <v>106.79303048580158</v>
      </c>
      <c r="H53" s="40">
        <f t="shared" si="10"/>
        <v>91.935235658472237</v>
      </c>
      <c r="I53" s="40">
        <f t="shared" si="10"/>
        <v>128.7085026855147</v>
      </c>
      <c r="J53" s="38" t="s">
        <v>56</v>
      </c>
      <c r="K53" s="40" t="s">
        <v>48</v>
      </c>
      <c r="L53" s="40" t="s">
        <v>48</v>
      </c>
      <c r="M53" s="50" t="s">
        <v>48</v>
      </c>
    </row>
    <row r="54" spans="1:13" ht="15.6" x14ac:dyDescent="0.35">
      <c r="A54" s="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39"/>
    </row>
    <row r="55" spans="1:13" ht="15.6" x14ac:dyDescent="0.35">
      <c r="A55" s="10" t="s">
        <v>16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39"/>
    </row>
    <row r="56" spans="1:13" ht="15.6" x14ac:dyDescent="0.35">
      <c r="A56" s="9" t="s">
        <v>17</v>
      </c>
      <c r="B56" s="38" t="s">
        <v>56</v>
      </c>
      <c r="C56" s="78">
        <f>D18/D20*100</f>
        <v>75.189245795131541</v>
      </c>
      <c r="D56" s="78"/>
      <c r="E56" s="40">
        <f>E18/E20*100</f>
        <v>82.121701669359183</v>
      </c>
      <c r="F56" s="40">
        <f t="shared" ref="F56:I56" si="11">F18/F20*100</f>
        <v>110.94890510948905</v>
      </c>
      <c r="G56" s="40">
        <f t="shared" si="11"/>
        <v>111.56084656084657</v>
      </c>
      <c r="H56" s="40">
        <f t="shared" si="11"/>
        <v>92.436196487376506</v>
      </c>
      <c r="I56" s="40">
        <f t="shared" si="11"/>
        <v>115.16672642524202</v>
      </c>
      <c r="J56" s="78" t="s">
        <v>48</v>
      </c>
      <c r="K56" s="78"/>
      <c r="L56" s="40" t="s">
        <v>48</v>
      </c>
      <c r="M56" s="50">
        <f t="shared" ref="M56" si="12">M18/M20*100</f>
        <v>0</v>
      </c>
    </row>
    <row r="57" spans="1:13" ht="15.6" x14ac:dyDescent="0.35">
      <c r="A57" s="9" t="s">
        <v>18</v>
      </c>
      <c r="B57" s="40">
        <f>B25/B26*100</f>
        <v>22.827791267526976</v>
      </c>
      <c r="C57" s="78">
        <f>C25/C26*100</f>
        <v>26.255611734809786</v>
      </c>
      <c r="D57" s="78"/>
      <c r="E57" s="40">
        <f>E25/E26*100</f>
        <v>27.31083093179635</v>
      </c>
      <c r="F57" s="40">
        <f t="shared" ref="F57:I57" si="13">F25/F26*100</f>
        <v>29.502106835510766</v>
      </c>
      <c r="G57" s="40">
        <f t="shared" si="13"/>
        <v>25.506866444527809</v>
      </c>
      <c r="H57" s="40">
        <f t="shared" si="13"/>
        <v>22.741964763817034</v>
      </c>
      <c r="I57" s="40">
        <f t="shared" si="13"/>
        <v>29.432741797131452</v>
      </c>
      <c r="J57" s="78" t="s">
        <v>48</v>
      </c>
      <c r="K57" s="78"/>
      <c r="L57" s="40" t="s">
        <v>48</v>
      </c>
      <c r="M57" s="50">
        <f t="shared" ref="M57" si="14">M25/M26*100</f>
        <v>0</v>
      </c>
    </row>
    <row r="58" spans="1:13" ht="15.6" x14ac:dyDescent="0.35">
      <c r="A58" s="9" t="s">
        <v>19</v>
      </c>
      <c r="B58" s="38" t="s">
        <v>56</v>
      </c>
      <c r="C58" s="78">
        <f>(C56+C57)/2</f>
        <v>50.722428764970665</v>
      </c>
      <c r="D58" s="78"/>
      <c r="E58" s="40">
        <f>(E56+E57)/2</f>
        <v>54.716266300577765</v>
      </c>
      <c r="F58" s="40">
        <f t="shared" ref="F58:I58" si="15">(F56+F57)/2</f>
        <v>70.225505972499903</v>
      </c>
      <c r="G58" s="40">
        <f t="shared" si="15"/>
        <v>68.533856502687186</v>
      </c>
      <c r="H58" s="40">
        <f t="shared" si="15"/>
        <v>57.589080625596772</v>
      </c>
      <c r="I58" s="40">
        <f t="shared" si="15"/>
        <v>72.299734111186737</v>
      </c>
      <c r="J58" s="78" t="s">
        <v>48</v>
      </c>
      <c r="K58" s="78"/>
      <c r="L58" s="40" t="s">
        <v>48</v>
      </c>
      <c r="M58" s="50">
        <f t="shared" ref="M58" si="16">(M56+M57)/2</f>
        <v>0</v>
      </c>
    </row>
    <row r="59" spans="1:13" ht="15.6" x14ac:dyDescent="0.35">
      <c r="A59" s="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39"/>
    </row>
    <row r="60" spans="1:13" ht="15.6" x14ac:dyDescent="0.35">
      <c r="A60" s="10" t="s">
        <v>30</v>
      </c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39"/>
    </row>
    <row r="61" spans="1:13" ht="15.6" x14ac:dyDescent="0.35">
      <c r="A61" s="9" t="s">
        <v>20</v>
      </c>
      <c r="B61" s="40">
        <f>B27/B25*100</f>
        <v>100</v>
      </c>
      <c r="C61" s="78">
        <f>C27/C25*100</f>
        <v>100</v>
      </c>
      <c r="D61" s="78"/>
      <c r="E61" s="40">
        <f>E27/E25*100</f>
        <v>100</v>
      </c>
      <c r="F61" s="40">
        <f t="shared" ref="F61:I61" si="17">F27/F25*100</f>
        <v>100</v>
      </c>
      <c r="G61" s="40">
        <f t="shared" si="17"/>
        <v>100</v>
      </c>
      <c r="H61" s="40">
        <f t="shared" si="17"/>
        <v>100</v>
      </c>
      <c r="I61" s="40">
        <f t="shared" si="17"/>
        <v>100</v>
      </c>
      <c r="J61" s="78" t="s">
        <v>48</v>
      </c>
      <c r="K61" s="78"/>
      <c r="L61" s="40" t="s">
        <v>48</v>
      </c>
      <c r="M61" s="50" t="s">
        <v>48</v>
      </c>
    </row>
    <row r="62" spans="1:13" ht="15.6" x14ac:dyDescent="0.35">
      <c r="A62" s="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39"/>
    </row>
    <row r="63" spans="1:13" ht="15.6" x14ac:dyDescent="0.35">
      <c r="A63" s="10" t="s">
        <v>21</v>
      </c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39"/>
    </row>
    <row r="64" spans="1:13" ht="15.6" x14ac:dyDescent="0.35">
      <c r="A64" s="9" t="s">
        <v>22</v>
      </c>
      <c r="B64" s="39">
        <f>((B18/B15)-1)*100</f>
        <v>-35.667491739763577</v>
      </c>
      <c r="C64" s="79">
        <f>((D18/D15)-1)*100</f>
        <v>7.2864444200485545</v>
      </c>
      <c r="D64" s="79"/>
      <c r="E64" s="39">
        <f>((E18/E15)-1)*100</f>
        <v>-0.71614583333333703</v>
      </c>
      <c r="F64" s="39">
        <f t="shared" ref="F64:I64" si="18">((F18/F15)-1)*100</f>
        <v>20.634920634920629</v>
      </c>
      <c r="G64" s="39">
        <f t="shared" si="18"/>
        <v>11.590367822175175</v>
      </c>
      <c r="H64" s="39">
        <f t="shared" si="18"/>
        <v>-25.885281295983052</v>
      </c>
      <c r="I64" s="39">
        <f t="shared" si="18"/>
        <v>7.1891685736079403</v>
      </c>
      <c r="J64" s="79">
        <f>((K18/K15)-1)*100</f>
        <v>-100</v>
      </c>
      <c r="K64" s="79"/>
      <c r="L64" s="40" t="s">
        <v>48</v>
      </c>
      <c r="M64" s="50" t="s">
        <v>48</v>
      </c>
    </row>
    <row r="65" spans="1:13" ht="15.6" x14ac:dyDescent="0.35">
      <c r="A65" s="9" t="s">
        <v>23</v>
      </c>
      <c r="B65" s="39">
        <f>((B40/B39)-1)*100</f>
        <v>1.9634967560137939</v>
      </c>
      <c r="C65" s="79">
        <f>((C40/C39)-1)*100</f>
        <v>60.914614148901251</v>
      </c>
      <c r="D65" s="79"/>
      <c r="E65" s="39">
        <f>((E40/E39)-1)*100</f>
        <v>-0.27718368977700525</v>
      </c>
      <c r="F65" s="39">
        <f t="shared" ref="F65:I65" si="19">((F40/F39)-1)*100</f>
        <v>14.286570268054021</v>
      </c>
      <c r="G65" s="39">
        <f t="shared" si="19"/>
        <v>0.11481584771144693</v>
      </c>
      <c r="H65" s="39">
        <f t="shared" si="19"/>
        <v>-16.147428278112706</v>
      </c>
      <c r="I65" s="39">
        <f t="shared" si="19"/>
        <v>-0.12738858521179619</v>
      </c>
      <c r="J65" s="79">
        <f>((J40/J39)-1)*100</f>
        <v>-100</v>
      </c>
      <c r="K65" s="79"/>
      <c r="L65" s="40" t="s">
        <v>48</v>
      </c>
      <c r="M65" s="50" t="s">
        <v>48</v>
      </c>
    </row>
    <row r="66" spans="1:13" ht="15.6" x14ac:dyDescent="0.35">
      <c r="A66" s="9" t="s">
        <v>24</v>
      </c>
      <c r="B66" s="39">
        <f>((B42/B41)-1)*100</f>
        <v>58.494514691628893</v>
      </c>
      <c r="C66" s="79">
        <f>((C42/C41)-1)*100</f>
        <v>49.98596982008965</v>
      </c>
      <c r="D66" s="79"/>
      <c r="E66" s="39">
        <f>((E42/E41)-1)*100</f>
        <v>0.44212842787050288</v>
      </c>
      <c r="F66" s="39">
        <f t="shared" ref="F66:I66" si="20">((F42/F41)-1)*100</f>
        <v>-5.2624483304288923</v>
      </c>
      <c r="G66" s="39">
        <f t="shared" si="20"/>
        <v>-10.283640244604797</v>
      </c>
      <c r="H66" s="39">
        <f t="shared" si="20"/>
        <v>13.138892231054999</v>
      </c>
      <c r="I66" s="39">
        <f t="shared" si="20"/>
        <v>-6.8258362819517249</v>
      </c>
      <c r="J66" s="79" t="s">
        <v>48</v>
      </c>
      <c r="K66" s="79"/>
      <c r="L66" s="40" t="s">
        <v>48</v>
      </c>
      <c r="M66" s="50" t="s">
        <v>48</v>
      </c>
    </row>
    <row r="67" spans="1:13" ht="15.6" x14ac:dyDescent="0.35">
      <c r="A67" s="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39"/>
    </row>
    <row r="68" spans="1:13" ht="15.6" x14ac:dyDescent="0.35">
      <c r="A68" s="10" t="s">
        <v>25</v>
      </c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39"/>
    </row>
    <row r="69" spans="1:13" ht="15.6" x14ac:dyDescent="0.35">
      <c r="A69" s="9" t="s">
        <v>31</v>
      </c>
      <c r="B69" s="40">
        <f>(B24/B17)*3</f>
        <v>135141.78447179508</v>
      </c>
      <c r="C69" s="79">
        <f>(C24/D17)*3</f>
        <v>90000</v>
      </c>
      <c r="D69" s="79"/>
      <c r="E69" s="40">
        <f>(E24/E17)*3</f>
        <v>300000</v>
      </c>
      <c r="F69" s="40">
        <f t="shared" ref="F69:I69" si="21">(F24/F17)*3</f>
        <v>984000</v>
      </c>
      <c r="G69" s="40">
        <f t="shared" si="21"/>
        <v>225000</v>
      </c>
      <c r="H69" s="40">
        <f t="shared" si="21"/>
        <v>225000</v>
      </c>
      <c r="I69" s="40">
        <f t="shared" si="21"/>
        <v>390000</v>
      </c>
      <c r="J69" s="79" t="s">
        <v>48</v>
      </c>
      <c r="K69" s="79"/>
      <c r="L69" s="40" t="s">
        <v>48</v>
      </c>
      <c r="M69" s="50" t="s">
        <v>48</v>
      </c>
    </row>
    <row r="70" spans="1:13" ht="15.6" x14ac:dyDescent="0.35">
      <c r="A70" s="9" t="s">
        <v>32</v>
      </c>
      <c r="B70" s="40">
        <f>(B25/B19)*3</f>
        <v>168134.30708254004</v>
      </c>
      <c r="C70" s="79">
        <f>(C25/D19)*3</f>
        <v>115347.03129512198</v>
      </c>
      <c r="D70" s="79"/>
      <c r="E70" s="40">
        <f>(E25/E19)*3</f>
        <v>309940.404269816</v>
      </c>
      <c r="F70" s="40">
        <f t="shared" ref="F70:I70" si="22">(F25/F19)*3</f>
        <v>772722.62773722631</v>
      </c>
      <c r="G70" s="40">
        <f t="shared" si="22"/>
        <v>220702.90224032587</v>
      </c>
      <c r="H70" s="40">
        <f t="shared" si="22"/>
        <v>243512.91730232941</v>
      </c>
      <c r="I70" s="40">
        <f t="shared" si="22"/>
        <v>387040.53085362504</v>
      </c>
      <c r="J70" s="79" t="s">
        <v>48</v>
      </c>
      <c r="K70" s="79"/>
      <c r="L70" s="40" t="s">
        <v>48</v>
      </c>
      <c r="M70" s="50" t="s">
        <v>48</v>
      </c>
    </row>
    <row r="71" spans="1:13" ht="15.6" x14ac:dyDescent="0.35">
      <c r="A71" s="9" t="s">
        <v>26</v>
      </c>
      <c r="B71" s="38" t="s">
        <v>56</v>
      </c>
      <c r="C71" s="78">
        <f>(C70/C69)*D53</f>
        <v>107.58116748620273</v>
      </c>
      <c r="D71" s="78"/>
      <c r="E71" s="40">
        <f>(E70/E69)*E53</f>
        <v>85.036397677148358</v>
      </c>
      <c r="F71" s="40">
        <f t="shared" ref="F71:I71" si="23">(F70/F69)*F53</f>
        <v>90.474478194489862</v>
      </c>
      <c r="G71" s="40">
        <f t="shared" si="23"/>
        <v>104.7534745211378</v>
      </c>
      <c r="H71" s="40">
        <f t="shared" si="23"/>
        <v>99.499633058096521</v>
      </c>
      <c r="I71" s="40">
        <f t="shared" si="23"/>
        <v>127.73181334558163</v>
      </c>
      <c r="J71" s="79" t="s">
        <v>48</v>
      </c>
      <c r="K71" s="79"/>
      <c r="L71" s="40" t="s">
        <v>48</v>
      </c>
      <c r="M71" s="50" t="s">
        <v>48</v>
      </c>
    </row>
    <row r="72" spans="1:13" ht="15.6" x14ac:dyDescent="0.35">
      <c r="A72" s="9" t="s">
        <v>33</v>
      </c>
      <c r="B72" s="40">
        <f>B24/B17</f>
        <v>45047.261490598365</v>
      </c>
      <c r="C72" s="78">
        <f>C24/D17</f>
        <v>30000</v>
      </c>
      <c r="D72" s="78"/>
      <c r="E72" s="40">
        <f>E24/E17</f>
        <v>100000</v>
      </c>
      <c r="F72" s="40">
        <f>F24/F17</f>
        <v>328000</v>
      </c>
      <c r="G72" s="40">
        <f t="shared" ref="G72:I72" si="24">G24/G17</f>
        <v>75000</v>
      </c>
      <c r="H72" s="40">
        <f t="shared" si="24"/>
        <v>75000</v>
      </c>
      <c r="I72" s="40">
        <f t="shared" si="24"/>
        <v>130000</v>
      </c>
      <c r="J72" s="79" t="s">
        <v>48</v>
      </c>
      <c r="K72" s="79"/>
      <c r="L72" s="40" t="s">
        <v>48</v>
      </c>
      <c r="M72" s="50" t="s">
        <v>48</v>
      </c>
    </row>
    <row r="73" spans="1:13" ht="15.6" x14ac:dyDescent="0.35">
      <c r="A73" s="9" t="s">
        <v>34</v>
      </c>
      <c r="B73" s="40">
        <f>B25/B19</f>
        <v>56044.769027513343</v>
      </c>
      <c r="C73" s="78">
        <f>C25/D19</f>
        <v>38449.010431707327</v>
      </c>
      <c r="D73" s="78"/>
      <c r="E73" s="40">
        <f>E25/E19</f>
        <v>103313.46808993867</v>
      </c>
      <c r="F73" s="40">
        <f>F25/F19</f>
        <v>257574.20924574209</v>
      </c>
      <c r="G73" s="40">
        <f t="shared" ref="G73:I73" si="25">G25/G19</f>
        <v>73567.634080108619</v>
      </c>
      <c r="H73" s="40">
        <f t="shared" si="25"/>
        <v>81170.972434109804</v>
      </c>
      <c r="I73" s="40">
        <f t="shared" si="25"/>
        <v>129013.51028454168</v>
      </c>
      <c r="J73" s="79" t="s">
        <v>48</v>
      </c>
      <c r="K73" s="79"/>
      <c r="L73" s="40" t="s">
        <v>48</v>
      </c>
      <c r="M73" s="50" t="s">
        <v>48</v>
      </c>
    </row>
    <row r="74" spans="1:13" ht="15.6" x14ac:dyDescent="0.35">
      <c r="A74" s="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</row>
    <row r="75" spans="1:13" ht="15.6" x14ac:dyDescent="0.35">
      <c r="A75" s="10" t="s">
        <v>27</v>
      </c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</row>
    <row r="76" spans="1:13" ht="15.6" x14ac:dyDescent="0.35">
      <c r="A76" s="9" t="s">
        <v>28</v>
      </c>
      <c r="B76" s="40">
        <f>(B31/B30)*100</f>
        <v>102.00211201147027</v>
      </c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</row>
    <row r="77" spans="1:13" ht="15.6" x14ac:dyDescent="0.35">
      <c r="A77" s="9" t="s">
        <v>29</v>
      </c>
      <c r="B77" s="40">
        <f>(B25/B31)*100</f>
        <v>95.141893480289525</v>
      </c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</row>
    <row r="78" spans="1:13" ht="16.2" thickBot="1" x14ac:dyDescent="0.4">
      <c r="A78" s="24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</row>
    <row r="79" spans="1:13" s="2" customFormat="1" ht="16.2" thickTop="1" x14ac:dyDescent="0.35">
      <c r="A79" s="81" t="s">
        <v>99</v>
      </c>
      <c r="B79" s="81"/>
      <c r="C79" s="81"/>
      <c r="D79" s="81"/>
      <c r="E79" s="81"/>
      <c r="F79" s="81"/>
      <c r="G79" s="9"/>
      <c r="H79" s="9"/>
      <c r="I79" s="9"/>
      <c r="J79" s="9"/>
      <c r="K79" s="9"/>
      <c r="L79" s="9"/>
      <c r="M79" s="9"/>
    </row>
    <row r="80" spans="1:13" ht="15.6" x14ac:dyDescent="0.35">
      <c r="A80" s="18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</row>
    <row r="81" spans="1:13" ht="15.6" x14ac:dyDescent="0.35">
      <c r="A81" s="9"/>
      <c r="B81" s="9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</row>
    <row r="82" spans="1:13" x14ac:dyDescent="0.3">
      <c r="A82" s="2"/>
      <c r="B82" s="61"/>
      <c r="C82" s="61"/>
      <c r="D82" s="61"/>
      <c r="E82" s="61"/>
    </row>
    <row r="83" spans="1:13" x14ac:dyDescent="0.3">
      <c r="A83" s="2"/>
    </row>
    <row r="84" spans="1:13" x14ac:dyDescent="0.3">
      <c r="A84" s="6"/>
    </row>
    <row r="85" spans="1:13" x14ac:dyDescent="0.3">
      <c r="A85" s="2"/>
    </row>
    <row r="86" spans="1:13" x14ac:dyDescent="0.3">
      <c r="A86" s="2"/>
    </row>
    <row r="87" spans="1:13" x14ac:dyDescent="0.3">
      <c r="A87" s="2"/>
    </row>
    <row r="88" spans="1:13" x14ac:dyDescent="0.3">
      <c r="A88" s="2"/>
    </row>
    <row r="89" spans="1:13" x14ac:dyDescent="0.3">
      <c r="A89" s="33"/>
    </row>
    <row r="90" spans="1:13" x14ac:dyDescent="0.3">
      <c r="A90" s="33"/>
    </row>
    <row r="91" spans="1:13" x14ac:dyDescent="0.3">
      <c r="A91" s="2"/>
    </row>
    <row r="92" spans="1:13" x14ac:dyDescent="0.3">
      <c r="A92" s="2"/>
    </row>
    <row r="93" spans="1:13" x14ac:dyDescent="0.3">
      <c r="A93" s="2"/>
    </row>
    <row r="94" spans="1:13" x14ac:dyDescent="0.3">
      <c r="A94" s="7"/>
    </row>
  </sheetData>
  <mergeCells count="55">
    <mergeCell ref="J61:K61"/>
    <mergeCell ref="J71:K71"/>
    <mergeCell ref="J72:K72"/>
    <mergeCell ref="J73:K73"/>
    <mergeCell ref="J64:K64"/>
    <mergeCell ref="J65:K65"/>
    <mergeCell ref="J66:K66"/>
    <mergeCell ref="J69:K69"/>
    <mergeCell ref="J70:K70"/>
    <mergeCell ref="J48:K48"/>
    <mergeCell ref="J52:K52"/>
    <mergeCell ref="J56:K56"/>
    <mergeCell ref="J57:K57"/>
    <mergeCell ref="J58:K58"/>
    <mergeCell ref="J39:K39"/>
    <mergeCell ref="J40:K40"/>
    <mergeCell ref="J41:K41"/>
    <mergeCell ref="J42:K42"/>
    <mergeCell ref="J47:K47"/>
    <mergeCell ref="A79:F79"/>
    <mergeCell ref="C39:D39"/>
    <mergeCell ref="C40:D40"/>
    <mergeCell ref="C41:D41"/>
    <mergeCell ref="C42:D42"/>
    <mergeCell ref="C61:D61"/>
    <mergeCell ref="C58:D58"/>
    <mergeCell ref="C36:D36"/>
    <mergeCell ref="C26:D26"/>
    <mergeCell ref="C24:D24"/>
    <mergeCell ref="B9:B10"/>
    <mergeCell ref="C10:D10"/>
    <mergeCell ref="C23:D23"/>
    <mergeCell ref="C25:D25"/>
    <mergeCell ref="C27:D27"/>
    <mergeCell ref="J10:K10"/>
    <mergeCell ref="J23:K23"/>
    <mergeCell ref="J24:K24"/>
    <mergeCell ref="J25:K25"/>
    <mergeCell ref="J26:K26"/>
    <mergeCell ref="J27:K27"/>
    <mergeCell ref="C9:M9"/>
    <mergeCell ref="A9:A10"/>
    <mergeCell ref="C72:D72"/>
    <mergeCell ref="C73:D73"/>
    <mergeCell ref="C47:D47"/>
    <mergeCell ref="C48:D48"/>
    <mergeCell ref="C52:D52"/>
    <mergeCell ref="C65:D65"/>
    <mergeCell ref="C66:D66"/>
    <mergeCell ref="C69:D69"/>
    <mergeCell ref="C70:D70"/>
    <mergeCell ref="C71:D71"/>
    <mergeCell ref="C64:D64"/>
    <mergeCell ref="C56:D56"/>
    <mergeCell ref="C57:D57"/>
  </mergeCells>
  <pageMargins left="0.7" right="0.7" top="0.75" bottom="0.75" header="0.3" footer="0.3"/>
  <pageSetup paperSize="9" orientation="portrait" r:id="rId1"/>
  <ignoredErrors>
    <ignoredError sqref="B26" formula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8:M95"/>
  <sheetViews>
    <sheetView showGridLines="0" zoomScale="70" zoomScaleNormal="70" zoomScalePageLayoutView="9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3.33203125" style="5" customWidth="1"/>
    <col min="2" max="13" width="18.6640625" style="5" customWidth="1"/>
    <col min="14" max="16384" width="11.44140625" style="5"/>
  </cols>
  <sheetData>
    <row r="8" spans="1:13" ht="19.5" customHeight="1" x14ac:dyDescent="0.3"/>
    <row r="9" spans="1:13" s="2" customFormat="1" ht="21.75" customHeight="1" x14ac:dyDescent="0.3">
      <c r="A9" s="68" t="s">
        <v>0</v>
      </c>
      <c r="B9" s="70" t="s">
        <v>58</v>
      </c>
      <c r="C9" s="83" t="s">
        <v>59</v>
      </c>
      <c r="D9" s="83"/>
      <c r="E9" s="83"/>
      <c r="F9" s="83"/>
      <c r="G9" s="83"/>
      <c r="H9" s="83"/>
      <c r="I9" s="83"/>
      <c r="J9" s="83"/>
      <c r="K9" s="83"/>
      <c r="L9" s="83"/>
      <c r="M9" s="83"/>
    </row>
    <row r="10" spans="1:13" s="2" customFormat="1" ht="51.75" customHeight="1" thickBot="1" x14ac:dyDescent="0.35">
      <c r="A10" s="69"/>
      <c r="B10" s="71"/>
      <c r="C10" s="69" t="s">
        <v>1</v>
      </c>
      <c r="D10" s="69"/>
      <c r="E10" s="44" t="s">
        <v>44</v>
      </c>
      <c r="F10" s="44" t="s">
        <v>45</v>
      </c>
      <c r="G10" s="44" t="s">
        <v>46</v>
      </c>
      <c r="H10" s="44" t="s">
        <v>53</v>
      </c>
      <c r="I10" s="44" t="s">
        <v>60</v>
      </c>
      <c r="J10" s="71" t="s">
        <v>61</v>
      </c>
      <c r="K10" s="71"/>
      <c r="L10" s="44" t="s">
        <v>54</v>
      </c>
      <c r="M10" s="45" t="s">
        <v>118</v>
      </c>
    </row>
    <row r="11" spans="1:13" ht="16.2" thickTop="1" x14ac:dyDescent="0.3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pans="1:13" ht="15.6" x14ac:dyDescent="0.35">
      <c r="A12" s="10" t="s">
        <v>2</v>
      </c>
      <c r="B12" s="20"/>
      <c r="C12" s="20"/>
      <c r="D12" s="21"/>
      <c r="E12" s="21"/>
      <c r="F12" s="20"/>
      <c r="G12" s="20"/>
      <c r="H12" s="20"/>
      <c r="I12" s="20"/>
      <c r="J12" s="20"/>
      <c r="K12" s="20"/>
      <c r="L12" s="20"/>
      <c r="M12" s="20"/>
    </row>
    <row r="13" spans="1:13" ht="15.6" x14ac:dyDescent="0.35">
      <c r="A13" s="9"/>
      <c r="B13" s="20"/>
      <c r="C13" s="20"/>
      <c r="D13" s="21"/>
      <c r="E13" s="21"/>
      <c r="F13" s="20"/>
      <c r="G13" s="20"/>
      <c r="H13" s="20"/>
      <c r="I13" s="20"/>
      <c r="J13" s="20"/>
      <c r="K13" s="20"/>
      <c r="L13" s="20"/>
      <c r="M13" s="20"/>
    </row>
    <row r="14" spans="1:13" s="62" customFormat="1" ht="31.2" x14ac:dyDescent="0.3">
      <c r="A14" s="55" t="s">
        <v>41</v>
      </c>
      <c r="B14" s="11" t="s">
        <v>57</v>
      </c>
      <c r="C14" s="11" t="s">
        <v>42</v>
      </c>
      <c r="D14" s="11" t="s">
        <v>43</v>
      </c>
      <c r="E14" s="12" t="s">
        <v>42</v>
      </c>
      <c r="F14" s="12" t="s">
        <v>42</v>
      </c>
      <c r="G14" s="12" t="s">
        <v>42</v>
      </c>
      <c r="H14" s="54" t="s">
        <v>63</v>
      </c>
      <c r="I14" s="12" t="s">
        <v>51</v>
      </c>
      <c r="J14" s="12" t="s">
        <v>42</v>
      </c>
      <c r="K14" s="12" t="s">
        <v>62</v>
      </c>
      <c r="L14" s="12" t="s">
        <v>57</v>
      </c>
      <c r="M14" s="12" t="s">
        <v>57</v>
      </c>
    </row>
    <row r="15" spans="1:13" ht="15.6" x14ac:dyDescent="0.35">
      <c r="A15" s="13" t="s">
        <v>72</v>
      </c>
      <c r="B15" s="48">
        <v>266353</v>
      </c>
      <c r="C15" s="48">
        <v>134692</v>
      </c>
      <c r="D15" s="48">
        <v>167762</v>
      </c>
      <c r="E15" s="48">
        <v>1545</v>
      </c>
      <c r="F15" s="48">
        <v>127</v>
      </c>
      <c r="G15" s="48">
        <v>7744</v>
      </c>
      <c r="H15" s="48">
        <v>73661</v>
      </c>
      <c r="I15" s="48">
        <v>22104</v>
      </c>
      <c r="J15" s="48">
        <v>142957</v>
      </c>
      <c r="K15" s="47">
        <v>192741</v>
      </c>
      <c r="L15" s="48" t="s">
        <v>48</v>
      </c>
      <c r="M15" s="47" t="s">
        <v>48</v>
      </c>
    </row>
    <row r="16" spans="1:13" ht="15.6" x14ac:dyDescent="0.35">
      <c r="A16" s="13" t="s">
        <v>106</v>
      </c>
      <c r="B16" s="48" t="str">
        <f>'II Trimestre'!B16</f>
        <v>n.d</v>
      </c>
      <c r="C16" s="48" t="str">
        <f>'II Trimestre'!C16</f>
        <v>n.d</v>
      </c>
      <c r="D16" s="48">
        <f>'II Trimestre'!D16</f>
        <v>233954</v>
      </c>
      <c r="E16" s="48">
        <f>'II Trimestre'!E16</f>
        <v>1856</v>
      </c>
      <c r="F16" s="48">
        <f>'II Trimestre'!F16</f>
        <v>136</v>
      </c>
      <c r="G16" s="48">
        <f>'II Trimestre'!G16</f>
        <v>7560</v>
      </c>
      <c r="H16" s="48">
        <f>'II Trimestre'!H16</f>
        <v>58069</v>
      </c>
      <c r="I16" s="48">
        <f>'II Trimestre'!I16</f>
        <v>16693</v>
      </c>
      <c r="J16" s="48" t="str">
        <f>'II Trimestre'!J16</f>
        <v xml:space="preserve">n.d. </v>
      </c>
      <c r="K16" s="48">
        <f>'II Trimestre'!K16</f>
        <v>0</v>
      </c>
      <c r="L16" s="48" t="str">
        <f>'II Trimestre'!L16</f>
        <v>n.d.</v>
      </c>
      <c r="M16" s="47">
        <v>0</v>
      </c>
    </row>
    <row r="17" spans="1:13" ht="15.6" x14ac:dyDescent="0.35">
      <c r="A17" s="13" t="s">
        <v>55</v>
      </c>
      <c r="B17" s="48">
        <f>+'I Trimestre'!B17+'II Trimestre'!B17</f>
        <v>1896104</v>
      </c>
      <c r="C17" s="48" t="s">
        <v>48</v>
      </c>
      <c r="D17" s="48">
        <f>+'I Trimestre'!D17+'II Trimestre'!D17</f>
        <v>1392469</v>
      </c>
      <c r="E17" s="48">
        <f>+'I Trimestre'!E17+'II Trimestre'!E17</f>
        <v>10931</v>
      </c>
      <c r="F17" s="48">
        <f>+'I Trimestre'!F17+'II Trimestre'!F17</f>
        <v>272</v>
      </c>
      <c r="G17" s="48">
        <f>+'I Trimestre'!G17+'II Trimestre'!G17</f>
        <v>45274</v>
      </c>
      <c r="H17" s="48">
        <f>+'I Trimestre'!H17+'II Trimestre'!H17</f>
        <v>347132</v>
      </c>
      <c r="I17" s="48">
        <f>+'I Trimestre'!I17+'II Trimestre'!I17</f>
        <v>100026</v>
      </c>
      <c r="J17" s="48" t="s">
        <v>48</v>
      </c>
      <c r="K17" s="48">
        <f>+'I Trimestre'!K17+'II Trimestre'!K17</f>
        <v>0</v>
      </c>
      <c r="L17" s="48" t="s">
        <v>48</v>
      </c>
      <c r="M17" s="47">
        <v>0</v>
      </c>
    </row>
    <row r="18" spans="1:13" ht="15.6" x14ac:dyDescent="0.35">
      <c r="A18" s="13" t="s">
        <v>107</v>
      </c>
      <c r="B18" s="48">
        <v>172992</v>
      </c>
      <c r="C18" s="48">
        <v>125118</v>
      </c>
      <c r="D18" s="48">
        <v>179849</v>
      </c>
      <c r="E18" s="48">
        <v>1545</v>
      </c>
      <c r="F18" s="48">
        <v>152</v>
      </c>
      <c r="G18" s="48">
        <v>8615</v>
      </c>
      <c r="H18" s="48">
        <v>54873</v>
      </c>
      <c r="I18" s="48">
        <v>24865</v>
      </c>
      <c r="J18" s="48">
        <v>0</v>
      </c>
      <c r="K18" s="47">
        <v>0</v>
      </c>
      <c r="L18" s="48" t="s">
        <v>48</v>
      </c>
      <c r="M18" s="47">
        <v>0</v>
      </c>
    </row>
    <row r="19" spans="1:13" ht="15.6" x14ac:dyDescent="0.35">
      <c r="A19" s="13" t="s">
        <v>55</v>
      </c>
      <c r="B19" s="48">
        <f>+'I Trimestre'!B19+'II Trimestre'!B19</f>
        <v>1421552</v>
      </c>
      <c r="C19" s="48" t="s">
        <v>48</v>
      </c>
      <c r="D19" s="48">
        <f>+'I Trimestre'!D19+'II Trimestre'!D19</f>
        <v>995399</v>
      </c>
      <c r="E19" s="48">
        <f>+'I Trimestre'!E19+'II Trimestre'!E19</f>
        <v>8059</v>
      </c>
      <c r="F19" s="48">
        <f>+'I Trimestre'!F19+'II Trimestre'!F19</f>
        <v>478</v>
      </c>
      <c r="G19" s="48">
        <f>+'I Trimestre'!G19+'II Trimestre'!G19</f>
        <v>46260</v>
      </c>
      <c r="H19" s="48">
        <f>+'I Trimestre'!H19+'II Trimestre'!H19</f>
        <v>245755</v>
      </c>
      <c r="I19" s="48">
        <f>+'I Trimestre'!I19+'II Trimestre'!I19</f>
        <v>125601</v>
      </c>
      <c r="J19" s="48" t="s">
        <v>48</v>
      </c>
      <c r="K19" s="48">
        <f>+'I Trimestre'!K19+'II Trimestre'!K19</f>
        <v>0</v>
      </c>
      <c r="L19" s="48" t="s">
        <v>48</v>
      </c>
      <c r="M19" s="47">
        <v>0</v>
      </c>
    </row>
    <row r="20" spans="1:13" ht="15.6" x14ac:dyDescent="0.35">
      <c r="A20" s="13" t="s">
        <v>94</v>
      </c>
      <c r="B20" s="48" t="str">
        <f>'II Trimestre'!B20</f>
        <v>n.d</v>
      </c>
      <c r="C20" s="48" t="str">
        <f>'II Trimestre'!C20</f>
        <v>n.d</v>
      </c>
      <c r="D20" s="48">
        <f>'II Trimestre'!D20</f>
        <v>233955</v>
      </c>
      <c r="E20" s="48">
        <f>'II Trimestre'!E20</f>
        <v>1857</v>
      </c>
      <c r="F20" s="48">
        <f>'II Trimestre'!F20</f>
        <v>137</v>
      </c>
      <c r="G20" s="48">
        <f>'II Trimestre'!G20</f>
        <v>7560</v>
      </c>
      <c r="H20" s="48">
        <f>'II Trimestre'!H20</f>
        <v>58304</v>
      </c>
      <c r="I20" s="48">
        <f>'II Trimestre'!I20</f>
        <v>19523</v>
      </c>
      <c r="J20" s="48" t="str">
        <f>'II Trimestre'!J20</f>
        <v xml:space="preserve">n.d. </v>
      </c>
      <c r="K20" s="48">
        <f>'II Trimestre'!K20</f>
        <v>0</v>
      </c>
      <c r="L20" s="48" t="str">
        <f>'II Trimestre'!L20</f>
        <v>n.d.</v>
      </c>
      <c r="M20" s="47">
        <v>111111</v>
      </c>
    </row>
    <row r="21" spans="1:13" ht="15.6" x14ac:dyDescent="0.35">
      <c r="A21" s="9"/>
      <c r="B21" s="48"/>
      <c r="C21" s="48"/>
      <c r="D21" s="48"/>
      <c r="E21" s="48"/>
      <c r="F21" s="48"/>
      <c r="G21" s="48"/>
      <c r="H21" s="48"/>
      <c r="I21" s="48"/>
      <c r="J21" s="48"/>
      <c r="K21" s="47"/>
      <c r="L21" s="47"/>
      <c r="M21" s="26"/>
    </row>
    <row r="22" spans="1:13" ht="15.6" x14ac:dyDescent="0.35">
      <c r="A22" s="14" t="s">
        <v>3</v>
      </c>
      <c r="B22" s="48"/>
      <c r="C22" s="48"/>
      <c r="D22" s="48"/>
      <c r="E22" s="48"/>
      <c r="F22" s="48"/>
      <c r="G22" s="48"/>
      <c r="H22" s="48"/>
      <c r="I22" s="48"/>
      <c r="J22" s="48"/>
      <c r="K22" s="47"/>
      <c r="L22" s="47"/>
      <c r="M22" s="26"/>
    </row>
    <row r="23" spans="1:13" ht="15.6" x14ac:dyDescent="0.35">
      <c r="A23" s="13" t="s">
        <v>72</v>
      </c>
      <c r="B23" s="48">
        <f>+C23+E23+F23+G23+H23+I23+J23+L23</f>
        <v>71657527926.399994</v>
      </c>
      <c r="C23" s="85">
        <f>'I Trimestre'!C23:D23+'II Trimestre'!C23:D23</f>
        <v>22806439000</v>
      </c>
      <c r="D23" s="85"/>
      <c r="E23" s="48">
        <f>'I Trimestre'!E23+'II Trimestre'!E23</f>
        <v>751837500</v>
      </c>
      <c r="F23" s="48">
        <f>'I Trimestre'!F23+'II Trimestre'!F23</f>
        <v>108164800</v>
      </c>
      <c r="G23" s="48">
        <f>'I Trimestre'!G23+'II Trimestre'!G23</f>
        <v>3323968000</v>
      </c>
      <c r="H23" s="48">
        <f>'I Trimestre'!H23+'II Trimestre'!H23</f>
        <v>21538984549.400002</v>
      </c>
      <c r="I23" s="48">
        <f>'I Trimestre'!I23+'II Trimestre'!I23</f>
        <v>15368565077</v>
      </c>
      <c r="J23" s="85">
        <f>+'I Trimestre'!J23:K23+'II Trimestre'!J23:K23</f>
        <v>7409569000</v>
      </c>
      <c r="K23" s="85"/>
      <c r="L23" s="47">
        <f>+'I Trimestre'!L23</f>
        <v>350000000</v>
      </c>
      <c r="M23" s="48" t="s">
        <v>48</v>
      </c>
    </row>
    <row r="24" spans="1:13" ht="15.6" x14ac:dyDescent="0.35">
      <c r="A24" s="13" t="s">
        <v>106</v>
      </c>
      <c r="B24" s="48">
        <f>+C24+E24+F24+G24+H24+I24+J24</f>
        <v>85390216000</v>
      </c>
      <c r="C24" s="85">
        <f>'I Trimestre'!C24:D24+'II Trimestre'!C24:D24</f>
        <v>41774070000</v>
      </c>
      <c r="D24" s="85"/>
      <c r="E24" s="48">
        <f>'I Trimestre'!E24+'II Trimestre'!E24</f>
        <v>1093100000</v>
      </c>
      <c r="F24" s="48">
        <f>'I Trimestre'!F24+'II Trimestre'!F24</f>
        <v>89216000</v>
      </c>
      <c r="G24" s="48">
        <f>'I Trimestre'!G24+'II Trimestre'!G24</f>
        <v>3395550000</v>
      </c>
      <c r="H24" s="48">
        <f>'I Trimestre'!H24+'II Trimestre'!H24</f>
        <v>26034900000</v>
      </c>
      <c r="I24" s="48">
        <f>'I Trimestre'!I24+'II Trimestre'!I24</f>
        <v>13003380000</v>
      </c>
      <c r="J24" s="85">
        <f>+'I Trimestre'!J24:K24+'II Trimestre'!J24:K24</f>
        <v>0</v>
      </c>
      <c r="K24" s="85"/>
      <c r="L24" s="47" t="s">
        <v>48</v>
      </c>
      <c r="M24" s="47">
        <v>0</v>
      </c>
    </row>
    <row r="25" spans="1:13" ht="15.6" x14ac:dyDescent="0.35">
      <c r="A25" s="13" t="s">
        <v>107</v>
      </c>
      <c r="B25" s="48">
        <f>+C25+E25+F25+G25+H25+I25+J25+L25</f>
        <v>77806252035</v>
      </c>
      <c r="C25" s="85">
        <f>'I Trimestre'!C25:D25+'II Trimestre'!C25:D25</f>
        <v>37506048000</v>
      </c>
      <c r="D25" s="85"/>
      <c r="E25" s="48">
        <f>'I Trimestre'!E25+'II Trimestre'!E25</f>
        <v>830864200</v>
      </c>
      <c r="F25" s="48">
        <f>'I Trimestre'!F25+'II Trimestre'!F25</f>
        <v>133914000</v>
      </c>
      <c r="G25" s="48">
        <f>'I Trimestre'!G25+'II Trimestre'!G25</f>
        <v>3404247000</v>
      </c>
      <c r="H25" s="48">
        <f>+'I Trimestre'!H25+'II Trimestre'!H25</f>
        <v>19685739113</v>
      </c>
      <c r="I25" s="48">
        <f>'I Trimestre'!I25+'II Trimestre'!I25</f>
        <v>16195439722</v>
      </c>
      <c r="J25" s="85">
        <f>+'I Trimestre'!J25:K25+'II Trimestre'!J25:K25</f>
        <v>0</v>
      </c>
      <c r="K25" s="85"/>
      <c r="L25" s="47">
        <f>+'I Trimestre'!L25</f>
        <v>50000000</v>
      </c>
      <c r="M25" s="48">
        <v>0</v>
      </c>
    </row>
    <row r="26" spans="1:13" ht="15.6" x14ac:dyDescent="0.35">
      <c r="A26" s="13" t="s">
        <v>94</v>
      </c>
      <c r="B26" s="48">
        <f>+C26+E26+F26+G26+H26+I26+J26+M26</f>
        <v>182205842000</v>
      </c>
      <c r="C26" s="85">
        <f>+'II Trimestre'!C26</f>
        <v>74036820000</v>
      </c>
      <c r="D26" s="85"/>
      <c r="E26" s="48">
        <f>'II Trimestre'!E26</f>
        <v>1665600000</v>
      </c>
      <c r="F26" s="48">
        <f>'II Trimestre'!F26</f>
        <v>358832000</v>
      </c>
      <c r="G26" s="48">
        <f>'II Trimestre'!G26</f>
        <v>6797550000</v>
      </c>
      <c r="H26" s="48">
        <f>'II Trimestre'!H26</f>
        <v>52219050000</v>
      </c>
      <c r="I26" s="48">
        <f>'II Trimestre'!I26</f>
        <v>27128010000</v>
      </c>
      <c r="J26" s="85">
        <f>+'II Trimestre'!J26:K26</f>
        <v>0</v>
      </c>
      <c r="K26" s="85"/>
      <c r="L26" s="47" t="s">
        <v>48</v>
      </c>
      <c r="M26" s="47">
        <v>19999980000</v>
      </c>
    </row>
    <row r="27" spans="1:13" ht="15.6" x14ac:dyDescent="0.35">
      <c r="A27" s="13" t="s">
        <v>108</v>
      </c>
      <c r="B27" s="48">
        <f>+C27+E27+F27+G27+H27+I27+J27+L27</f>
        <v>77806252035</v>
      </c>
      <c r="C27" s="85">
        <f>C25</f>
        <v>37506048000</v>
      </c>
      <c r="D27" s="85"/>
      <c r="E27" s="48">
        <f>E25</f>
        <v>830864200</v>
      </c>
      <c r="F27" s="48">
        <f t="shared" ref="F27:I27" si="0">F25</f>
        <v>133914000</v>
      </c>
      <c r="G27" s="48">
        <f t="shared" si="0"/>
        <v>3404247000</v>
      </c>
      <c r="H27" s="48">
        <f t="shared" si="0"/>
        <v>19685739113</v>
      </c>
      <c r="I27" s="48">
        <f t="shared" si="0"/>
        <v>16195439722</v>
      </c>
      <c r="J27" s="85">
        <f>J25</f>
        <v>0</v>
      </c>
      <c r="K27" s="85"/>
      <c r="L27" s="47">
        <f>+L25</f>
        <v>50000000</v>
      </c>
      <c r="M27" s="48">
        <f>M25</f>
        <v>0</v>
      </c>
    </row>
    <row r="28" spans="1:13" ht="15.6" x14ac:dyDescent="0.35">
      <c r="A28" s="9"/>
      <c r="B28" s="48"/>
      <c r="C28" s="48"/>
      <c r="D28" s="48"/>
      <c r="E28" s="48"/>
      <c r="F28" s="48"/>
      <c r="G28" s="48"/>
      <c r="H28" s="48"/>
      <c r="I28" s="48"/>
      <c r="J28" s="48"/>
      <c r="K28" s="47"/>
      <c r="L28" s="47"/>
      <c r="M28" s="48"/>
    </row>
    <row r="29" spans="1:13" ht="15.6" x14ac:dyDescent="0.35">
      <c r="A29" s="14" t="s">
        <v>4</v>
      </c>
      <c r="B29" s="48"/>
      <c r="C29" s="48"/>
      <c r="D29" s="48"/>
      <c r="E29" s="48"/>
      <c r="F29" s="48"/>
      <c r="G29" s="48"/>
      <c r="H29" s="48"/>
      <c r="I29" s="48"/>
      <c r="J29" s="48"/>
      <c r="K29" s="47"/>
      <c r="L29" s="47"/>
      <c r="M29" s="26"/>
    </row>
    <row r="30" spans="1:13" ht="15.6" x14ac:dyDescent="0.35">
      <c r="A30" s="13" t="s">
        <v>106</v>
      </c>
      <c r="B30" s="48">
        <f>'I Trimestre'!B30+'II Trimestre'!B30</f>
        <v>85390216000</v>
      </c>
      <c r="C30" s="48"/>
      <c r="D30" s="48"/>
      <c r="E30" s="48"/>
      <c r="F30" s="48"/>
      <c r="G30" s="48"/>
      <c r="H30" s="48"/>
      <c r="I30" s="48"/>
      <c r="J30" s="48"/>
      <c r="K30" s="47"/>
      <c r="L30" s="47"/>
      <c r="M30" s="48"/>
    </row>
    <row r="31" spans="1:13" ht="15.6" x14ac:dyDescent="0.35">
      <c r="A31" s="13" t="s">
        <v>107</v>
      </c>
      <c r="B31" s="48">
        <f>'I Trimestre'!B31+'II Trimestre'!B31</f>
        <v>84879361025.690002</v>
      </c>
      <c r="C31" s="48"/>
      <c r="D31" s="48"/>
      <c r="E31" s="48"/>
      <c r="F31" s="48"/>
      <c r="G31" s="48"/>
      <c r="H31" s="48"/>
      <c r="I31" s="48"/>
      <c r="J31" s="48"/>
      <c r="K31" s="47"/>
      <c r="L31" s="47"/>
      <c r="M31" s="26"/>
    </row>
    <row r="32" spans="1:13" ht="15.6" x14ac:dyDescent="0.35">
      <c r="A32" s="9"/>
      <c r="B32" s="63"/>
      <c r="C32" s="63"/>
      <c r="D32" s="63"/>
      <c r="E32" s="63"/>
      <c r="F32" s="63"/>
      <c r="G32" s="63"/>
      <c r="H32" s="63"/>
      <c r="I32" s="63"/>
      <c r="J32" s="63"/>
      <c r="K32" s="20"/>
      <c r="L32" s="20"/>
      <c r="M32" s="20"/>
    </row>
    <row r="33" spans="1:13" ht="15.6" x14ac:dyDescent="0.35">
      <c r="A33" s="10" t="s">
        <v>5</v>
      </c>
      <c r="B33" s="63"/>
      <c r="C33" s="63"/>
      <c r="D33" s="63"/>
      <c r="E33" s="63"/>
      <c r="F33" s="63"/>
      <c r="G33" s="63"/>
      <c r="H33" s="63"/>
      <c r="I33" s="63"/>
      <c r="J33" s="63"/>
      <c r="K33" s="20"/>
      <c r="L33" s="20"/>
      <c r="M33" s="20"/>
    </row>
    <row r="34" spans="1:13" ht="15.6" x14ac:dyDescent="0.35">
      <c r="A34" s="13" t="s">
        <v>73</v>
      </c>
      <c r="B34" s="39">
        <v>1.0788</v>
      </c>
      <c r="C34" s="39">
        <v>1.0788</v>
      </c>
      <c r="D34" s="39">
        <v>1.0788</v>
      </c>
      <c r="E34" s="39">
        <v>1.0788</v>
      </c>
      <c r="F34" s="39">
        <v>1.0788</v>
      </c>
      <c r="G34" s="39">
        <v>1.0788</v>
      </c>
      <c r="H34" s="39">
        <v>1.0788</v>
      </c>
      <c r="I34" s="39">
        <v>1.0788</v>
      </c>
      <c r="J34" s="39">
        <v>1.0788</v>
      </c>
      <c r="K34" s="39">
        <v>1.0788</v>
      </c>
      <c r="L34" s="39">
        <v>1.0788</v>
      </c>
      <c r="M34" s="39">
        <v>1.0788</v>
      </c>
    </row>
    <row r="35" spans="1:13" ht="15.6" x14ac:dyDescent="0.35">
      <c r="A35" s="13" t="s">
        <v>109</v>
      </c>
      <c r="B35" s="39">
        <v>1.121</v>
      </c>
      <c r="C35" s="39">
        <v>1.121</v>
      </c>
      <c r="D35" s="39">
        <v>1.121</v>
      </c>
      <c r="E35" s="39">
        <v>1.121</v>
      </c>
      <c r="F35" s="39">
        <v>1.121</v>
      </c>
      <c r="G35" s="39">
        <v>1.121</v>
      </c>
      <c r="H35" s="39">
        <v>1.121</v>
      </c>
      <c r="I35" s="39">
        <v>1.121</v>
      </c>
      <c r="J35" s="39">
        <v>1.121</v>
      </c>
      <c r="K35" s="39">
        <v>1.121</v>
      </c>
      <c r="L35" s="39">
        <v>1.121</v>
      </c>
      <c r="M35" s="39">
        <v>1.121</v>
      </c>
    </row>
    <row r="36" spans="1:13" s="2" customFormat="1" ht="15.6" x14ac:dyDescent="0.35">
      <c r="A36" s="13" t="s">
        <v>6</v>
      </c>
      <c r="B36" s="43">
        <v>438418</v>
      </c>
      <c r="C36" s="73">
        <v>186599</v>
      </c>
      <c r="D36" s="73"/>
      <c r="E36" s="43">
        <v>164361</v>
      </c>
      <c r="F36" s="43" t="s">
        <v>56</v>
      </c>
      <c r="G36" s="43">
        <v>97440</v>
      </c>
      <c r="H36" s="43" t="s">
        <v>56</v>
      </c>
      <c r="I36" s="43" t="s">
        <v>56</v>
      </c>
      <c r="J36" s="43" t="s">
        <v>56</v>
      </c>
      <c r="K36" s="42" t="s">
        <v>56</v>
      </c>
      <c r="L36" s="42" t="s">
        <v>56</v>
      </c>
      <c r="M36" s="9"/>
    </row>
    <row r="37" spans="1:13" ht="15.6" x14ac:dyDescent="0.35">
      <c r="A37" s="9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3"/>
    </row>
    <row r="38" spans="1:13" ht="15.6" x14ac:dyDescent="0.35">
      <c r="A38" s="10" t="s">
        <v>7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3"/>
    </row>
    <row r="39" spans="1:13" ht="15.6" x14ac:dyDescent="0.35">
      <c r="A39" s="9" t="s">
        <v>74</v>
      </c>
      <c r="B39" s="42">
        <f>B23/B34</f>
        <v>66423366635.520943</v>
      </c>
      <c r="C39" s="74">
        <f>C23/C34</f>
        <v>21140562662.217278</v>
      </c>
      <c r="D39" s="74"/>
      <c r="E39" s="42">
        <f>E23/E34</f>
        <v>696920189.0989989</v>
      </c>
      <c r="F39" s="42">
        <f t="shared" ref="F39:I39" si="1">F23/F34</f>
        <v>100263997.03374119</v>
      </c>
      <c r="G39" s="42">
        <f t="shared" si="1"/>
        <v>3081171672.2284021</v>
      </c>
      <c r="H39" s="42">
        <f t="shared" si="1"/>
        <v>19965688310.53022</v>
      </c>
      <c r="I39" s="42">
        <f t="shared" si="1"/>
        <v>14245981717.64924</v>
      </c>
      <c r="J39" s="74">
        <f>J23/J34</f>
        <v>6868343529.8479795</v>
      </c>
      <c r="K39" s="74"/>
      <c r="L39" s="42">
        <f>L23/L34</f>
        <v>324434556.91509086</v>
      </c>
      <c r="M39" s="49" t="s">
        <v>48</v>
      </c>
    </row>
    <row r="40" spans="1:13" ht="15.6" x14ac:dyDescent="0.35">
      <c r="A40" s="9" t="s">
        <v>110</v>
      </c>
      <c r="B40" s="42">
        <f>B25/B35</f>
        <v>69407896552.185547</v>
      </c>
      <c r="C40" s="74">
        <f>C25/C35</f>
        <v>33457669937.555756</v>
      </c>
      <c r="D40" s="74"/>
      <c r="E40" s="42">
        <f>E25/E35</f>
        <v>741181266.7261374</v>
      </c>
      <c r="F40" s="42">
        <f t="shared" ref="F40:M40" si="2">F25/F35</f>
        <v>119459411.23996432</v>
      </c>
      <c r="G40" s="42">
        <f t="shared" si="2"/>
        <v>3036794826.0481715</v>
      </c>
      <c r="H40" s="42">
        <f t="shared" si="2"/>
        <v>17560873428.189117</v>
      </c>
      <c r="I40" s="42">
        <f t="shared" si="2"/>
        <v>14447314649.42016</v>
      </c>
      <c r="J40" s="74">
        <f>J25/J35</f>
        <v>0</v>
      </c>
      <c r="K40" s="74"/>
      <c r="L40" s="42">
        <f t="shared" si="2"/>
        <v>44603033.006244428</v>
      </c>
      <c r="M40" s="49">
        <f t="shared" si="2"/>
        <v>0</v>
      </c>
    </row>
    <row r="41" spans="1:13" ht="15.6" x14ac:dyDescent="0.35">
      <c r="A41" s="9" t="s">
        <v>75</v>
      </c>
      <c r="B41" s="42">
        <f>B39/B15</f>
        <v>249380.95923650547</v>
      </c>
      <c r="C41" s="74">
        <f>C39/D15</f>
        <v>126015.20405227214</v>
      </c>
      <c r="D41" s="74"/>
      <c r="E41" s="42">
        <f>E39/E15</f>
        <v>451081.02854304138</v>
      </c>
      <c r="F41" s="42">
        <f t="shared" ref="F41:I41" si="3">F39/F15</f>
        <v>789480.29160426138</v>
      </c>
      <c r="G41" s="42">
        <f t="shared" si="3"/>
        <v>397878.5733766015</v>
      </c>
      <c r="H41" s="42">
        <f t="shared" si="3"/>
        <v>271048.29299806169</v>
      </c>
      <c r="I41" s="42">
        <f t="shared" si="3"/>
        <v>644497.90615496016</v>
      </c>
      <c r="J41" s="74">
        <f>J39/K15</f>
        <v>35635.093362844331</v>
      </c>
      <c r="K41" s="74"/>
      <c r="L41" s="42" t="s">
        <v>48</v>
      </c>
      <c r="M41" s="49" t="s">
        <v>48</v>
      </c>
    </row>
    <row r="42" spans="1:13" ht="15.6" x14ac:dyDescent="0.35">
      <c r="A42" s="9" t="s">
        <v>111</v>
      </c>
      <c r="B42" s="42">
        <f>B40/B18</f>
        <v>401220.26771287428</v>
      </c>
      <c r="C42" s="74">
        <f>C40/D18</f>
        <v>186032.00427889929</v>
      </c>
      <c r="D42" s="74"/>
      <c r="E42" s="42">
        <f>E40/E18</f>
        <v>479728.97522727342</v>
      </c>
      <c r="F42" s="42">
        <f t="shared" ref="F42:I42" si="4">F40/F18</f>
        <v>785917.17921029159</v>
      </c>
      <c r="G42" s="42">
        <f t="shared" si="4"/>
        <v>352500.85038284055</v>
      </c>
      <c r="H42" s="42">
        <f t="shared" si="4"/>
        <v>320027.5805621912</v>
      </c>
      <c r="I42" s="42">
        <f t="shared" si="4"/>
        <v>581030.14878021961</v>
      </c>
      <c r="J42" s="74" t="s">
        <v>48</v>
      </c>
      <c r="K42" s="74"/>
      <c r="L42" s="42" t="s">
        <v>48</v>
      </c>
      <c r="M42" s="49" t="s">
        <v>48</v>
      </c>
    </row>
    <row r="43" spans="1:13" ht="15.6" x14ac:dyDescent="0.35">
      <c r="A43" s="9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20"/>
    </row>
    <row r="44" spans="1:13" ht="15.6" x14ac:dyDescent="0.35">
      <c r="A44" s="10" t="s">
        <v>8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20"/>
    </row>
    <row r="45" spans="1:13" ht="15.6" x14ac:dyDescent="0.35">
      <c r="A45" s="9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20"/>
    </row>
    <row r="46" spans="1:13" ht="15.6" x14ac:dyDescent="0.35">
      <c r="A46" s="10" t="s">
        <v>9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20"/>
    </row>
    <row r="47" spans="1:13" ht="15.6" x14ac:dyDescent="0.35">
      <c r="A47" s="9" t="s">
        <v>10</v>
      </c>
      <c r="B47" s="38" t="s">
        <v>56</v>
      </c>
      <c r="C47" s="78">
        <f>(D16/C36)*100</f>
        <v>125.37794950669618</v>
      </c>
      <c r="D47" s="78"/>
      <c r="E47" s="40">
        <f>(E16/E36)*100</f>
        <v>1.1292216523384502</v>
      </c>
      <c r="F47" s="40" t="s">
        <v>48</v>
      </c>
      <c r="G47" s="40">
        <f t="shared" ref="G47" si="5">(G16/G36)*100</f>
        <v>7.7586206896551726</v>
      </c>
      <c r="H47" s="38" t="s">
        <v>48</v>
      </c>
      <c r="I47" s="38" t="s">
        <v>48</v>
      </c>
      <c r="J47" s="78" t="s">
        <v>56</v>
      </c>
      <c r="K47" s="78"/>
      <c r="L47" s="40" t="s">
        <v>48</v>
      </c>
      <c r="M47" s="50" t="s">
        <v>48</v>
      </c>
    </row>
    <row r="48" spans="1:13" ht="15.6" x14ac:dyDescent="0.35">
      <c r="A48" s="9" t="s">
        <v>11</v>
      </c>
      <c r="B48" s="40">
        <f>(B18/B36)*100</f>
        <v>39.458233922877255</v>
      </c>
      <c r="C48" s="78">
        <f>(D18/C36)*100</f>
        <v>96.382617270189016</v>
      </c>
      <c r="D48" s="78"/>
      <c r="E48" s="40">
        <f>(E18/E36)*100</f>
        <v>0.94000401555113433</v>
      </c>
      <c r="F48" s="40" t="s">
        <v>48</v>
      </c>
      <c r="G48" s="40">
        <f t="shared" ref="G48" si="6">(G18/G36)*100</f>
        <v>8.8413382594417076</v>
      </c>
      <c r="H48" s="38" t="s">
        <v>48</v>
      </c>
      <c r="I48" s="38" t="s">
        <v>48</v>
      </c>
      <c r="J48" s="78" t="s">
        <v>56</v>
      </c>
      <c r="K48" s="78"/>
      <c r="L48" s="40" t="s">
        <v>48</v>
      </c>
      <c r="M48" s="50" t="s">
        <v>48</v>
      </c>
    </row>
    <row r="49" spans="1:13" ht="15.6" x14ac:dyDescent="0.35">
      <c r="A49" s="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39"/>
    </row>
    <row r="50" spans="1:13" ht="15.6" x14ac:dyDescent="0.35">
      <c r="A50" s="10" t="s">
        <v>12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39"/>
    </row>
    <row r="51" spans="1:13" ht="15.6" x14ac:dyDescent="0.35">
      <c r="A51" s="9" t="s">
        <v>13</v>
      </c>
      <c r="B51" s="38" t="s">
        <v>56</v>
      </c>
      <c r="C51" s="38" t="s">
        <v>56</v>
      </c>
      <c r="D51" s="40">
        <f>D18/D16*100</f>
        <v>76.873658924403941</v>
      </c>
      <c r="E51" s="40">
        <f>E18/E16*100</f>
        <v>83.243534482758619</v>
      </c>
      <c r="F51" s="40">
        <f t="shared" ref="F51:I51" si="7">F18/F16*100</f>
        <v>111.76470588235294</v>
      </c>
      <c r="G51" s="40">
        <f t="shared" si="7"/>
        <v>113.95502645502647</v>
      </c>
      <c r="H51" s="40">
        <f t="shared" si="7"/>
        <v>94.496202793228747</v>
      </c>
      <c r="I51" s="40">
        <f t="shared" si="7"/>
        <v>148.95465165039238</v>
      </c>
      <c r="J51" s="38" t="s">
        <v>56</v>
      </c>
      <c r="K51" s="40" t="s">
        <v>48</v>
      </c>
      <c r="L51" s="40" t="s">
        <v>48</v>
      </c>
      <c r="M51" s="50" t="s">
        <v>48</v>
      </c>
    </row>
    <row r="52" spans="1:13" ht="15.6" x14ac:dyDescent="0.35">
      <c r="A52" s="9" t="s">
        <v>14</v>
      </c>
      <c r="B52" s="40">
        <f>B25/B24*100</f>
        <v>91.118462605832974</v>
      </c>
      <c r="C52" s="78">
        <f>C25/C24*100</f>
        <v>89.7830831422459</v>
      </c>
      <c r="D52" s="78"/>
      <c r="E52" s="40">
        <f>E25/E24*100</f>
        <v>76.009898453938334</v>
      </c>
      <c r="F52" s="40">
        <f t="shared" ref="F52:I52" si="8">F25/F24*100</f>
        <v>150.1008787661406</v>
      </c>
      <c r="G52" s="40">
        <f t="shared" si="8"/>
        <v>100.25612934576135</v>
      </c>
      <c r="H52" s="40">
        <f t="shared" si="8"/>
        <v>75.612885446074301</v>
      </c>
      <c r="I52" s="40">
        <f t="shared" si="8"/>
        <v>124.54792309384175</v>
      </c>
      <c r="J52" s="78" t="s">
        <v>56</v>
      </c>
      <c r="K52" s="78"/>
      <c r="L52" s="40" t="s">
        <v>48</v>
      </c>
      <c r="M52" s="50" t="s">
        <v>48</v>
      </c>
    </row>
    <row r="53" spans="1:13" ht="15.6" x14ac:dyDescent="0.35">
      <c r="A53" s="9" t="s">
        <v>15</v>
      </c>
      <c r="B53" s="38" t="s">
        <v>56</v>
      </c>
      <c r="C53" s="38" t="s">
        <v>56</v>
      </c>
      <c r="D53" s="40">
        <f>AVERAGE(D51,C52)</f>
        <v>83.328371033324913</v>
      </c>
      <c r="E53" s="40">
        <f>AVERAGE(E51:E52)</f>
        <v>79.626716468348476</v>
      </c>
      <c r="F53" s="40">
        <f t="shared" ref="F53:I53" si="9">AVERAGE(F51:F52)</f>
        <v>130.93279232424678</v>
      </c>
      <c r="G53" s="40">
        <f t="shared" si="9"/>
        <v>107.10557790039391</v>
      </c>
      <c r="H53" s="40">
        <f t="shared" si="9"/>
        <v>85.054544119651524</v>
      </c>
      <c r="I53" s="40">
        <f t="shared" si="9"/>
        <v>136.75128737211708</v>
      </c>
      <c r="J53" s="38" t="s">
        <v>56</v>
      </c>
      <c r="K53" s="40" t="s">
        <v>48</v>
      </c>
      <c r="L53" s="40" t="s">
        <v>48</v>
      </c>
      <c r="M53" s="50" t="s">
        <v>48</v>
      </c>
    </row>
    <row r="54" spans="1:13" ht="15.6" x14ac:dyDescent="0.35">
      <c r="A54" s="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39"/>
    </row>
    <row r="55" spans="1:13" ht="15.6" x14ac:dyDescent="0.35">
      <c r="A55" s="10" t="s">
        <v>16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39"/>
    </row>
    <row r="56" spans="1:13" ht="15.6" x14ac:dyDescent="0.35">
      <c r="A56" s="9" t="s">
        <v>17</v>
      </c>
      <c r="B56" s="38" t="s">
        <v>56</v>
      </c>
      <c r="C56" s="78">
        <f>D18/D20*100</f>
        <v>76.873330341304964</v>
      </c>
      <c r="D56" s="78"/>
      <c r="E56" s="40">
        <f>E18/E20*100</f>
        <v>83.198707592891765</v>
      </c>
      <c r="F56" s="40">
        <f t="shared" ref="F56:I56" si="10">F18/F20*100</f>
        <v>110.94890510948905</v>
      </c>
      <c r="G56" s="40">
        <f t="shared" si="10"/>
        <v>113.95502645502647</v>
      </c>
      <c r="H56" s="40">
        <f t="shared" si="10"/>
        <v>94.115326564215152</v>
      </c>
      <c r="I56" s="40">
        <f t="shared" si="10"/>
        <v>127.36259796137888</v>
      </c>
      <c r="J56" s="78" t="s">
        <v>48</v>
      </c>
      <c r="K56" s="78"/>
      <c r="L56" s="40" t="s">
        <v>48</v>
      </c>
      <c r="M56" s="50">
        <f t="shared" ref="M56" si="11">M18/M20*100</f>
        <v>0</v>
      </c>
    </row>
    <row r="57" spans="1:13" ht="15.6" x14ac:dyDescent="0.35">
      <c r="A57" s="9" t="s">
        <v>18</v>
      </c>
      <c r="B57" s="40">
        <f>B25/B26*100</f>
        <v>42.702391526502211</v>
      </c>
      <c r="C57" s="78">
        <f>C25/C26*100</f>
        <v>50.658642551098218</v>
      </c>
      <c r="D57" s="78"/>
      <c r="E57" s="40">
        <f>E25/E26*100</f>
        <v>49.883777617675314</v>
      </c>
      <c r="F57" s="40">
        <f t="shared" ref="F57:I57" si="12">F25/F26*100</f>
        <v>37.319414099077001</v>
      </c>
      <c r="G57" s="40">
        <f t="shared" si="12"/>
        <v>50.080499591764685</v>
      </c>
      <c r="H57" s="40">
        <f t="shared" si="12"/>
        <v>37.698386150265087</v>
      </c>
      <c r="I57" s="40">
        <f t="shared" si="12"/>
        <v>59.700065437899795</v>
      </c>
      <c r="J57" s="78" t="s">
        <v>48</v>
      </c>
      <c r="K57" s="78"/>
      <c r="L57" s="40" t="s">
        <v>48</v>
      </c>
      <c r="M57" s="50">
        <f t="shared" ref="M57" si="13">M25/M26*100</f>
        <v>0</v>
      </c>
    </row>
    <row r="58" spans="1:13" ht="15.6" x14ac:dyDescent="0.35">
      <c r="A58" s="9" t="s">
        <v>19</v>
      </c>
      <c r="B58" s="38" t="s">
        <v>56</v>
      </c>
      <c r="C58" s="78">
        <f>(C56+C57)/2</f>
        <v>63.765986446201595</v>
      </c>
      <c r="D58" s="78"/>
      <c r="E58" s="40">
        <f>(E56+E57)/2</f>
        <v>66.541242605283543</v>
      </c>
      <c r="F58" s="40">
        <f t="shared" ref="F58:I58" si="14">(F56+F57)/2</f>
        <v>74.134159604283028</v>
      </c>
      <c r="G58" s="40">
        <f t="shared" si="14"/>
        <v>82.017763023395574</v>
      </c>
      <c r="H58" s="40">
        <f t="shared" si="14"/>
        <v>65.906856357240116</v>
      </c>
      <c r="I58" s="40">
        <f t="shared" si="14"/>
        <v>93.531331699639338</v>
      </c>
      <c r="J58" s="78" t="s">
        <v>48</v>
      </c>
      <c r="K58" s="78"/>
      <c r="L58" s="40" t="s">
        <v>48</v>
      </c>
      <c r="M58" s="50">
        <f t="shared" ref="M58" si="15">(M56+M57)/2</f>
        <v>0</v>
      </c>
    </row>
    <row r="59" spans="1:13" ht="15.6" x14ac:dyDescent="0.35">
      <c r="A59" s="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39"/>
    </row>
    <row r="60" spans="1:13" ht="15.6" x14ac:dyDescent="0.35">
      <c r="A60" s="10" t="s">
        <v>30</v>
      </c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39"/>
    </row>
    <row r="61" spans="1:13" ht="15.6" x14ac:dyDescent="0.35">
      <c r="A61" s="9" t="s">
        <v>20</v>
      </c>
      <c r="B61" s="40">
        <f>B27/B25*100</f>
        <v>100</v>
      </c>
      <c r="C61" s="78">
        <f>C27/C25*100</f>
        <v>100</v>
      </c>
      <c r="D61" s="78"/>
      <c r="E61" s="40">
        <f>E27/E25*100</f>
        <v>100</v>
      </c>
      <c r="F61" s="40">
        <f t="shared" ref="F61:I61" si="16">F27/F25*100</f>
        <v>100</v>
      </c>
      <c r="G61" s="40">
        <f t="shared" si="16"/>
        <v>100</v>
      </c>
      <c r="H61" s="40">
        <f t="shared" si="16"/>
        <v>100</v>
      </c>
      <c r="I61" s="40">
        <f t="shared" si="16"/>
        <v>100</v>
      </c>
      <c r="J61" s="78" t="s">
        <v>48</v>
      </c>
      <c r="K61" s="78"/>
      <c r="L61" s="40" t="s">
        <v>48</v>
      </c>
      <c r="M61" s="50" t="s">
        <v>48</v>
      </c>
    </row>
    <row r="62" spans="1:13" ht="15.6" x14ac:dyDescent="0.35">
      <c r="A62" s="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39"/>
    </row>
    <row r="63" spans="1:13" ht="15.6" x14ac:dyDescent="0.35">
      <c r="A63" s="10" t="s">
        <v>21</v>
      </c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39"/>
    </row>
    <row r="64" spans="1:13" ht="15.6" x14ac:dyDescent="0.35">
      <c r="A64" s="9" t="s">
        <v>22</v>
      </c>
      <c r="B64" s="39">
        <f>((B18/B15)-1)*100</f>
        <v>-35.051604449734</v>
      </c>
      <c r="C64" s="79">
        <f>((D18/D15)-1)*100</f>
        <v>7.204849727590279</v>
      </c>
      <c r="D64" s="79"/>
      <c r="E64" s="39">
        <f>((E18/E15)-1)*100</f>
        <v>0</v>
      </c>
      <c r="F64" s="39">
        <f t="shared" ref="F64:I64" si="17">((F18/F15)-1)*100</f>
        <v>19.685039370078748</v>
      </c>
      <c r="G64" s="39">
        <f t="shared" si="17"/>
        <v>11.247417355371891</v>
      </c>
      <c r="H64" s="39">
        <f t="shared" si="17"/>
        <v>-25.506034400836263</v>
      </c>
      <c r="I64" s="39">
        <f t="shared" si="17"/>
        <v>12.490951863916022</v>
      </c>
      <c r="J64" s="79">
        <f>((K18/K15)-1)*100</f>
        <v>-100</v>
      </c>
      <c r="K64" s="79"/>
      <c r="L64" s="40" t="s">
        <v>48</v>
      </c>
      <c r="M64" s="50" t="s">
        <v>48</v>
      </c>
    </row>
    <row r="65" spans="1:13" ht="15.6" x14ac:dyDescent="0.35">
      <c r="A65" s="9" t="s">
        <v>23</v>
      </c>
      <c r="B65" s="39">
        <f>((B40/B39)-1)*100</f>
        <v>4.4931927841618702</v>
      </c>
      <c r="C65" s="79">
        <f>((C40/C39)-1)*100</f>
        <v>58.262911314805208</v>
      </c>
      <c r="D65" s="79"/>
      <c r="E65" s="39">
        <f>((E40/E39)-1)*100</f>
        <v>6.3509535696419706</v>
      </c>
      <c r="F65" s="39">
        <f t="shared" ref="F65:I65" si="18">((F40/F39)-1)*100</f>
        <v>19.144872311208005</v>
      </c>
      <c r="G65" s="39">
        <f t="shared" si="18"/>
        <v>-1.440258800904004</v>
      </c>
      <c r="H65" s="39">
        <f t="shared" si="18"/>
        <v>-12.044738177510094</v>
      </c>
      <c r="I65" s="39">
        <f t="shared" si="18"/>
        <v>1.413261197166138</v>
      </c>
      <c r="J65" s="79">
        <f>((J40/J39)-1)*100</f>
        <v>-100</v>
      </c>
      <c r="K65" s="79"/>
      <c r="L65" s="40" t="s">
        <v>48</v>
      </c>
      <c r="M65" s="50" t="s">
        <v>48</v>
      </c>
    </row>
    <row r="66" spans="1:13" ht="15.6" x14ac:dyDescent="0.35">
      <c r="A66" s="9" t="s">
        <v>24</v>
      </c>
      <c r="B66" s="39">
        <f>((B42/B41)-1)*100</f>
        <v>60.886488263271502</v>
      </c>
      <c r="C66" s="79">
        <f>((C42/C41)-1)*100</f>
        <v>47.626634165296203</v>
      </c>
      <c r="D66" s="79"/>
      <c r="E66" s="39">
        <f>((E42/E41)-1)*100</f>
        <v>6.3509535696419706</v>
      </c>
      <c r="F66" s="39">
        <f t="shared" ref="F66:I66" si="19">((F42/F41)-1)*100</f>
        <v>-0.45132379260910405</v>
      </c>
      <c r="G66" s="39">
        <f t="shared" si="19"/>
        <v>-11.404917487428978</v>
      </c>
      <c r="H66" s="39">
        <f t="shared" si="19"/>
        <v>18.070317662719894</v>
      </c>
      <c r="I66" s="39">
        <f t="shared" si="19"/>
        <v>-9.8476281720425991</v>
      </c>
      <c r="J66" s="79" t="s">
        <v>48</v>
      </c>
      <c r="K66" s="79"/>
      <c r="L66" s="40" t="s">
        <v>48</v>
      </c>
      <c r="M66" s="50" t="s">
        <v>48</v>
      </c>
    </row>
    <row r="67" spans="1:13" ht="15.6" x14ac:dyDescent="0.35">
      <c r="A67" s="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39"/>
    </row>
    <row r="68" spans="1:13" ht="15.6" x14ac:dyDescent="0.35">
      <c r="A68" s="10" t="s">
        <v>25</v>
      </c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39"/>
    </row>
    <row r="69" spans="1:13" ht="15.6" x14ac:dyDescent="0.35">
      <c r="A69" s="9" t="s">
        <v>35</v>
      </c>
      <c r="B69" s="40">
        <f>(B24/B17)*6</f>
        <v>270207.38102973253</v>
      </c>
      <c r="C69" s="79">
        <f>(C24/D17)*6</f>
        <v>180000</v>
      </c>
      <c r="D69" s="79"/>
      <c r="E69" s="40">
        <f>(E24/E17)*6</f>
        <v>600000</v>
      </c>
      <c r="F69" s="40">
        <f>(F24/F17)*6</f>
        <v>1968000</v>
      </c>
      <c r="G69" s="40">
        <f>(G24/G17)*6</f>
        <v>450000</v>
      </c>
      <c r="H69" s="40">
        <f>(H24/H17)*6</f>
        <v>450000</v>
      </c>
      <c r="I69" s="40">
        <f>(I24/I17)*6</f>
        <v>780000</v>
      </c>
      <c r="J69" s="79" t="s">
        <v>48</v>
      </c>
      <c r="K69" s="79"/>
      <c r="L69" s="40" t="s">
        <v>48</v>
      </c>
      <c r="M69" s="50" t="s">
        <v>48</v>
      </c>
    </row>
    <row r="70" spans="1:13" ht="15.6" x14ac:dyDescent="0.35">
      <c r="A70" s="9" t="s">
        <v>36</v>
      </c>
      <c r="B70" s="40">
        <f>(B25/B19)*6</f>
        <v>328399.884218094</v>
      </c>
      <c r="C70" s="79">
        <f>(C25/D19)*6</f>
        <v>226076.46581923432</v>
      </c>
      <c r="D70" s="79"/>
      <c r="E70" s="40">
        <f>(E25/E19)*6</f>
        <v>618586.07767713116</v>
      </c>
      <c r="F70" s="40">
        <f>(F25/F19)*6</f>
        <v>1680928.8702928871</v>
      </c>
      <c r="G70" s="40">
        <f>(G25/G19)*6</f>
        <v>441536.57587548636</v>
      </c>
      <c r="H70" s="40">
        <f>(H25/H19)*6</f>
        <v>480618.64327480621</v>
      </c>
      <c r="I70" s="40">
        <f>(I25/I19)*6</f>
        <v>773661.34291924431</v>
      </c>
      <c r="J70" s="79" t="s">
        <v>48</v>
      </c>
      <c r="K70" s="79"/>
      <c r="L70" s="40" t="s">
        <v>48</v>
      </c>
      <c r="M70" s="50" t="s">
        <v>48</v>
      </c>
    </row>
    <row r="71" spans="1:13" ht="15.6" x14ac:dyDescent="0.35">
      <c r="A71" s="9" t="s">
        <v>26</v>
      </c>
      <c r="B71" s="38" t="s">
        <v>56</v>
      </c>
      <c r="C71" s="78">
        <f>(C70/C69)*D53</f>
        <v>104.65879792048864</v>
      </c>
      <c r="D71" s="78"/>
      <c r="E71" s="40">
        <f>(E70/E69)*E53</f>
        <v>82.093297030774508</v>
      </c>
      <c r="F71" s="40">
        <f t="shared" ref="F71:I71" si="20">(F70/F69)*F53</f>
        <v>111.83369445421206</v>
      </c>
      <c r="G71" s="40">
        <f t="shared" si="20"/>
        <v>105.09117805178909</v>
      </c>
      <c r="H71" s="40">
        <f t="shared" si="20"/>
        <v>90.841776886986793</v>
      </c>
      <c r="I71" s="40">
        <f t="shared" si="20"/>
        <v>135.63998030031743</v>
      </c>
      <c r="J71" s="79" t="s">
        <v>48</v>
      </c>
      <c r="K71" s="79"/>
      <c r="L71" s="40" t="s">
        <v>48</v>
      </c>
      <c r="M71" s="50" t="s">
        <v>48</v>
      </c>
    </row>
    <row r="72" spans="1:13" ht="15.6" x14ac:dyDescent="0.35">
      <c r="A72" s="9" t="s">
        <v>33</v>
      </c>
      <c r="B72" s="40">
        <f>B24/B17</f>
        <v>45034.563504955426</v>
      </c>
      <c r="C72" s="78">
        <f>C24/D17</f>
        <v>30000</v>
      </c>
      <c r="D72" s="78"/>
      <c r="E72" s="40">
        <f>E24/E17</f>
        <v>100000</v>
      </c>
      <c r="F72" s="40">
        <f>F24/F17</f>
        <v>328000</v>
      </c>
      <c r="G72" s="40">
        <f t="shared" ref="G72:I72" si="21">G24/G17</f>
        <v>75000</v>
      </c>
      <c r="H72" s="40">
        <f t="shared" si="21"/>
        <v>75000</v>
      </c>
      <c r="I72" s="40">
        <f t="shared" si="21"/>
        <v>130000</v>
      </c>
      <c r="J72" s="79" t="s">
        <v>48</v>
      </c>
      <c r="K72" s="79"/>
      <c r="L72" s="40" t="s">
        <v>48</v>
      </c>
      <c r="M72" s="50" t="s">
        <v>48</v>
      </c>
    </row>
    <row r="73" spans="1:13" ht="15.6" x14ac:dyDescent="0.35">
      <c r="A73" s="9" t="s">
        <v>34</v>
      </c>
      <c r="B73" s="40">
        <f>B25/B19</f>
        <v>54733.314036349002</v>
      </c>
      <c r="C73" s="78">
        <f>C25/D19</f>
        <v>37679.410969872384</v>
      </c>
      <c r="D73" s="78"/>
      <c r="E73" s="40">
        <f>E25/E19</f>
        <v>103097.67961285519</v>
      </c>
      <c r="F73" s="40">
        <f>F25/F19</f>
        <v>280154.81171548116</v>
      </c>
      <c r="G73" s="40">
        <f t="shared" ref="G73:I73" si="22">G25/G19</f>
        <v>73589.429312581065</v>
      </c>
      <c r="H73" s="40">
        <f t="shared" si="22"/>
        <v>80103.107212467701</v>
      </c>
      <c r="I73" s="40">
        <f t="shared" si="22"/>
        <v>128943.55715320738</v>
      </c>
      <c r="J73" s="79" t="s">
        <v>48</v>
      </c>
      <c r="K73" s="79"/>
      <c r="L73" s="40" t="s">
        <v>48</v>
      </c>
      <c r="M73" s="50" t="s">
        <v>48</v>
      </c>
    </row>
    <row r="74" spans="1:13" ht="15.6" x14ac:dyDescent="0.35">
      <c r="A74" s="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</row>
    <row r="75" spans="1:13" ht="15.6" x14ac:dyDescent="0.35">
      <c r="A75" s="10" t="s">
        <v>27</v>
      </c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</row>
    <row r="76" spans="1:13" ht="15.6" x14ac:dyDescent="0.35">
      <c r="A76" s="9" t="s">
        <v>28</v>
      </c>
      <c r="B76" s="40">
        <f>(B31/B30)*100</f>
        <v>99.401740622942086</v>
      </c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</row>
    <row r="77" spans="1:13" ht="15.6" x14ac:dyDescent="0.35">
      <c r="A77" s="9" t="s">
        <v>29</v>
      </c>
      <c r="B77" s="40">
        <f>(B25/B31)*100</f>
        <v>91.666868240738495</v>
      </c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</row>
    <row r="78" spans="1:13" ht="16.2" thickBot="1" x14ac:dyDescent="0.4">
      <c r="A78" s="24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</row>
    <row r="79" spans="1:13" s="2" customFormat="1" ht="16.2" thickTop="1" x14ac:dyDescent="0.35">
      <c r="A79" s="81" t="s">
        <v>99</v>
      </c>
      <c r="B79" s="81"/>
      <c r="C79" s="81"/>
      <c r="D79" s="81"/>
      <c r="E79" s="81"/>
      <c r="F79" s="81"/>
      <c r="G79" s="9"/>
      <c r="H79" s="9"/>
      <c r="I79" s="9"/>
      <c r="J79" s="9"/>
      <c r="K79" s="9"/>
      <c r="L79" s="9"/>
      <c r="M79" s="9"/>
    </row>
    <row r="80" spans="1:13" ht="15.6" x14ac:dyDescent="0.35">
      <c r="A80" s="18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</row>
    <row r="81" spans="1:13" ht="15.6" x14ac:dyDescent="0.35">
      <c r="A81" s="9"/>
      <c r="B81" s="9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</row>
    <row r="82" spans="1:13" x14ac:dyDescent="0.3">
      <c r="A82" s="2"/>
      <c r="B82" s="61"/>
      <c r="C82" s="61"/>
      <c r="D82" s="61"/>
      <c r="E82" s="61"/>
    </row>
    <row r="83" spans="1:13" x14ac:dyDescent="0.3">
      <c r="A83" s="2"/>
    </row>
    <row r="84" spans="1:13" x14ac:dyDescent="0.3">
      <c r="A84" s="6"/>
    </row>
    <row r="85" spans="1:13" x14ac:dyDescent="0.3">
      <c r="A85" s="2"/>
    </row>
    <row r="86" spans="1:13" x14ac:dyDescent="0.3">
      <c r="A86" s="2"/>
    </row>
    <row r="87" spans="1:13" x14ac:dyDescent="0.3">
      <c r="A87" s="2"/>
    </row>
    <row r="88" spans="1:13" x14ac:dyDescent="0.3">
      <c r="A88" s="2"/>
    </row>
    <row r="89" spans="1:13" x14ac:dyDescent="0.3">
      <c r="A89" s="33"/>
    </row>
    <row r="90" spans="1:13" x14ac:dyDescent="0.3">
      <c r="A90" s="33"/>
    </row>
    <row r="91" spans="1:13" x14ac:dyDescent="0.3">
      <c r="A91" s="2"/>
    </row>
    <row r="92" spans="1:13" x14ac:dyDescent="0.3">
      <c r="A92" s="2"/>
    </row>
    <row r="93" spans="1:13" x14ac:dyDescent="0.3">
      <c r="A93" s="2"/>
    </row>
    <row r="95" spans="1:13" x14ac:dyDescent="0.3">
      <c r="A95" s="7"/>
    </row>
  </sheetData>
  <mergeCells count="55">
    <mergeCell ref="J73:K73"/>
    <mergeCell ref="J61:K61"/>
    <mergeCell ref="J64:K64"/>
    <mergeCell ref="J65:K65"/>
    <mergeCell ref="J66:K66"/>
    <mergeCell ref="J69:K69"/>
    <mergeCell ref="J57:K57"/>
    <mergeCell ref="J58:K58"/>
    <mergeCell ref="J70:K70"/>
    <mergeCell ref="J71:K71"/>
    <mergeCell ref="J72:K72"/>
    <mergeCell ref="J42:K42"/>
    <mergeCell ref="J47:K47"/>
    <mergeCell ref="J48:K48"/>
    <mergeCell ref="J52:K52"/>
    <mergeCell ref="J56:K56"/>
    <mergeCell ref="A79:F79"/>
    <mergeCell ref="C72:D72"/>
    <mergeCell ref="C73:D73"/>
    <mergeCell ref="C47:D47"/>
    <mergeCell ref="C48:D48"/>
    <mergeCell ref="C52:D52"/>
    <mergeCell ref="C65:D65"/>
    <mergeCell ref="C66:D66"/>
    <mergeCell ref="C69:D69"/>
    <mergeCell ref="C70:D70"/>
    <mergeCell ref="C71:D71"/>
    <mergeCell ref="C64:D64"/>
    <mergeCell ref="C56:D56"/>
    <mergeCell ref="C57:D57"/>
    <mergeCell ref="C58:D58"/>
    <mergeCell ref="C61:D61"/>
    <mergeCell ref="A9:A10"/>
    <mergeCell ref="C26:D26"/>
    <mergeCell ref="B9:B10"/>
    <mergeCell ref="C23:D23"/>
    <mergeCell ref="C24:D24"/>
    <mergeCell ref="C25:D25"/>
    <mergeCell ref="C10:D10"/>
    <mergeCell ref="C42:D42"/>
    <mergeCell ref="C36:D36"/>
    <mergeCell ref="J27:K27"/>
    <mergeCell ref="C9:M9"/>
    <mergeCell ref="C39:D39"/>
    <mergeCell ref="C40:D40"/>
    <mergeCell ref="C41:D41"/>
    <mergeCell ref="J10:K10"/>
    <mergeCell ref="J23:K23"/>
    <mergeCell ref="J24:K24"/>
    <mergeCell ref="J25:K25"/>
    <mergeCell ref="J26:K26"/>
    <mergeCell ref="C27:D27"/>
    <mergeCell ref="J39:K39"/>
    <mergeCell ref="J40:K40"/>
    <mergeCell ref="J41:K41"/>
  </mergeCells>
  <pageMargins left="0.7" right="0.7" top="0.75" bottom="0.75" header="0.3" footer="0.3"/>
  <pageSetup orientation="portrait" horizontalDpi="4294967292" verticalDpi="4294967292" r:id="rId1"/>
  <ignoredErrors>
    <ignoredError sqref="C24:D25 C23 J24:K28 J23" formulaRange="1"/>
    <ignoredError sqref="B24:B26" formula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8:N94"/>
  <sheetViews>
    <sheetView showGridLines="0" zoomScale="70" zoomScaleNormal="70" zoomScalePageLayoutView="9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3.44140625" style="5" customWidth="1"/>
    <col min="2" max="13" width="18.6640625" style="5" customWidth="1"/>
    <col min="14" max="16384" width="11.44140625" style="5"/>
  </cols>
  <sheetData>
    <row r="8" spans="1:14" ht="17.25" customHeight="1" x14ac:dyDescent="0.3"/>
    <row r="9" spans="1:14" s="2" customFormat="1" ht="21.75" customHeight="1" x14ac:dyDescent="0.3">
      <c r="A9" s="68" t="s">
        <v>0</v>
      </c>
      <c r="B9" s="70" t="s">
        <v>58</v>
      </c>
      <c r="C9" s="76" t="s">
        <v>59</v>
      </c>
      <c r="D9" s="76"/>
      <c r="E9" s="76"/>
      <c r="F9" s="76"/>
      <c r="G9" s="76"/>
      <c r="H9" s="76"/>
      <c r="I9" s="76"/>
      <c r="J9" s="76"/>
      <c r="K9" s="76"/>
      <c r="L9" s="76"/>
    </row>
    <row r="10" spans="1:14" s="2" customFormat="1" ht="51.75" customHeight="1" thickBot="1" x14ac:dyDescent="0.35">
      <c r="A10" s="69"/>
      <c r="B10" s="71"/>
      <c r="C10" s="75" t="s">
        <v>1</v>
      </c>
      <c r="D10" s="75"/>
      <c r="E10" s="44" t="s">
        <v>44</v>
      </c>
      <c r="F10" s="44" t="s">
        <v>45</v>
      </c>
      <c r="G10" s="45" t="s">
        <v>46</v>
      </c>
      <c r="H10" s="45" t="s">
        <v>53</v>
      </c>
      <c r="I10" s="44" t="s">
        <v>60</v>
      </c>
      <c r="J10" s="77" t="s">
        <v>61</v>
      </c>
      <c r="K10" s="77"/>
      <c r="L10" s="44" t="s">
        <v>54</v>
      </c>
      <c r="M10" s="45" t="s">
        <v>118</v>
      </c>
    </row>
    <row r="11" spans="1:14" ht="16.2" thickTop="1" x14ac:dyDescent="0.35">
      <c r="A11" s="20"/>
      <c r="B11" s="20"/>
      <c r="C11" s="20"/>
      <c r="D11" s="20"/>
      <c r="E11" s="27"/>
      <c r="F11" s="20"/>
      <c r="G11" s="20"/>
      <c r="H11" s="20"/>
      <c r="I11" s="20"/>
      <c r="J11" s="20"/>
      <c r="K11" s="20"/>
      <c r="L11" s="20"/>
      <c r="M11" s="20"/>
    </row>
    <row r="12" spans="1:14" ht="15.6" x14ac:dyDescent="0.35">
      <c r="A12" s="10" t="s">
        <v>2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</row>
    <row r="13" spans="1:14" ht="15.6" x14ac:dyDescent="0.35">
      <c r="A13" s="9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  <row r="14" spans="1:14" s="62" customFormat="1" ht="31.2" x14ac:dyDescent="0.3">
      <c r="A14" s="55" t="s">
        <v>41</v>
      </c>
      <c r="B14" s="11" t="s">
        <v>57</v>
      </c>
      <c r="C14" s="11" t="s">
        <v>42</v>
      </c>
      <c r="D14" s="11" t="s">
        <v>43</v>
      </c>
      <c r="E14" s="12" t="s">
        <v>42</v>
      </c>
      <c r="F14" s="12" t="s">
        <v>42</v>
      </c>
      <c r="G14" s="12" t="s">
        <v>42</v>
      </c>
      <c r="H14" s="54" t="s">
        <v>63</v>
      </c>
      <c r="I14" s="12" t="s">
        <v>51</v>
      </c>
      <c r="J14" s="12" t="s">
        <v>42</v>
      </c>
      <c r="K14" s="12" t="s">
        <v>62</v>
      </c>
      <c r="L14" s="12" t="s">
        <v>57</v>
      </c>
      <c r="M14" s="12" t="s">
        <v>57</v>
      </c>
      <c r="N14" s="12"/>
    </row>
    <row r="15" spans="1:14" ht="15.6" x14ac:dyDescent="0.35">
      <c r="A15" s="13" t="s">
        <v>76</v>
      </c>
      <c r="B15" s="48">
        <v>279782</v>
      </c>
      <c r="C15" s="48">
        <v>132890</v>
      </c>
      <c r="D15" s="48">
        <v>165931</v>
      </c>
      <c r="E15" s="48">
        <v>1775</v>
      </c>
      <c r="F15" s="48">
        <v>150</v>
      </c>
      <c r="G15" s="48">
        <v>7841</v>
      </c>
      <c r="H15" s="48">
        <v>89142</v>
      </c>
      <c r="I15" s="48">
        <v>22642</v>
      </c>
      <c r="J15" s="48">
        <v>147692</v>
      </c>
      <c r="K15" s="48">
        <v>202895</v>
      </c>
      <c r="L15" s="47" t="s">
        <v>48</v>
      </c>
      <c r="M15" s="47" t="s">
        <v>48</v>
      </c>
    </row>
    <row r="16" spans="1:14" ht="15.6" x14ac:dyDescent="0.35">
      <c r="A16" s="13" t="s">
        <v>112</v>
      </c>
      <c r="B16" s="41" t="s">
        <v>49</v>
      </c>
      <c r="C16" s="41" t="s">
        <v>49</v>
      </c>
      <c r="D16" s="48">
        <v>233955</v>
      </c>
      <c r="E16" s="48">
        <v>1857</v>
      </c>
      <c r="F16" s="48">
        <v>137</v>
      </c>
      <c r="G16" s="48">
        <v>7560</v>
      </c>
      <c r="H16" s="48">
        <v>58072</v>
      </c>
      <c r="I16" s="48">
        <v>16694</v>
      </c>
      <c r="J16" s="48" t="s">
        <v>56</v>
      </c>
      <c r="K16" s="48">
        <v>0</v>
      </c>
      <c r="L16" s="47" t="s">
        <v>48</v>
      </c>
      <c r="M16" s="47">
        <v>0</v>
      </c>
    </row>
    <row r="17" spans="1:13" ht="15.6" x14ac:dyDescent="0.35">
      <c r="A17" s="13" t="s">
        <v>55</v>
      </c>
      <c r="B17" s="41">
        <f>+SUM(D17+E17+F17+G17+H17+I17+K17)</f>
        <v>954821</v>
      </c>
      <c r="C17" s="41" t="s">
        <v>49</v>
      </c>
      <c r="D17" s="48">
        <v>701865</v>
      </c>
      <c r="E17" s="48">
        <v>5569</v>
      </c>
      <c r="F17" s="48">
        <v>411</v>
      </c>
      <c r="G17" s="48">
        <v>22680</v>
      </c>
      <c r="H17" s="48">
        <v>174214</v>
      </c>
      <c r="I17" s="48">
        <v>50082</v>
      </c>
      <c r="J17" s="48" t="s">
        <v>56</v>
      </c>
      <c r="K17" s="48">
        <v>0</v>
      </c>
      <c r="L17" s="47" t="s">
        <v>48</v>
      </c>
      <c r="M17" s="47">
        <v>0</v>
      </c>
    </row>
    <row r="18" spans="1:13" ht="15.6" x14ac:dyDescent="0.35">
      <c r="A18" s="13" t="s">
        <v>113</v>
      </c>
      <c r="B18" s="48">
        <v>255293</v>
      </c>
      <c r="C18" s="48">
        <v>219538</v>
      </c>
      <c r="D18" s="48">
        <v>372936</v>
      </c>
      <c r="E18" s="48">
        <v>1537</v>
      </c>
      <c r="F18" s="48">
        <v>181</v>
      </c>
      <c r="G18" s="48">
        <v>10563</v>
      </c>
      <c r="H18" s="48">
        <v>69468</v>
      </c>
      <c r="I18" s="48">
        <v>22931</v>
      </c>
      <c r="J18" s="48">
        <v>0</v>
      </c>
      <c r="K18" s="48">
        <v>0</v>
      </c>
      <c r="L18" s="47" t="s">
        <v>48</v>
      </c>
      <c r="M18" s="47">
        <v>0</v>
      </c>
    </row>
    <row r="19" spans="1:13" ht="15.6" x14ac:dyDescent="0.35">
      <c r="A19" s="13" t="s">
        <v>55</v>
      </c>
      <c r="B19" s="41">
        <f>+SUM(D19,E19,F19,G19,H19,I19+K19)</f>
        <v>1357883</v>
      </c>
      <c r="C19" s="48" t="s">
        <v>49</v>
      </c>
      <c r="D19" s="48">
        <v>1101382</v>
      </c>
      <c r="E19" s="48">
        <v>4535</v>
      </c>
      <c r="F19" s="48">
        <v>485</v>
      </c>
      <c r="G19" s="48">
        <v>22865</v>
      </c>
      <c r="H19" s="48">
        <v>164112</v>
      </c>
      <c r="I19" s="48">
        <v>64504</v>
      </c>
      <c r="J19" s="48" t="s">
        <v>56</v>
      </c>
      <c r="K19" s="48">
        <v>0</v>
      </c>
      <c r="L19" s="47" t="s">
        <v>48</v>
      </c>
      <c r="M19" s="47">
        <v>0</v>
      </c>
    </row>
    <row r="20" spans="1:13" ht="15.6" x14ac:dyDescent="0.35">
      <c r="A20" s="13" t="s">
        <v>94</v>
      </c>
      <c r="B20" s="48" t="s">
        <v>49</v>
      </c>
      <c r="C20" s="48" t="s">
        <v>49</v>
      </c>
      <c r="D20" s="48">
        <v>233955</v>
      </c>
      <c r="E20" s="48">
        <v>1857</v>
      </c>
      <c r="F20" s="48">
        <v>137</v>
      </c>
      <c r="G20" s="48">
        <v>7560</v>
      </c>
      <c r="H20" s="48">
        <v>58304</v>
      </c>
      <c r="I20" s="48">
        <v>19523</v>
      </c>
      <c r="J20" s="48" t="s">
        <v>56</v>
      </c>
      <c r="K20" s="48">
        <v>0</v>
      </c>
      <c r="L20" s="47" t="s">
        <v>48</v>
      </c>
      <c r="M20" s="47">
        <v>111111</v>
      </c>
    </row>
    <row r="21" spans="1:13" ht="15.6" x14ac:dyDescent="0.35">
      <c r="A21" s="9"/>
      <c r="B21" s="48"/>
      <c r="C21" s="48"/>
      <c r="D21" s="48"/>
      <c r="E21" s="48"/>
      <c r="F21" s="48"/>
      <c r="G21" s="48"/>
      <c r="H21" s="48"/>
      <c r="I21" s="48"/>
      <c r="J21" s="48"/>
      <c r="K21" s="26"/>
      <c r="L21" s="26"/>
      <c r="M21" s="26"/>
    </row>
    <row r="22" spans="1:13" ht="15.6" x14ac:dyDescent="0.35">
      <c r="A22" s="14" t="s">
        <v>3</v>
      </c>
      <c r="B22" s="48"/>
      <c r="C22" s="48"/>
      <c r="D22" s="48"/>
      <c r="E22" s="48"/>
      <c r="F22" s="48"/>
      <c r="G22" s="48"/>
      <c r="H22" s="48"/>
      <c r="I22" s="48"/>
      <c r="J22" s="48"/>
      <c r="K22" s="26"/>
      <c r="L22" s="26"/>
      <c r="M22" s="26"/>
    </row>
    <row r="23" spans="1:13" ht="15.6" x14ac:dyDescent="0.35">
      <c r="A23" s="13" t="s">
        <v>76</v>
      </c>
      <c r="B23" s="48">
        <f>SUM(C23+E23+F23+G23+H23+I23+J23)</f>
        <v>42221234315</v>
      </c>
      <c r="C23" s="85">
        <v>12140200000</v>
      </c>
      <c r="D23" s="85"/>
      <c r="E23" s="48">
        <v>512828200</v>
      </c>
      <c r="F23" s="48">
        <v>101678500</v>
      </c>
      <c r="G23" s="48">
        <v>1710775000</v>
      </c>
      <c r="H23" s="48">
        <v>15622268827</v>
      </c>
      <c r="I23" s="48">
        <v>8280208788</v>
      </c>
      <c r="J23" s="85">
        <v>3853275000</v>
      </c>
      <c r="K23" s="85"/>
      <c r="L23" s="48">
        <v>0</v>
      </c>
      <c r="M23" s="48" t="s">
        <v>48</v>
      </c>
    </row>
    <row r="24" spans="1:13" ht="15.6" x14ac:dyDescent="0.35">
      <c r="A24" s="13" t="s">
        <v>112</v>
      </c>
      <c r="B24" s="48">
        <f>SUM(C24+E24+F24+G24+H24+I24+J24)</f>
        <v>43025368000</v>
      </c>
      <c r="C24" s="85">
        <v>21055950000</v>
      </c>
      <c r="D24" s="85"/>
      <c r="E24" s="48">
        <v>556900000</v>
      </c>
      <c r="F24" s="48">
        <v>134808000</v>
      </c>
      <c r="G24" s="48">
        <v>1701000000</v>
      </c>
      <c r="H24" s="48">
        <v>13066050000</v>
      </c>
      <c r="I24" s="48">
        <v>6510660000</v>
      </c>
      <c r="J24" s="85">
        <v>0</v>
      </c>
      <c r="K24" s="85"/>
      <c r="L24" s="47" t="s">
        <v>48</v>
      </c>
      <c r="M24" s="47">
        <v>0</v>
      </c>
    </row>
    <row r="25" spans="1:13" ht="15.6" x14ac:dyDescent="0.35">
      <c r="A25" s="13" t="s">
        <v>113</v>
      </c>
      <c r="B25" s="48">
        <f>SUM(C25+E25+F25+G25+H25+I25+J25+L25)</f>
        <v>42260794435</v>
      </c>
      <c r="C25" s="85">
        <v>19289861000</v>
      </c>
      <c r="D25" s="85"/>
      <c r="E25" s="48">
        <v>457360756</v>
      </c>
      <c r="F25" s="48">
        <v>97502996</v>
      </c>
      <c r="G25" s="48">
        <v>1582785000</v>
      </c>
      <c r="H25" s="48">
        <v>12536409422.000002</v>
      </c>
      <c r="I25" s="48">
        <v>8296875260.9999981</v>
      </c>
      <c r="J25" s="85">
        <v>0</v>
      </c>
      <c r="K25" s="85"/>
      <c r="L25" s="48">
        <v>0</v>
      </c>
      <c r="M25" s="48">
        <v>0</v>
      </c>
    </row>
    <row r="26" spans="1:13" ht="15.6" x14ac:dyDescent="0.35">
      <c r="A26" s="13" t="s">
        <v>94</v>
      </c>
      <c r="B26" s="48">
        <f>SUM(C26+E26+F26+G26+H26+I26+J26+M26)</f>
        <v>182205842000</v>
      </c>
      <c r="C26" s="72">
        <v>74036820000</v>
      </c>
      <c r="D26" s="72"/>
      <c r="E26" s="48">
        <v>1665600000</v>
      </c>
      <c r="F26" s="48">
        <v>358832000</v>
      </c>
      <c r="G26" s="48">
        <v>6797550000</v>
      </c>
      <c r="H26" s="48">
        <v>52219050000</v>
      </c>
      <c r="I26" s="48">
        <v>27128010000</v>
      </c>
      <c r="J26" s="85">
        <v>0</v>
      </c>
      <c r="K26" s="85"/>
      <c r="L26" s="47" t="s">
        <v>48</v>
      </c>
      <c r="M26" s="47">
        <v>19999980000</v>
      </c>
    </row>
    <row r="27" spans="1:13" ht="15.6" x14ac:dyDescent="0.35">
      <c r="A27" s="13" t="s">
        <v>114</v>
      </c>
      <c r="B27" s="48">
        <f>SUM(C27+E27+F27+G27+H27+I27+J27+L27)</f>
        <v>42260794435</v>
      </c>
      <c r="C27" s="85">
        <f>C25</f>
        <v>19289861000</v>
      </c>
      <c r="D27" s="85"/>
      <c r="E27" s="48">
        <f>E25</f>
        <v>457360756</v>
      </c>
      <c r="F27" s="48">
        <f t="shared" ref="F27:J27" si="0">F25</f>
        <v>97502996</v>
      </c>
      <c r="G27" s="48">
        <f t="shared" si="0"/>
        <v>1582785000</v>
      </c>
      <c r="H27" s="48">
        <f t="shared" si="0"/>
        <v>12536409422.000002</v>
      </c>
      <c r="I27" s="48">
        <f t="shared" si="0"/>
        <v>8296875260.9999981</v>
      </c>
      <c r="J27" s="85">
        <f t="shared" si="0"/>
        <v>0</v>
      </c>
      <c r="K27" s="85"/>
      <c r="L27" s="48">
        <f>L25</f>
        <v>0</v>
      </c>
      <c r="M27" s="48">
        <f>M25</f>
        <v>0</v>
      </c>
    </row>
    <row r="28" spans="1:13" ht="15.6" x14ac:dyDescent="0.35">
      <c r="A28" s="9"/>
      <c r="B28" s="48"/>
      <c r="C28" s="48"/>
      <c r="D28" s="48"/>
      <c r="E28" s="48"/>
      <c r="F28" s="48"/>
      <c r="G28" s="41"/>
      <c r="H28" s="48"/>
      <c r="I28" s="48"/>
      <c r="J28" s="48"/>
      <c r="K28" s="26"/>
      <c r="L28" s="48"/>
      <c r="M28" s="48"/>
    </row>
    <row r="29" spans="1:13" ht="15.6" x14ac:dyDescent="0.35">
      <c r="A29" s="14" t="s">
        <v>4</v>
      </c>
      <c r="B29" s="48"/>
      <c r="C29" s="48"/>
      <c r="D29" s="48"/>
      <c r="E29" s="48"/>
      <c r="F29" s="48"/>
      <c r="G29" s="48"/>
      <c r="H29" s="48"/>
      <c r="I29" s="48"/>
      <c r="J29" s="48"/>
      <c r="K29" s="26"/>
      <c r="L29" s="26"/>
      <c r="M29" s="26"/>
    </row>
    <row r="30" spans="1:13" ht="15.6" x14ac:dyDescent="0.35">
      <c r="A30" s="13" t="s">
        <v>112</v>
      </c>
      <c r="B30" s="47">
        <f>B24</f>
        <v>43025368000</v>
      </c>
      <c r="C30" s="48"/>
      <c r="D30" s="48"/>
      <c r="E30" s="48"/>
      <c r="F30" s="48"/>
      <c r="G30" s="48"/>
      <c r="H30" s="48"/>
      <c r="I30" s="48"/>
      <c r="J30" s="48"/>
      <c r="K30" s="26"/>
      <c r="L30" s="48"/>
      <c r="M30" s="48"/>
    </row>
    <row r="31" spans="1:13" ht="15.6" x14ac:dyDescent="0.35">
      <c r="A31" s="13" t="s">
        <v>113</v>
      </c>
      <c r="B31" s="47">
        <v>42439680514.050003</v>
      </c>
      <c r="C31" s="41"/>
      <c r="D31" s="48"/>
      <c r="E31" s="48"/>
      <c r="F31" s="48"/>
      <c r="G31" s="48"/>
      <c r="H31" s="48"/>
      <c r="I31" s="48"/>
      <c r="J31" s="48"/>
      <c r="K31" s="26"/>
      <c r="L31" s="26"/>
      <c r="M31" s="26"/>
    </row>
    <row r="32" spans="1:13" ht="15.6" x14ac:dyDescent="0.35">
      <c r="A32" s="9"/>
      <c r="B32" s="63"/>
      <c r="C32" s="63"/>
      <c r="D32" s="63"/>
      <c r="E32" s="63"/>
      <c r="F32" s="63"/>
      <c r="G32" s="63"/>
      <c r="H32" s="63"/>
      <c r="I32" s="63"/>
      <c r="J32" s="63"/>
      <c r="K32" s="20"/>
      <c r="L32" s="20"/>
      <c r="M32" s="20"/>
    </row>
    <row r="33" spans="1:13" ht="15.6" x14ac:dyDescent="0.35">
      <c r="A33" s="10" t="s">
        <v>5</v>
      </c>
      <c r="B33" s="63"/>
      <c r="C33" s="63"/>
      <c r="D33" s="63"/>
      <c r="E33" s="63"/>
      <c r="F33" s="63"/>
      <c r="G33" s="63"/>
      <c r="H33" s="63"/>
      <c r="I33" s="63"/>
      <c r="J33" s="63"/>
      <c r="K33" s="20"/>
      <c r="L33" s="20"/>
      <c r="M33" s="20"/>
    </row>
    <row r="34" spans="1:13" ht="15.6" x14ac:dyDescent="0.35">
      <c r="A34" s="13" t="s">
        <v>77</v>
      </c>
      <c r="B34" s="37">
        <v>1.0863</v>
      </c>
      <c r="C34" s="37">
        <v>1.0863</v>
      </c>
      <c r="D34" s="37">
        <v>1.0863</v>
      </c>
      <c r="E34" s="37">
        <v>1.0863</v>
      </c>
      <c r="F34" s="37">
        <v>1.0863</v>
      </c>
      <c r="G34" s="37">
        <v>1.0863</v>
      </c>
      <c r="H34" s="37">
        <v>1.0863</v>
      </c>
      <c r="I34" s="37">
        <v>1.0863</v>
      </c>
      <c r="J34" s="37">
        <v>1.0863</v>
      </c>
      <c r="K34" s="37">
        <v>1.0863</v>
      </c>
      <c r="L34" s="37">
        <v>1.0863</v>
      </c>
      <c r="M34" s="37">
        <v>1.0863</v>
      </c>
    </row>
    <row r="35" spans="1:13" ht="15.6" x14ac:dyDescent="0.35">
      <c r="A35" s="13" t="s">
        <v>115</v>
      </c>
      <c r="B35" s="37">
        <v>1.1197999999999999</v>
      </c>
      <c r="C35" s="37">
        <v>1.1197999999999999</v>
      </c>
      <c r="D35" s="37">
        <v>1.1197999999999999</v>
      </c>
      <c r="E35" s="37">
        <v>1.1197999999999999</v>
      </c>
      <c r="F35" s="37">
        <v>1.1197999999999999</v>
      </c>
      <c r="G35" s="37">
        <v>1.1197999999999999</v>
      </c>
      <c r="H35" s="37">
        <v>1.1197999999999999</v>
      </c>
      <c r="I35" s="37">
        <v>1.1197999999999999</v>
      </c>
      <c r="J35" s="37">
        <v>1.1197999999999999</v>
      </c>
      <c r="K35" s="37">
        <v>1.1197999999999999</v>
      </c>
      <c r="L35" s="37">
        <v>1.1197999999999999</v>
      </c>
      <c r="M35" s="37">
        <v>1.1197999999999999</v>
      </c>
    </row>
    <row r="36" spans="1:13" s="2" customFormat="1" ht="15.6" x14ac:dyDescent="0.35">
      <c r="A36" s="13" t="s">
        <v>6</v>
      </c>
      <c r="B36" s="43">
        <v>438418</v>
      </c>
      <c r="C36" s="73">
        <v>186599</v>
      </c>
      <c r="D36" s="73"/>
      <c r="E36" s="43">
        <v>164361</v>
      </c>
      <c r="F36" s="43" t="s">
        <v>56</v>
      </c>
      <c r="G36" s="43">
        <v>97440</v>
      </c>
      <c r="H36" s="43" t="s">
        <v>56</v>
      </c>
      <c r="I36" s="43" t="s">
        <v>56</v>
      </c>
      <c r="J36" s="43" t="s">
        <v>56</v>
      </c>
      <c r="K36" s="42" t="s">
        <v>56</v>
      </c>
      <c r="L36" s="42" t="s">
        <v>56</v>
      </c>
      <c r="M36" s="9"/>
    </row>
    <row r="37" spans="1:13" ht="15.6" x14ac:dyDescent="0.35">
      <c r="A37" s="9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</row>
    <row r="38" spans="1:13" ht="15.6" x14ac:dyDescent="0.35">
      <c r="A38" s="10" t="s">
        <v>7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</row>
    <row r="39" spans="1:13" ht="15.6" x14ac:dyDescent="0.35">
      <c r="A39" s="9" t="s">
        <v>78</v>
      </c>
      <c r="B39" s="49">
        <f>B23/B34</f>
        <v>38867011244.591728</v>
      </c>
      <c r="C39" s="87">
        <f>C23/C34</f>
        <v>11175734143.422626</v>
      </c>
      <c r="D39" s="87"/>
      <c r="E39" s="49">
        <f>E23/E34</f>
        <v>472087084.59909785</v>
      </c>
      <c r="F39" s="49">
        <f t="shared" ref="F39:I39" si="1">F23/F34</f>
        <v>93600754.855932981</v>
      </c>
      <c r="G39" s="49">
        <f t="shared" si="1"/>
        <v>1574864217.9876645</v>
      </c>
      <c r="H39" s="49">
        <f t="shared" si="1"/>
        <v>14381173549.663996</v>
      </c>
      <c r="I39" s="49">
        <f t="shared" si="1"/>
        <v>7622396012.1513395</v>
      </c>
      <c r="J39" s="87">
        <f>J23/J34</f>
        <v>3547155481.9110742</v>
      </c>
      <c r="K39" s="87"/>
      <c r="L39" s="49">
        <f t="shared" ref="L39" si="2">L23/L34</f>
        <v>0</v>
      </c>
      <c r="M39" s="49" t="s">
        <v>48</v>
      </c>
    </row>
    <row r="40" spans="1:13" ht="15.6" x14ac:dyDescent="0.35">
      <c r="A40" s="9" t="s">
        <v>116</v>
      </c>
      <c r="B40" s="49">
        <f>B25/B35</f>
        <v>37739591386.854797</v>
      </c>
      <c r="C40" s="87">
        <f>C25/C35</f>
        <v>17226166279.692802</v>
      </c>
      <c r="D40" s="87"/>
      <c r="E40" s="49">
        <f>E25/E35</f>
        <v>408430751.91998577</v>
      </c>
      <c r="F40" s="49">
        <f t="shared" ref="F40:J40" si="3">F25/F35</f>
        <v>87071794.963386327</v>
      </c>
      <c r="G40" s="49">
        <f t="shared" si="3"/>
        <v>1413453295.2312915</v>
      </c>
      <c r="H40" s="49">
        <f t="shared" si="3"/>
        <v>11195221844.972319</v>
      </c>
      <c r="I40" s="49">
        <f t="shared" si="3"/>
        <v>7409247420.0750122</v>
      </c>
      <c r="J40" s="87">
        <f t="shared" si="3"/>
        <v>0</v>
      </c>
      <c r="K40" s="87"/>
      <c r="L40" s="49">
        <f t="shared" ref="L40:M40" si="4">L25/L35</f>
        <v>0</v>
      </c>
      <c r="M40" s="49">
        <f t="shared" si="4"/>
        <v>0</v>
      </c>
    </row>
    <row r="41" spans="1:13" ht="15.6" x14ac:dyDescent="0.35">
      <c r="A41" s="9" t="s">
        <v>79</v>
      </c>
      <c r="B41" s="49">
        <f>B39/B15</f>
        <v>138918.91274131904</v>
      </c>
      <c r="C41" s="87">
        <f>C39/D15</f>
        <v>67351.695243339855</v>
      </c>
      <c r="D41" s="87"/>
      <c r="E41" s="49">
        <f>E39/E15</f>
        <v>265964.55470371712</v>
      </c>
      <c r="F41" s="49">
        <f t="shared" ref="F41:I41" si="5">F39/F15</f>
        <v>624005.03237288655</v>
      </c>
      <c r="G41" s="49">
        <f t="shared" si="5"/>
        <v>200849.91939646276</v>
      </c>
      <c r="H41" s="49">
        <f t="shared" si="5"/>
        <v>161328.81862269185</v>
      </c>
      <c r="I41" s="49">
        <f t="shared" si="5"/>
        <v>336648.52981853811</v>
      </c>
      <c r="J41" s="87">
        <f>J39/K15</f>
        <v>17482.715108361834</v>
      </c>
      <c r="K41" s="87"/>
      <c r="L41" s="49" t="s">
        <v>48</v>
      </c>
      <c r="M41" s="49" t="s">
        <v>48</v>
      </c>
    </row>
    <row r="42" spans="1:13" ht="15.6" x14ac:dyDescent="0.35">
      <c r="A42" s="9" t="s">
        <v>117</v>
      </c>
      <c r="B42" s="49">
        <f>B40/B18</f>
        <v>147828.53970478938</v>
      </c>
      <c r="C42" s="87">
        <f>C40/D18</f>
        <v>46190.676898161619</v>
      </c>
      <c r="D42" s="87"/>
      <c r="E42" s="49">
        <f>E40/E18</f>
        <v>265732.43456082355</v>
      </c>
      <c r="F42" s="49">
        <f t="shared" ref="F42:I42" si="6">F40/F18</f>
        <v>481059.6406816924</v>
      </c>
      <c r="G42" s="49">
        <f t="shared" si="6"/>
        <v>133811.72917081241</v>
      </c>
      <c r="H42" s="49">
        <f t="shared" si="6"/>
        <v>161156.53027253295</v>
      </c>
      <c r="I42" s="49">
        <f t="shared" si="6"/>
        <v>323110.52374841971</v>
      </c>
      <c r="J42" s="87" t="s">
        <v>48</v>
      </c>
      <c r="K42" s="87"/>
      <c r="L42" s="49" t="s">
        <v>48</v>
      </c>
      <c r="M42" s="49" t="s">
        <v>48</v>
      </c>
    </row>
    <row r="43" spans="1:13" ht="15.6" x14ac:dyDescent="0.35">
      <c r="A43" s="9"/>
      <c r="B43" s="28"/>
      <c r="C43" s="28"/>
      <c r="D43" s="28"/>
      <c r="E43" s="28"/>
      <c r="F43" s="28"/>
      <c r="G43" s="28"/>
      <c r="H43" s="28"/>
      <c r="I43" s="28"/>
      <c r="J43" s="28"/>
      <c r="K43" s="20"/>
      <c r="L43" s="20"/>
      <c r="M43" s="20"/>
    </row>
    <row r="44" spans="1:13" ht="15.6" x14ac:dyDescent="0.35">
      <c r="A44" s="10" t="s">
        <v>8</v>
      </c>
      <c r="B44" s="28"/>
      <c r="C44" s="28"/>
      <c r="D44" s="28"/>
      <c r="E44" s="28"/>
      <c r="F44" s="28"/>
      <c r="G44" s="28"/>
      <c r="H44" s="28"/>
      <c r="I44" s="28"/>
      <c r="J44" s="28"/>
      <c r="K44" s="20"/>
      <c r="L44" s="20"/>
      <c r="M44" s="20"/>
    </row>
    <row r="45" spans="1:13" ht="15.6" x14ac:dyDescent="0.35">
      <c r="A45" s="9"/>
      <c r="B45" s="28"/>
      <c r="C45" s="28"/>
      <c r="D45" s="28"/>
      <c r="E45" s="28"/>
      <c r="F45" s="28"/>
      <c r="G45" s="28"/>
      <c r="H45" s="28"/>
      <c r="I45" s="28"/>
      <c r="J45" s="28"/>
      <c r="K45" s="20"/>
      <c r="L45" s="20"/>
      <c r="M45" s="20"/>
    </row>
    <row r="46" spans="1:13" ht="15.6" x14ac:dyDescent="0.35">
      <c r="A46" s="10" t="s">
        <v>9</v>
      </c>
      <c r="B46" s="28"/>
      <c r="C46" s="28"/>
      <c r="D46" s="28"/>
      <c r="E46" s="28"/>
      <c r="F46" s="28"/>
      <c r="G46" s="28"/>
      <c r="H46" s="28"/>
      <c r="I46" s="28"/>
      <c r="J46" s="28"/>
      <c r="K46" s="20"/>
      <c r="L46" s="20"/>
      <c r="M46" s="20"/>
    </row>
    <row r="47" spans="1:13" ht="15.6" x14ac:dyDescent="0.35">
      <c r="A47" s="9" t="s">
        <v>10</v>
      </c>
      <c r="B47" s="38" t="s">
        <v>56</v>
      </c>
      <c r="C47" s="86">
        <f>(D16/C36)*100</f>
        <v>125.37848541524875</v>
      </c>
      <c r="D47" s="86"/>
      <c r="E47" s="50">
        <f>(E16/E36)*100</f>
        <v>1.1298300691769947</v>
      </c>
      <c r="F47" s="50" t="s">
        <v>48</v>
      </c>
      <c r="G47" s="50">
        <f t="shared" ref="G47" si="7">(G16/G36)*100</f>
        <v>7.7586206896551726</v>
      </c>
      <c r="H47" s="50" t="s">
        <v>48</v>
      </c>
      <c r="I47" s="50" t="s">
        <v>48</v>
      </c>
      <c r="J47" s="86" t="s">
        <v>56</v>
      </c>
      <c r="K47" s="86"/>
      <c r="L47" s="50" t="s">
        <v>48</v>
      </c>
      <c r="M47" s="50" t="s">
        <v>48</v>
      </c>
    </row>
    <row r="48" spans="1:13" ht="15.6" x14ac:dyDescent="0.35">
      <c r="A48" s="9" t="s">
        <v>11</v>
      </c>
      <c r="B48" s="38">
        <f>(B18/B36)*100</f>
        <v>58.230501484884286</v>
      </c>
      <c r="C48" s="86">
        <f>(D18/C36)*100</f>
        <v>199.85959195922806</v>
      </c>
      <c r="D48" s="86"/>
      <c r="E48" s="50">
        <f>(E18/E36)*100</f>
        <v>0.93513668084277901</v>
      </c>
      <c r="F48" s="50" t="s">
        <v>48</v>
      </c>
      <c r="G48" s="50">
        <f t="shared" ref="G48" si="8">(G18/G36)*100</f>
        <v>10.84051724137931</v>
      </c>
      <c r="H48" s="50" t="s">
        <v>48</v>
      </c>
      <c r="I48" s="50" t="s">
        <v>48</v>
      </c>
      <c r="J48" s="86" t="s">
        <v>56</v>
      </c>
      <c r="K48" s="86"/>
      <c r="L48" s="50" t="s">
        <v>48</v>
      </c>
      <c r="M48" s="50" t="s">
        <v>48</v>
      </c>
    </row>
    <row r="49" spans="1:13" ht="15.6" x14ac:dyDescent="0.35">
      <c r="A49" s="9"/>
      <c r="B49" s="50"/>
      <c r="C49" s="50"/>
      <c r="D49" s="50"/>
      <c r="E49" s="50"/>
      <c r="F49" s="50"/>
      <c r="G49" s="50"/>
      <c r="H49" s="50"/>
      <c r="I49" s="50"/>
      <c r="J49" s="50"/>
      <c r="K49" s="39"/>
      <c r="L49" s="39"/>
      <c r="M49" s="39"/>
    </row>
    <row r="50" spans="1:13" ht="15.6" x14ac:dyDescent="0.35">
      <c r="A50" s="10" t="s">
        <v>12</v>
      </c>
      <c r="B50" s="50"/>
      <c r="C50" s="50"/>
      <c r="D50" s="50"/>
      <c r="E50" s="50"/>
      <c r="F50" s="50"/>
      <c r="G50" s="50"/>
      <c r="H50" s="50"/>
      <c r="I50" s="50"/>
      <c r="J50" s="50"/>
      <c r="K50" s="39"/>
      <c r="L50" s="39"/>
      <c r="M50" s="39"/>
    </row>
    <row r="51" spans="1:13" ht="15.6" x14ac:dyDescent="0.35">
      <c r="A51" s="9" t="s">
        <v>13</v>
      </c>
      <c r="B51" s="38" t="s">
        <v>56</v>
      </c>
      <c r="C51" s="38" t="s">
        <v>56</v>
      </c>
      <c r="D51" s="50">
        <f>D18/D16*100</f>
        <v>159.40501378470216</v>
      </c>
      <c r="E51" s="50">
        <f>E18/E16*100</f>
        <v>82.767905223478735</v>
      </c>
      <c r="F51" s="50">
        <f t="shared" ref="F51:I51" si="9">F18/F16*100</f>
        <v>132.11678832116789</v>
      </c>
      <c r="G51" s="50">
        <f t="shared" si="9"/>
        <v>139.72222222222223</v>
      </c>
      <c r="H51" s="50">
        <f t="shared" si="9"/>
        <v>119.62391513982642</v>
      </c>
      <c r="I51" s="50">
        <f t="shared" si="9"/>
        <v>137.3607284054151</v>
      </c>
      <c r="J51" s="50" t="s">
        <v>56</v>
      </c>
      <c r="K51" s="50" t="s">
        <v>48</v>
      </c>
      <c r="L51" s="50" t="s">
        <v>48</v>
      </c>
      <c r="M51" s="50" t="s">
        <v>48</v>
      </c>
    </row>
    <row r="52" spans="1:13" ht="15.6" x14ac:dyDescent="0.35">
      <c r="A52" s="9" t="s">
        <v>14</v>
      </c>
      <c r="B52" s="50">
        <f>B25/B24*100</f>
        <v>98.22297030672695</v>
      </c>
      <c r="C52" s="86">
        <f>C25/C24*100</f>
        <v>91.612399345553158</v>
      </c>
      <c r="D52" s="86"/>
      <c r="E52" s="50">
        <f>E25/E24*100</f>
        <v>82.126190698509603</v>
      </c>
      <c r="F52" s="50">
        <f t="shared" ref="F52:I52" si="10">F25/F24*100</f>
        <v>72.327306984748688</v>
      </c>
      <c r="G52" s="50">
        <f t="shared" si="10"/>
        <v>93.050264550264544</v>
      </c>
      <c r="H52" s="50">
        <f t="shared" si="10"/>
        <v>95.946436926232508</v>
      </c>
      <c r="I52" s="50">
        <f t="shared" si="10"/>
        <v>127.43524098939277</v>
      </c>
      <c r="J52" s="86" t="s">
        <v>56</v>
      </c>
      <c r="K52" s="86"/>
      <c r="L52" s="50" t="s">
        <v>48</v>
      </c>
      <c r="M52" s="50" t="s">
        <v>48</v>
      </c>
    </row>
    <row r="53" spans="1:13" ht="15.6" x14ac:dyDescent="0.35">
      <c r="A53" s="9" t="s">
        <v>15</v>
      </c>
      <c r="B53" s="38" t="s">
        <v>56</v>
      </c>
      <c r="C53" s="38" t="s">
        <v>56</v>
      </c>
      <c r="D53" s="50">
        <f>AVERAGE(D51,C52)</f>
        <v>125.50870656512765</v>
      </c>
      <c r="E53" s="50">
        <f>AVERAGE(E51:E52)</f>
        <v>82.447047960994169</v>
      </c>
      <c r="F53" s="50">
        <f t="shared" ref="F53:I53" si="11">AVERAGE(F51:F52)</f>
        <v>102.22204765295828</v>
      </c>
      <c r="G53" s="50">
        <f t="shared" si="11"/>
        <v>116.38624338624339</v>
      </c>
      <c r="H53" s="50">
        <f t="shared" si="11"/>
        <v>107.78517603302947</v>
      </c>
      <c r="I53" s="50">
        <f t="shared" si="11"/>
        <v>132.39798469740393</v>
      </c>
      <c r="J53" s="50" t="s">
        <v>56</v>
      </c>
      <c r="K53" s="50" t="s">
        <v>48</v>
      </c>
      <c r="L53" s="50" t="s">
        <v>48</v>
      </c>
      <c r="M53" s="50" t="s">
        <v>48</v>
      </c>
    </row>
    <row r="54" spans="1:13" ht="15.6" x14ac:dyDescent="0.35">
      <c r="A54" s="9"/>
      <c r="B54" s="50"/>
      <c r="C54" s="50"/>
      <c r="D54" s="50"/>
      <c r="E54" s="50"/>
      <c r="F54" s="50"/>
      <c r="G54" s="50"/>
      <c r="H54" s="50"/>
      <c r="I54" s="50"/>
      <c r="J54" s="50"/>
      <c r="K54" s="39"/>
      <c r="L54" s="39"/>
      <c r="M54" s="39"/>
    </row>
    <row r="55" spans="1:13" ht="15.6" x14ac:dyDescent="0.35">
      <c r="A55" s="10" t="s">
        <v>16</v>
      </c>
      <c r="B55" s="50"/>
      <c r="C55" s="50"/>
      <c r="D55" s="50"/>
      <c r="E55" s="50"/>
      <c r="F55" s="50"/>
      <c r="G55" s="50"/>
      <c r="H55" s="50"/>
      <c r="I55" s="50"/>
      <c r="J55" s="50"/>
      <c r="K55" s="39"/>
      <c r="L55" s="39"/>
      <c r="M55" s="39"/>
    </row>
    <row r="56" spans="1:13" ht="15.6" x14ac:dyDescent="0.35">
      <c r="A56" s="9" t="s">
        <v>17</v>
      </c>
      <c r="B56" s="38" t="s">
        <v>56</v>
      </c>
      <c r="C56" s="86">
        <f>D18/D20*100</f>
        <v>159.40501378470216</v>
      </c>
      <c r="D56" s="86"/>
      <c r="E56" s="50">
        <f>E18/E20*100</f>
        <v>82.767905223478735</v>
      </c>
      <c r="F56" s="50">
        <f t="shared" ref="F56:I56" si="12">F18/F20*100</f>
        <v>132.11678832116789</v>
      </c>
      <c r="G56" s="50">
        <f t="shared" si="12"/>
        <v>139.72222222222223</v>
      </c>
      <c r="H56" s="50">
        <f t="shared" si="12"/>
        <v>119.14791437980242</v>
      </c>
      <c r="I56" s="50">
        <f t="shared" si="12"/>
        <v>117.45633355529375</v>
      </c>
      <c r="J56" s="86" t="s">
        <v>48</v>
      </c>
      <c r="K56" s="86"/>
      <c r="L56" s="50" t="s">
        <v>48</v>
      </c>
      <c r="M56" s="50">
        <f t="shared" ref="M56" si="13">M18/M20*100</f>
        <v>0</v>
      </c>
    </row>
    <row r="57" spans="1:13" ht="15.6" x14ac:dyDescent="0.35">
      <c r="A57" s="9" t="s">
        <v>18</v>
      </c>
      <c r="B57" s="50">
        <f>B25/B26*100</f>
        <v>23.19398432625448</v>
      </c>
      <c r="C57" s="86">
        <f>C25/C26*100</f>
        <v>26.054415897387273</v>
      </c>
      <c r="D57" s="86"/>
      <c r="E57" s="50">
        <f>E25/E26*100</f>
        <v>27.459219260326613</v>
      </c>
      <c r="F57" s="50">
        <f t="shared" ref="F57:I57" si="14">F25/F26*100</f>
        <v>27.172324653319656</v>
      </c>
      <c r="G57" s="50">
        <f t="shared" si="14"/>
        <v>23.284639318578019</v>
      </c>
      <c r="H57" s="50">
        <f t="shared" si="14"/>
        <v>24.007348701288137</v>
      </c>
      <c r="I57" s="50">
        <f t="shared" si="14"/>
        <v>30.58416471020174</v>
      </c>
      <c r="J57" s="86" t="s">
        <v>48</v>
      </c>
      <c r="K57" s="86"/>
      <c r="L57" s="50" t="s">
        <v>48</v>
      </c>
      <c r="M57" s="50">
        <f t="shared" ref="M57" si="15">M25/M26*100</f>
        <v>0</v>
      </c>
    </row>
    <row r="58" spans="1:13" ht="15.6" x14ac:dyDescent="0.35">
      <c r="A58" s="9" t="s">
        <v>19</v>
      </c>
      <c r="B58" s="38" t="s">
        <v>56</v>
      </c>
      <c r="C58" s="86">
        <f>(C56+C57)/2</f>
        <v>92.729714841044711</v>
      </c>
      <c r="D58" s="86"/>
      <c r="E58" s="50">
        <f>(E56+E57)/2</f>
        <v>55.11356224190267</v>
      </c>
      <c r="F58" s="50">
        <f t="shared" ref="F58:I58" si="16">(F56+F57)/2</f>
        <v>79.644556487243776</v>
      </c>
      <c r="G58" s="50">
        <f t="shared" si="16"/>
        <v>81.503430770400129</v>
      </c>
      <c r="H58" s="50">
        <f t="shared" si="16"/>
        <v>71.577631540545269</v>
      </c>
      <c r="I58" s="50">
        <f t="shared" si="16"/>
        <v>74.02024913274775</v>
      </c>
      <c r="J58" s="86" t="s">
        <v>48</v>
      </c>
      <c r="K58" s="86"/>
      <c r="L58" s="50" t="s">
        <v>48</v>
      </c>
      <c r="M58" s="50">
        <f t="shared" ref="M58" si="17">(M56+M57)/2</f>
        <v>0</v>
      </c>
    </row>
    <row r="59" spans="1:13" ht="15.6" x14ac:dyDescent="0.35">
      <c r="A59" s="9"/>
      <c r="B59" s="50"/>
      <c r="C59" s="50"/>
      <c r="D59" s="50"/>
      <c r="E59" s="50"/>
      <c r="F59" s="50"/>
      <c r="G59" s="50"/>
      <c r="H59" s="50"/>
      <c r="I59" s="50"/>
      <c r="J59" s="50"/>
      <c r="K59" s="39"/>
      <c r="L59" s="39"/>
      <c r="M59" s="39"/>
    </row>
    <row r="60" spans="1:13" ht="15.6" x14ac:dyDescent="0.35">
      <c r="A60" s="10" t="s">
        <v>30</v>
      </c>
      <c r="B60" s="50"/>
      <c r="C60" s="50"/>
      <c r="D60" s="50"/>
      <c r="E60" s="50"/>
      <c r="F60" s="50"/>
      <c r="G60" s="50"/>
      <c r="H60" s="50"/>
      <c r="I60" s="50"/>
      <c r="J60" s="50"/>
      <c r="K60" s="39"/>
      <c r="L60" s="39"/>
      <c r="M60" s="39"/>
    </row>
    <row r="61" spans="1:13" ht="15.6" x14ac:dyDescent="0.35">
      <c r="A61" s="9" t="s">
        <v>20</v>
      </c>
      <c r="B61" s="50">
        <f>B27/B25*100</f>
        <v>100</v>
      </c>
      <c r="C61" s="86">
        <f>C27/C25*100</f>
        <v>100</v>
      </c>
      <c r="D61" s="86"/>
      <c r="E61" s="50">
        <f>E27/E25*100</f>
        <v>100</v>
      </c>
      <c r="F61" s="50">
        <f t="shared" ref="F61:I61" si="18">F27/F25*100</f>
        <v>100</v>
      </c>
      <c r="G61" s="50">
        <f t="shared" si="18"/>
        <v>100</v>
      </c>
      <c r="H61" s="50">
        <f t="shared" si="18"/>
        <v>100</v>
      </c>
      <c r="I61" s="50">
        <f t="shared" si="18"/>
        <v>100</v>
      </c>
      <c r="J61" s="86" t="s">
        <v>48</v>
      </c>
      <c r="K61" s="86"/>
      <c r="L61" s="50" t="s">
        <v>48</v>
      </c>
      <c r="M61" s="50" t="s">
        <v>48</v>
      </c>
    </row>
    <row r="62" spans="1:13" ht="15.6" x14ac:dyDescent="0.35">
      <c r="A62" s="9"/>
      <c r="B62" s="50"/>
      <c r="C62" s="50"/>
      <c r="D62" s="50"/>
      <c r="E62" s="50"/>
      <c r="F62" s="50"/>
      <c r="G62" s="50"/>
      <c r="H62" s="50"/>
      <c r="I62" s="50"/>
      <c r="J62" s="50"/>
      <c r="K62" s="39"/>
      <c r="L62" s="39"/>
      <c r="M62" s="39"/>
    </row>
    <row r="63" spans="1:13" ht="15.6" x14ac:dyDescent="0.35">
      <c r="A63" s="10" t="s">
        <v>21</v>
      </c>
      <c r="B63" s="50"/>
      <c r="C63" s="50"/>
      <c r="D63" s="50"/>
      <c r="E63" s="50"/>
      <c r="F63" s="50"/>
      <c r="G63" s="50"/>
      <c r="H63" s="50"/>
      <c r="I63" s="50"/>
      <c r="J63" s="50"/>
      <c r="K63" s="39"/>
      <c r="L63" s="39"/>
      <c r="M63" s="39"/>
    </row>
    <row r="64" spans="1:13" ht="15.6" x14ac:dyDescent="0.35">
      <c r="A64" s="9" t="s">
        <v>22</v>
      </c>
      <c r="B64" s="50">
        <f>((B18/B15)-1)*100</f>
        <v>-8.752886175665342</v>
      </c>
      <c r="C64" s="86">
        <f>((D18/D15)-1)*100</f>
        <v>124.75366266701218</v>
      </c>
      <c r="D64" s="86"/>
      <c r="E64" s="50">
        <f>((E18/E15)-1)*100</f>
        <v>-13.40845070422535</v>
      </c>
      <c r="F64" s="50">
        <f t="shared" ref="F64:I64" si="19">((F18/F15)-1)*100</f>
        <v>20.666666666666679</v>
      </c>
      <c r="G64" s="50">
        <f t="shared" si="19"/>
        <v>34.714959826552729</v>
      </c>
      <c r="H64" s="50">
        <f t="shared" si="19"/>
        <v>-22.070404523120413</v>
      </c>
      <c r="I64" s="50">
        <f t="shared" si="19"/>
        <v>1.2763890115714105</v>
      </c>
      <c r="J64" s="86">
        <f>((K18/K15)-1)*100</f>
        <v>-100</v>
      </c>
      <c r="K64" s="86"/>
      <c r="L64" s="50" t="s">
        <v>48</v>
      </c>
      <c r="M64" s="50" t="s">
        <v>48</v>
      </c>
    </row>
    <row r="65" spans="1:13" ht="15.6" x14ac:dyDescent="0.35">
      <c r="A65" s="9" t="s">
        <v>23</v>
      </c>
      <c r="B65" s="50">
        <f>((B40/B39)-1)*100</f>
        <v>-2.9007114816264945</v>
      </c>
      <c r="C65" s="86">
        <f>((C40/C39)-1)*100</f>
        <v>54.139012780928589</v>
      </c>
      <c r="D65" s="86"/>
      <c r="E65" s="50">
        <f>((E40/E39)-1)*100</f>
        <v>-13.484023341407402</v>
      </c>
      <c r="F65" s="50">
        <f t="shared" ref="F65:I65" si="20">((F40/F39)-1)*100</f>
        <v>-6.9753282466533566</v>
      </c>
      <c r="G65" s="50">
        <f t="shared" si="20"/>
        <v>-10.249196147374606</v>
      </c>
      <c r="H65" s="50">
        <f t="shared" si="20"/>
        <v>-22.153628100580946</v>
      </c>
      <c r="I65" s="50">
        <f t="shared" si="20"/>
        <v>-2.796346342233258</v>
      </c>
      <c r="J65" s="86">
        <f>((J40/J39)-1)*100</f>
        <v>-100</v>
      </c>
      <c r="K65" s="86"/>
      <c r="L65" s="50" t="s">
        <v>48</v>
      </c>
      <c r="M65" s="50" t="s">
        <v>48</v>
      </c>
    </row>
    <row r="66" spans="1:13" ht="15.6" x14ac:dyDescent="0.35">
      <c r="A66" s="9" t="s">
        <v>24</v>
      </c>
      <c r="B66" s="50">
        <f>((B42/B41)-1)*100</f>
        <v>6.4135449865353911</v>
      </c>
      <c r="C66" s="86">
        <f>((C42/C41)-1)*100</f>
        <v>-31.418687040799863</v>
      </c>
      <c r="D66" s="86"/>
      <c r="E66" s="50">
        <f>((E42/E41)-1)*100</f>
        <v>-8.7274841247986235E-2</v>
      </c>
      <c r="F66" s="50">
        <f t="shared" ref="F66:I66" si="21">((F42/F41)-1)*100</f>
        <v>-22.907730591149189</v>
      </c>
      <c r="G66" s="50">
        <f t="shared" si="21"/>
        <v>-33.377255229723026</v>
      </c>
      <c r="H66" s="50">
        <f t="shared" si="21"/>
        <v>-0.10679328816126654</v>
      </c>
      <c r="I66" s="50">
        <f t="shared" si="21"/>
        <v>-4.0214065623324524</v>
      </c>
      <c r="J66" s="86" t="s">
        <v>48</v>
      </c>
      <c r="K66" s="86"/>
      <c r="L66" s="50" t="s">
        <v>48</v>
      </c>
      <c r="M66" s="50" t="s">
        <v>48</v>
      </c>
    </row>
    <row r="67" spans="1:13" ht="15.6" x14ac:dyDescent="0.35">
      <c r="A67" s="9"/>
      <c r="B67" s="50"/>
      <c r="C67" s="50"/>
      <c r="D67" s="50"/>
      <c r="E67" s="50"/>
      <c r="F67" s="50"/>
      <c r="G67" s="50"/>
      <c r="H67" s="50"/>
      <c r="I67" s="50"/>
      <c r="J67" s="50"/>
      <c r="K67" s="39"/>
      <c r="L67" s="39"/>
      <c r="M67" s="39"/>
    </row>
    <row r="68" spans="1:13" ht="15.6" x14ac:dyDescent="0.35">
      <c r="A68" s="10" t="s">
        <v>25</v>
      </c>
      <c r="B68" s="50"/>
      <c r="C68" s="50"/>
      <c r="D68" s="50"/>
      <c r="E68" s="50"/>
      <c r="F68" s="50"/>
      <c r="G68" s="50"/>
      <c r="H68" s="50"/>
      <c r="I68" s="50"/>
      <c r="J68" s="50"/>
      <c r="K68" s="39"/>
      <c r="L68" s="39"/>
      <c r="M68" s="39"/>
    </row>
    <row r="69" spans="1:13" ht="15.6" x14ac:dyDescent="0.35">
      <c r="A69" s="9" t="s">
        <v>31</v>
      </c>
      <c r="B69" s="50">
        <f>(B24/B17)*3</f>
        <v>135183.56215458186</v>
      </c>
      <c r="C69" s="86">
        <f>(C24/D17)*3</f>
        <v>90000</v>
      </c>
      <c r="D69" s="86"/>
      <c r="E69" s="50">
        <f>(E24/E17)*3</f>
        <v>300000</v>
      </c>
      <c r="F69" s="50">
        <f t="shared" ref="F69:I69" si="22">(F24/F17)*3</f>
        <v>984000</v>
      </c>
      <c r="G69" s="50">
        <f t="shared" si="22"/>
        <v>225000</v>
      </c>
      <c r="H69" s="50">
        <f t="shared" si="22"/>
        <v>225000</v>
      </c>
      <c r="I69" s="50">
        <f t="shared" si="22"/>
        <v>390000</v>
      </c>
      <c r="J69" s="86" t="s">
        <v>48</v>
      </c>
      <c r="K69" s="86"/>
      <c r="L69" s="50" t="s">
        <v>48</v>
      </c>
      <c r="M69" s="50" t="s">
        <v>48</v>
      </c>
    </row>
    <row r="70" spans="1:13" ht="15.6" x14ac:dyDescent="0.35">
      <c r="A70" s="9" t="s">
        <v>32</v>
      </c>
      <c r="B70" s="50">
        <f>(B25/B19)*3</f>
        <v>93367.678441367927</v>
      </c>
      <c r="C70" s="86">
        <f>(C25/D19)*3</f>
        <v>52542.699081699175</v>
      </c>
      <c r="D70" s="86"/>
      <c r="E70" s="50">
        <f>(E25/E19)*3</f>
        <v>302553.97309812566</v>
      </c>
      <c r="F70" s="50">
        <f t="shared" ref="F70:I70" si="23">(F25/F19)*3</f>
        <v>603111.31546391756</v>
      </c>
      <c r="G70" s="50">
        <f t="shared" si="23"/>
        <v>207669.14498141262</v>
      </c>
      <c r="H70" s="50">
        <f t="shared" si="23"/>
        <v>229168.05758262653</v>
      </c>
      <c r="I70" s="50">
        <f t="shared" si="23"/>
        <v>385877.2445584769</v>
      </c>
      <c r="J70" s="86" t="s">
        <v>48</v>
      </c>
      <c r="K70" s="86"/>
      <c r="L70" s="50" t="s">
        <v>48</v>
      </c>
      <c r="M70" s="50" t="s">
        <v>48</v>
      </c>
    </row>
    <row r="71" spans="1:13" ht="15.6" x14ac:dyDescent="0.35">
      <c r="A71" s="9" t="s">
        <v>26</v>
      </c>
      <c r="B71" s="38" t="s">
        <v>56</v>
      </c>
      <c r="C71" s="86">
        <f>(C70/C69)*D53</f>
        <v>73.272957790942044</v>
      </c>
      <c r="D71" s="86"/>
      <c r="E71" s="50">
        <f>(E70/E69)*E53</f>
        <v>83.148939769368354</v>
      </c>
      <c r="F71" s="50">
        <f t="shared" ref="F71:I71" si="24">(F70/F69)*F53</f>
        <v>62.653733363202164</v>
      </c>
      <c r="G71" s="50">
        <f t="shared" si="24"/>
        <v>107.42147400719891</v>
      </c>
      <c r="H71" s="50">
        <f t="shared" si="24"/>
        <v>109.78186412307039</v>
      </c>
      <c r="I71" s="50">
        <f t="shared" si="24"/>
        <v>130.99838338494774</v>
      </c>
      <c r="J71" s="86" t="s">
        <v>48</v>
      </c>
      <c r="K71" s="86"/>
      <c r="L71" s="50" t="s">
        <v>48</v>
      </c>
      <c r="M71" s="50" t="s">
        <v>48</v>
      </c>
    </row>
    <row r="72" spans="1:13" ht="15.6" x14ac:dyDescent="0.35">
      <c r="A72" s="9" t="s">
        <v>33</v>
      </c>
      <c r="B72" s="50">
        <f>B24/B17</f>
        <v>45061.187384860619</v>
      </c>
      <c r="C72" s="86">
        <f>C24/D17</f>
        <v>30000</v>
      </c>
      <c r="D72" s="86"/>
      <c r="E72" s="50">
        <f>E24/E17</f>
        <v>100000</v>
      </c>
      <c r="F72" s="50">
        <f>F24/F17</f>
        <v>328000</v>
      </c>
      <c r="G72" s="50">
        <f t="shared" ref="G72:I72" si="25">G24/G17</f>
        <v>75000</v>
      </c>
      <c r="H72" s="50">
        <f t="shared" si="25"/>
        <v>75000</v>
      </c>
      <c r="I72" s="50">
        <f t="shared" si="25"/>
        <v>130000</v>
      </c>
      <c r="J72" s="86" t="s">
        <v>48</v>
      </c>
      <c r="K72" s="86"/>
      <c r="L72" s="50" t="s">
        <v>48</v>
      </c>
      <c r="M72" s="50" t="s">
        <v>48</v>
      </c>
    </row>
    <row r="73" spans="1:13" ht="15.6" x14ac:dyDescent="0.35">
      <c r="A73" s="9" t="s">
        <v>34</v>
      </c>
      <c r="B73" s="50">
        <f>B25/B19</f>
        <v>31122.559480455973</v>
      </c>
      <c r="C73" s="86">
        <f>C25/D19</f>
        <v>17514.233027233058</v>
      </c>
      <c r="D73" s="86"/>
      <c r="E73" s="50">
        <f>E25/E19</f>
        <v>100851.3243660419</v>
      </c>
      <c r="F73" s="50">
        <f>F25/F19</f>
        <v>201037.10515463917</v>
      </c>
      <c r="G73" s="50">
        <f t="shared" ref="G73:I73" si="26">G25/G19</f>
        <v>69223.048327137541</v>
      </c>
      <c r="H73" s="50">
        <f t="shared" si="26"/>
        <v>76389.352527542171</v>
      </c>
      <c r="I73" s="50">
        <f t="shared" si="26"/>
        <v>128625.74818615896</v>
      </c>
      <c r="J73" s="86" t="s">
        <v>48</v>
      </c>
      <c r="K73" s="86"/>
      <c r="L73" s="50" t="s">
        <v>48</v>
      </c>
      <c r="M73" s="50" t="s">
        <v>48</v>
      </c>
    </row>
    <row r="74" spans="1:13" ht="15.6" x14ac:dyDescent="0.35">
      <c r="A74" s="9"/>
      <c r="B74" s="50"/>
      <c r="C74" s="50"/>
      <c r="D74" s="50"/>
      <c r="E74" s="50"/>
      <c r="F74" s="50"/>
      <c r="G74" s="50"/>
      <c r="H74" s="50"/>
      <c r="I74" s="50"/>
      <c r="J74" s="50"/>
      <c r="K74" s="39"/>
      <c r="L74" s="39"/>
      <c r="M74" s="39"/>
    </row>
    <row r="75" spans="1:13" ht="15.6" x14ac:dyDescent="0.35">
      <c r="A75" s="10" t="s">
        <v>27</v>
      </c>
      <c r="B75" s="50"/>
      <c r="C75" s="50"/>
      <c r="D75" s="50"/>
      <c r="E75" s="50"/>
      <c r="F75" s="50"/>
      <c r="G75" s="50"/>
      <c r="H75" s="50"/>
      <c r="I75" s="50"/>
      <c r="J75" s="50"/>
      <c r="K75" s="39"/>
      <c r="L75" s="39"/>
      <c r="M75" s="39"/>
    </row>
    <row r="76" spans="1:13" ht="15.6" x14ac:dyDescent="0.35">
      <c r="A76" s="9" t="s">
        <v>28</v>
      </c>
      <c r="B76" s="50">
        <f>(B31/B30)*100</f>
        <v>98.638739159767326</v>
      </c>
      <c r="C76" s="50"/>
      <c r="D76" s="50"/>
      <c r="E76" s="50"/>
      <c r="F76" s="50"/>
      <c r="G76" s="50"/>
      <c r="H76" s="50"/>
      <c r="I76" s="50"/>
      <c r="J76" s="50"/>
      <c r="K76" s="39"/>
      <c r="L76" s="39"/>
      <c r="M76" s="39"/>
    </row>
    <row r="77" spans="1:13" ht="15.6" x14ac:dyDescent="0.35">
      <c r="A77" s="9" t="s">
        <v>29</v>
      </c>
      <c r="B77" s="50">
        <f>(B25/B31)*100</f>
        <v>99.578493341883714</v>
      </c>
      <c r="C77" s="50"/>
      <c r="D77" s="50"/>
      <c r="E77" s="50"/>
      <c r="F77" s="50"/>
      <c r="G77" s="50"/>
      <c r="H77" s="50"/>
      <c r="I77" s="50"/>
      <c r="J77" s="50"/>
      <c r="K77" s="39"/>
      <c r="L77" s="39"/>
      <c r="M77" s="39"/>
    </row>
    <row r="78" spans="1:13" ht="16.2" thickBot="1" x14ac:dyDescent="0.4">
      <c r="A78" s="24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</row>
    <row r="79" spans="1:13" s="2" customFormat="1" ht="16.2" thickTop="1" x14ac:dyDescent="0.35">
      <c r="A79" s="81" t="s">
        <v>99</v>
      </c>
      <c r="B79" s="81"/>
      <c r="C79" s="81"/>
      <c r="D79" s="81"/>
      <c r="E79" s="81"/>
      <c r="F79" s="81"/>
      <c r="G79" s="9"/>
      <c r="H79" s="9"/>
      <c r="I79" s="9"/>
      <c r="J79" s="9"/>
      <c r="K79" s="9"/>
      <c r="L79" s="9"/>
      <c r="M79" s="9"/>
    </row>
    <row r="80" spans="1:13" ht="15.6" x14ac:dyDescent="0.35">
      <c r="A80" s="9"/>
      <c r="B80" s="29"/>
      <c r="C80" s="29"/>
      <c r="D80" s="29"/>
      <c r="E80" s="29"/>
      <c r="F80" s="20"/>
      <c r="G80" s="20"/>
      <c r="H80" s="20"/>
      <c r="I80" s="20"/>
      <c r="J80" s="20"/>
      <c r="K80" s="20"/>
      <c r="L80" s="20"/>
      <c r="M80" s="20"/>
    </row>
    <row r="81" spans="1:1" x14ac:dyDescent="0.3">
      <c r="A81" s="8"/>
    </row>
    <row r="82" spans="1:1" x14ac:dyDescent="0.3">
      <c r="A82" s="6"/>
    </row>
    <row r="83" spans="1:1" x14ac:dyDescent="0.3">
      <c r="A83" s="2"/>
    </row>
    <row r="84" spans="1:1" x14ac:dyDescent="0.3">
      <c r="A84" s="2"/>
    </row>
    <row r="85" spans="1:1" x14ac:dyDescent="0.3">
      <c r="A85" s="2"/>
    </row>
    <row r="86" spans="1:1" x14ac:dyDescent="0.3">
      <c r="A86" s="2"/>
    </row>
    <row r="87" spans="1:1" x14ac:dyDescent="0.3">
      <c r="A87" s="2"/>
    </row>
    <row r="88" spans="1:1" x14ac:dyDescent="0.3">
      <c r="A88" s="2"/>
    </row>
    <row r="89" spans="1:1" x14ac:dyDescent="0.3">
      <c r="A89" s="33"/>
    </row>
    <row r="90" spans="1:1" x14ac:dyDescent="0.3">
      <c r="A90" s="33"/>
    </row>
    <row r="91" spans="1:1" x14ac:dyDescent="0.3">
      <c r="A91" s="2"/>
    </row>
    <row r="92" spans="1:1" x14ac:dyDescent="0.3">
      <c r="A92" s="2"/>
    </row>
    <row r="93" spans="1:1" x14ac:dyDescent="0.3">
      <c r="A93" s="2"/>
    </row>
    <row r="94" spans="1:1" x14ac:dyDescent="0.3">
      <c r="A94" s="7"/>
    </row>
  </sheetData>
  <mergeCells count="55">
    <mergeCell ref="A79:F79"/>
    <mergeCell ref="J23:K23"/>
    <mergeCell ref="J24:K24"/>
    <mergeCell ref="J25:K25"/>
    <mergeCell ref="J26:K26"/>
    <mergeCell ref="J27:K27"/>
    <mergeCell ref="C39:D39"/>
    <mergeCell ref="C40:D40"/>
    <mergeCell ref="C41:D41"/>
    <mergeCell ref="C42:D42"/>
    <mergeCell ref="C27:D27"/>
    <mergeCell ref="C36:D36"/>
    <mergeCell ref="C26:D26"/>
    <mergeCell ref="C24:D24"/>
    <mergeCell ref="C72:D72"/>
    <mergeCell ref="C73:D73"/>
    <mergeCell ref="B9:B10"/>
    <mergeCell ref="C23:D23"/>
    <mergeCell ref="C25:D25"/>
    <mergeCell ref="C10:D10"/>
    <mergeCell ref="A9:A10"/>
    <mergeCell ref="C9:L9"/>
    <mergeCell ref="J10:K10"/>
    <mergeCell ref="C47:D47"/>
    <mergeCell ref="C48:D48"/>
    <mergeCell ref="C52:D52"/>
    <mergeCell ref="C65:D65"/>
    <mergeCell ref="C66:D66"/>
    <mergeCell ref="C69:D69"/>
    <mergeCell ref="C70:D70"/>
    <mergeCell ref="C71:D71"/>
    <mergeCell ref="C64:D64"/>
    <mergeCell ref="C56:D56"/>
    <mergeCell ref="C57:D57"/>
    <mergeCell ref="C58:D58"/>
    <mergeCell ref="C61:D61"/>
    <mergeCell ref="J40:K40"/>
    <mergeCell ref="J39:K39"/>
    <mergeCell ref="J41:K41"/>
    <mergeCell ref="J42:K42"/>
    <mergeCell ref="J69:K69"/>
    <mergeCell ref="J61:K61"/>
    <mergeCell ref="J58:K58"/>
    <mergeCell ref="J57:K57"/>
    <mergeCell ref="J56:K56"/>
    <mergeCell ref="J48:K48"/>
    <mergeCell ref="J47:K47"/>
    <mergeCell ref="J52:K52"/>
    <mergeCell ref="J70:K70"/>
    <mergeCell ref="J71:K71"/>
    <mergeCell ref="J72:K72"/>
    <mergeCell ref="J73:K73"/>
    <mergeCell ref="J64:K64"/>
    <mergeCell ref="J65:K65"/>
    <mergeCell ref="J66:K66"/>
  </mergeCells>
  <pageMargins left="0.7" right="0.7" top="0.75" bottom="0.75" header="0.3" footer="0.3"/>
  <pageSetup paperSize="9" orientation="portrait" r:id="rId1"/>
  <ignoredErrors>
    <ignoredError sqref="B25:B26" formula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8:M94"/>
  <sheetViews>
    <sheetView showGridLines="0" zoomScale="70" zoomScaleNormal="70" zoomScalePageLayoutView="9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3.44140625" style="5" customWidth="1"/>
    <col min="2" max="13" width="18.6640625" style="5" customWidth="1"/>
    <col min="14" max="16384" width="11.44140625" style="5"/>
  </cols>
  <sheetData>
    <row r="8" spans="1:13" ht="17.25" customHeight="1" x14ac:dyDescent="0.3"/>
    <row r="9" spans="1:13" s="2" customFormat="1" ht="21.75" customHeight="1" x14ac:dyDescent="0.3">
      <c r="A9" s="68" t="s">
        <v>0</v>
      </c>
      <c r="B9" s="70" t="s">
        <v>58</v>
      </c>
      <c r="C9" s="76" t="s">
        <v>59</v>
      </c>
      <c r="D9" s="76"/>
      <c r="E9" s="76"/>
      <c r="F9" s="76"/>
      <c r="G9" s="76"/>
      <c r="H9" s="76"/>
      <c r="I9" s="76"/>
      <c r="J9" s="76"/>
      <c r="K9" s="76"/>
      <c r="L9" s="76"/>
    </row>
    <row r="10" spans="1:13" s="2" customFormat="1" ht="51.75" customHeight="1" thickBot="1" x14ac:dyDescent="0.35">
      <c r="A10" s="69"/>
      <c r="B10" s="71"/>
      <c r="C10" s="75" t="s">
        <v>1</v>
      </c>
      <c r="D10" s="75"/>
      <c r="E10" s="44" t="s">
        <v>44</v>
      </c>
      <c r="F10" s="44" t="s">
        <v>45</v>
      </c>
      <c r="G10" s="45" t="s">
        <v>46</v>
      </c>
      <c r="H10" s="45" t="s">
        <v>53</v>
      </c>
      <c r="I10" s="44" t="s">
        <v>60</v>
      </c>
      <c r="J10" s="77" t="s">
        <v>61</v>
      </c>
      <c r="K10" s="77"/>
      <c r="L10" s="44" t="s">
        <v>54</v>
      </c>
      <c r="M10" s="45" t="s">
        <v>118</v>
      </c>
    </row>
    <row r="11" spans="1:13" ht="16.2" thickTop="1" x14ac:dyDescent="0.3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pans="1:13" ht="15.6" x14ac:dyDescent="0.35">
      <c r="A12" s="10" t="s">
        <v>2</v>
      </c>
      <c r="B12" s="20"/>
      <c r="C12" s="20"/>
      <c r="D12" s="21"/>
      <c r="E12" s="21"/>
      <c r="F12" s="20"/>
      <c r="G12" s="20"/>
      <c r="H12" s="20"/>
      <c r="I12" s="20"/>
      <c r="J12" s="20"/>
      <c r="K12" s="20"/>
      <c r="L12" s="20"/>
      <c r="M12" s="20"/>
    </row>
    <row r="13" spans="1:13" ht="15.6" x14ac:dyDescent="0.35">
      <c r="A13" s="9"/>
      <c r="B13" s="20"/>
      <c r="C13" s="20"/>
      <c r="D13" s="21"/>
      <c r="E13" s="21"/>
      <c r="F13" s="20"/>
      <c r="G13" s="20"/>
      <c r="H13" s="20"/>
      <c r="I13" s="20"/>
      <c r="J13" s="20"/>
      <c r="K13" s="20"/>
      <c r="L13" s="20"/>
      <c r="M13" s="20"/>
    </row>
    <row r="14" spans="1:13" s="62" customFormat="1" ht="31.2" x14ac:dyDescent="0.3">
      <c r="A14" s="55" t="s">
        <v>41</v>
      </c>
      <c r="B14" s="11" t="s">
        <v>57</v>
      </c>
      <c r="C14" s="11" t="s">
        <v>42</v>
      </c>
      <c r="D14" s="11" t="s">
        <v>43</v>
      </c>
      <c r="E14" s="12" t="s">
        <v>42</v>
      </c>
      <c r="F14" s="12" t="s">
        <v>42</v>
      </c>
      <c r="G14" s="12" t="s">
        <v>42</v>
      </c>
      <c r="H14" s="54" t="s">
        <v>63</v>
      </c>
      <c r="I14" s="12" t="s">
        <v>51</v>
      </c>
      <c r="J14" s="12" t="s">
        <v>42</v>
      </c>
      <c r="K14" s="12" t="s">
        <v>62</v>
      </c>
      <c r="L14" s="12" t="s">
        <v>57</v>
      </c>
      <c r="M14" s="12" t="s">
        <v>57</v>
      </c>
    </row>
    <row r="15" spans="1:13" ht="15.6" x14ac:dyDescent="0.35">
      <c r="A15" s="13" t="s">
        <v>80</v>
      </c>
      <c r="B15" s="48">
        <v>296218</v>
      </c>
      <c r="C15" s="48">
        <v>139170</v>
      </c>
      <c r="D15" s="48">
        <v>174458</v>
      </c>
      <c r="E15" s="48">
        <v>1803</v>
      </c>
      <c r="F15" s="48">
        <v>155</v>
      </c>
      <c r="G15" s="48">
        <v>8197</v>
      </c>
      <c r="H15" s="48">
        <v>106475</v>
      </c>
      <c r="I15" s="48">
        <v>24638</v>
      </c>
      <c r="J15" s="48">
        <v>152020</v>
      </c>
      <c r="K15" s="48">
        <v>209346</v>
      </c>
      <c r="L15" s="47" t="s">
        <v>48</v>
      </c>
      <c r="M15" s="47" t="s">
        <v>48</v>
      </c>
    </row>
    <row r="16" spans="1:13" ht="15.6" x14ac:dyDescent="0.35">
      <c r="A16" s="13" t="s">
        <v>119</v>
      </c>
      <c r="B16" s="48" t="str">
        <f>+'III Trimestre'!B16</f>
        <v>n.d</v>
      </c>
      <c r="C16" s="48" t="str">
        <f>+'III Trimestre'!C16</f>
        <v>n.d</v>
      </c>
      <c r="D16" s="48">
        <f>+'III Trimestre'!D16</f>
        <v>233955</v>
      </c>
      <c r="E16" s="48">
        <f>+'III Trimestre'!E16</f>
        <v>1857</v>
      </c>
      <c r="F16" s="48">
        <f>+'III Trimestre'!F16</f>
        <v>137</v>
      </c>
      <c r="G16" s="48">
        <f>+'III Trimestre'!G16</f>
        <v>7560</v>
      </c>
      <c r="H16" s="48">
        <f>+'III Trimestre'!H16</f>
        <v>58072</v>
      </c>
      <c r="I16" s="48">
        <f>+'III Trimestre'!I16</f>
        <v>16694</v>
      </c>
      <c r="J16" s="48" t="str">
        <f>+'III Trimestre'!J16</f>
        <v xml:space="preserve">n.d. </v>
      </c>
      <c r="K16" s="48">
        <f>+'III Trimestre'!K16</f>
        <v>0</v>
      </c>
      <c r="L16" s="48" t="str">
        <f>+'III Trimestre'!L16</f>
        <v>n.d.</v>
      </c>
      <c r="M16" s="48">
        <f>+'III Trimestre'!M16</f>
        <v>0</v>
      </c>
    </row>
    <row r="17" spans="1:13" ht="15.6" x14ac:dyDescent="0.35">
      <c r="A17" s="13" t="s">
        <v>55</v>
      </c>
      <c r="B17" s="48">
        <f>+'I Trimestre'!B17+'II Trimestre'!B17+'III Trimestre'!B17</f>
        <v>2850925</v>
      </c>
      <c r="C17" s="48" t="str">
        <f>'III Trimestre'!C17</f>
        <v>n.d</v>
      </c>
      <c r="D17" s="48">
        <f>+'I Trimestre'!D17+'II Trimestre'!D17+'III Trimestre'!D17</f>
        <v>2094334</v>
      </c>
      <c r="E17" s="48">
        <f>+'I Trimestre'!E17+'II Trimestre'!E17+'III Trimestre'!E17</f>
        <v>16500</v>
      </c>
      <c r="F17" s="48">
        <f>+'I Trimestre'!F17+'II Trimestre'!F17+'III Trimestre'!F17</f>
        <v>683</v>
      </c>
      <c r="G17" s="48">
        <f>+'I Trimestre'!G17+'II Trimestre'!G17+'III Trimestre'!G17</f>
        <v>67954</v>
      </c>
      <c r="H17" s="48">
        <f>+'I Trimestre'!H17+'II Trimestre'!H17+'III Trimestre'!H17</f>
        <v>521346</v>
      </c>
      <c r="I17" s="48">
        <f>+'I Trimestre'!I17+'II Trimestre'!I17+'III Trimestre'!I17</f>
        <v>150108</v>
      </c>
      <c r="J17" s="48" t="str">
        <f>'III Trimestre'!J17</f>
        <v xml:space="preserve">n.d. </v>
      </c>
      <c r="K17" s="48">
        <f>+'I Trimestre'!K17+'II Trimestre'!K17+'III Trimestre'!K17</f>
        <v>0</v>
      </c>
      <c r="L17" s="48" t="str">
        <f>'III Trimestre'!L17</f>
        <v>n.d.</v>
      </c>
      <c r="M17" s="48">
        <f>'III Trimestre'!M17</f>
        <v>0</v>
      </c>
    </row>
    <row r="18" spans="1:13" ht="15.6" x14ac:dyDescent="0.35">
      <c r="A18" s="13" t="s">
        <v>120</v>
      </c>
      <c r="B18" s="48">
        <v>265850</v>
      </c>
      <c r="C18" s="48">
        <v>228050</v>
      </c>
      <c r="D18" s="48">
        <v>386371</v>
      </c>
      <c r="E18" s="48">
        <v>1583</v>
      </c>
      <c r="F18" s="48">
        <v>189</v>
      </c>
      <c r="G18" s="48">
        <v>11335</v>
      </c>
      <c r="H18" s="48">
        <v>74078</v>
      </c>
      <c r="I18" s="48">
        <v>27252</v>
      </c>
      <c r="J18" s="48">
        <v>0</v>
      </c>
      <c r="K18" s="48">
        <v>0</v>
      </c>
      <c r="L18" s="47" t="s">
        <v>48</v>
      </c>
      <c r="M18" s="47">
        <v>0</v>
      </c>
    </row>
    <row r="19" spans="1:13" ht="15.6" x14ac:dyDescent="0.35">
      <c r="A19" s="13" t="s">
        <v>55</v>
      </c>
      <c r="B19" s="48">
        <f>+'I Trimestre'!B19+'II Trimestre'!B19+'III Trimestre'!B19</f>
        <v>2779435</v>
      </c>
      <c r="C19" s="48" t="str">
        <f>'III Trimestre'!C19</f>
        <v>n.d</v>
      </c>
      <c r="D19" s="48">
        <f>+'I Trimestre'!D19+'II Trimestre'!D19+'III Trimestre'!D19</f>
        <v>2096781</v>
      </c>
      <c r="E19" s="48">
        <f>+'I Trimestre'!E19+'II Trimestre'!E19+'III Trimestre'!E19</f>
        <v>12594</v>
      </c>
      <c r="F19" s="48">
        <f>+'I Trimestre'!F19+'II Trimestre'!F19+'III Trimestre'!F19</f>
        <v>963</v>
      </c>
      <c r="G19" s="48">
        <f>+'I Trimestre'!G19+'II Trimestre'!G19+'III Trimestre'!G19</f>
        <v>69125</v>
      </c>
      <c r="H19" s="48">
        <f>+'I Trimestre'!H19+'II Trimestre'!H19+'III Trimestre'!H19</f>
        <v>409867</v>
      </c>
      <c r="I19" s="48">
        <f>+'I Trimestre'!I19+'II Trimestre'!I19+'III Trimestre'!I19</f>
        <v>190105</v>
      </c>
      <c r="J19" s="48" t="str">
        <f>'III Trimestre'!J19</f>
        <v xml:space="preserve">n.d. </v>
      </c>
      <c r="K19" s="48">
        <f>+'I Trimestre'!K19+'II Trimestre'!K19+'III Trimestre'!K19</f>
        <v>0</v>
      </c>
      <c r="L19" s="48" t="str">
        <f>'III Trimestre'!L19</f>
        <v>n.d.</v>
      </c>
      <c r="M19" s="48">
        <f>+'I Trimestre'!M19+'II Trimestre'!M19+'III Trimestre'!M19</f>
        <v>0</v>
      </c>
    </row>
    <row r="20" spans="1:13" ht="15.6" x14ac:dyDescent="0.35">
      <c r="A20" s="13" t="s">
        <v>94</v>
      </c>
      <c r="B20" s="48" t="str">
        <f>'III Trimestre'!B20</f>
        <v>n.d</v>
      </c>
      <c r="C20" s="48" t="str">
        <f>'III Trimestre'!C20</f>
        <v>n.d</v>
      </c>
      <c r="D20" s="48">
        <f>'III Trimestre'!D20</f>
        <v>233955</v>
      </c>
      <c r="E20" s="48">
        <f>'III Trimestre'!E20</f>
        <v>1857</v>
      </c>
      <c r="F20" s="48">
        <f>'III Trimestre'!F20</f>
        <v>137</v>
      </c>
      <c r="G20" s="48">
        <f>'III Trimestre'!G20</f>
        <v>7560</v>
      </c>
      <c r="H20" s="48">
        <f>'III Trimestre'!H20</f>
        <v>58304</v>
      </c>
      <c r="I20" s="48">
        <f>'III Trimestre'!I20</f>
        <v>19523</v>
      </c>
      <c r="J20" s="48" t="str">
        <f>'III Trimestre'!J20</f>
        <v xml:space="preserve">n.d. </v>
      </c>
      <c r="K20" s="48">
        <f>'III Trimestre'!K20</f>
        <v>0</v>
      </c>
      <c r="L20" s="48" t="str">
        <f>'III Trimestre'!L20</f>
        <v>n.d.</v>
      </c>
      <c r="M20" s="48">
        <f>'III Trimestre'!M20</f>
        <v>111111</v>
      </c>
    </row>
    <row r="21" spans="1:13" ht="15.6" x14ac:dyDescent="0.35">
      <c r="A21" s="9"/>
      <c r="B21" s="48"/>
      <c r="C21" s="48"/>
      <c r="D21" s="48"/>
      <c r="E21" s="48"/>
      <c r="F21" s="48"/>
      <c r="G21" s="48"/>
      <c r="H21" s="48"/>
      <c r="I21" s="48"/>
      <c r="J21" s="48"/>
      <c r="K21" s="26"/>
      <c r="L21" s="26"/>
      <c r="M21" s="26"/>
    </row>
    <row r="22" spans="1:13" ht="15.6" x14ac:dyDescent="0.35">
      <c r="A22" s="14" t="s">
        <v>3</v>
      </c>
      <c r="B22" s="48"/>
      <c r="C22" s="48"/>
      <c r="D22" s="48"/>
      <c r="E22" s="48"/>
      <c r="F22" s="48"/>
      <c r="G22" s="48"/>
      <c r="H22" s="48"/>
      <c r="I22" s="48"/>
      <c r="J22" s="48"/>
      <c r="K22" s="26"/>
      <c r="L22" s="26"/>
      <c r="M22" s="26"/>
    </row>
    <row r="23" spans="1:13" ht="15.6" x14ac:dyDescent="0.35">
      <c r="A23" s="13" t="s">
        <v>80</v>
      </c>
      <c r="B23" s="48">
        <f>+C23+E23+F23+G23+H23+I23+J23+L23</f>
        <v>113878762241.39999</v>
      </c>
      <c r="C23" s="85">
        <f>'I Trimestre'!C23:D23+'II Trimestre'!C23:D23+'III Trimestre'!C23:D23</f>
        <v>34946639000</v>
      </c>
      <c r="D23" s="85"/>
      <c r="E23" s="48">
        <f>'I Trimestre'!E23+'II Trimestre'!E23+'III Trimestre'!E23</f>
        <v>1264665700</v>
      </c>
      <c r="F23" s="48">
        <f>'I Trimestre'!F23+'II Trimestre'!F23+'III Trimestre'!F23</f>
        <v>209843300</v>
      </c>
      <c r="G23" s="48">
        <f>'I Trimestre'!G23+'II Trimestre'!G23+'III Trimestre'!G23</f>
        <v>5034743000</v>
      </c>
      <c r="H23" s="48">
        <f>'I Trimestre'!H23+'II Trimestre'!H23+'III Trimestre'!H23</f>
        <v>37161253376.400002</v>
      </c>
      <c r="I23" s="48">
        <f>'I Trimestre'!I23+'II Trimestre'!I23+'III Trimestre'!I23</f>
        <v>23648773865</v>
      </c>
      <c r="J23" s="85">
        <f>+'I Trimestre'!J23:K23+'II Trimestre'!J23:K23+'III Trimestre'!J23:K23</f>
        <v>11262844000</v>
      </c>
      <c r="K23" s="85"/>
      <c r="L23" s="48">
        <f>+'I Trimestre'!L23</f>
        <v>350000000</v>
      </c>
      <c r="M23" s="48" t="str">
        <f>+'III Trimestre'!M23</f>
        <v>n.d.</v>
      </c>
    </row>
    <row r="24" spans="1:13" ht="15.6" x14ac:dyDescent="0.35">
      <c r="A24" s="13" t="s">
        <v>119</v>
      </c>
      <c r="B24" s="48">
        <f>+C24+E24+F24+G24+H24+I24+J24</f>
        <v>128415584000</v>
      </c>
      <c r="C24" s="85">
        <f>'I Trimestre'!C24:D24+'II Trimestre'!C24:D24+'III Trimestre'!C24:D24</f>
        <v>62830020000</v>
      </c>
      <c r="D24" s="85"/>
      <c r="E24" s="48">
        <f>'I Trimestre'!E24+'II Trimestre'!E24+'III Trimestre'!E24</f>
        <v>1650000000</v>
      </c>
      <c r="F24" s="48">
        <f>'I Trimestre'!F24+'II Trimestre'!F24+'III Trimestre'!F24</f>
        <v>224024000</v>
      </c>
      <c r="G24" s="48">
        <f>'I Trimestre'!G24+'II Trimestre'!G24+'III Trimestre'!G24</f>
        <v>5096550000</v>
      </c>
      <c r="H24" s="48">
        <f>'I Trimestre'!H24+'II Trimestre'!H24+'III Trimestre'!H24</f>
        <v>39100950000</v>
      </c>
      <c r="I24" s="48">
        <f>'I Trimestre'!I24+'II Trimestre'!I24+'III Trimestre'!I24</f>
        <v>19514040000</v>
      </c>
      <c r="J24" s="85">
        <f>+'I Trimestre'!J24:K24+'II Trimestre'!J24:K24+'III Trimestre'!J24:K24</f>
        <v>0</v>
      </c>
      <c r="K24" s="85"/>
      <c r="L24" s="48" t="s">
        <v>48</v>
      </c>
      <c r="M24" s="48">
        <f>+'III Trimestre'!M24</f>
        <v>0</v>
      </c>
    </row>
    <row r="25" spans="1:13" ht="15.6" x14ac:dyDescent="0.35">
      <c r="A25" s="13" t="s">
        <v>120</v>
      </c>
      <c r="B25" s="48">
        <f>+C25+E25+F25+G25+H25+I25+J25+L25</f>
        <v>120067046470</v>
      </c>
      <c r="C25" s="85">
        <f>'I Trimestre'!C25:D25+'II Trimestre'!C25:D25+'III Trimestre'!C25:D25</f>
        <v>56795909000</v>
      </c>
      <c r="D25" s="85"/>
      <c r="E25" s="48">
        <f>'I Trimestre'!E25+'II Trimestre'!E25+'III Trimestre'!E25</f>
        <v>1288224956</v>
      </c>
      <c r="F25" s="48">
        <f>'I Trimestre'!F25+'II Trimestre'!F25+'III Trimestre'!F25</f>
        <v>231416996</v>
      </c>
      <c r="G25" s="48">
        <f>'I Trimestre'!G25+'II Trimestre'!G25+'III Trimestre'!G25</f>
        <v>4987032000</v>
      </c>
      <c r="H25" s="48">
        <f>'I Trimestre'!H25+'II Trimestre'!H25+'III Trimestre'!H25</f>
        <v>32222148535</v>
      </c>
      <c r="I25" s="48">
        <f>'I Trimestre'!I25+'II Trimestre'!I25+'III Trimestre'!I25</f>
        <v>24492314983</v>
      </c>
      <c r="J25" s="85">
        <f>+'I Trimestre'!J25:K25+'II Trimestre'!J25:K25+'III Trimestre'!J25:K25</f>
        <v>0</v>
      </c>
      <c r="K25" s="85"/>
      <c r="L25" s="48">
        <f>+'I Trimestre'!L25+'III Trimestre'!L25</f>
        <v>50000000</v>
      </c>
      <c r="M25" s="48">
        <f>+'III Trimestre'!M25</f>
        <v>0</v>
      </c>
    </row>
    <row r="26" spans="1:13" ht="15.6" x14ac:dyDescent="0.35">
      <c r="A26" s="13" t="s">
        <v>94</v>
      </c>
      <c r="B26" s="48">
        <f>+C26+E26+F26+G26+H26+I26+J26+M26</f>
        <v>182205842000</v>
      </c>
      <c r="C26" s="85">
        <f>'III Trimestre'!C26</f>
        <v>74036820000</v>
      </c>
      <c r="D26" s="85"/>
      <c r="E26" s="48">
        <f>'III Trimestre'!E26</f>
        <v>1665600000</v>
      </c>
      <c r="F26" s="48">
        <f>'III Trimestre'!F26</f>
        <v>358832000</v>
      </c>
      <c r="G26" s="48">
        <f>'III Trimestre'!G26</f>
        <v>6797550000</v>
      </c>
      <c r="H26" s="48">
        <f>'III Trimestre'!H26</f>
        <v>52219050000</v>
      </c>
      <c r="I26" s="48">
        <f>'III Trimestre'!I26</f>
        <v>27128010000</v>
      </c>
      <c r="J26" s="85">
        <f>+'III Trimestre'!J26:K26</f>
        <v>0</v>
      </c>
      <c r="K26" s="85"/>
      <c r="L26" s="48" t="str">
        <f>'III Trimestre'!L26</f>
        <v>n.d.</v>
      </c>
      <c r="M26" s="48">
        <f>+'III Trimestre'!M26</f>
        <v>19999980000</v>
      </c>
    </row>
    <row r="27" spans="1:13" ht="15.6" x14ac:dyDescent="0.35">
      <c r="A27" s="13" t="s">
        <v>121</v>
      </c>
      <c r="B27" s="48">
        <f>+C27+E27+F27+G27+H27+I27+J27+L27</f>
        <v>120067046470</v>
      </c>
      <c r="C27" s="85">
        <f>C25</f>
        <v>56795909000</v>
      </c>
      <c r="D27" s="85"/>
      <c r="E27" s="48">
        <f t="shared" ref="E27:J27" si="0">E25</f>
        <v>1288224956</v>
      </c>
      <c r="F27" s="48">
        <f t="shared" si="0"/>
        <v>231416996</v>
      </c>
      <c r="G27" s="48">
        <f t="shared" si="0"/>
        <v>4987032000</v>
      </c>
      <c r="H27" s="48">
        <f t="shared" si="0"/>
        <v>32222148535</v>
      </c>
      <c r="I27" s="48">
        <f t="shared" si="0"/>
        <v>24492314983</v>
      </c>
      <c r="J27" s="85">
        <f t="shared" si="0"/>
        <v>0</v>
      </c>
      <c r="K27" s="85"/>
      <c r="L27" s="48">
        <f t="shared" ref="L27" si="1">L25</f>
        <v>50000000</v>
      </c>
      <c r="M27" s="48">
        <f>+'III Trimestre'!M27</f>
        <v>0</v>
      </c>
    </row>
    <row r="28" spans="1:13" ht="15.6" x14ac:dyDescent="0.35">
      <c r="A28" s="9"/>
      <c r="B28" s="48"/>
      <c r="C28" s="48"/>
      <c r="D28" s="48"/>
      <c r="E28" s="48"/>
      <c r="F28" s="48"/>
      <c r="G28" s="48"/>
      <c r="H28" s="48"/>
      <c r="I28" s="48"/>
      <c r="J28" s="48"/>
      <c r="K28" s="26"/>
      <c r="L28" s="26"/>
      <c r="M28" s="26"/>
    </row>
    <row r="29" spans="1:13" ht="15.6" x14ac:dyDescent="0.35">
      <c r="A29" s="14" t="s">
        <v>4</v>
      </c>
      <c r="B29" s="48"/>
      <c r="C29" s="48"/>
      <c r="D29" s="48"/>
      <c r="E29" s="48"/>
      <c r="F29" s="48"/>
      <c r="G29" s="48"/>
      <c r="H29" s="48"/>
      <c r="I29" s="48"/>
      <c r="J29" s="48"/>
      <c r="K29" s="26"/>
      <c r="L29" s="26"/>
      <c r="M29" s="26"/>
    </row>
    <row r="30" spans="1:13" ht="15.6" x14ac:dyDescent="0.35">
      <c r="A30" s="13" t="s">
        <v>119</v>
      </c>
      <c r="B30" s="48">
        <f>'I Trimestre'!B30+'II Trimestre'!B30+'III Trimestre'!B30</f>
        <v>128415584000</v>
      </c>
      <c r="C30" s="48"/>
      <c r="D30" s="48"/>
      <c r="E30" s="48"/>
      <c r="F30" s="48"/>
      <c r="G30" s="48"/>
      <c r="H30" s="48"/>
      <c r="I30" s="48"/>
      <c r="J30" s="48"/>
      <c r="K30" s="26"/>
      <c r="L30" s="26"/>
      <c r="M30" s="26"/>
    </row>
    <row r="31" spans="1:13" ht="15.6" x14ac:dyDescent="0.35">
      <c r="A31" s="13" t="s">
        <v>120</v>
      </c>
      <c r="B31" s="48">
        <f>'I Trimestre'!B31+'II Trimestre'!B31+'III Trimestre'!B31</f>
        <v>127319041539.74001</v>
      </c>
      <c r="C31" s="48"/>
      <c r="D31" s="48"/>
      <c r="E31" s="48"/>
      <c r="F31" s="48"/>
      <c r="G31" s="48"/>
      <c r="H31" s="48"/>
      <c r="I31" s="48"/>
      <c r="J31" s="48"/>
      <c r="K31" s="26"/>
      <c r="L31" s="26"/>
      <c r="M31" s="26"/>
    </row>
    <row r="32" spans="1:13" ht="15.6" x14ac:dyDescent="0.35">
      <c r="A32" s="9"/>
      <c r="B32" s="63"/>
      <c r="C32" s="63"/>
      <c r="D32" s="63"/>
      <c r="E32" s="63"/>
      <c r="F32" s="63"/>
      <c r="G32" s="63"/>
      <c r="H32" s="63"/>
      <c r="I32" s="63"/>
      <c r="J32" s="63"/>
      <c r="K32" s="20"/>
      <c r="L32" s="20"/>
      <c r="M32" s="20"/>
    </row>
    <row r="33" spans="1:13" ht="15.6" x14ac:dyDescent="0.35">
      <c r="A33" s="10" t="s">
        <v>5</v>
      </c>
      <c r="B33" s="63"/>
      <c r="C33" s="63"/>
      <c r="D33" s="63"/>
      <c r="E33" s="63"/>
      <c r="F33" s="63"/>
      <c r="G33" s="63"/>
      <c r="H33" s="63"/>
      <c r="I33" s="63"/>
      <c r="J33" s="63"/>
      <c r="K33" s="20"/>
      <c r="L33" s="20"/>
      <c r="M33" s="20"/>
    </row>
    <row r="34" spans="1:13" ht="15.6" x14ac:dyDescent="0.35">
      <c r="A34" s="13" t="s">
        <v>81</v>
      </c>
      <c r="B34" s="37">
        <v>1.0863</v>
      </c>
      <c r="C34" s="37">
        <v>1.0863</v>
      </c>
      <c r="D34" s="37">
        <v>1.0863</v>
      </c>
      <c r="E34" s="37">
        <v>1.0863</v>
      </c>
      <c r="F34" s="37">
        <v>1.0863</v>
      </c>
      <c r="G34" s="37">
        <v>1.0863</v>
      </c>
      <c r="H34" s="37">
        <v>1.0863</v>
      </c>
      <c r="I34" s="37">
        <v>1.0863</v>
      </c>
      <c r="J34" s="37">
        <v>1.0863</v>
      </c>
      <c r="K34" s="37">
        <v>1.0863</v>
      </c>
      <c r="L34" s="37">
        <v>1.0863</v>
      </c>
      <c r="M34" s="37">
        <v>1.0863</v>
      </c>
    </row>
    <row r="35" spans="1:13" ht="15.6" x14ac:dyDescent="0.35">
      <c r="A35" s="13" t="s">
        <v>122</v>
      </c>
      <c r="B35" s="37">
        <v>1.1197999999999999</v>
      </c>
      <c r="C35" s="37">
        <v>1.1197999999999999</v>
      </c>
      <c r="D35" s="37">
        <v>1.1197999999999999</v>
      </c>
      <c r="E35" s="37">
        <v>1.1197999999999999</v>
      </c>
      <c r="F35" s="37">
        <v>1.1197999999999999</v>
      </c>
      <c r="G35" s="37">
        <v>1.1197999999999999</v>
      </c>
      <c r="H35" s="37">
        <v>1.1197999999999999</v>
      </c>
      <c r="I35" s="37">
        <v>1.1197999999999999</v>
      </c>
      <c r="J35" s="37">
        <v>1.1197999999999999</v>
      </c>
      <c r="K35" s="37">
        <v>1.1197999999999999</v>
      </c>
      <c r="L35" s="37">
        <v>1.1197999999999999</v>
      </c>
      <c r="M35" s="37">
        <v>1.1197999999999999</v>
      </c>
    </row>
    <row r="36" spans="1:13" s="2" customFormat="1" ht="15.6" x14ac:dyDescent="0.35">
      <c r="A36" s="13" t="s">
        <v>6</v>
      </c>
      <c r="B36" s="43">
        <v>438418</v>
      </c>
      <c r="C36" s="73">
        <v>186599</v>
      </c>
      <c r="D36" s="73"/>
      <c r="E36" s="43">
        <v>164361</v>
      </c>
      <c r="F36" s="43" t="s">
        <v>56</v>
      </c>
      <c r="G36" s="43">
        <v>97440</v>
      </c>
      <c r="H36" s="43" t="s">
        <v>56</v>
      </c>
      <c r="I36" s="43" t="s">
        <v>56</v>
      </c>
      <c r="J36" s="43" t="s">
        <v>56</v>
      </c>
      <c r="K36" s="42" t="s">
        <v>56</v>
      </c>
      <c r="L36" s="42" t="s">
        <v>56</v>
      </c>
      <c r="M36" s="9"/>
    </row>
    <row r="37" spans="1:13" ht="15.6" x14ac:dyDescent="0.35">
      <c r="A37" s="9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</row>
    <row r="38" spans="1:13" ht="15.6" x14ac:dyDescent="0.35">
      <c r="A38" s="10" t="s">
        <v>7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</row>
    <row r="39" spans="1:13" ht="15.6" x14ac:dyDescent="0.35">
      <c r="A39" s="9" t="s">
        <v>82</v>
      </c>
      <c r="B39" s="49">
        <f>B23/B34</f>
        <v>104831779657.00082</v>
      </c>
      <c r="C39" s="87">
        <f>C23/C34</f>
        <v>32170338764.613827</v>
      </c>
      <c r="D39" s="87"/>
      <c r="E39" s="49">
        <f>E23/E34</f>
        <v>1164195618.1533647</v>
      </c>
      <c r="F39" s="49">
        <f t="shared" ref="F39:I39" si="2">F23/F34</f>
        <v>193172512.19736719</v>
      </c>
      <c r="G39" s="49">
        <f t="shared" si="2"/>
        <v>4634762956.825923</v>
      </c>
      <c r="H39" s="49">
        <f t="shared" si="2"/>
        <v>34209015351.560341</v>
      </c>
      <c r="I39" s="49">
        <f t="shared" si="2"/>
        <v>21770021048.513302</v>
      </c>
      <c r="J39" s="87">
        <f>J23/J34</f>
        <v>10368078799.594955</v>
      </c>
      <c r="K39" s="87"/>
      <c r="L39" s="49">
        <f t="shared" ref="L39" si="3">L23/L34</f>
        <v>322194605.54174721</v>
      </c>
      <c r="M39" s="49" t="s">
        <v>48</v>
      </c>
    </row>
    <row r="40" spans="1:13" ht="15.6" x14ac:dyDescent="0.35">
      <c r="A40" s="9" t="s">
        <v>123</v>
      </c>
      <c r="B40" s="49">
        <f>B25/B35</f>
        <v>107221866824.43294</v>
      </c>
      <c r="C40" s="87">
        <f>C25/C35</f>
        <v>50719690123.236298</v>
      </c>
      <c r="D40" s="87"/>
      <c r="E40" s="49">
        <f>E25/E35</f>
        <v>1150406283.2648687</v>
      </c>
      <c r="F40" s="49">
        <f t="shared" ref="F40:I40" si="4">F25/F35</f>
        <v>206659221.289516</v>
      </c>
      <c r="G40" s="49">
        <f t="shared" si="4"/>
        <v>4453502411.1448479</v>
      </c>
      <c r="H40" s="49">
        <f t="shared" si="4"/>
        <v>28774913855.15271</v>
      </c>
      <c r="I40" s="49">
        <f t="shared" si="4"/>
        <v>21872044099.83926</v>
      </c>
      <c r="J40" s="87">
        <f>J25/J35</f>
        <v>0</v>
      </c>
      <c r="K40" s="87"/>
      <c r="L40" s="49">
        <f t="shared" ref="L40:M40" si="5">L25/L35</f>
        <v>44650830.505447403</v>
      </c>
      <c r="M40" s="49">
        <f t="shared" si="5"/>
        <v>0</v>
      </c>
    </row>
    <row r="41" spans="1:13" ht="15.6" x14ac:dyDescent="0.35">
      <c r="A41" s="9" t="s">
        <v>83</v>
      </c>
      <c r="B41" s="49">
        <f>B39/B15</f>
        <v>353900.77462207165</v>
      </c>
      <c r="C41" s="87">
        <f>C39/D15</f>
        <v>184401.62540332819</v>
      </c>
      <c r="D41" s="87"/>
      <c r="E41" s="49">
        <f>E39/E15</f>
        <v>645699.17812166642</v>
      </c>
      <c r="F41" s="49">
        <f t="shared" ref="F41:I41" si="6">F39/F15</f>
        <v>1246274.2722410785</v>
      </c>
      <c r="G41" s="49">
        <f t="shared" si="6"/>
        <v>565421.85638964537</v>
      </c>
      <c r="H41" s="49">
        <f t="shared" si="6"/>
        <v>321286.83119568293</v>
      </c>
      <c r="I41" s="49">
        <f t="shared" si="6"/>
        <v>883595.30191222101</v>
      </c>
      <c r="J41" s="73">
        <f>J39/K15</f>
        <v>49526.042052845318</v>
      </c>
      <c r="K41" s="73"/>
      <c r="L41" s="43" t="s">
        <v>48</v>
      </c>
      <c r="M41" s="49" t="s">
        <v>48</v>
      </c>
    </row>
    <row r="42" spans="1:13" ht="15.6" x14ac:dyDescent="0.35">
      <c r="A42" s="9" t="s">
        <v>124</v>
      </c>
      <c r="B42" s="49">
        <f>B40/B18</f>
        <v>403317.15939226234</v>
      </c>
      <c r="C42" s="87">
        <f>C40/D18</f>
        <v>131271.99019397495</v>
      </c>
      <c r="D42" s="87"/>
      <c r="E42" s="49">
        <f>E40/E18</f>
        <v>726725.38424817985</v>
      </c>
      <c r="F42" s="49">
        <f t="shared" ref="F42:I42" si="7">F40/F18</f>
        <v>1093435.0332778625</v>
      </c>
      <c r="G42" s="49">
        <f t="shared" si="7"/>
        <v>392898.3159369076</v>
      </c>
      <c r="H42" s="49">
        <f t="shared" si="7"/>
        <v>388440.74968482828</v>
      </c>
      <c r="I42" s="49">
        <f t="shared" si="7"/>
        <v>802584.9148627352</v>
      </c>
      <c r="J42" s="73" t="s">
        <v>48</v>
      </c>
      <c r="K42" s="73"/>
      <c r="L42" s="43" t="s">
        <v>48</v>
      </c>
      <c r="M42" s="49" t="s">
        <v>48</v>
      </c>
    </row>
    <row r="43" spans="1:13" ht="15.6" x14ac:dyDescent="0.35">
      <c r="A43" s="9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</row>
    <row r="44" spans="1:13" ht="15.6" x14ac:dyDescent="0.35">
      <c r="A44" s="10" t="s">
        <v>8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</row>
    <row r="45" spans="1:13" ht="15.6" x14ac:dyDescent="0.35">
      <c r="A45" s="9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</row>
    <row r="46" spans="1:13" ht="15.6" x14ac:dyDescent="0.35">
      <c r="A46" s="10" t="s">
        <v>9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</row>
    <row r="47" spans="1:13" ht="15.6" x14ac:dyDescent="0.35">
      <c r="A47" s="9" t="s">
        <v>10</v>
      </c>
      <c r="B47" s="38" t="s">
        <v>56</v>
      </c>
      <c r="C47" s="86">
        <f>D16/C36*100</f>
        <v>125.37848541524875</v>
      </c>
      <c r="D47" s="86"/>
      <c r="E47" s="50">
        <f>E16/E36*100</f>
        <v>1.1298300691769947</v>
      </c>
      <c r="F47" s="38" t="s">
        <v>48</v>
      </c>
      <c r="G47" s="50">
        <f t="shared" ref="G47" si="8">G16/G36*100</f>
        <v>7.7586206896551726</v>
      </c>
      <c r="H47" s="38" t="s">
        <v>56</v>
      </c>
      <c r="I47" s="38" t="s">
        <v>56</v>
      </c>
      <c r="J47" s="80" t="s">
        <v>56</v>
      </c>
      <c r="K47" s="80"/>
      <c r="L47" s="38" t="s">
        <v>56</v>
      </c>
      <c r="M47" s="38" t="s">
        <v>56</v>
      </c>
    </row>
    <row r="48" spans="1:13" ht="15.6" x14ac:dyDescent="0.35">
      <c r="A48" s="9" t="s">
        <v>11</v>
      </c>
      <c r="B48" s="38">
        <f>(B18/B36)*100</f>
        <v>60.63847743477686</v>
      </c>
      <c r="C48" s="80">
        <f>(D18/C36)*100</f>
        <v>207.05952336293336</v>
      </c>
      <c r="D48" s="80"/>
      <c r="E48" s="50">
        <f>E18/E36*100</f>
        <v>0.96312385541582246</v>
      </c>
      <c r="F48" s="38" t="s">
        <v>48</v>
      </c>
      <c r="G48" s="50">
        <f t="shared" ref="G48" si="9">G18/G36*100</f>
        <v>11.632799671592775</v>
      </c>
      <c r="H48" s="38" t="s">
        <v>56</v>
      </c>
      <c r="I48" s="38" t="s">
        <v>56</v>
      </c>
      <c r="J48" s="80" t="s">
        <v>56</v>
      </c>
      <c r="K48" s="80"/>
      <c r="L48" s="38" t="s">
        <v>56</v>
      </c>
      <c r="M48" s="38" t="s">
        <v>56</v>
      </c>
    </row>
    <row r="49" spans="1:13" ht="15.6" x14ac:dyDescent="0.35">
      <c r="A49" s="9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</row>
    <row r="50" spans="1:13" ht="15.6" x14ac:dyDescent="0.35">
      <c r="A50" s="10" t="s">
        <v>12</v>
      </c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</row>
    <row r="51" spans="1:13" ht="15.6" x14ac:dyDescent="0.35">
      <c r="A51" s="9" t="s">
        <v>13</v>
      </c>
      <c r="B51" s="38" t="s">
        <v>56</v>
      </c>
      <c r="C51" s="38" t="s">
        <v>56</v>
      </c>
      <c r="D51" s="39">
        <f>D18/D16*100</f>
        <v>165.14757111410313</v>
      </c>
      <c r="E51" s="50">
        <f>E18/E16*100</f>
        <v>85.24501884760366</v>
      </c>
      <c r="F51" s="50">
        <f t="shared" ref="F51:I51" si="10">F18/F16*100</f>
        <v>137.95620437956205</v>
      </c>
      <c r="G51" s="50">
        <f t="shared" si="10"/>
        <v>149.93386243386243</v>
      </c>
      <c r="H51" s="50">
        <f t="shared" si="10"/>
        <v>127.56233640997382</v>
      </c>
      <c r="I51" s="50">
        <f t="shared" si="10"/>
        <v>163.24427938181384</v>
      </c>
      <c r="J51" s="38" t="s">
        <v>56</v>
      </c>
      <c r="K51" s="38" t="s">
        <v>48</v>
      </c>
      <c r="L51" s="38" t="s">
        <v>56</v>
      </c>
      <c r="M51" s="38" t="s">
        <v>48</v>
      </c>
    </row>
    <row r="52" spans="1:13" ht="15.6" x14ac:dyDescent="0.35">
      <c r="A52" s="9" t="s">
        <v>14</v>
      </c>
      <c r="B52" s="50">
        <f>B25/B24*100</f>
        <v>93.498812784280133</v>
      </c>
      <c r="C52" s="79">
        <f>C25/C24*100</f>
        <v>90.396133886317401</v>
      </c>
      <c r="D52" s="79"/>
      <c r="E52" s="50">
        <f>E25/E24*100</f>
        <v>78.074239757575754</v>
      </c>
      <c r="F52" s="50">
        <f t="shared" ref="F52:I52" si="11">F25/F24*100</f>
        <v>103.30009106167198</v>
      </c>
      <c r="G52" s="50">
        <f t="shared" si="11"/>
        <v>97.851134591046886</v>
      </c>
      <c r="H52" s="50">
        <f t="shared" si="11"/>
        <v>82.407584815714202</v>
      </c>
      <c r="I52" s="50">
        <f t="shared" si="11"/>
        <v>125.5112471994523</v>
      </c>
      <c r="J52" s="80" t="s">
        <v>56</v>
      </c>
      <c r="K52" s="80"/>
      <c r="L52" s="38" t="s">
        <v>56</v>
      </c>
      <c r="M52" s="38" t="s">
        <v>48</v>
      </c>
    </row>
    <row r="53" spans="1:13" ht="15.6" x14ac:dyDescent="0.35">
      <c r="A53" s="9" t="s">
        <v>15</v>
      </c>
      <c r="B53" s="38" t="s">
        <v>56</v>
      </c>
      <c r="C53" s="38" t="s">
        <v>56</v>
      </c>
      <c r="D53" s="39">
        <f>AVERAGE(D51,C52)</f>
        <v>127.77185250021026</v>
      </c>
      <c r="E53" s="50">
        <f>AVERAGE(E51:E52)</f>
        <v>81.659629302589707</v>
      </c>
      <c r="F53" s="50">
        <f t="shared" ref="F53:I53" si="12">AVERAGE(F51:F52)</f>
        <v>120.62814772061702</v>
      </c>
      <c r="G53" s="50">
        <f t="shared" si="12"/>
        <v>123.89249851245467</v>
      </c>
      <c r="H53" s="50">
        <f t="shared" si="12"/>
        <v>104.98496061284402</v>
      </c>
      <c r="I53" s="50">
        <f t="shared" si="12"/>
        <v>144.37776329063308</v>
      </c>
      <c r="J53" s="38" t="s">
        <v>56</v>
      </c>
      <c r="K53" s="38" t="s">
        <v>48</v>
      </c>
      <c r="L53" s="38" t="s">
        <v>56</v>
      </c>
      <c r="M53" s="38" t="s">
        <v>48</v>
      </c>
    </row>
    <row r="54" spans="1:13" ht="15.6" x14ac:dyDescent="0.35">
      <c r="A54" s="9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</row>
    <row r="55" spans="1:13" ht="15.6" x14ac:dyDescent="0.35">
      <c r="A55" s="10" t="s">
        <v>16</v>
      </c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</row>
    <row r="56" spans="1:13" ht="15.6" x14ac:dyDescent="0.35">
      <c r="A56" s="9" t="s">
        <v>17</v>
      </c>
      <c r="B56" s="38" t="s">
        <v>56</v>
      </c>
      <c r="C56" s="86">
        <f>D18/D20*100</f>
        <v>165.14757111410313</v>
      </c>
      <c r="D56" s="86"/>
      <c r="E56" s="50">
        <f>E18/E20*100</f>
        <v>85.24501884760366</v>
      </c>
      <c r="F56" s="50">
        <f t="shared" ref="F56:I56" si="13">F18/F20*100</f>
        <v>137.95620437956205</v>
      </c>
      <c r="G56" s="50">
        <f t="shared" si="13"/>
        <v>149.93386243386243</v>
      </c>
      <c r="H56" s="50">
        <f t="shared" si="13"/>
        <v>127.05474753018662</v>
      </c>
      <c r="I56" s="50">
        <f t="shared" si="13"/>
        <v>139.58920247912718</v>
      </c>
      <c r="J56" s="80" t="s">
        <v>48</v>
      </c>
      <c r="K56" s="80"/>
      <c r="L56" s="38" t="s">
        <v>56</v>
      </c>
      <c r="M56" s="38">
        <f t="shared" ref="M56" si="14">M18/M20*100</f>
        <v>0</v>
      </c>
    </row>
    <row r="57" spans="1:13" ht="15.6" x14ac:dyDescent="0.35">
      <c r="A57" s="9" t="s">
        <v>18</v>
      </c>
      <c r="B57" s="50">
        <f>B25/B26*100</f>
        <v>65.896375852756677</v>
      </c>
      <c r="C57" s="86">
        <f>C25/C26*100</f>
        <v>76.713058448485498</v>
      </c>
      <c r="D57" s="86"/>
      <c r="E57" s="50">
        <f>E25/E26*100</f>
        <v>77.342996878001927</v>
      </c>
      <c r="F57" s="50">
        <f t="shared" ref="F57:I57" si="15">F25/F26*100</f>
        <v>64.491738752396671</v>
      </c>
      <c r="G57" s="50">
        <f t="shared" si="15"/>
        <v>73.365138910342694</v>
      </c>
      <c r="H57" s="50">
        <f t="shared" si="15"/>
        <v>61.705734851553217</v>
      </c>
      <c r="I57" s="50">
        <f t="shared" si="15"/>
        <v>90.284230148101543</v>
      </c>
      <c r="J57" s="80" t="s">
        <v>48</v>
      </c>
      <c r="K57" s="80"/>
      <c r="L57" s="38" t="s">
        <v>56</v>
      </c>
      <c r="M57" s="38">
        <f t="shared" ref="M57" si="16">M25/M26*100</f>
        <v>0</v>
      </c>
    </row>
    <row r="58" spans="1:13" ht="15.6" x14ac:dyDescent="0.35">
      <c r="A58" s="9" t="s">
        <v>19</v>
      </c>
      <c r="B58" s="38" t="s">
        <v>56</v>
      </c>
      <c r="C58" s="86">
        <f>+(C56+C57)/2</f>
        <v>120.93031478129431</v>
      </c>
      <c r="D58" s="86"/>
      <c r="E58" s="50">
        <f>(E56+E57)/2</f>
        <v>81.2940078628028</v>
      </c>
      <c r="F58" s="50">
        <f t="shared" ref="F58:I58" si="17">(F56+F57)/2</f>
        <v>101.22397156597935</v>
      </c>
      <c r="G58" s="50">
        <f t="shared" si="17"/>
        <v>111.64950067210256</v>
      </c>
      <c r="H58" s="50">
        <f t="shared" si="17"/>
        <v>94.380241190869924</v>
      </c>
      <c r="I58" s="50">
        <f t="shared" si="17"/>
        <v>114.93671631361437</v>
      </c>
      <c r="J58" s="80" t="s">
        <v>48</v>
      </c>
      <c r="K58" s="80"/>
      <c r="L58" s="38" t="s">
        <v>56</v>
      </c>
      <c r="M58" s="38">
        <f t="shared" ref="M58" si="18">(M56+M57)/2</f>
        <v>0</v>
      </c>
    </row>
    <row r="59" spans="1:13" ht="15.6" x14ac:dyDescent="0.35">
      <c r="A59" s="9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</row>
    <row r="60" spans="1:13" ht="15.6" x14ac:dyDescent="0.35">
      <c r="A60" s="10" t="s">
        <v>30</v>
      </c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</row>
    <row r="61" spans="1:13" ht="15.6" x14ac:dyDescent="0.35">
      <c r="A61" s="9" t="s">
        <v>20</v>
      </c>
      <c r="B61" s="50">
        <f>B27/B25*100</f>
        <v>100</v>
      </c>
      <c r="C61" s="86">
        <f>C27/C25*100</f>
        <v>100</v>
      </c>
      <c r="D61" s="86"/>
      <c r="E61" s="50">
        <f>E27/E25*100</f>
        <v>100</v>
      </c>
      <c r="F61" s="50">
        <f t="shared" ref="F61:I61" si="19">F27/F25*100</f>
        <v>100</v>
      </c>
      <c r="G61" s="50">
        <f t="shared" si="19"/>
        <v>100</v>
      </c>
      <c r="H61" s="50">
        <f t="shared" si="19"/>
        <v>100</v>
      </c>
      <c r="I61" s="50">
        <f t="shared" si="19"/>
        <v>100</v>
      </c>
      <c r="J61" s="86" t="s">
        <v>48</v>
      </c>
      <c r="K61" s="86"/>
      <c r="L61" s="50" t="s">
        <v>56</v>
      </c>
      <c r="M61" s="38" t="s">
        <v>48</v>
      </c>
    </row>
    <row r="62" spans="1:13" ht="15.6" x14ac:dyDescent="0.35">
      <c r="A62" s="9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</row>
    <row r="63" spans="1:13" ht="15.6" x14ac:dyDescent="0.35">
      <c r="A63" s="10" t="s">
        <v>21</v>
      </c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</row>
    <row r="64" spans="1:13" ht="15.6" x14ac:dyDescent="0.35">
      <c r="A64" s="9" t="s">
        <v>22</v>
      </c>
      <c r="B64" s="50">
        <f>((B18/B15)-1)*100</f>
        <v>-10.251909066970944</v>
      </c>
      <c r="C64" s="86">
        <f>((D18/D15)-1)*100</f>
        <v>121.46935078930174</v>
      </c>
      <c r="D64" s="86"/>
      <c r="E64" s="50">
        <f>((E18/E15)-1)*100</f>
        <v>-12.201885745978924</v>
      </c>
      <c r="F64" s="50">
        <f t="shared" ref="F64:I64" si="20">((F18/F15)-1)*100</f>
        <v>21.93548387096773</v>
      </c>
      <c r="G64" s="50">
        <f t="shared" si="20"/>
        <v>38.282298401854334</v>
      </c>
      <c r="H64" s="50">
        <f t="shared" si="20"/>
        <v>-30.42686076543789</v>
      </c>
      <c r="I64" s="50">
        <f t="shared" si="20"/>
        <v>10.609627404821831</v>
      </c>
      <c r="J64" s="86">
        <f>((K18/K15)-1)*100</f>
        <v>-100</v>
      </c>
      <c r="K64" s="86"/>
      <c r="L64" s="50" t="s">
        <v>56</v>
      </c>
      <c r="M64" s="38" t="s">
        <v>48</v>
      </c>
    </row>
    <row r="65" spans="1:13" ht="15.6" x14ac:dyDescent="0.35">
      <c r="A65" s="9" t="s">
        <v>23</v>
      </c>
      <c r="B65" s="50">
        <f>((B40/B39)-1)*100</f>
        <v>2.2799261590829012</v>
      </c>
      <c r="C65" s="86">
        <f>((C40/C39)-1)*100</f>
        <v>57.659794925834177</v>
      </c>
      <c r="D65" s="86"/>
      <c r="E65" s="50">
        <f>((E40/E39)-1)*100</f>
        <v>-1.1844517084137807</v>
      </c>
      <c r="F65" s="50">
        <f t="shared" ref="F65:I65" si="21">((F40/F39)-1)*100</f>
        <v>6.9816916178887967</v>
      </c>
      <c r="G65" s="50">
        <f t="shared" si="21"/>
        <v>-3.9108913955161584</v>
      </c>
      <c r="H65" s="50">
        <f t="shared" si="21"/>
        <v>-15.884998268913254</v>
      </c>
      <c r="I65" s="50">
        <f t="shared" si="21"/>
        <v>0.46864011338623168</v>
      </c>
      <c r="J65" s="86">
        <f>((J40/J39)-1)*100</f>
        <v>-100</v>
      </c>
      <c r="K65" s="86"/>
      <c r="L65" s="50">
        <f t="shared" ref="L65" si="22">((L40/L39)-1)*100</f>
        <v>-86.141657949123555</v>
      </c>
      <c r="M65" s="38" t="s">
        <v>48</v>
      </c>
    </row>
    <row r="66" spans="1:13" ht="15.6" x14ac:dyDescent="0.35">
      <c r="A66" s="9" t="s">
        <v>24</v>
      </c>
      <c r="B66" s="50">
        <f>((B42/B41)-1)*100</f>
        <v>13.963344619113126</v>
      </c>
      <c r="C66" s="86">
        <f>((C42/C41)-1)*100</f>
        <v>-28.811912635339667</v>
      </c>
      <c r="D66" s="86"/>
      <c r="E66" s="50">
        <f>((E42/E41)-1)*100</f>
        <v>12.54859985453567</v>
      </c>
      <c r="F66" s="50">
        <f t="shared" ref="F66:I66" si="23">((F42/F41)-1)*100</f>
        <v>-12.263692059403352</v>
      </c>
      <c r="G66" s="50">
        <f t="shared" si="23"/>
        <v>-30.512357897577946</v>
      </c>
      <c r="H66" s="50">
        <f t="shared" si="23"/>
        <v>20.901547143787091</v>
      </c>
      <c r="I66" s="50">
        <f t="shared" si="23"/>
        <v>-9.1682681963301871</v>
      </c>
      <c r="J66" s="86" t="s">
        <v>48</v>
      </c>
      <c r="K66" s="86"/>
      <c r="L66" s="50" t="s">
        <v>56</v>
      </c>
      <c r="M66" s="38" t="s">
        <v>48</v>
      </c>
    </row>
    <row r="67" spans="1:13" ht="15.6" x14ac:dyDescent="0.35">
      <c r="A67" s="9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</row>
    <row r="68" spans="1:13" ht="15.6" x14ac:dyDescent="0.35">
      <c r="A68" s="10" t="s">
        <v>25</v>
      </c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</row>
    <row r="69" spans="1:13" ht="15.6" x14ac:dyDescent="0.35">
      <c r="A69" s="9" t="s">
        <v>37</v>
      </c>
      <c r="B69" s="50">
        <f>(B24/B17)*9</f>
        <v>405391.32246551558</v>
      </c>
      <c r="C69" s="86">
        <f>(C24/D17)*9</f>
        <v>270000</v>
      </c>
      <c r="D69" s="86"/>
      <c r="E69" s="50">
        <f>(E24/E17*9)</f>
        <v>900000</v>
      </c>
      <c r="F69" s="50">
        <f t="shared" ref="F69:I69" si="24">(F24/F17*9)</f>
        <v>2952000</v>
      </c>
      <c r="G69" s="50">
        <f t="shared" si="24"/>
        <v>675000</v>
      </c>
      <c r="H69" s="50">
        <f t="shared" si="24"/>
        <v>675000</v>
      </c>
      <c r="I69" s="50">
        <f t="shared" si="24"/>
        <v>1170000</v>
      </c>
      <c r="J69" s="86" t="s">
        <v>48</v>
      </c>
      <c r="K69" s="86"/>
      <c r="L69" s="50" t="s">
        <v>56</v>
      </c>
      <c r="M69" s="38" t="s">
        <v>48</v>
      </c>
    </row>
    <row r="70" spans="1:13" ht="15.6" x14ac:dyDescent="0.35">
      <c r="A70" s="9" t="s">
        <v>38</v>
      </c>
      <c r="B70" s="50">
        <f>(B25/B19)*9</f>
        <v>388785.28126399795</v>
      </c>
      <c r="C70" s="86">
        <f>(C25/D19)*9</f>
        <v>243784.72572958263</v>
      </c>
      <c r="D70" s="86"/>
      <c r="E70" s="50">
        <f>(E25/E19)*9</f>
        <v>920599.06336350634</v>
      </c>
      <c r="F70" s="50">
        <f t="shared" ref="F70:I70" si="25">(F25/F19)*9</f>
        <v>2162775.6635514018</v>
      </c>
      <c r="G70" s="50">
        <f t="shared" si="25"/>
        <v>649306.15551537066</v>
      </c>
      <c r="H70" s="50">
        <f t="shared" si="25"/>
        <v>707544.97633378638</v>
      </c>
      <c r="I70" s="50">
        <f t="shared" si="25"/>
        <v>1159521.5004707924</v>
      </c>
      <c r="J70" s="86" t="s">
        <v>48</v>
      </c>
      <c r="K70" s="86"/>
      <c r="L70" s="50" t="s">
        <v>56</v>
      </c>
      <c r="M70" s="38" t="s">
        <v>48</v>
      </c>
    </row>
    <row r="71" spans="1:13" ht="15.6" x14ac:dyDescent="0.35">
      <c r="A71" s="9" t="s">
        <v>26</v>
      </c>
      <c r="B71" s="38" t="s">
        <v>56</v>
      </c>
      <c r="C71" s="86">
        <f>(C70/C69)*D53</f>
        <v>115.36602228786832</v>
      </c>
      <c r="D71" s="86"/>
      <c r="E71" s="50">
        <f>(E70/E69)*E53</f>
        <v>83.528642500639137</v>
      </c>
      <c r="F71" s="50">
        <f t="shared" ref="F71:I71" si="26">(F70/F69)*F53</f>
        <v>88.377920809428858</v>
      </c>
      <c r="G71" s="50">
        <f t="shared" si="26"/>
        <v>119.17653615750477</v>
      </c>
      <c r="H71" s="50">
        <f t="shared" si="26"/>
        <v>110.04678736624921</v>
      </c>
      <c r="I71" s="50">
        <f t="shared" si="26"/>
        <v>143.08471856869383</v>
      </c>
      <c r="J71" s="86" t="s">
        <v>48</v>
      </c>
      <c r="K71" s="86"/>
      <c r="L71" s="50" t="s">
        <v>56</v>
      </c>
      <c r="M71" s="38" t="s">
        <v>48</v>
      </c>
    </row>
    <row r="72" spans="1:13" ht="15.6" x14ac:dyDescent="0.35">
      <c r="A72" s="9" t="s">
        <v>33</v>
      </c>
      <c r="B72" s="50">
        <f>B24/B17</f>
        <v>45043.480273946174</v>
      </c>
      <c r="C72" s="86">
        <f>C24/D17</f>
        <v>30000</v>
      </c>
      <c r="D72" s="86"/>
      <c r="E72" s="50">
        <f>E24/E17</f>
        <v>100000</v>
      </c>
      <c r="F72" s="50">
        <f t="shared" ref="F72:I72" si="27">F24/F17</f>
        <v>328000</v>
      </c>
      <c r="G72" s="50">
        <f t="shared" si="27"/>
        <v>75000</v>
      </c>
      <c r="H72" s="50">
        <f t="shared" si="27"/>
        <v>75000</v>
      </c>
      <c r="I72" s="50">
        <f t="shared" si="27"/>
        <v>130000</v>
      </c>
      <c r="J72" s="86" t="s">
        <v>48</v>
      </c>
      <c r="K72" s="86"/>
      <c r="L72" s="50" t="s">
        <v>56</v>
      </c>
      <c r="M72" s="38" t="s">
        <v>48</v>
      </c>
    </row>
    <row r="73" spans="1:13" ht="15.6" x14ac:dyDescent="0.35">
      <c r="A73" s="9" t="s">
        <v>34</v>
      </c>
      <c r="B73" s="50">
        <f>B25/B19</f>
        <v>43198.364584888659</v>
      </c>
      <c r="C73" s="86">
        <f>C25/D19</f>
        <v>27087.191747731402</v>
      </c>
      <c r="D73" s="86"/>
      <c r="E73" s="50">
        <f>E25/E19</f>
        <v>102288.78481816738</v>
      </c>
      <c r="F73" s="50">
        <f t="shared" ref="F73:I73" si="28">F25/F19</f>
        <v>240308.40706126689</v>
      </c>
      <c r="G73" s="50">
        <f t="shared" si="28"/>
        <v>72145.128390596743</v>
      </c>
      <c r="H73" s="50">
        <f t="shared" si="28"/>
        <v>78616.108481531817</v>
      </c>
      <c r="I73" s="50">
        <f t="shared" si="28"/>
        <v>128835.7222745325</v>
      </c>
      <c r="J73" s="86" t="s">
        <v>48</v>
      </c>
      <c r="K73" s="86"/>
      <c r="L73" s="50" t="s">
        <v>56</v>
      </c>
      <c r="M73" s="38" t="s">
        <v>48</v>
      </c>
    </row>
    <row r="74" spans="1:13" ht="15.6" x14ac:dyDescent="0.35">
      <c r="A74" s="9"/>
      <c r="B74" s="50"/>
      <c r="C74" s="50"/>
      <c r="D74" s="50"/>
      <c r="E74" s="50"/>
      <c r="F74" s="50"/>
      <c r="G74" s="50"/>
      <c r="H74" s="50"/>
      <c r="I74" s="50"/>
      <c r="J74" s="50"/>
      <c r="K74" s="39"/>
      <c r="L74" s="39"/>
      <c r="M74" s="39"/>
    </row>
    <row r="75" spans="1:13" ht="15.6" x14ac:dyDescent="0.35">
      <c r="A75" s="10" t="s">
        <v>27</v>
      </c>
      <c r="B75" s="50"/>
      <c r="C75" s="50"/>
      <c r="D75" s="50"/>
      <c r="E75" s="50"/>
      <c r="F75" s="50"/>
      <c r="G75" s="50"/>
      <c r="H75" s="50"/>
      <c r="I75" s="50"/>
      <c r="J75" s="50"/>
      <c r="K75" s="39"/>
      <c r="L75" s="39"/>
      <c r="M75" s="39"/>
    </row>
    <row r="76" spans="1:13" ht="15.6" x14ac:dyDescent="0.35">
      <c r="A76" s="9" t="s">
        <v>28</v>
      </c>
      <c r="B76" s="50">
        <f>(B31/B30)*100</f>
        <v>99.146098607268726</v>
      </c>
      <c r="C76" s="50"/>
      <c r="D76" s="50"/>
      <c r="E76" s="50"/>
      <c r="F76" s="50"/>
      <c r="G76" s="50"/>
      <c r="H76" s="50"/>
      <c r="I76" s="50"/>
      <c r="J76" s="50"/>
      <c r="K76" s="39"/>
      <c r="L76" s="39"/>
      <c r="M76" s="39"/>
    </row>
    <row r="77" spans="1:13" ht="15.6" x14ac:dyDescent="0.35">
      <c r="A77" s="9" t="s">
        <v>29</v>
      </c>
      <c r="B77" s="50">
        <f>(B25/B31)*100</f>
        <v>94.304076607836819</v>
      </c>
      <c r="C77" s="50"/>
      <c r="D77" s="50"/>
      <c r="E77" s="50"/>
      <c r="F77" s="50"/>
      <c r="G77" s="50"/>
      <c r="H77" s="50"/>
      <c r="I77" s="50"/>
      <c r="J77" s="50"/>
      <c r="K77" s="39"/>
      <c r="L77" s="39"/>
      <c r="M77" s="39"/>
    </row>
    <row r="78" spans="1:13" ht="16.2" thickBot="1" x14ac:dyDescent="0.4">
      <c r="A78" s="24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</row>
    <row r="79" spans="1:13" s="2" customFormat="1" ht="16.2" thickTop="1" x14ac:dyDescent="0.35">
      <c r="A79" s="81" t="s">
        <v>99</v>
      </c>
      <c r="B79" s="81"/>
      <c r="C79" s="81"/>
      <c r="D79" s="81"/>
      <c r="E79" s="81"/>
      <c r="F79" s="81"/>
      <c r="G79" s="9"/>
      <c r="H79" s="9"/>
      <c r="I79" s="9"/>
      <c r="J79" s="9"/>
      <c r="K79" s="9"/>
      <c r="L79" s="9"/>
      <c r="M79" s="9"/>
    </row>
    <row r="80" spans="1:13" ht="15.6" x14ac:dyDescent="0.35">
      <c r="A80" s="18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</row>
    <row r="81" spans="1:13" ht="15.6" x14ac:dyDescent="0.35">
      <c r="A81" s="9"/>
      <c r="B81" s="9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</row>
    <row r="82" spans="1:13" ht="15.6" x14ac:dyDescent="0.35">
      <c r="A82" s="9"/>
      <c r="B82" s="29"/>
      <c r="C82" s="29"/>
      <c r="D82" s="29"/>
      <c r="E82" s="29"/>
      <c r="F82" s="20"/>
      <c r="G82" s="20"/>
      <c r="H82" s="20"/>
      <c r="I82" s="20"/>
      <c r="J82" s="20"/>
      <c r="K82" s="20"/>
      <c r="L82" s="20"/>
      <c r="M82" s="20"/>
    </row>
    <row r="83" spans="1:13" x14ac:dyDescent="0.3">
      <c r="A83" s="2"/>
    </row>
    <row r="84" spans="1:13" x14ac:dyDescent="0.3">
      <c r="A84" s="6"/>
    </row>
    <row r="85" spans="1:13" x14ac:dyDescent="0.3">
      <c r="A85" s="2"/>
    </row>
    <row r="86" spans="1:13" x14ac:dyDescent="0.3">
      <c r="A86" s="2"/>
    </row>
    <row r="87" spans="1:13" x14ac:dyDescent="0.3">
      <c r="A87" s="2"/>
    </row>
    <row r="88" spans="1:13" x14ac:dyDescent="0.3">
      <c r="A88" s="2"/>
    </row>
    <row r="89" spans="1:13" x14ac:dyDescent="0.3">
      <c r="A89" s="33"/>
    </row>
    <row r="90" spans="1:13" x14ac:dyDescent="0.3">
      <c r="A90" s="33"/>
    </row>
    <row r="91" spans="1:13" x14ac:dyDescent="0.3">
      <c r="A91" s="2"/>
    </row>
    <row r="92" spans="1:13" x14ac:dyDescent="0.3">
      <c r="A92" s="2"/>
    </row>
    <row r="93" spans="1:13" x14ac:dyDescent="0.3">
      <c r="A93" s="2"/>
    </row>
    <row r="94" spans="1:13" x14ac:dyDescent="0.3">
      <c r="A94" s="7"/>
    </row>
  </sheetData>
  <mergeCells count="55">
    <mergeCell ref="J56:K56"/>
    <mergeCell ref="J57:K57"/>
    <mergeCell ref="J58:K58"/>
    <mergeCell ref="J24:K24"/>
    <mergeCell ref="J23:K23"/>
    <mergeCell ref="A79:F79"/>
    <mergeCell ref="C42:D42"/>
    <mergeCell ref="C36:D36"/>
    <mergeCell ref="J25:K25"/>
    <mergeCell ref="J26:K26"/>
    <mergeCell ref="J27:K27"/>
    <mergeCell ref="C25:D25"/>
    <mergeCell ref="C73:D73"/>
    <mergeCell ref="C47:D47"/>
    <mergeCell ref="C48:D48"/>
    <mergeCell ref="C52:D52"/>
    <mergeCell ref="C65:D65"/>
    <mergeCell ref="C66:D66"/>
    <mergeCell ref="C69:D69"/>
    <mergeCell ref="C70:D70"/>
    <mergeCell ref="C71:D71"/>
    <mergeCell ref="C10:D10"/>
    <mergeCell ref="C39:D39"/>
    <mergeCell ref="C40:D40"/>
    <mergeCell ref="C41:D41"/>
    <mergeCell ref="C27:D27"/>
    <mergeCell ref="A9:A10"/>
    <mergeCell ref="C9:L9"/>
    <mergeCell ref="J10:K10"/>
    <mergeCell ref="C72:D72"/>
    <mergeCell ref="J39:K39"/>
    <mergeCell ref="J40:K40"/>
    <mergeCell ref="J41:K41"/>
    <mergeCell ref="J42:K42"/>
    <mergeCell ref="J47:K47"/>
    <mergeCell ref="J48:K48"/>
    <mergeCell ref="J52:K52"/>
    <mergeCell ref="C26:D26"/>
    <mergeCell ref="B9:B10"/>
    <mergeCell ref="C23:D23"/>
    <mergeCell ref="C24:D24"/>
    <mergeCell ref="J61:K61"/>
    <mergeCell ref="C64:D64"/>
    <mergeCell ref="C56:D56"/>
    <mergeCell ref="C57:D57"/>
    <mergeCell ref="C58:D58"/>
    <mergeCell ref="C61:D61"/>
    <mergeCell ref="J64:K64"/>
    <mergeCell ref="J65:K65"/>
    <mergeCell ref="J66:K66"/>
    <mergeCell ref="J73:K73"/>
    <mergeCell ref="J69:K69"/>
    <mergeCell ref="J70:K70"/>
    <mergeCell ref="J71:K71"/>
    <mergeCell ref="J72:K72"/>
  </mergeCells>
  <pageMargins left="0.7" right="0.7" top="0.75" bottom="0.75" header="0.3" footer="0.3"/>
  <pageSetup orientation="portrait" horizontalDpi="4294967292" verticalDpi="4294967292"/>
  <ignoredErrors>
    <ignoredError sqref="C23:D25 J24:K26 J23" formulaRange="1"/>
    <ignoredError sqref="B24:B26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8:M93"/>
  <sheetViews>
    <sheetView showGridLines="0" zoomScale="70" zoomScaleNormal="70" zoomScalePageLayoutView="9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3.44140625" style="5" customWidth="1"/>
    <col min="2" max="13" width="18.6640625" style="5" customWidth="1"/>
    <col min="14" max="16384" width="11.44140625" style="5"/>
  </cols>
  <sheetData>
    <row r="8" spans="1:13" ht="18.75" customHeight="1" x14ac:dyDescent="0.3"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</row>
    <row r="9" spans="1:13" s="1" customFormat="1" ht="15" customHeight="1" x14ac:dyDescent="0.35">
      <c r="A9" s="88" t="s">
        <v>0</v>
      </c>
      <c r="B9" s="70" t="s">
        <v>52</v>
      </c>
      <c r="C9" s="90" t="s">
        <v>59</v>
      </c>
      <c r="D9" s="90"/>
      <c r="E9" s="90"/>
      <c r="F9" s="90"/>
      <c r="G9" s="90"/>
      <c r="H9" s="90"/>
      <c r="I9" s="90"/>
      <c r="J9" s="90"/>
      <c r="K9" s="90"/>
      <c r="L9" s="90"/>
      <c r="M9" s="90"/>
    </row>
    <row r="10" spans="1:13" s="1" customFormat="1" ht="51.75" customHeight="1" thickBot="1" x14ac:dyDescent="0.35">
      <c r="A10" s="89"/>
      <c r="B10" s="71"/>
      <c r="C10" s="69" t="s">
        <v>1</v>
      </c>
      <c r="D10" s="69"/>
      <c r="E10" s="44" t="s">
        <v>44</v>
      </c>
      <c r="F10" s="44" t="s">
        <v>45</v>
      </c>
      <c r="G10" s="44" t="s">
        <v>46</v>
      </c>
      <c r="H10" s="44" t="s">
        <v>53</v>
      </c>
      <c r="I10" s="44" t="s">
        <v>50</v>
      </c>
      <c r="J10" s="71" t="s">
        <v>61</v>
      </c>
      <c r="K10" s="71"/>
      <c r="L10" s="44" t="s">
        <v>54</v>
      </c>
      <c r="M10" s="45" t="s">
        <v>118</v>
      </c>
    </row>
    <row r="11" spans="1:13" ht="16.2" thickTop="1" x14ac:dyDescent="0.3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pans="1:13" ht="15.6" x14ac:dyDescent="0.35">
      <c r="A12" s="30" t="s">
        <v>2</v>
      </c>
      <c r="B12" s="20"/>
      <c r="C12" s="20"/>
      <c r="D12" s="21"/>
      <c r="E12" s="21"/>
      <c r="F12" s="20"/>
      <c r="G12" s="20"/>
      <c r="H12" s="20"/>
      <c r="I12" s="20"/>
      <c r="J12" s="20"/>
      <c r="K12" s="20"/>
      <c r="L12" s="20"/>
      <c r="M12" s="20"/>
    </row>
    <row r="13" spans="1:13" ht="15.6" x14ac:dyDescent="0.35">
      <c r="A13" s="20"/>
      <c r="B13" s="20"/>
      <c r="C13" s="20"/>
      <c r="D13" s="21"/>
      <c r="E13" s="21"/>
      <c r="F13" s="20"/>
      <c r="G13" s="20"/>
      <c r="H13" s="20"/>
      <c r="I13" s="20"/>
      <c r="J13" s="20"/>
      <c r="K13" s="20"/>
      <c r="L13" s="20"/>
      <c r="M13" s="20"/>
    </row>
    <row r="14" spans="1:13" s="62" customFormat="1" ht="31.2" x14ac:dyDescent="0.3">
      <c r="A14" s="55" t="s">
        <v>41</v>
      </c>
      <c r="B14" s="11" t="s">
        <v>57</v>
      </c>
      <c r="C14" s="11" t="s">
        <v>42</v>
      </c>
      <c r="D14" s="11" t="s">
        <v>43</v>
      </c>
      <c r="E14" s="12" t="s">
        <v>42</v>
      </c>
      <c r="F14" s="12" t="s">
        <v>42</v>
      </c>
      <c r="G14" s="12" t="s">
        <v>42</v>
      </c>
      <c r="H14" s="54" t="s">
        <v>63</v>
      </c>
      <c r="I14" s="12" t="s">
        <v>51</v>
      </c>
      <c r="J14" s="12" t="s">
        <v>42</v>
      </c>
      <c r="K14" s="12" t="s">
        <v>62</v>
      </c>
      <c r="L14" s="12" t="s">
        <v>57</v>
      </c>
      <c r="M14" s="12" t="s">
        <v>57</v>
      </c>
    </row>
    <row r="15" spans="1:13" ht="15.6" x14ac:dyDescent="0.35">
      <c r="A15" s="13" t="s">
        <v>84</v>
      </c>
      <c r="B15" s="48">
        <v>269678</v>
      </c>
      <c r="C15" s="48">
        <v>142789</v>
      </c>
      <c r="D15" s="48">
        <v>180994</v>
      </c>
      <c r="E15" s="48">
        <v>1844</v>
      </c>
      <c r="F15" s="48">
        <v>189</v>
      </c>
      <c r="G15" s="48">
        <v>8039</v>
      </c>
      <c r="H15" s="48">
        <v>74504</v>
      </c>
      <c r="I15" s="48">
        <v>4793</v>
      </c>
      <c r="J15" s="48">
        <v>154095</v>
      </c>
      <c r="K15" s="48">
        <v>214964</v>
      </c>
      <c r="L15" s="48" t="s">
        <v>48</v>
      </c>
      <c r="M15" s="48" t="s">
        <v>48</v>
      </c>
    </row>
    <row r="16" spans="1:13" ht="15.6" x14ac:dyDescent="0.35">
      <c r="A16" s="13" t="s">
        <v>125</v>
      </c>
      <c r="B16" s="48" t="s">
        <v>49</v>
      </c>
      <c r="C16" s="41" t="s">
        <v>49</v>
      </c>
      <c r="D16" s="48">
        <v>233955</v>
      </c>
      <c r="E16" s="48">
        <v>1857</v>
      </c>
      <c r="F16" s="48">
        <v>137</v>
      </c>
      <c r="G16" s="48">
        <v>7560</v>
      </c>
      <c r="H16" s="48">
        <v>58304</v>
      </c>
      <c r="I16" s="48">
        <v>19523</v>
      </c>
      <c r="J16" s="47" t="s">
        <v>48</v>
      </c>
      <c r="K16" s="47">
        <v>0</v>
      </c>
      <c r="L16" s="48" t="s">
        <v>48</v>
      </c>
      <c r="M16" s="48">
        <v>111111</v>
      </c>
    </row>
    <row r="17" spans="1:13" ht="15.6" x14ac:dyDescent="0.35">
      <c r="A17" s="13" t="s">
        <v>55</v>
      </c>
      <c r="B17" s="48">
        <f>+SUM(D17+E17+F17+G17+H17+I17+K17+D1+M17)</f>
        <v>963617</v>
      </c>
      <c r="C17" s="41" t="s">
        <v>49</v>
      </c>
      <c r="D17" s="48">
        <v>373560</v>
      </c>
      <c r="E17" s="48">
        <v>156</v>
      </c>
      <c r="F17" s="48">
        <v>411</v>
      </c>
      <c r="G17" s="48">
        <v>22680</v>
      </c>
      <c r="H17" s="48">
        <v>174908</v>
      </c>
      <c r="I17" s="48">
        <v>58569</v>
      </c>
      <c r="J17" s="47" t="s">
        <v>48</v>
      </c>
      <c r="K17" s="47">
        <v>0</v>
      </c>
      <c r="L17" s="48" t="s">
        <v>48</v>
      </c>
      <c r="M17" s="48">
        <v>333333</v>
      </c>
    </row>
    <row r="18" spans="1:13" s="34" customFormat="1" ht="15.6" x14ac:dyDescent="0.35">
      <c r="A18" s="13" t="s">
        <v>126</v>
      </c>
      <c r="B18" s="48">
        <v>329734</v>
      </c>
      <c r="C18" s="48">
        <v>212360</v>
      </c>
      <c r="D18" s="48">
        <v>356233</v>
      </c>
      <c r="E18" s="48">
        <v>1501</v>
      </c>
      <c r="F18" s="48">
        <v>197</v>
      </c>
      <c r="G18" s="48">
        <v>9408</v>
      </c>
      <c r="H18" s="48">
        <v>69612</v>
      </c>
      <c r="I18" s="48">
        <v>24870</v>
      </c>
      <c r="J18" s="47">
        <v>0</v>
      </c>
      <c r="K18" s="47">
        <v>0</v>
      </c>
      <c r="L18" s="48" t="s">
        <v>48</v>
      </c>
      <c r="M18" s="48">
        <v>79730</v>
      </c>
    </row>
    <row r="19" spans="1:13" s="34" customFormat="1" ht="15.6" x14ac:dyDescent="0.35">
      <c r="A19" s="13" t="s">
        <v>55</v>
      </c>
      <c r="B19" s="48">
        <f>+SUM(D19+E19+F19+G19+H19+I19+K19+L1+M19)</f>
        <v>1343330</v>
      </c>
      <c r="C19" s="41" t="s">
        <v>49</v>
      </c>
      <c r="D19" s="48">
        <v>917071</v>
      </c>
      <c r="E19" s="48">
        <v>3711</v>
      </c>
      <c r="F19" s="48">
        <v>520</v>
      </c>
      <c r="G19" s="48">
        <v>25448</v>
      </c>
      <c r="H19" s="48">
        <v>172234</v>
      </c>
      <c r="I19" s="48">
        <v>70274</v>
      </c>
      <c r="J19" s="47" t="s">
        <v>48</v>
      </c>
      <c r="K19" s="47">
        <v>0</v>
      </c>
      <c r="L19" s="48" t="s">
        <v>48</v>
      </c>
      <c r="M19" s="48">
        <v>154072</v>
      </c>
    </row>
    <row r="20" spans="1:13" ht="15.6" x14ac:dyDescent="0.35">
      <c r="A20" s="13" t="s">
        <v>94</v>
      </c>
      <c r="B20" s="48" t="s">
        <v>49</v>
      </c>
      <c r="C20" s="41" t="s">
        <v>49</v>
      </c>
      <c r="D20" s="48">
        <v>233955</v>
      </c>
      <c r="E20" s="48">
        <v>1857</v>
      </c>
      <c r="F20" s="48">
        <v>137</v>
      </c>
      <c r="G20" s="48">
        <v>7560</v>
      </c>
      <c r="H20" s="48">
        <v>58304</v>
      </c>
      <c r="I20" s="48">
        <v>19523</v>
      </c>
      <c r="J20" s="47" t="s">
        <v>48</v>
      </c>
      <c r="K20" s="47">
        <v>0</v>
      </c>
      <c r="L20" s="48" t="s">
        <v>48</v>
      </c>
      <c r="M20" s="48">
        <v>111111</v>
      </c>
    </row>
    <row r="21" spans="1:13" ht="15.6" x14ac:dyDescent="0.35">
      <c r="A21" s="9"/>
      <c r="B21" s="48"/>
      <c r="C21" s="48"/>
      <c r="D21" s="48"/>
      <c r="E21" s="48"/>
      <c r="F21" s="48"/>
      <c r="G21" s="48"/>
      <c r="H21" s="48"/>
      <c r="I21" s="48"/>
      <c r="J21" s="48"/>
      <c r="K21" s="47"/>
      <c r="L21" s="47"/>
      <c r="M21" s="47"/>
    </row>
    <row r="22" spans="1:13" ht="15.6" x14ac:dyDescent="0.35">
      <c r="A22" s="14" t="s">
        <v>3</v>
      </c>
      <c r="B22" s="48"/>
      <c r="C22" s="48"/>
      <c r="D22" s="48"/>
      <c r="E22" s="48"/>
      <c r="F22" s="48"/>
      <c r="G22" s="48"/>
      <c r="H22" s="48"/>
      <c r="I22" s="48"/>
      <c r="J22" s="48"/>
      <c r="K22" s="47"/>
      <c r="L22" s="47"/>
      <c r="M22" s="47"/>
    </row>
    <row r="23" spans="1:13" ht="15.6" x14ac:dyDescent="0.35">
      <c r="A23" s="13" t="s">
        <v>84</v>
      </c>
      <c r="B23" s="48">
        <f>+C23+E23+F23+G23+H23+I23+J23+L23</f>
        <v>33591185347.669998</v>
      </c>
      <c r="C23" s="85">
        <v>12384082000</v>
      </c>
      <c r="D23" s="85"/>
      <c r="E23" s="48">
        <v>546562699</v>
      </c>
      <c r="F23" s="48">
        <v>126517900</v>
      </c>
      <c r="G23" s="48">
        <v>1742913100</v>
      </c>
      <c r="H23" s="48">
        <v>13475110912</v>
      </c>
      <c r="I23" s="48">
        <v>1383441764</v>
      </c>
      <c r="J23" s="85">
        <v>3921096000</v>
      </c>
      <c r="K23" s="85"/>
      <c r="L23" s="47">
        <v>11460972.67</v>
      </c>
      <c r="M23" s="47" t="s">
        <v>48</v>
      </c>
    </row>
    <row r="24" spans="1:13" ht="15.6" x14ac:dyDescent="0.35">
      <c r="A24" s="13" t="s">
        <v>125</v>
      </c>
      <c r="B24" s="48">
        <f>+SUM(C24+E24+F24+G24+H24+I24+J24+M24)</f>
        <v>53790258000</v>
      </c>
      <c r="C24" s="85">
        <v>11206800000</v>
      </c>
      <c r="D24" s="85"/>
      <c r="E24" s="48">
        <v>15600000</v>
      </c>
      <c r="F24" s="48">
        <v>134808000</v>
      </c>
      <c r="G24" s="48">
        <v>1701000000</v>
      </c>
      <c r="H24" s="48">
        <v>13118100000</v>
      </c>
      <c r="I24" s="48">
        <v>7613970000</v>
      </c>
      <c r="J24" s="85">
        <v>0</v>
      </c>
      <c r="K24" s="85">
        <v>2793600000</v>
      </c>
      <c r="L24" s="47" t="s">
        <v>48</v>
      </c>
      <c r="M24" s="47">
        <v>19999980000</v>
      </c>
    </row>
    <row r="25" spans="1:13" ht="15.6" x14ac:dyDescent="0.35">
      <c r="A25" s="13" t="s">
        <v>126</v>
      </c>
      <c r="B25" s="48">
        <f>+C25+E25+F25+G25+H25+I25+J25+L25+M25</f>
        <v>55221180402</v>
      </c>
      <c r="C25" s="85">
        <v>16910881000</v>
      </c>
      <c r="D25" s="85"/>
      <c r="E25" s="48">
        <v>376002042.00000024</v>
      </c>
      <c r="F25" s="48">
        <v>110402444.00000003</v>
      </c>
      <c r="G25" s="48">
        <v>1804578000</v>
      </c>
      <c r="H25" s="48">
        <v>13652756315.999998</v>
      </c>
      <c r="I25" s="48">
        <v>8351520600.000001</v>
      </c>
      <c r="J25" s="85">
        <v>0</v>
      </c>
      <c r="K25" s="85"/>
      <c r="L25" s="47">
        <v>0</v>
      </c>
      <c r="M25" s="47">
        <v>14015040000</v>
      </c>
    </row>
    <row r="26" spans="1:13" ht="15.6" x14ac:dyDescent="0.35">
      <c r="A26" s="13" t="s">
        <v>94</v>
      </c>
      <c r="B26" s="48">
        <f>+SUM(C26+E26+F26+G26+H26+I26+J26+M26)</f>
        <v>182205842000</v>
      </c>
      <c r="C26" s="72">
        <v>74036820000</v>
      </c>
      <c r="D26" s="72"/>
      <c r="E26" s="48">
        <v>1665600000</v>
      </c>
      <c r="F26" s="48">
        <v>358832000</v>
      </c>
      <c r="G26" s="48">
        <v>6797550000</v>
      </c>
      <c r="H26" s="48">
        <v>52219050000</v>
      </c>
      <c r="I26" s="48">
        <v>27128010000</v>
      </c>
      <c r="J26" s="85">
        <v>0</v>
      </c>
      <c r="K26" s="85"/>
      <c r="L26" s="47" t="s">
        <v>48</v>
      </c>
      <c r="M26" s="47">
        <v>19999980000</v>
      </c>
    </row>
    <row r="27" spans="1:13" ht="15.6" x14ac:dyDescent="0.35">
      <c r="A27" s="13" t="s">
        <v>127</v>
      </c>
      <c r="B27" s="48">
        <f>+C27+E27+F27+G27+H27+I27+J27+L27+M27</f>
        <v>55221180402</v>
      </c>
      <c r="C27" s="85">
        <f>C25</f>
        <v>16910881000</v>
      </c>
      <c r="D27" s="85"/>
      <c r="E27" s="48">
        <f>E25</f>
        <v>376002042.00000024</v>
      </c>
      <c r="F27" s="48">
        <f t="shared" ref="F27:I27" si="0">F25</f>
        <v>110402444.00000003</v>
      </c>
      <c r="G27" s="48">
        <f t="shared" si="0"/>
        <v>1804578000</v>
      </c>
      <c r="H27" s="48">
        <f t="shared" si="0"/>
        <v>13652756315.999998</v>
      </c>
      <c r="I27" s="48">
        <f t="shared" si="0"/>
        <v>8351520600.000001</v>
      </c>
      <c r="J27" s="85">
        <f>J25</f>
        <v>0</v>
      </c>
      <c r="K27" s="85"/>
      <c r="L27" s="47">
        <f>+L25</f>
        <v>0</v>
      </c>
      <c r="M27" s="47">
        <f>+M25</f>
        <v>14015040000</v>
      </c>
    </row>
    <row r="28" spans="1:13" ht="15.6" x14ac:dyDescent="0.35">
      <c r="A28" s="9"/>
      <c r="B28" s="48"/>
      <c r="C28" s="48"/>
      <c r="D28" s="48"/>
      <c r="E28" s="48"/>
      <c r="F28" s="48"/>
      <c r="G28" s="48"/>
      <c r="H28" s="48"/>
      <c r="I28" s="48"/>
      <c r="J28" s="48"/>
      <c r="K28" s="47"/>
      <c r="L28" s="47"/>
      <c r="M28" s="47"/>
    </row>
    <row r="29" spans="1:13" ht="15.6" x14ac:dyDescent="0.35">
      <c r="A29" s="14" t="s">
        <v>4</v>
      </c>
      <c r="B29" s="48"/>
      <c r="C29" s="48"/>
      <c r="D29" s="48"/>
      <c r="E29" s="48"/>
      <c r="F29" s="48"/>
      <c r="G29" s="48"/>
      <c r="H29" s="48"/>
      <c r="I29" s="48"/>
      <c r="J29" s="48"/>
      <c r="K29" s="47"/>
      <c r="L29" s="47"/>
      <c r="M29" s="47"/>
    </row>
    <row r="30" spans="1:13" ht="17.25" customHeight="1" x14ac:dyDescent="0.35">
      <c r="A30" s="13" t="s">
        <v>125</v>
      </c>
      <c r="B30" s="48">
        <f>B24</f>
        <v>53790258000</v>
      </c>
      <c r="C30" s="48"/>
      <c r="D30" s="48"/>
      <c r="E30" s="48"/>
      <c r="F30" s="48"/>
      <c r="G30" s="48"/>
      <c r="H30" s="48"/>
      <c r="I30" s="48"/>
      <c r="J30" s="48"/>
      <c r="K30" s="47"/>
      <c r="L30" s="47"/>
      <c r="M30" s="47"/>
    </row>
    <row r="31" spans="1:13" ht="15.75" customHeight="1" x14ac:dyDescent="0.35">
      <c r="A31" s="13" t="s">
        <v>126</v>
      </c>
      <c r="B31" s="48">
        <v>53736523778.299995</v>
      </c>
      <c r="C31" s="41"/>
      <c r="D31" s="48"/>
      <c r="E31" s="48"/>
      <c r="F31" s="48"/>
      <c r="G31" s="48"/>
      <c r="H31" s="48"/>
      <c r="I31" s="48"/>
      <c r="J31" s="48"/>
      <c r="K31" s="47"/>
      <c r="L31" s="47"/>
      <c r="M31" s="47"/>
    </row>
    <row r="32" spans="1:13" ht="15.6" x14ac:dyDescent="0.35">
      <c r="A32" s="9"/>
      <c r="B32" s="63"/>
      <c r="C32" s="63"/>
      <c r="D32" s="63"/>
      <c r="E32" s="63"/>
      <c r="F32" s="63"/>
      <c r="G32" s="63"/>
      <c r="H32" s="63"/>
      <c r="I32" s="63"/>
      <c r="J32" s="63"/>
      <c r="K32" s="20"/>
      <c r="L32" s="20"/>
      <c r="M32" s="20"/>
    </row>
    <row r="33" spans="1:13" ht="15.6" x14ac:dyDescent="0.35">
      <c r="A33" s="10" t="s">
        <v>5</v>
      </c>
      <c r="B33" s="63"/>
      <c r="C33" s="63"/>
      <c r="D33" s="63"/>
      <c r="E33" s="63"/>
      <c r="F33" s="63"/>
      <c r="G33" s="63"/>
      <c r="H33" s="63"/>
      <c r="I33" s="63"/>
      <c r="J33" s="63"/>
      <c r="K33" s="20"/>
      <c r="L33" s="20"/>
      <c r="M33" s="20"/>
    </row>
    <row r="34" spans="1:13" ht="15.6" x14ac:dyDescent="0.35">
      <c r="A34" s="13" t="s">
        <v>85</v>
      </c>
      <c r="B34" s="37">
        <v>1.0863</v>
      </c>
      <c r="C34" s="37">
        <v>1.0863</v>
      </c>
      <c r="D34" s="37">
        <v>1.0863</v>
      </c>
      <c r="E34" s="37">
        <v>1.0863</v>
      </c>
      <c r="F34" s="37">
        <v>1.0863</v>
      </c>
      <c r="G34" s="37">
        <v>1.0863</v>
      </c>
      <c r="H34" s="37">
        <v>1.0863</v>
      </c>
      <c r="I34" s="37">
        <v>1.0863</v>
      </c>
      <c r="J34" s="37">
        <v>1.0863</v>
      </c>
      <c r="K34" s="37">
        <v>1.0863</v>
      </c>
      <c r="L34" s="37">
        <v>1.0863</v>
      </c>
      <c r="M34" s="37">
        <v>1.0863</v>
      </c>
    </row>
    <row r="35" spans="1:13" ht="15.6" x14ac:dyDescent="0.35">
      <c r="A35" s="13" t="s">
        <v>128</v>
      </c>
      <c r="B35" s="37">
        <v>1.1144000000000001</v>
      </c>
      <c r="C35" s="37">
        <v>1.1144000000000001</v>
      </c>
      <c r="D35" s="37">
        <v>1.1144000000000001</v>
      </c>
      <c r="E35" s="37">
        <v>1.1144000000000001</v>
      </c>
      <c r="F35" s="37">
        <v>1.1144000000000001</v>
      </c>
      <c r="G35" s="37">
        <v>1.1144000000000001</v>
      </c>
      <c r="H35" s="37">
        <v>1.1144000000000001</v>
      </c>
      <c r="I35" s="37">
        <v>1.1144000000000001</v>
      </c>
      <c r="J35" s="37">
        <v>1.1144000000000001</v>
      </c>
      <c r="K35" s="37">
        <v>1.1144000000000001</v>
      </c>
      <c r="L35" s="37">
        <v>1.1144000000000001</v>
      </c>
      <c r="M35" s="37">
        <v>1.1144000000000001</v>
      </c>
    </row>
    <row r="36" spans="1:13" s="2" customFormat="1" ht="15.6" x14ac:dyDescent="0.35">
      <c r="A36" s="13" t="s">
        <v>6</v>
      </c>
      <c r="B36" s="43">
        <v>438418</v>
      </c>
      <c r="C36" s="73">
        <v>186599</v>
      </c>
      <c r="D36" s="73"/>
      <c r="E36" s="43">
        <v>164361</v>
      </c>
      <c r="F36" s="43" t="s">
        <v>56</v>
      </c>
      <c r="G36" s="43">
        <v>97440</v>
      </c>
      <c r="H36" s="43" t="s">
        <v>56</v>
      </c>
      <c r="I36" s="43" t="s">
        <v>56</v>
      </c>
      <c r="J36" s="43" t="s">
        <v>56</v>
      </c>
      <c r="K36" s="42" t="s">
        <v>56</v>
      </c>
      <c r="L36" s="42" t="s">
        <v>56</v>
      </c>
      <c r="M36" s="9"/>
    </row>
    <row r="37" spans="1:13" ht="15.6" x14ac:dyDescent="0.35">
      <c r="A37" s="9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</row>
    <row r="38" spans="1:13" ht="15.6" x14ac:dyDescent="0.35">
      <c r="A38" s="10" t="s">
        <v>7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</row>
    <row r="39" spans="1:13" ht="15.6" x14ac:dyDescent="0.35">
      <c r="A39" s="9" t="s">
        <v>86</v>
      </c>
      <c r="B39" s="49">
        <f>B23/B34</f>
        <v>30922567750.777866</v>
      </c>
      <c r="C39" s="87">
        <f>C23/C34</f>
        <v>11400241185.676147</v>
      </c>
      <c r="D39" s="87"/>
      <c r="E39" s="49">
        <f>E23/E34</f>
        <v>503141580.59467918</v>
      </c>
      <c r="F39" s="49">
        <f t="shared" ref="F39:I39" si="1">F23/F34</f>
        <v>116466813.9556292</v>
      </c>
      <c r="G39" s="49">
        <f t="shared" si="1"/>
        <v>1604449139.2801251</v>
      </c>
      <c r="H39" s="49">
        <f t="shared" si="1"/>
        <v>12404594414.066095</v>
      </c>
      <c r="I39" s="49">
        <f t="shared" si="1"/>
        <v>1273535638.405597</v>
      </c>
      <c r="J39" s="87">
        <f t="shared" ref="J39:L39" si="2">J23/J34</f>
        <v>3609588511.4609222</v>
      </c>
      <c r="K39" s="87">
        <f t="shared" si="2"/>
        <v>0</v>
      </c>
      <c r="L39" s="23">
        <f t="shared" si="2"/>
        <v>10550467.338672558</v>
      </c>
      <c r="M39" s="23" t="s">
        <v>48</v>
      </c>
    </row>
    <row r="40" spans="1:13" ht="15.6" x14ac:dyDescent="0.35">
      <c r="A40" s="9" t="s">
        <v>129</v>
      </c>
      <c r="B40" s="49">
        <f>B25/B35</f>
        <v>49552387295.405594</v>
      </c>
      <c r="C40" s="87">
        <f>C25/C35</f>
        <v>15174875269.203157</v>
      </c>
      <c r="D40" s="87"/>
      <c r="E40" s="49">
        <f>E25/E35</f>
        <v>337403124.55132824</v>
      </c>
      <c r="F40" s="49">
        <f t="shared" ref="F40:I40" si="3">F25/F35</f>
        <v>99068955.491744459</v>
      </c>
      <c r="G40" s="49">
        <f t="shared" si="3"/>
        <v>1619326992.103374</v>
      </c>
      <c r="H40" s="49">
        <f t="shared" si="3"/>
        <v>12251217081.837757</v>
      </c>
      <c r="I40" s="49">
        <f t="shared" si="3"/>
        <v>7494185750.1794691</v>
      </c>
      <c r="J40" s="87">
        <f t="shared" ref="J40:M40" si="4">J25/J35</f>
        <v>0</v>
      </c>
      <c r="K40" s="87">
        <f t="shared" si="4"/>
        <v>0</v>
      </c>
      <c r="L40" s="23">
        <f t="shared" si="4"/>
        <v>0</v>
      </c>
      <c r="M40" s="23">
        <f t="shared" si="4"/>
        <v>12576310122.038765</v>
      </c>
    </row>
    <row r="41" spans="1:13" ht="15.6" x14ac:dyDescent="0.35">
      <c r="A41" s="9" t="s">
        <v>87</v>
      </c>
      <c r="B41" s="49">
        <f>B39/B15</f>
        <v>114664.77707035007</v>
      </c>
      <c r="C41" s="87">
        <f>C39/D15</f>
        <v>62986.845893654747</v>
      </c>
      <c r="D41" s="87"/>
      <c r="E41" s="49">
        <f>E39/E15</f>
        <v>272853.35173247242</v>
      </c>
      <c r="F41" s="49">
        <f t="shared" ref="F41:I41" si="5">F39/F15</f>
        <v>616226.52886576299</v>
      </c>
      <c r="G41" s="49">
        <f t="shared" si="5"/>
        <v>199583.17443464673</v>
      </c>
      <c r="H41" s="49">
        <f t="shared" si="5"/>
        <v>166495.68364203392</v>
      </c>
      <c r="I41" s="49">
        <f t="shared" si="5"/>
        <v>265707.41464752704</v>
      </c>
      <c r="J41" s="73">
        <f>J39/K15</f>
        <v>16791.595390209161</v>
      </c>
      <c r="K41" s="73">
        <f t="shared" ref="K41" si="6">K39/K15</f>
        <v>0</v>
      </c>
      <c r="L41" s="43" t="s">
        <v>56</v>
      </c>
      <c r="M41" s="43" t="s">
        <v>48</v>
      </c>
    </row>
    <row r="42" spans="1:13" ht="15.6" x14ac:dyDescent="0.35">
      <c r="A42" s="9" t="s">
        <v>130</v>
      </c>
      <c r="B42" s="49">
        <f>B40/B18</f>
        <v>150279.88407445271</v>
      </c>
      <c r="C42" s="87">
        <f>C40/D18</f>
        <v>42598.173861498391</v>
      </c>
      <c r="D42" s="87"/>
      <c r="E42" s="49">
        <f>E40/E18</f>
        <v>224785.55932800015</v>
      </c>
      <c r="F42" s="49">
        <f t="shared" ref="F42:I42" si="7">F40/F18</f>
        <v>502888.09894286527</v>
      </c>
      <c r="G42" s="49">
        <f t="shared" si="7"/>
        <v>172122.34184772256</v>
      </c>
      <c r="H42" s="49">
        <f t="shared" si="7"/>
        <v>175992.89033266905</v>
      </c>
      <c r="I42" s="49">
        <f t="shared" si="7"/>
        <v>301334.3687245464</v>
      </c>
      <c r="J42" s="73" t="s">
        <v>48</v>
      </c>
      <c r="K42" s="73" t="e">
        <f t="shared" ref="K42" si="8">K40/K18</f>
        <v>#DIV/0!</v>
      </c>
      <c r="L42" s="43" t="s">
        <v>56</v>
      </c>
      <c r="M42" s="43">
        <f t="shared" ref="M42" si="9">M40/M18</f>
        <v>157736.23632307493</v>
      </c>
    </row>
    <row r="43" spans="1:13" ht="15.6" x14ac:dyDescent="0.35">
      <c r="A43" s="9"/>
      <c r="B43" s="28"/>
      <c r="C43" s="28"/>
      <c r="D43" s="28"/>
      <c r="E43" s="28"/>
      <c r="F43" s="28"/>
      <c r="G43" s="28"/>
      <c r="H43" s="28"/>
      <c r="I43" s="28"/>
      <c r="J43" s="28"/>
      <c r="K43" s="66"/>
      <c r="L43" s="66"/>
      <c r="M43" s="66"/>
    </row>
    <row r="44" spans="1:13" ht="15.6" x14ac:dyDescent="0.35">
      <c r="A44" s="10" t="s">
        <v>8</v>
      </c>
      <c r="B44" s="28"/>
      <c r="C44" s="28"/>
      <c r="D44" s="28"/>
      <c r="E44" s="28"/>
      <c r="F44" s="28"/>
      <c r="G44" s="28"/>
      <c r="H44" s="28"/>
      <c r="I44" s="28"/>
      <c r="J44" s="28"/>
      <c r="K44" s="66"/>
      <c r="L44" s="66"/>
      <c r="M44" s="66"/>
    </row>
    <row r="45" spans="1:13" ht="15.6" x14ac:dyDescent="0.35">
      <c r="A45" s="9"/>
      <c r="B45" s="28"/>
      <c r="C45" s="28"/>
      <c r="D45" s="28"/>
      <c r="E45" s="28"/>
      <c r="F45" s="28"/>
      <c r="G45" s="28"/>
      <c r="H45" s="28"/>
      <c r="I45" s="28"/>
      <c r="J45" s="28"/>
      <c r="K45" s="66"/>
      <c r="L45" s="66"/>
      <c r="M45" s="66"/>
    </row>
    <row r="46" spans="1:13" ht="15.6" x14ac:dyDescent="0.35">
      <c r="A46" s="10" t="s">
        <v>9</v>
      </c>
      <c r="B46" s="28"/>
      <c r="C46" s="28"/>
      <c r="D46" s="28"/>
      <c r="E46" s="28"/>
      <c r="F46" s="28"/>
      <c r="G46" s="28"/>
      <c r="H46" s="28"/>
      <c r="I46" s="28"/>
      <c r="J46" s="28"/>
      <c r="K46" s="66"/>
      <c r="L46" s="66"/>
      <c r="M46" s="66"/>
    </row>
    <row r="47" spans="1:13" ht="15.6" x14ac:dyDescent="0.35">
      <c r="A47" s="9" t="s">
        <v>10</v>
      </c>
      <c r="B47" s="38" t="s">
        <v>56</v>
      </c>
      <c r="C47" s="86">
        <f>(D16/C36)*100</f>
        <v>125.37848541524875</v>
      </c>
      <c r="D47" s="86"/>
      <c r="E47" s="50">
        <f>(E16/E36)*100</f>
        <v>1.1298300691769947</v>
      </c>
      <c r="F47" s="38" t="s">
        <v>48</v>
      </c>
      <c r="G47" s="50">
        <f t="shared" ref="G47" si="10">G16/G36*100</f>
        <v>7.7586206896551726</v>
      </c>
      <c r="H47" s="38" t="s">
        <v>56</v>
      </c>
      <c r="I47" s="38" t="s">
        <v>56</v>
      </c>
      <c r="J47" s="80" t="s">
        <v>48</v>
      </c>
      <c r="K47" s="80"/>
      <c r="L47" s="39" t="s">
        <v>56</v>
      </c>
      <c r="M47" s="39" t="s">
        <v>56</v>
      </c>
    </row>
    <row r="48" spans="1:13" ht="15.6" x14ac:dyDescent="0.35">
      <c r="A48" s="9" t="s">
        <v>11</v>
      </c>
      <c r="B48" s="38">
        <f>(B18/B36)*100</f>
        <v>75.209959445095777</v>
      </c>
      <c r="C48" s="86">
        <f>(D18/C36)*100</f>
        <v>190.90831140574173</v>
      </c>
      <c r="D48" s="86"/>
      <c r="E48" s="50">
        <f>(E18/E36)*100</f>
        <v>0.91323367465517968</v>
      </c>
      <c r="F48" s="38" t="s">
        <v>48</v>
      </c>
      <c r="G48" s="50">
        <f>(G18/G36)*100</f>
        <v>9.6551724137931032</v>
      </c>
      <c r="H48" s="38" t="s">
        <v>56</v>
      </c>
      <c r="I48" s="38" t="s">
        <v>56</v>
      </c>
      <c r="J48" s="80" t="s">
        <v>48</v>
      </c>
      <c r="K48" s="80"/>
      <c r="L48" s="39" t="s">
        <v>56</v>
      </c>
      <c r="M48" s="39" t="s">
        <v>56</v>
      </c>
    </row>
    <row r="49" spans="1:13" ht="15.6" x14ac:dyDescent="0.35">
      <c r="A49" s="9"/>
      <c r="B49" s="50"/>
      <c r="C49" s="50"/>
      <c r="D49" s="50"/>
      <c r="E49" s="50"/>
      <c r="F49" s="50"/>
      <c r="G49" s="50"/>
      <c r="H49" s="50"/>
      <c r="I49" s="50"/>
      <c r="J49" s="50"/>
      <c r="K49" s="39"/>
      <c r="L49" s="39"/>
      <c r="M49" s="39"/>
    </row>
    <row r="50" spans="1:13" ht="15.6" x14ac:dyDescent="0.35">
      <c r="A50" s="10" t="s">
        <v>12</v>
      </c>
      <c r="B50" s="50"/>
      <c r="C50" s="50"/>
      <c r="D50" s="50"/>
      <c r="E50" s="50"/>
      <c r="F50" s="50"/>
      <c r="G50" s="50"/>
      <c r="H50" s="50"/>
      <c r="I50" s="50"/>
      <c r="J50" s="50"/>
      <c r="K50" s="39"/>
      <c r="L50" s="39"/>
      <c r="M50" s="39"/>
    </row>
    <row r="51" spans="1:13" ht="15.6" x14ac:dyDescent="0.35">
      <c r="A51" s="9" t="s">
        <v>13</v>
      </c>
      <c r="B51" s="38" t="s">
        <v>56</v>
      </c>
      <c r="C51" s="38" t="s">
        <v>56</v>
      </c>
      <c r="D51" s="50">
        <f>D18/D16*100</f>
        <v>152.26560663375435</v>
      </c>
      <c r="E51" s="50">
        <f>E18/E16*100</f>
        <v>80.829294561120093</v>
      </c>
      <c r="F51" s="50">
        <f t="shared" ref="F51:H51" si="11">F18/F16*100</f>
        <v>143.79562043795619</v>
      </c>
      <c r="G51" s="50">
        <f t="shared" si="11"/>
        <v>124.44444444444444</v>
      </c>
      <c r="H51" s="50">
        <f t="shared" si="11"/>
        <v>119.39489571899011</v>
      </c>
      <c r="I51" s="50">
        <f t="shared" ref="I51" si="12">I18/I16*100</f>
        <v>127.38820877938841</v>
      </c>
      <c r="J51" s="38" t="s">
        <v>56</v>
      </c>
      <c r="K51" s="39" t="s">
        <v>48</v>
      </c>
      <c r="L51" s="38" t="s">
        <v>56</v>
      </c>
      <c r="M51" s="38">
        <f t="shared" ref="M51" si="13">M18/M16*100</f>
        <v>71.757071757071756</v>
      </c>
    </row>
    <row r="52" spans="1:13" ht="15.6" x14ac:dyDescent="0.35">
      <c r="A52" s="9" t="s">
        <v>14</v>
      </c>
      <c r="B52" s="50">
        <f>B25/B24*100</f>
        <v>102.66018876875438</v>
      </c>
      <c r="C52" s="86">
        <f>C25/C24*100</f>
        <v>150.89839204768535</v>
      </c>
      <c r="D52" s="86"/>
      <c r="E52" s="50">
        <f>E25/E24*100</f>
        <v>2410.2695000000017</v>
      </c>
      <c r="F52" s="50">
        <f t="shared" ref="F52:H52" si="14">F25/F24*100</f>
        <v>81.896062548216747</v>
      </c>
      <c r="G52" s="50">
        <f t="shared" si="14"/>
        <v>106.08924162257496</v>
      </c>
      <c r="H52" s="50">
        <f t="shared" si="14"/>
        <v>104.07571459281448</v>
      </c>
      <c r="I52" s="50">
        <f t="shared" ref="I52" si="15">I25/I24*100</f>
        <v>109.68680727662444</v>
      </c>
      <c r="J52" s="80" t="s">
        <v>56</v>
      </c>
      <c r="K52" s="80"/>
      <c r="L52" s="38" t="s">
        <v>56</v>
      </c>
      <c r="M52" s="38">
        <f t="shared" ref="M52" si="16">M25/M24*100</f>
        <v>70.075270075270083</v>
      </c>
    </row>
    <row r="53" spans="1:13" ht="15.6" x14ac:dyDescent="0.35">
      <c r="A53" s="9" t="s">
        <v>15</v>
      </c>
      <c r="B53" s="38" t="s">
        <v>56</v>
      </c>
      <c r="C53" s="38" t="s">
        <v>56</v>
      </c>
      <c r="D53" s="50">
        <f>AVERAGE(D51,C52)</f>
        <v>151.58199934071985</v>
      </c>
      <c r="E53" s="50">
        <f>AVERAGE(E51:E52)</f>
        <v>1245.5493972805609</v>
      </c>
      <c r="F53" s="50">
        <f t="shared" ref="F53:H53" si="17">AVERAGE(F51:F52)</f>
        <v>112.84584149308647</v>
      </c>
      <c r="G53" s="50">
        <f t="shared" si="17"/>
        <v>115.2668430335097</v>
      </c>
      <c r="H53" s="50">
        <f t="shared" si="17"/>
        <v>111.7353051559023</v>
      </c>
      <c r="I53" s="50">
        <f t="shared" ref="I53" si="18">AVERAGE(I51:I52)</f>
        <v>118.53750802800641</v>
      </c>
      <c r="J53" s="38" t="s">
        <v>56</v>
      </c>
      <c r="K53" s="39" t="s">
        <v>48</v>
      </c>
      <c r="L53" s="38" t="s">
        <v>56</v>
      </c>
      <c r="M53" s="38">
        <f t="shared" ref="M53" si="19">AVERAGE(M51:M52)</f>
        <v>70.916170916170927</v>
      </c>
    </row>
    <row r="54" spans="1:13" ht="15.6" x14ac:dyDescent="0.35">
      <c r="A54" s="9"/>
      <c r="B54" s="50"/>
      <c r="C54" s="50"/>
      <c r="D54" s="50"/>
      <c r="E54" s="50"/>
      <c r="F54" s="50"/>
      <c r="G54" s="50"/>
      <c r="H54" s="50"/>
      <c r="I54" s="50"/>
      <c r="J54" s="50"/>
      <c r="K54" s="39"/>
      <c r="L54" s="39"/>
      <c r="M54" s="39"/>
    </row>
    <row r="55" spans="1:13" ht="15.6" x14ac:dyDescent="0.35">
      <c r="A55" s="10" t="s">
        <v>16</v>
      </c>
      <c r="B55" s="50"/>
      <c r="C55" s="50"/>
      <c r="D55" s="50"/>
      <c r="E55" s="50"/>
      <c r="F55" s="50"/>
      <c r="G55" s="50"/>
      <c r="H55" s="50"/>
      <c r="I55" s="50"/>
      <c r="J55" s="50"/>
      <c r="K55" s="39"/>
      <c r="L55" s="39"/>
      <c r="M55" s="39"/>
    </row>
    <row r="56" spans="1:13" ht="15.6" x14ac:dyDescent="0.35">
      <c r="A56" s="9" t="s">
        <v>17</v>
      </c>
      <c r="B56" s="38" t="s">
        <v>56</v>
      </c>
      <c r="C56" s="86">
        <f>D18/D20*100</f>
        <v>152.26560663375435</v>
      </c>
      <c r="D56" s="86"/>
      <c r="E56" s="50">
        <f>E18/E20*100</f>
        <v>80.829294561120093</v>
      </c>
      <c r="F56" s="50">
        <f t="shared" ref="F56:I56" si="20">F18/F20*100</f>
        <v>143.79562043795619</v>
      </c>
      <c r="G56" s="50">
        <f t="shared" si="20"/>
        <v>124.44444444444444</v>
      </c>
      <c r="H56" s="50">
        <f t="shared" si="20"/>
        <v>119.39489571899011</v>
      </c>
      <c r="I56" s="50">
        <f t="shared" si="20"/>
        <v>127.38820877938841</v>
      </c>
      <c r="J56" s="80" t="s">
        <v>48</v>
      </c>
      <c r="K56" s="80"/>
      <c r="L56" s="38" t="s">
        <v>56</v>
      </c>
      <c r="M56" s="38">
        <f t="shared" ref="M56" si="21">M18/M20*100</f>
        <v>71.757071757071756</v>
      </c>
    </row>
    <row r="57" spans="1:13" ht="15.6" x14ac:dyDescent="0.35">
      <c r="A57" s="9" t="s">
        <v>18</v>
      </c>
      <c r="B57" s="50">
        <f>B25/B26*100</f>
        <v>30.307030661508648</v>
      </c>
      <c r="C57" s="86">
        <f>C25/C26*100</f>
        <v>22.841176863079749</v>
      </c>
      <c r="D57" s="86"/>
      <c r="E57" s="50">
        <f>E25/E26*100</f>
        <v>22.574570244956789</v>
      </c>
      <c r="F57" s="50">
        <f t="shared" ref="F57:I57" si="22">F25/F26*100</f>
        <v>30.767167922593313</v>
      </c>
      <c r="G57" s="50">
        <f t="shared" si="22"/>
        <v>26.547476664386433</v>
      </c>
      <c r="H57" s="50">
        <f t="shared" si="22"/>
        <v>26.145164103904605</v>
      </c>
      <c r="I57" s="50">
        <f t="shared" si="22"/>
        <v>30.785599828369282</v>
      </c>
      <c r="J57" s="80" t="s">
        <v>48</v>
      </c>
      <c r="K57" s="80"/>
      <c r="L57" s="38" t="s">
        <v>56</v>
      </c>
      <c r="M57" s="38">
        <f t="shared" ref="M57" si="23">M25/M26*100</f>
        <v>70.075270075270083</v>
      </c>
    </row>
    <row r="58" spans="1:13" ht="15.6" x14ac:dyDescent="0.35">
      <c r="A58" s="9" t="s">
        <v>19</v>
      </c>
      <c r="B58" s="38" t="s">
        <v>56</v>
      </c>
      <c r="C58" s="86">
        <f>(C56+C57)/2</f>
        <v>87.553391748417042</v>
      </c>
      <c r="D58" s="86"/>
      <c r="E58" s="50">
        <f>(E56+E57)/2</f>
        <v>51.701932403038441</v>
      </c>
      <c r="F58" s="50">
        <f t="shared" ref="F58:I58" si="24">(F56+F57)/2</f>
        <v>87.281394180274745</v>
      </c>
      <c r="G58" s="50">
        <f t="shared" si="24"/>
        <v>75.495960554415433</v>
      </c>
      <c r="H58" s="50">
        <f t="shared" si="24"/>
        <v>72.770029911447352</v>
      </c>
      <c r="I58" s="50">
        <f t="shared" si="24"/>
        <v>79.086904303878839</v>
      </c>
      <c r="J58" s="80" t="s">
        <v>48</v>
      </c>
      <c r="K58" s="80"/>
      <c r="L58" s="38" t="s">
        <v>56</v>
      </c>
      <c r="M58" s="38">
        <f t="shared" ref="M58" si="25">(M56+M57)/2</f>
        <v>70.916170916170927</v>
      </c>
    </row>
    <row r="59" spans="1:13" ht="15.6" x14ac:dyDescent="0.35">
      <c r="A59" s="9"/>
      <c r="B59" s="50"/>
      <c r="C59" s="50"/>
      <c r="D59" s="50"/>
      <c r="E59" s="50"/>
      <c r="F59" s="50"/>
      <c r="G59" s="50"/>
      <c r="H59" s="50"/>
      <c r="I59" s="50"/>
      <c r="J59" s="50"/>
      <c r="K59" s="39"/>
      <c r="L59" s="39"/>
      <c r="M59" s="39"/>
    </row>
    <row r="60" spans="1:13" ht="15.6" x14ac:dyDescent="0.35">
      <c r="A60" s="10" t="s">
        <v>30</v>
      </c>
      <c r="B60" s="50"/>
      <c r="C60" s="50"/>
      <c r="D60" s="50"/>
      <c r="E60" s="50"/>
      <c r="F60" s="50"/>
      <c r="G60" s="50"/>
      <c r="H60" s="50"/>
      <c r="I60" s="50"/>
      <c r="J60" s="50"/>
      <c r="K60" s="39"/>
      <c r="L60" s="39"/>
      <c r="M60" s="39"/>
    </row>
    <row r="61" spans="1:13" ht="15.6" x14ac:dyDescent="0.35">
      <c r="A61" s="9" t="s">
        <v>20</v>
      </c>
      <c r="B61" s="50">
        <f>B27/B25*100</f>
        <v>100</v>
      </c>
      <c r="C61" s="86">
        <f>C27/C25*100</f>
        <v>100</v>
      </c>
      <c r="D61" s="86"/>
      <c r="E61" s="50">
        <f>E27/E25*100</f>
        <v>100</v>
      </c>
      <c r="F61" s="50">
        <f t="shared" ref="F61:I61" si="26">F27/F25*100</f>
        <v>100</v>
      </c>
      <c r="G61" s="50">
        <f t="shared" si="26"/>
        <v>100</v>
      </c>
      <c r="H61" s="50">
        <f t="shared" si="26"/>
        <v>100</v>
      </c>
      <c r="I61" s="50">
        <f t="shared" si="26"/>
        <v>100</v>
      </c>
      <c r="J61" s="86" t="s">
        <v>48</v>
      </c>
      <c r="K61" s="86"/>
      <c r="L61" s="39" t="s">
        <v>48</v>
      </c>
      <c r="M61" s="39">
        <f t="shared" ref="M61" si="27">M27/M25*100</f>
        <v>100</v>
      </c>
    </row>
    <row r="62" spans="1:13" ht="15.6" x14ac:dyDescent="0.35">
      <c r="A62" s="9"/>
      <c r="B62" s="50"/>
      <c r="C62" s="50"/>
      <c r="D62" s="50"/>
      <c r="E62" s="50"/>
      <c r="F62" s="50"/>
      <c r="G62" s="50"/>
      <c r="H62" s="50"/>
      <c r="I62" s="50"/>
      <c r="J62" s="50"/>
      <c r="K62" s="39"/>
      <c r="L62" s="39"/>
      <c r="M62" s="39"/>
    </row>
    <row r="63" spans="1:13" ht="15.6" x14ac:dyDescent="0.35">
      <c r="A63" s="10" t="s">
        <v>21</v>
      </c>
      <c r="B63" s="50"/>
      <c r="C63" s="50"/>
      <c r="D63" s="50"/>
      <c r="E63" s="50"/>
      <c r="F63" s="50"/>
      <c r="G63" s="50"/>
      <c r="H63" s="50"/>
      <c r="I63" s="50"/>
      <c r="J63" s="50"/>
      <c r="K63" s="39"/>
      <c r="L63" s="39"/>
      <c r="M63" s="39"/>
    </row>
    <row r="64" spans="1:13" ht="15.6" x14ac:dyDescent="0.35">
      <c r="A64" s="9" t="s">
        <v>22</v>
      </c>
      <c r="B64" s="50">
        <f>((B18/B15)-1)*100</f>
        <v>22.269521429260088</v>
      </c>
      <c r="C64" s="86">
        <f>((D18/D15)-1)*100</f>
        <v>96.820336585743178</v>
      </c>
      <c r="D64" s="86"/>
      <c r="E64" s="50">
        <f>((E18/E15)-1)*100</f>
        <v>-18.600867678958789</v>
      </c>
      <c r="F64" s="50">
        <f t="shared" ref="F64:I64" si="28">((F18/F15)-1)*100</f>
        <v>4.2328042328042326</v>
      </c>
      <c r="G64" s="50">
        <f t="shared" si="28"/>
        <v>17.029481278766024</v>
      </c>
      <c r="H64" s="50">
        <f t="shared" si="28"/>
        <v>-6.5660904112530893</v>
      </c>
      <c r="I64" s="50">
        <f t="shared" si="28"/>
        <v>418.88170248278743</v>
      </c>
      <c r="J64" s="80">
        <f>((K18/K15)-1)*100</f>
        <v>-100</v>
      </c>
      <c r="K64" s="80">
        <f t="shared" ref="K64" si="29">((K18/K15)-1)*100</f>
        <v>-100</v>
      </c>
      <c r="L64" s="38" t="s">
        <v>56</v>
      </c>
      <c r="M64" s="38" t="s">
        <v>48</v>
      </c>
    </row>
    <row r="65" spans="1:13" ht="15.6" x14ac:dyDescent="0.35">
      <c r="A65" s="9" t="s">
        <v>23</v>
      </c>
      <c r="B65" s="50">
        <f>((B40/B39)-1)*100</f>
        <v>60.246677102547828</v>
      </c>
      <c r="C65" s="86">
        <f>((C40/C39)-1)*100</f>
        <v>33.1101247951636</v>
      </c>
      <c r="D65" s="86"/>
      <c r="E65" s="50">
        <f>((E40/E39)-1)*100</f>
        <v>-32.940719359242642</v>
      </c>
      <c r="F65" s="50">
        <f t="shared" ref="F65:I65" si="30">((F40/F39)-1)*100</f>
        <v>-14.93803932037917</v>
      </c>
      <c r="G65" s="50">
        <f t="shared" si="30"/>
        <v>0.92728728253264059</v>
      </c>
      <c r="H65" s="50">
        <f t="shared" si="30"/>
        <v>-1.236455841348727</v>
      </c>
      <c r="I65" s="50">
        <f t="shared" si="30"/>
        <v>488.45512635687334</v>
      </c>
      <c r="J65" s="80">
        <f t="shared" ref="J65:K65" si="31">((J40/J39)-1)*100</f>
        <v>-100</v>
      </c>
      <c r="K65" s="80" t="e">
        <f t="shared" si="31"/>
        <v>#DIV/0!</v>
      </c>
      <c r="L65" s="38" t="s">
        <v>56</v>
      </c>
      <c r="M65" s="38" t="s">
        <v>48</v>
      </c>
    </row>
    <row r="66" spans="1:13" ht="15.6" x14ac:dyDescent="0.35">
      <c r="A66" s="9" t="s">
        <v>24</v>
      </c>
      <c r="B66" s="50">
        <f>((B42/B41)-1)*100</f>
        <v>31.060198182962285</v>
      </c>
      <c r="C66" s="86">
        <f>((C42/C41)-1)*100</f>
        <v>-32.36973012838272</v>
      </c>
      <c r="D66" s="86"/>
      <c r="E66" s="50">
        <f>((E42/E41)-1)*100</f>
        <v>-17.616713190168852</v>
      </c>
      <c r="F66" s="50">
        <f t="shared" ref="F66:I66" si="32">((F42/F41)-1)*100</f>
        <v>-18.392332139856158</v>
      </c>
      <c r="G66" s="50">
        <f t="shared" si="32"/>
        <v>-13.759091999970263</v>
      </c>
      <c r="H66" s="50">
        <f t="shared" si="32"/>
        <v>5.704175917889942</v>
      </c>
      <c r="I66" s="50">
        <f t="shared" si="32"/>
        <v>13.408340194149314</v>
      </c>
      <c r="J66" s="80" t="s">
        <v>48</v>
      </c>
      <c r="K66" s="80" t="e">
        <f t="shared" ref="K66" si="33">((K42/K41)-1)*100</f>
        <v>#DIV/0!</v>
      </c>
      <c r="L66" s="38" t="s">
        <v>56</v>
      </c>
      <c r="M66" s="38" t="s">
        <v>48</v>
      </c>
    </row>
    <row r="67" spans="1:13" ht="15.6" x14ac:dyDescent="0.35">
      <c r="A67" s="9"/>
      <c r="B67" s="50"/>
      <c r="C67" s="50"/>
      <c r="D67" s="50"/>
      <c r="E67" s="50"/>
      <c r="F67" s="50"/>
      <c r="G67" s="50"/>
      <c r="H67" s="50"/>
      <c r="I67" s="50"/>
      <c r="J67" s="50"/>
      <c r="K67" s="39"/>
      <c r="L67" s="39"/>
      <c r="M67" s="39"/>
    </row>
    <row r="68" spans="1:13" ht="15.6" x14ac:dyDescent="0.35">
      <c r="A68" s="10" t="s">
        <v>25</v>
      </c>
      <c r="B68" s="50"/>
      <c r="C68" s="50"/>
      <c r="D68" s="50"/>
      <c r="E68" s="50"/>
      <c r="F68" s="50"/>
      <c r="G68" s="50"/>
      <c r="H68" s="50"/>
      <c r="I68" s="50"/>
      <c r="J68" s="50"/>
      <c r="K68" s="39"/>
      <c r="L68" s="39"/>
      <c r="M68" s="39"/>
    </row>
    <row r="69" spans="1:13" ht="15.6" x14ac:dyDescent="0.35">
      <c r="A69" s="9" t="s">
        <v>31</v>
      </c>
      <c r="B69" s="50">
        <f>(B24/B17)*3</f>
        <v>167463.60224030918</v>
      </c>
      <c r="C69" s="86">
        <f>(C24/D17)*3</f>
        <v>90000</v>
      </c>
      <c r="D69" s="86"/>
      <c r="E69" s="50">
        <f>(E24/E17)*3</f>
        <v>300000</v>
      </c>
      <c r="F69" s="50">
        <f t="shared" ref="F69:H69" si="34">(F24/F17)*3</f>
        <v>984000</v>
      </c>
      <c r="G69" s="50">
        <f t="shared" si="34"/>
        <v>225000</v>
      </c>
      <c r="H69" s="50">
        <f t="shared" si="34"/>
        <v>225000</v>
      </c>
      <c r="I69" s="50">
        <f t="shared" ref="I69" si="35">(I24/I17)*3</f>
        <v>390000</v>
      </c>
      <c r="J69" s="80" t="s">
        <v>48</v>
      </c>
      <c r="K69" s="80"/>
      <c r="L69" s="38" t="s">
        <v>56</v>
      </c>
      <c r="M69" s="38">
        <f>(M24/M17)*3</f>
        <v>180000</v>
      </c>
    </row>
    <row r="70" spans="1:13" ht="15.6" x14ac:dyDescent="0.35">
      <c r="A70" s="9" t="s">
        <v>32</v>
      </c>
      <c r="B70" s="50">
        <f>(B25/B19)*3</f>
        <v>123323.04140159157</v>
      </c>
      <c r="C70" s="86">
        <f>(C25/D19)*3</f>
        <v>55320.300173050942</v>
      </c>
      <c r="D70" s="86"/>
      <c r="E70" s="50">
        <f>(E25/E19)*3</f>
        <v>303962.84721099451</v>
      </c>
      <c r="F70" s="50">
        <f t="shared" ref="F70:H70" si="36">(F25/F19)*3</f>
        <v>636937.17692307709</v>
      </c>
      <c r="G70" s="50">
        <f t="shared" si="36"/>
        <v>212737.11097139263</v>
      </c>
      <c r="H70" s="50">
        <f t="shared" si="36"/>
        <v>237805.9439367372</v>
      </c>
      <c r="I70" s="50">
        <f t="shared" ref="I70" si="37">(I25/I19)*3</f>
        <v>356526.76381022856</v>
      </c>
      <c r="J70" s="80" t="s">
        <v>48</v>
      </c>
      <c r="K70" s="80"/>
      <c r="L70" s="38" t="s">
        <v>56</v>
      </c>
      <c r="M70" s="38">
        <f>(M25/M19)*3</f>
        <v>272892.67355522094</v>
      </c>
    </row>
    <row r="71" spans="1:13" ht="15.6" x14ac:dyDescent="0.35">
      <c r="A71" s="9" t="s">
        <v>26</v>
      </c>
      <c r="B71" s="38" t="s">
        <v>56</v>
      </c>
      <c r="C71" s="86">
        <f>(C70/C69)*D53</f>
        <v>93.172907826220353</v>
      </c>
      <c r="D71" s="86"/>
      <c r="E71" s="50">
        <f>(E70/E69)*E53</f>
        <v>1262.0024704644582</v>
      </c>
      <c r="F71" s="50">
        <f t="shared" ref="F71:H71" si="38">(F70/F69)*F53</f>
        <v>73.044422467597087</v>
      </c>
      <c r="G71" s="50">
        <f t="shared" si="38"/>
        <v>108.98460078996376</v>
      </c>
      <c r="H71" s="50">
        <f t="shared" si="38"/>
        <v>118.09475428292765</v>
      </c>
      <c r="I71" s="50">
        <f t="shared" ref="I71" si="39">(I70/I69)*I53</f>
        <v>108.36357468552336</v>
      </c>
      <c r="J71" s="80" t="s">
        <v>48</v>
      </c>
      <c r="K71" s="80"/>
      <c r="L71" s="38" t="s">
        <v>56</v>
      </c>
      <c r="M71" s="38">
        <f t="shared" ref="M71" si="40">(M70/M69)*M53</f>
        <v>107.5139082200716</v>
      </c>
    </row>
    <row r="72" spans="1:13" ht="15.6" x14ac:dyDescent="0.35">
      <c r="A72" s="9" t="s">
        <v>33</v>
      </c>
      <c r="B72" s="50">
        <f>B24/B17</f>
        <v>55821.200746769726</v>
      </c>
      <c r="C72" s="86">
        <f>C24/D17</f>
        <v>30000</v>
      </c>
      <c r="D72" s="86"/>
      <c r="E72" s="50">
        <f>E24/E17</f>
        <v>100000</v>
      </c>
      <c r="F72" s="50">
        <f>F24/F17</f>
        <v>328000</v>
      </c>
      <c r="G72" s="50">
        <f t="shared" ref="G72:H72" si="41">G24/G17</f>
        <v>75000</v>
      </c>
      <c r="H72" s="50">
        <f t="shared" si="41"/>
        <v>75000</v>
      </c>
      <c r="I72" s="50">
        <f t="shared" ref="I72" si="42">I24/I17</f>
        <v>130000</v>
      </c>
      <c r="J72" s="80" t="s">
        <v>48</v>
      </c>
      <c r="K72" s="80"/>
      <c r="L72" s="38" t="s">
        <v>56</v>
      </c>
      <c r="M72" s="38">
        <f>M24/M17</f>
        <v>60000</v>
      </c>
    </row>
    <row r="73" spans="1:13" ht="15.6" x14ac:dyDescent="0.35">
      <c r="A73" s="9" t="s">
        <v>34</v>
      </c>
      <c r="B73" s="50">
        <f>B25/B19</f>
        <v>41107.680467197191</v>
      </c>
      <c r="C73" s="86">
        <f>C25/D19</f>
        <v>18440.100057683649</v>
      </c>
      <c r="D73" s="86"/>
      <c r="E73" s="50">
        <f>E25/E19</f>
        <v>101320.94907033151</v>
      </c>
      <c r="F73" s="50">
        <f>F25/F19</f>
        <v>212312.39230769235</v>
      </c>
      <c r="G73" s="50">
        <f t="shared" ref="G73:H73" si="43">G25/G19</f>
        <v>70912.370323797542</v>
      </c>
      <c r="H73" s="50">
        <f t="shared" si="43"/>
        <v>79268.647978912399</v>
      </c>
      <c r="I73" s="50">
        <f t="shared" ref="I73" si="44">I25/I19</f>
        <v>118842.25460340953</v>
      </c>
      <c r="J73" s="80" t="s">
        <v>48</v>
      </c>
      <c r="K73" s="80"/>
      <c r="L73" s="38" t="s">
        <v>56</v>
      </c>
      <c r="M73" s="38">
        <f>M25/M19</f>
        <v>90964.224518406976</v>
      </c>
    </row>
    <row r="74" spans="1:13" ht="15.6" x14ac:dyDescent="0.35">
      <c r="A74" s="9"/>
      <c r="B74" s="50"/>
      <c r="C74" s="50"/>
      <c r="D74" s="50"/>
      <c r="E74" s="50"/>
      <c r="F74" s="50"/>
      <c r="G74" s="50"/>
      <c r="H74" s="50"/>
      <c r="I74" s="50"/>
      <c r="J74" s="50"/>
      <c r="K74" s="39"/>
      <c r="L74" s="39"/>
      <c r="M74" s="39"/>
    </row>
    <row r="75" spans="1:13" ht="15.6" x14ac:dyDescent="0.35">
      <c r="A75" s="10" t="s">
        <v>27</v>
      </c>
      <c r="B75" s="50"/>
      <c r="C75" s="50"/>
      <c r="D75" s="50"/>
      <c r="E75" s="50"/>
      <c r="F75" s="50"/>
      <c r="G75" s="50"/>
      <c r="H75" s="50"/>
      <c r="I75" s="50"/>
      <c r="J75" s="50"/>
      <c r="K75" s="39"/>
      <c r="L75" s="39"/>
      <c r="M75" s="39"/>
    </row>
    <row r="76" spans="1:13" ht="15.6" x14ac:dyDescent="0.35">
      <c r="A76" s="9" t="s">
        <v>28</v>
      </c>
      <c r="B76" s="50">
        <f>(B31/B30)*100</f>
        <v>99.900104175555356</v>
      </c>
      <c r="C76" s="50"/>
      <c r="D76" s="50"/>
      <c r="E76" s="50"/>
      <c r="F76" s="50"/>
      <c r="G76" s="50"/>
      <c r="H76" s="50"/>
      <c r="I76" s="50"/>
      <c r="J76" s="50"/>
      <c r="K76" s="39"/>
      <c r="L76" s="39"/>
      <c r="M76" s="39"/>
    </row>
    <row r="77" spans="1:13" ht="15.6" x14ac:dyDescent="0.35">
      <c r="A77" s="9" t="s">
        <v>29</v>
      </c>
      <c r="B77" s="50">
        <f>(B25/B31)*100</f>
        <v>102.76284455954992</v>
      </c>
      <c r="C77" s="50"/>
      <c r="D77" s="50"/>
      <c r="E77" s="50"/>
      <c r="F77" s="50"/>
      <c r="G77" s="50"/>
      <c r="H77" s="50"/>
      <c r="I77" s="50"/>
      <c r="J77" s="50"/>
      <c r="K77" s="39"/>
      <c r="L77" s="39"/>
      <c r="M77" s="39"/>
    </row>
    <row r="78" spans="1:13" ht="16.2" thickBot="1" x14ac:dyDescent="0.4">
      <c r="A78" s="24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</row>
    <row r="79" spans="1:13" s="2" customFormat="1" ht="16.2" thickTop="1" x14ac:dyDescent="0.35">
      <c r="A79" s="81" t="s">
        <v>99</v>
      </c>
      <c r="B79" s="81"/>
      <c r="C79" s="81"/>
      <c r="D79" s="81"/>
      <c r="E79" s="81"/>
      <c r="F79" s="81"/>
      <c r="G79" s="9"/>
      <c r="H79" s="9"/>
      <c r="I79" s="9"/>
      <c r="J79" s="9"/>
      <c r="K79" s="9"/>
      <c r="L79" s="9"/>
      <c r="M79" s="9"/>
    </row>
    <row r="80" spans="1:13" ht="15.6" x14ac:dyDescent="0.35">
      <c r="A80" s="9"/>
      <c r="B80" s="29"/>
      <c r="C80" s="29"/>
      <c r="D80" s="29"/>
      <c r="E80" s="29"/>
      <c r="F80" s="20"/>
      <c r="G80" s="20"/>
      <c r="H80" s="20"/>
      <c r="I80" s="20"/>
      <c r="J80" s="20"/>
      <c r="K80" s="20"/>
      <c r="L80" s="20"/>
      <c r="M80" s="20"/>
    </row>
    <row r="81" spans="1:13" ht="15.6" x14ac:dyDescent="0.35">
      <c r="A81" s="9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</row>
    <row r="82" spans="1:13" ht="15.6" x14ac:dyDescent="0.35">
      <c r="A82" s="18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</row>
    <row r="83" spans="1:13" x14ac:dyDescent="0.3">
      <c r="A83" s="2"/>
    </row>
    <row r="84" spans="1:13" x14ac:dyDescent="0.3">
      <c r="A84" s="2"/>
    </row>
    <row r="85" spans="1:13" x14ac:dyDescent="0.3">
      <c r="A85" s="2"/>
    </row>
    <row r="86" spans="1:13" x14ac:dyDescent="0.3">
      <c r="A86" s="2"/>
    </row>
    <row r="87" spans="1:13" x14ac:dyDescent="0.3">
      <c r="A87" s="33"/>
    </row>
    <row r="88" spans="1:13" x14ac:dyDescent="0.3">
      <c r="A88" s="33"/>
    </row>
    <row r="89" spans="1:13" x14ac:dyDescent="0.3">
      <c r="A89" s="2"/>
    </row>
    <row r="90" spans="1:13" x14ac:dyDescent="0.3">
      <c r="A90" s="2"/>
    </row>
    <row r="91" spans="1:13" x14ac:dyDescent="0.3">
      <c r="A91" s="2"/>
    </row>
    <row r="93" spans="1:13" x14ac:dyDescent="0.3">
      <c r="A93" s="7"/>
    </row>
  </sheetData>
  <mergeCells count="55">
    <mergeCell ref="C52:D52"/>
    <mergeCell ref="C65:D65"/>
    <mergeCell ref="C66:D66"/>
    <mergeCell ref="C56:D56"/>
    <mergeCell ref="C41:D41"/>
    <mergeCell ref="C42:D42"/>
    <mergeCell ref="C27:D27"/>
    <mergeCell ref="C36:D36"/>
    <mergeCell ref="J39:K39"/>
    <mergeCell ref="J40:K40"/>
    <mergeCell ref="J41:K41"/>
    <mergeCell ref="C40:D40"/>
    <mergeCell ref="J42:K42"/>
    <mergeCell ref="C57:D57"/>
    <mergeCell ref="C58:D58"/>
    <mergeCell ref="C61:D61"/>
    <mergeCell ref="J26:K26"/>
    <mergeCell ref="J47:K47"/>
    <mergeCell ref="J48:K48"/>
    <mergeCell ref="C47:D47"/>
    <mergeCell ref="C48:D48"/>
    <mergeCell ref="J27:K27"/>
    <mergeCell ref="J52:K52"/>
    <mergeCell ref="J56:K56"/>
    <mergeCell ref="J57:K57"/>
    <mergeCell ref="J58:K58"/>
    <mergeCell ref="J61:K61"/>
    <mergeCell ref="C39:D39"/>
    <mergeCell ref="A9:A10"/>
    <mergeCell ref="J10:K10"/>
    <mergeCell ref="C26:D26"/>
    <mergeCell ref="C24:D24"/>
    <mergeCell ref="B9:B10"/>
    <mergeCell ref="C23:D23"/>
    <mergeCell ref="C25:D25"/>
    <mergeCell ref="C10:D10"/>
    <mergeCell ref="J25:K25"/>
    <mergeCell ref="J24:K24"/>
    <mergeCell ref="J23:K23"/>
    <mergeCell ref="C9:M9"/>
    <mergeCell ref="A79:F79"/>
    <mergeCell ref="J71:K71"/>
    <mergeCell ref="J72:K72"/>
    <mergeCell ref="J73:K73"/>
    <mergeCell ref="J64:K64"/>
    <mergeCell ref="J65:K65"/>
    <mergeCell ref="J66:K66"/>
    <mergeCell ref="J69:K69"/>
    <mergeCell ref="J70:K70"/>
    <mergeCell ref="C73:D73"/>
    <mergeCell ref="C71:D71"/>
    <mergeCell ref="C69:D69"/>
    <mergeCell ref="C70:D70"/>
    <mergeCell ref="C64:D64"/>
    <mergeCell ref="C72:D72"/>
  </mergeCells>
  <pageMargins left="0.7" right="0.7" top="0.75" bottom="0.75" header="0.3" footer="0.3"/>
  <pageSetup orientation="portrait" horizontalDpi="300" verticalDpi="300" r:id="rId1"/>
  <ignoredErrors>
    <ignoredError sqref="B49:I50 C47:G47 B48:G48 B54:I55 D53:H53 B52:H52 D51:H51 B59:I63 B57:I57 B67:I68 B66:I66 B65:I65 B64:I64 B74:J77 B70:H70 B73:H73 C71:H71 C58:I58 C56:I56 B69:H69 B72:H72" evalError="1"/>
    <ignoredError sqref="B24:B25 B26" formula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8:N80"/>
  <sheetViews>
    <sheetView showGridLines="0" zoomScale="70" zoomScaleNormal="70" zoomScalePageLayoutView="9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3.44140625" style="3" customWidth="1"/>
    <col min="2" max="14" width="18.6640625" style="3" customWidth="1"/>
    <col min="15" max="16384" width="11.44140625" style="3"/>
  </cols>
  <sheetData>
    <row r="8" spans="1:14" ht="18.75" customHeight="1" x14ac:dyDescent="0.3"/>
    <row r="9" spans="1:14" s="1" customFormat="1" ht="15" customHeight="1" x14ac:dyDescent="0.35">
      <c r="A9" s="88" t="s">
        <v>0</v>
      </c>
      <c r="B9" s="70" t="s">
        <v>52</v>
      </c>
      <c r="C9" s="90" t="s">
        <v>59</v>
      </c>
      <c r="D9" s="90"/>
      <c r="E9" s="90"/>
      <c r="F9" s="90"/>
      <c r="G9" s="90"/>
      <c r="H9" s="90"/>
      <c r="I9" s="90"/>
      <c r="J9" s="90"/>
      <c r="K9" s="90"/>
      <c r="L9" s="90"/>
      <c r="M9" s="90"/>
    </row>
    <row r="10" spans="1:14" s="1" customFormat="1" ht="51.75" customHeight="1" thickBot="1" x14ac:dyDescent="0.35">
      <c r="A10" s="89"/>
      <c r="B10" s="71"/>
      <c r="C10" s="69" t="s">
        <v>1</v>
      </c>
      <c r="D10" s="69"/>
      <c r="E10" s="44" t="s">
        <v>44</v>
      </c>
      <c r="F10" s="44" t="s">
        <v>45</v>
      </c>
      <c r="G10" s="44" t="s">
        <v>46</v>
      </c>
      <c r="H10" s="44" t="s">
        <v>53</v>
      </c>
      <c r="I10" s="44" t="s">
        <v>50</v>
      </c>
      <c r="J10" s="71" t="s">
        <v>61</v>
      </c>
      <c r="K10" s="71"/>
      <c r="L10" s="44" t="s">
        <v>54</v>
      </c>
      <c r="M10" s="45" t="s">
        <v>118</v>
      </c>
    </row>
    <row r="11" spans="1:14" ht="16.2" thickTop="1" x14ac:dyDescent="0.35">
      <c r="A11" s="9"/>
      <c r="B11" s="9"/>
      <c r="C11" s="9"/>
      <c r="D11" s="9"/>
      <c r="E11" s="19"/>
      <c r="F11" s="9"/>
      <c r="G11" s="9"/>
      <c r="H11" s="9"/>
      <c r="I11" s="9"/>
      <c r="J11" s="9"/>
      <c r="K11" s="9"/>
      <c r="L11" s="9"/>
      <c r="M11" s="9"/>
      <c r="N11" s="9"/>
    </row>
    <row r="12" spans="1:14" ht="15.6" x14ac:dyDescent="0.35">
      <c r="A12" s="10" t="s">
        <v>2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4" ht="15.6" x14ac:dyDescent="0.3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s="57" customFormat="1" ht="31.2" x14ac:dyDescent="0.3">
      <c r="A14" s="55" t="s">
        <v>41</v>
      </c>
      <c r="B14" s="11" t="s">
        <v>57</v>
      </c>
      <c r="C14" s="11" t="s">
        <v>42</v>
      </c>
      <c r="D14" s="11" t="s">
        <v>43</v>
      </c>
      <c r="E14" s="12" t="s">
        <v>42</v>
      </c>
      <c r="F14" s="12" t="s">
        <v>42</v>
      </c>
      <c r="G14" s="12" t="s">
        <v>42</v>
      </c>
      <c r="H14" s="54" t="s">
        <v>63</v>
      </c>
      <c r="I14" s="12" t="s">
        <v>51</v>
      </c>
      <c r="J14" s="12" t="s">
        <v>42</v>
      </c>
      <c r="K14" s="12" t="s">
        <v>62</v>
      </c>
      <c r="L14" s="12" t="s">
        <v>57</v>
      </c>
      <c r="M14" s="12" t="s">
        <v>57</v>
      </c>
    </row>
    <row r="15" spans="1:14" ht="15.6" x14ac:dyDescent="0.35">
      <c r="A15" s="13" t="s">
        <v>88</v>
      </c>
      <c r="B15" s="48">
        <v>307927</v>
      </c>
      <c r="C15" s="48">
        <v>150396</v>
      </c>
      <c r="D15" s="48">
        <v>191438</v>
      </c>
      <c r="E15" s="48">
        <v>1967</v>
      </c>
      <c r="F15" s="48">
        <v>203</v>
      </c>
      <c r="G15" s="48">
        <v>8580</v>
      </c>
      <c r="H15" s="48">
        <v>116248</v>
      </c>
      <c r="I15" s="48">
        <v>25065</v>
      </c>
      <c r="J15" s="46">
        <v>160642</v>
      </c>
      <c r="K15" s="46">
        <v>224631</v>
      </c>
      <c r="L15" s="46" t="s">
        <v>48</v>
      </c>
      <c r="M15" s="46" t="s">
        <v>48</v>
      </c>
      <c r="N15" s="46"/>
    </row>
    <row r="16" spans="1:14" ht="15.6" x14ac:dyDescent="0.35">
      <c r="A16" s="13" t="s">
        <v>131</v>
      </c>
      <c r="B16" s="48" t="str">
        <f>'IV Trimestre'!B16</f>
        <v>n.d</v>
      </c>
      <c r="C16" s="48" t="str">
        <f>'IV Trimestre'!C16</f>
        <v>n.d</v>
      </c>
      <c r="D16" s="48">
        <f>'IV Trimestre'!D16</f>
        <v>233955</v>
      </c>
      <c r="E16" s="48">
        <f>'IV Trimestre'!E16</f>
        <v>1857</v>
      </c>
      <c r="F16" s="48">
        <f>'IV Trimestre'!F16</f>
        <v>137</v>
      </c>
      <c r="G16" s="48">
        <f>'IV Trimestre'!G16</f>
        <v>7560</v>
      </c>
      <c r="H16" s="48">
        <f>'IV Trimestre'!H16</f>
        <v>58304</v>
      </c>
      <c r="I16" s="48">
        <f>'IV Trimestre'!I16</f>
        <v>19523</v>
      </c>
      <c r="J16" s="46" t="s">
        <v>48</v>
      </c>
      <c r="K16" s="46">
        <f>+'IV Trimestre'!K16</f>
        <v>0</v>
      </c>
      <c r="L16" s="46" t="s">
        <v>48</v>
      </c>
      <c r="M16" s="46">
        <f>+'IV Trimestre'!M16</f>
        <v>111111</v>
      </c>
      <c r="N16" s="46"/>
    </row>
    <row r="17" spans="1:14" ht="15.6" x14ac:dyDescent="0.35">
      <c r="A17" s="13" t="s">
        <v>55</v>
      </c>
      <c r="B17" s="48">
        <f>+D17+E17+F17+G17+H17+I17+K17</f>
        <v>3481209</v>
      </c>
      <c r="C17" s="48" t="str">
        <f>'IV Trimestre'!C17</f>
        <v>n.d</v>
      </c>
      <c r="D17" s="48">
        <f>+'I Trimestre'!D17+'II Trimestre'!D17+'III Trimestre'!D17+'IV Trimestre'!D17</f>
        <v>2467894</v>
      </c>
      <c r="E17" s="48">
        <f>+'I Trimestre'!E17+'II Trimestre'!E17+'III Trimestre'!E17+'IV Trimestre'!E17</f>
        <v>16656</v>
      </c>
      <c r="F17" s="48">
        <f>+'I Trimestre'!F17+'II Trimestre'!F17+'III Trimestre'!F17+'IV Trimestre'!F17</f>
        <v>1094</v>
      </c>
      <c r="G17" s="48">
        <f>+'I Trimestre'!G17+'II Trimestre'!G17+'III Trimestre'!G17+'IV Trimestre'!G17</f>
        <v>90634</v>
      </c>
      <c r="H17" s="48">
        <f>+'I Trimestre'!H17+'II Trimestre'!H17+'III Trimestre'!H17+'IV Trimestre'!H17</f>
        <v>696254</v>
      </c>
      <c r="I17" s="48">
        <f>+'I Trimestre'!I17+'II Trimestre'!I17+'III Trimestre'!I17+'IV Trimestre'!I17</f>
        <v>208677</v>
      </c>
      <c r="J17" s="46" t="s">
        <v>48</v>
      </c>
      <c r="K17" s="46">
        <f>+'I Trimestre'!K17+'II Trimestre'!K17+'III Trimestre'!K17+'IV Trimestre'!K17</f>
        <v>0</v>
      </c>
      <c r="L17" s="46" t="s">
        <v>48</v>
      </c>
      <c r="M17" s="46">
        <f>+'IV Trimestre'!M17</f>
        <v>333333</v>
      </c>
      <c r="N17" s="46"/>
    </row>
    <row r="18" spans="1:14" ht="15.6" x14ac:dyDescent="0.35">
      <c r="A18" s="13" t="s">
        <v>132</v>
      </c>
      <c r="B18" s="48">
        <v>351015</v>
      </c>
      <c r="C18" s="48">
        <v>228740</v>
      </c>
      <c r="D18" s="48">
        <v>387582</v>
      </c>
      <c r="E18" s="48">
        <v>1594</v>
      </c>
      <c r="F18" s="48">
        <v>224</v>
      </c>
      <c r="G18" s="48">
        <v>13122</v>
      </c>
      <c r="H18" s="48">
        <v>89677</v>
      </c>
      <c r="I18" s="48">
        <v>30344</v>
      </c>
      <c r="J18" s="48">
        <v>0</v>
      </c>
      <c r="K18" s="46">
        <v>0</v>
      </c>
      <c r="L18" s="46" t="s">
        <v>48</v>
      </c>
      <c r="M18" s="46">
        <v>79730</v>
      </c>
      <c r="N18" s="46"/>
    </row>
    <row r="19" spans="1:14" ht="15.6" x14ac:dyDescent="0.35">
      <c r="A19" s="13" t="s">
        <v>55</v>
      </c>
      <c r="B19" s="48">
        <f>+SUM(D19+E19+F19+G19+H19+I19+K19+M19)</f>
        <v>4122765</v>
      </c>
      <c r="C19" s="48" t="str">
        <f>'IV Trimestre'!C19</f>
        <v>n.d</v>
      </c>
      <c r="D19" s="48">
        <f>+'I Trimestre'!D19+'II Trimestre'!D19+'III Trimestre'!D19+'IV Trimestre'!D19</f>
        <v>3013852</v>
      </c>
      <c r="E19" s="48">
        <f>+'I Trimestre'!E19+'II Trimestre'!E19+'III Trimestre'!E19+'IV Trimestre'!E19</f>
        <v>16305</v>
      </c>
      <c r="F19" s="48">
        <f>+'I Trimestre'!F19+'II Trimestre'!F19+'III Trimestre'!F19+'IV Trimestre'!F19</f>
        <v>1483</v>
      </c>
      <c r="G19" s="48">
        <f>+'I Trimestre'!G19+'II Trimestre'!G19+'III Trimestre'!G19+'IV Trimestre'!G19</f>
        <v>94573</v>
      </c>
      <c r="H19" s="48">
        <f>+'I Trimestre'!H19+'II Trimestre'!H19+'III Trimestre'!H19+'IV Trimestre'!H19</f>
        <v>582101</v>
      </c>
      <c r="I19" s="48">
        <f>+'I Trimestre'!I19+'II Trimestre'!I19+'III Trimestre'!I19+'IV Trimestre'!I19</f>
        <v>260379</v>
      </c>
      <c r="J19" s="48" t="s">
        <v>48</v>
      </c>
      <c r="K19" s="48">
        <f>+'I Trimestre'!K19+'II Trimestre'!K19+'III Trimestre'!K19+'IV Trimestre'!K19</f>
        <v>0</v>
      </c>
      <c r="L19" s="46" t="s">
        <v>48</v>
      </c>
      <c r="M19" s="46">
        <f>+'IV Trimestre'!M19</f>
        <v>154072</v>
      </c>
      <c r="N19" s="46"/>
    </row>
    <row r="20" spans="1:14" ht="15.6" x14ac:dyDescent="0.35">
      <c r="A20" s="13" t="s">
        <v>94</v>
      </c>
      <c r="B20" s="48" t="str">
        <f>'IV Trimestre'!B20</f>
        <v>n.d</v>
      </c>
      <c r="C20" s="48" t="str">
        <f>'IV Trimestre'!C20</f>
        <v>n.d</v>
      </c>
      <c r="D20" s="48">
        <f>'IV Trimestre'!D20</f>
        <v>233955</v>
      </c>
      <c r="E20" s="48">
        <f>'IV Trimestre'!E20</f>
        <v>1857</v>
      </c>
      <c r="F20" s="48">
        <f>'IV Trimestre'!F20</f>
        <v>137</v>
      </c>
      <c r="G20" s="48">
        <f>'IV Trimestre'!G20</f>
        <v>7560</v>
      </c>
      <c r="H20" s="48">
        <f>'IV Trimestre'!H20</f>
        <v>58304</v>
      </c>
      <c r="I20" s="48">
        <f>'IV Trimestre'!I20</f>
        <v>19523</v>
      </c>
      <c r="J20" s="46" t="s">
        <v>48</v>
      </c>
      <c r="K20" s="46">
        <f>'IV Trimestre'!K20</f>
        <v>0</v>
      </c>
      <c r="L20" s="46" t="s">
        <v>48</v>
      </c>
      <c r="M20" s="46">
        <f>+'IV Trimestre'!M20</f>
        <v>111111</v>
      </c>
      <c r="N20" s="46"/>
    </row>
    <row r="21" spans="1:14" ht="15.6" x14ac:dyDescent="0.35">
      <c r="A21" s="9"/>
      <c r="B21" s="41"/>
      <c r="C21" s="41"/>
      <c r="D21" s="41"/>
      <c r="E21" s="41"/>
      <c r="F21" s="41"/>
      <c r="G21" s="41"/>
      <c r="H21" s="41"/>
      <c r="I21" s="41"/>
      <c r="J21" s="41"/>
      <c r="K21" s="46"/>
      <c r="L21" s="46"/>
      <c r="M21" s="46"/>
      <c r="N21" s="46"/>
    </row>
    <row r="22" spans="1:14" ht="15.6" x14ac:dyDescent="0.35">
      <c r="A22" s="14" t="s">
        <v>3</v>
      </c>
      <c r="B22" s="41"/>
      <c r="C22" s="41"/>
      <c r="D22" s="41"/>
      <c r="E22" s="41"/>
      <c r="F22" s="41"/>
      <c r="G22" s="41"/>
      <c r="H22" s="41"/>
      <c r="I22" s="41"/>
      <c r="J22" s="41"/>
      <c r="K22" s="46"/>
      <c r="L22" s="46"/>
      <c r="M22" s="46"/>
      <c r="N22" s="46"/>
    </row>
    <row r="23" spans="1:14" ht="15.6" x14ac:dyDescent="0.35">
      <c r="A23" s="13" t="s">
        <v>88</v>
      </c>
      <c r="B23" s="48">
        <f>+C23+E23+F23+G23+H23+I23+J23+L23</f>
        <v>147469947589.07001</v>
      </c>
      <c r="C23" s="85">
        <f>'I Trimestre'!C23:D23+'II Trimestre'!C23:D23+'III Trimestre'!C23:D23+'IV Trimestre'!C23:D23</f>
        <v>47330721000</v>
      </c>
      <c r="D23" s="85"/>
      <c r="E23" s="48">
        <f>'I Trimestre'!E23+'II Trimestre'!E23+'III Trimestre'!E23+'IV Trimestre'!E23</f>
        <v>1811228399</v>
      </c>
      <c r="F23" s="48">
        <f>'I Trimestre'!F23+'II Trimestre'!F23+'III Trimestre'!F23+'IV Trimestre'!F23</f>
        <v>336361200</v>
      </c>
      <c r="G23" s="48">
        <f>'I Trimestre'!G23+'II Trimestre'!G23+'III Trimestre'!G23+'IV Trimestre'!G23</f>
        <v>6777656100</v>
      </c>
      <c r="H23" s="48">
        <f>'I Trimestre'!H23+'II Trimestre'!H23+'III Trimestre'!H23+'IV Trimestre'!H23</f>
        <v>50636364288.400002</v>
      </c>
      <c r="I23" s="48">
        <f>'I Trimestre'!I23+'II Trimestre'!I23+'III Trimestre'!I23+'IV Trimestre'!I23</f>
        <v>25032215629</v>
      </c>
      <c r="J23" s="85">
        <f>+'I Trimestre'!J23:K23+'II Trimestre'!J23:K23+'III Trimestre'!J23:K23+'IV Trimestre'!J23:K23</f>
        <v>15183940000</v>
      </c>
      <c r="K23" s="85"/>
      <c r="L23" s="48">
        <f>+'I Trimestre'!L23+'IV Trimestre'!L23</f>
        <v>361460972.67000002</v>
      </c>
      <c r="M23" s="58" t="s">
        <v>48</v>
      </c>
      <c r="N23" s="48"/>
    </row>
    <row r="24" spans="1:14" ht="15.6" x14ac:dyDescent="0.35">
      <c r="A24" s="13" t="s">
        <v>131</v>
      </c>
      <c r="B24" s="48">
        <f>+SUM(C24+E24+F24+G24+H24+I24+J24+M24)</f>
        <v>182205842000</v>
      </c>
      <c r="C24" s="85">
        <f>'I Trimestre'!C24:D24+'II Trimestre'!C24:D24+'III Trimestre'!C24:D24+'IV Trimestre'!C24:D24</f>
        <v>74036820000</v>
      </c>
      <c r="D24" s="85"/>
      <c r="E24" s="48">
        <f>+'I Trimestre'!E24+'II Trimestre'!E24+'III Trimestre'!E24+'IV Trimestre'!E24</f>
        <v>1665600000</v>
      </c>
      <c r="F24" s="48">
        <f>+'I Trimestre'!F24+'II Trimestre'!F24+'III Trimestre'!F24+'IV Trimestre'!F24</f>
        <v>358832000</v>
      </c>
      <c r="G24" s="48">
        <f>+'I Trimestre'!G24+'II Trimestre'!G24+'III Trimestre'!G24+'IV Trimestre'!G24</f>
        <v>6797550000</v>
      </c>
      <c r="H24" s="48">
        <f>+'I Trimestre'!H24+'II Trimestre'!H24+'III Trimestre'!H24+'IV Trimestre'!H24</f>
        <v>52219050000</v>
      </c>
      <c r="I24" s="48">
        <f>+'I Trimestre'!I24+'II Trimestre'!I24+'III Trimestre'!I24+'IV Trimestre'!I24</f>
        <v>27128010000</v>
      </c>
      <c r="J24" s="85">
        <f>+'I Trimestre'!J24:K24+'II Trimestre'!J24:K24+'III Trimestre'!J24:K24+'IV Trimestre'!J24:K24</f>
        <v>0</v>
      </c>
      <c r="K24" s="85"/>
      <c r="L24" s="46" t="s">
        <v>48</v>
      </c>
      <c r="M24" s="48">
        <f>+'IV Trimestre'!M24</f>
        <v>19999980000</v>
      </c>
      <c r="N24" s="46"/>
    </row>
    <row r="25" spans="1:14" ht="15.6" x14ac:dyDescent="0.35">
      <c r="A25" s="13" t="s">
        <v>132</v>
      </c>
      <c r="B25" s="48">
        <f>+C25+E25+F25+G25+H25+I25+J25+L25+M25</f>
        <v>175288226872</v>
      </c>
      <c r="C25" s="85">
        <f>'I Trimestre'!C25:D25+'II Trimestre'!C25:D25+'III Trimestre'!C25:D25+'IV Trimestre'!C25:D25</f>
        <v>73706790000</v>
      </c>
      <c r="D25" s="85"/>
      <c r="E25" s="48">
        <f>'I Trimestre'!E25+'II Trimestre'!E25+'III Trimestre'!E25+'IV Trimestre'!E25</f>
        <v>1664226998.0000002</v>
      </c>
      <c r="F25" s="48">
        <f>'I Trimestre'!F25+'II Trimestre'!F25+'III Trimestre'!F25+'IV Trimestre'!F25</f>
        <v>341819440</v>
      </c>
      <c r="G25" s="48">
        <f>'I Trimestre'!G25+'II Trimestre'!G25+'III Trimestre'!G25+'IV Trimestre'!G25</f>
        <v>6791610000</v>
      </c>
      <c r="H25" s="48">
        <f>'I Trimestre'!H25+'II Trimestre'!H25+'III Trimestre'!H25+'IV Trimestre'!H25</f>
        <v>45874904851</v>
      </c>
      <c r="I25" s="48">
        <f>'I Trimestre'!I25+'II Trimestre'!I25+'III Trimestre'!I25+'IV Trimestre'!I25</f>
        <v>32843835583</v>
      </c>
      <c r="J25" s="85">
        <f>+'I Trimestre'!J25:K25+'II Trimestre'!J25:K25+'III Trimestre'!J25:K25+'IV Trimestre'!J25:K25</f>
        <v>0</v>
      </c>
      <c r="K25" s="85"/>
      <c r="L25" s="46">
        <f>+'I Trimestre'!L25+'IV Trimestre'!L25</f>
        <v>50000000</v>
      </c>
      <c r="M25" s="46">
        <f>+'IV Trimestre'!M25</f>
        <v>14015040000</v>
      </c>
      <c r="N25" s="46"/>
    </row>
    <row r="26" spans="1:14" ht="15.6" x14ac:dyDescent="0.35">
      <c r="A26" s="13" t="s">
        <v>94</v>
      </c>
      <c r="B26" s="48">
        <f>+SUM(C26+E26+F26+G26+H26+I26+J26+M26)</f>
        <v>182205842000</v>
      </c>
      <c r="C26" s="85">
        <f>'IV Trimestre'!C26</f>
        <v>74036820000</v>
      </c>
      <c r="D26" s="85"/>
      <c r="E26" s="48">
        <f>'IV Trimestre'!E26</f>
        <v>1665600000</v>
      </c>
      <c r="F26" s="48">
        <f>'IV Trimestre'!F26</f>
        <v>358832000</v>
      </c>
      <c r="G26" s="48">
        <f>'IV Trimestre'!G26</f>
        <v>6797550000</v>
      </c>
      <c r="H26" s="48">
        <f>'IV Trimestre'!H26</f>
        <v>52219050000</v>
      </c>
      <c r="I26" s="48">
        <f>'IV Trimestre'!I26</f>
        <v>27128010000</v>
      </c>
      <c r="J26" s="85">
        <f>+'IV Trimestre'!J26:K26</f>
        <v>0</v>
      </c>
      <c r="K26" s="85"/>
      <c r="L26" s="46" t="s">
        <v>48</v>
      </c>
      <c r="M26" s="46">
        <f>+'IV Trimestre'!M26</f>
        <v>19999980000</v>
      </c>
      <c r="N26" s="46"/>
    </row>
    <row r="27" spans="1:14" ht="15.6" x14ac:dyDescent="0.35">
      <c r="A27" s="13" t="s">
        <v>133</v>
      </c>
      <c r="B27" s="48">
        <f>+SUM(C27+E27+F27+G27+H27+I27+J27+L27+M27)</f>
        <v>175288226872</v>
      </c>
      <c r="C27" s="85">
        <f>C25</f>
        <v>73706790000</v>
      </c>
      <c r="D27" s="85"/>
      <c r="E27" s="48">
        <f>E25</f>
        <v>1664226998.0000002</v>
      </c>
      <c r="F27" s="48">
        <f t="shared" ref="F27:I27" si="0">F25</f>
        <v>341819440</v>
      </c>
      <c r="G27" s="48">
        <f t="shared" si="0"/>
        <v>6791610000</v>
      </c>
      <c r="H27" s="48">
        <f t="shared" si="0"/>
        <v>45874904851</v>
      </c>
      <c r="I27" s="48">
        <f t="shared" si="0"/>
        <v>32843835583</v>
      </c>
      <c r="J27" s="85">
        <f>J25</f>
        <v>0</v>
      </c>
      <c r="K27" s="85"/>
      <c r="L27" s="46">
        <f>+L25</f>
        <v>50000000</v>
      </c>
      <c r="M27" s="46">
        <f>+M25</f>
        <v>14015040000</v>
      </c>
      <c r="N27" s="46"/>
    </row>
    <row r="28" spans="1:14" ht="15.6" x14ac:dyDescent="0.35">
      <c r="A28" s="9"/>
      <c r="B28" s="41"/>
      <c r="C28" s="41"/>
      <c r="D28" s="41"/>
      <c r="E28" s="41"/>
      <c r="F28" s="41"/>
      <c r="G28" s="41"/>
      <c r="H28" s="41"/>
      <c r="I28" s="41"/>
      <c r="J28" s="41"/>
      <c r="K28" s="46"/>
      <c r="L28" s="46"/>
      <c r="M28" s="46"/>
      <c r="N28" s="46"/>
    </row>
    <row r="29" spans="1:14" ht="15.6" x14ac:dyDescent="0.35">
      <c r="A29" s="14" t="s">
        <v>4</v>
      </c>
      <c r="B29" s="41"/>
      <c r="C29" s="41"/>
      <c r="D29" s="41"/>
      <c r="E29" s="41"/>
      <c r="F29" s="41"/>
      <c r="G29" s="41"/>
      <c r="H29" s="41"/>
      <c r="I29" s="41"/>
      <c r="J29" s="41"/>
      <c r="K29" s="46"/>
      <c r="L29" s="46"/>
      <c r="M29" s="46"/>
      <c r="N29" s="46"/>
    </row>
    <row r="30" spans="1:14" ht="15.6" x14ac:dyDescent="0.35">
      <c r="A30" s="13" t="s">
        <v>131</v>
      </c>
      <c r="B30" s="48">
        <f>B26</f>
        <v>182205842000</v>
      </c>
      <c r="C30" s="41"/>
      <c r="D30" s="41"/>
      <c r="E30" s="41"/>
      <c r="F30" s="41"/>
      <c r="G30" s="41"/>
      <c r="H30" s="41"/>
      <c r="I30" s="41"/>
      <c r="J30" s="41"/>
      <c r="K30" s="46"/>
      <c r="L30" s="46"/>
      <c r="M30" s="46"/>
      <c r="N30" s="46"/>
    </row>
    <row r="31" spans="1:14" ht="15.6" x14ac:dyDescent="0.35">
      <c r="A31" s="13" t="s">
        <v>132</v>
      </c>
      <c r="B31" s="67">
        <v>182170258452.42001</v>
      </c>
      <c r="C31" s="41"/>
      <c r="D31" s="41"/>
      <c r="E31" s="41"/>
      <c r="F31" s="41"/>
      <c r="G31" s="41"/>
      <c r="H31" s="41"/>
      <c r="I31" s="41"/>
      <c r="J31" s="41"/>
      <c r="K31" s="46"/>
      <c r="L31" s="46"/>
      <c r="M31" s="46"/>
      <c r="N31" s="46"/>
    </row>
    <row r="32" spans="1:14" ht="15.6" x14ac:dyDescent="0.35">
      <c r="A32" s="9"/>
      <c r="B32" s="35"/>
      <c r="C32" s="35"/>
      <c r="D32" s="35"/>
      <c r="E32" s="35"/>
      <c r="F32" s="35"/>
      <c r="G32" s="35"/>
      <c r="H32" s="35"/>
      <c r="I32" s="35"/>
      <c r="J32" s="35"/>
      <c r="K32" s="9"/>
      <c r="L32" s="9"/>
      <c r="M32" s="9"/>
      <c r="N32" s="9"/>
    </row>
    <row r="33" spans="1:14" ht="15.6" x14ac:dyDescent="0.35">
      <c r="A33" s="10" t="s">
        <v>5</v>
      </c>
      <c r="B33" s="35"/>
      <c r="C33" s="35"/>
      <c r="D33" s="35"/>
      <c r="E33" s="35"/>
      <c r="F33" s="35"/>
      <c r="G33" s="35"/>
      <c r="H33" s="35"/>
      <c r="I33" s="35"/>
      <c r="J33" s="35"/>
      <c r="K33" s="9"/>
      <c r="L33" s="9"/>
      <c r="M33" s="9"/>
      <c r="N33" s="9"/>
    </row>
    <row r="34" spans="1:14" ht="15.6" x14ac:dyDescent="0.35">
      <c r="A34" s="13" t="s">
        <v>89</v>
      </c>
      <c r="B34" s="37">
        <v>1.0863</v>
      </c>
      <c r="C34" s="37">
        <v>1.0863</v>
      </c>
      <c r="D34" s="37">
        <v>1.0863</v>
      </c>
      <c r="E34" s="37">
        <v>1.0863</v>
      </c>
      <c r="F34" s="37">
        <v>1.0863</v>
      </c>
      <c r="G34" s="37">
        <v>1.0863</v>
      </c>
      <c r="H34" s="37">
        <v>1.0863</v>
      </c>
      <c r="I34" s="37">
        <v>1.0863</v>
      </c>
      <c r="J34" s="37">
        <v>1.0863</v>
      </c>
      <c r="K34" s="37">
        <v>1.0863</v>
      </c>
      <c r="L34" s="37">
        <v>1.0863</v>
      </c>
      <c r="M34" s="37">
        <v>1.0863</v>
      </c>
      <c r="N34" s="37"/>
    </row>
    <row r="35" spans="1:14" ht="15.6" x14ac:dyDescent="0.35">
      <c r="A35" s="13" t="s">
        <v>134</v>
      </c>
      <c r="B35" s="37">
        <v>1.1144000000000001</v>
      </c>
      <c r="C35" s="37">
        <v>1.1144000000000001</v>
      </c>
      <c r="D35" s="37">
        <v>1.1144000000000001</v>
      </c>
      <c r="E35" s="37">
        <v>1.1144000000000001</v>
      </c>
      <c r="F35" s="37">
        <v>1.1144000000000001</v>
      </c>
      <c r="G35" s="37">
        <v>1.1144000000000001</v>
      </c>
      <c r="H35" s="37">
        <v>1.1144000000000001</v>
      </c>
      <c r="I35" s="37">
        <v>1.1144000000000001</v>
      </c>
      <c r="J35" s="37">
        <v>1.1144000000000001</v>
      </c>
      <c r="K35" s="37">
        <v>1.1144000000000001</v>
      </c>
      <c r="L35" s="37">
        <v>1.1144000000000001</v>
      </c>
      <c r="M35" s="37">
        <v>1.1144000000000001</v>
      </c>
      <c r="N35" s="37"/>
    </row>
    <row r="36" spans="1:14" ht="15.6" x14ac:dyDescent="0.35">
      <c r="A36" s="13" t="s">
        <v>6</v>
      </c>
      <c r="B36" s="43">
        <v>438418</v>
      </c>
      <c r="C36" s="73">
        <v>186599</v>
      </c>
      <c r="D36" s="73"/>
      <c r="E36" s="43">
        <v>164361</v>
      </c>
      <c r="F36" s="43" t="s">
        <v>56</v>
      </c>
      <c r="G36" s="43">
        <v>97440</v>
      </c>
      <c r="H36" s="43" t="s">
        <v>56</v>
      </c>
      <c r="I36" s="43" t="s">
        <v>56</v>
      </c>
      <c r="J36" s="43" t="s">
        <v>56</v>
      </c>
      <c r="K36" s="42" t="s">
        <v>56</v>
      </c>
      <c r="L36" s="42" t="s">
        <v>56</v>
      </c>
      <c r="M36" s="9"/>
    </row>
    <row r="37" spans="1:14" ht="15.6" x14ac:dyDescent="0.3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</row>
    <row r="38" spans="1:14" ht="15.6" x14ac:dyDescent="0.35">
      <c r="A38" s="10" t="s">
        <v>7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</row>
    <row r="39" spans="1:14" ht="15.6" x14ac:dyDescent="0.35">
      <c r="A39" s="9" t="s">
        <v>90</v>
      </c>
      <c r="B39" s="43">
        <f>B23/B34</f>
        <v>135754347407.7787</v>
      </c>
      <c r="C39" s="73">
        <f>C23/C34</f>
        <v>43570579950.28997</v>
      </c>
      <c r="D39" s="73"/>
      <c r="E39" s="43">
        <f>E23/E34</f>
        <v>1667337198.7480438</v>
      </c>
      <c r="F39" s="43">
        <f t="shared" ref="F39:K39" si="1">F23/F34</f>
        <v>309639326.15299642</v>
      </c>
      <c r="G39" s="43">
        <f t="shared" si="1"/>
        <v>6239212096.1060476</v>
      </c>
      <c r="H39" s="43">
        <f t="shared" si="1"/>
        <v>46613609765.626434</v>
      </c>
      <c r="I39" s="43">
        <f t="shared" si="1"/>
        <v>23043556686.9189</v>
      </c>
      <c r="J39" s="73">
        <f t="shared" si="1"/>
        <v>13977667311.055878</v>
      </c>
      <c r="K39" s="73">
        <f t="shared" si="1"/>
        <v>0</v>
      </c>
      <c r="L39" s="42">
        <f t="shared" ref="L39" si="2">L23/L34</f>
        <v>332745072.88041979</v>
      </c>
      <c r="M39" s="42" t="s">
        <v>48</v>
      </c>
      <c r="N39" s="42"/>
    </row>
    <row r="40" spans="1:14" ht="15.6" x14ac:dyDescent="0.35">
      <c r="A40" s="9" t="s">
        <v>135</v>
      </c>
      <c r="B40" s="43">
        <f>B25/B35</f>
        <v>157293814493.89804</v>
      </c>
      <c r="C40" s="73">
        <f>C25/C35</f>
        <v>66140335606.604446</v>
      </c>
      <c r="D40" s="73"/>
      <c r="E40" s="43">
        <f>E25/E35</f>
        <v>1493383881.9095478</v>
      </c>
      <c r="F40" s="43">
        <f t="shared" ref="F40:I40" si="3">F25/F35</f>
        <v>306729576.45369703</v>
      </c>
      <c r="G40" s="43">
        <f t="shared" si="3"/>
        <v>6094409547.7386932</v>
      </c>
      <c r="H40" s="43">
        <f t="shared" si="3"/>
        <v>41165564295.585068</v>
      </c>
      <c r="I40" s="43">
        <f t="shared" si="3"/>
        <v>29472214270.459438</v>
      </c>
      <c r="J40" s="73">
        <f>J25/J35</f>
        <v>0</v>
      </c>
      <c r="K40" s="73"/>
      <c r="L40" s="42">
        <f t="shared" ref="L40:M40" si="4">L25/L35</f>
        <v>44867193.108399138</v>
      </c>
      <c r="M40" s="42">
        <f t="shared" si="4"/>
        <v>12576310122.038765</v>
      </c>
      <c r="N40" s="42"/>
    </row>
    <row r="41" spans="1:14" ht="15.6" x14ac:dyDescent="0.35">
      <c r="A41" s="9" t="s">
        <v>91</v>
      </c>
      <c r="B41" s="43">
        <f>B39/B15</f>
        <v>440865.3590226862</v>
      </c>
      <c r="C41" s="73">
        <f>C39/D15</f>
        <v>227596.29723612851</v>
      </c>
      <c r="D41" s="73"/>
      <c r="E41" s="43">
        <f>E39/E15</f>
        <v>847654.90531166433</v>
      </c>
      <c r="F41" s="43">
        <f t="shared" ref="F41:I41" si="5">F39/F15</f>
        <v>1525316.8776009677</v>
      </c>
      <c r="G41" s="43">
        <f t="shared" si="5"/>
        <v>727180.89698205679</v>
      </c>
      <c r="H41" s="43">
        <f t="shared" si="5"/>
        <v>400984.1869591428</v>
      </c>
      <c r="I41" s="43">
        <f t="shared" si="5"/>
        <v>919351.95240051462</v>
      </c>
      <c r="J41" s="73">
        <f>J39/K15</f>
        <v>62225.014851271095</v>
      </c>
      <c r="K41" s="73"/>
      <c r="L41" s="40" t="s">
        <v>48</v>
      </c>
      <c r="M41" s="40" t="s">
        <v>48</v>
      </c>
      <c r="N41" s="40"/>
    </row>
    <row r="42" spans="1:14" ht="15.6" x14ac:dyDescent="0.35">
      <c r="A42" s="9" t="s">
        <v>136</v>
      </c>
      <c r="B42" s="43">
        <f>B40/B18</f>
        <v>448111.37556485634</v>
      </c>
      <c r="C42" s="73">
        <f>C40/D18</f>
        <v>170648.62559820747</v>
      </c>
      <c r="D42" s="73"/>
      <c r="E42" s="43">
        <f>E40/E18</f>
        <v>936878.21951665485</v>
      </c>
      <c r="F42" s="43">
        <f t="shared" ref="F42:I42" si="6">F40/F18</f>
        <v>1369328.4663111474</v>
      </c>
      <c r="G42" s="43">
        <f t="shared" si="6"/>
        <v>464442.12374170806</v>
      </c>
      <c r="H42" s="43">
        <f t="shared" si="6"/>
        <v>459042.61176873744</v>
      </c>
      <c r="I42" s="43">
        <f t="shared" si="6"/>
        <v>971269.91400143155</v>
      </c>
      <c r="J42" s="73" t="s">
        <v>48</v>
      </c>
      <c r="K42" s="73"/>
      <c r="L42" s="40" t="s">
        <v>48</v>
      </c>
      <c r="M42" s="40">
        <f t="shared" ref="M42" si="7">M40/M18</f>
        <v>157736.23632307493</v>
      </c>
      <c r="N42" s="40"/>
    </row>
    <row r="43" spans="1:14" ht="15.6" x14ac:dyDescent="0.35">
      <c r="A43" s="9"/>
      <c r="B43" s="31"/>
      <c r="C43" s="31"/>
      <c r="D43" s="31"/>
      <c r="E43" s="31"/>
      <c r="F43" s="31"/>
      <c r="G43" s="31"/>
      <c r="H43" s="31"/>
      <c r="I43" s="31"/>
      <c r="J43" s="31"/>
      <c r="K43" s="9"/>
      <c r="L43" s="9"/>
      <c r="M43" s="9"/>
      <c r="N43" s="9"/>
    </row>
    <row r="44" spans="1:14" ht="15.6" x14ac:dyDescent="0.35">
      <c r="A44" s="10" t="s">
        <v>8</v>
      </c>
      <c r="B44" s="31"/>
      <c r="C44" s="31"/>
      <c r="D44" s="31"/>
      <c r="E44" s="31"/>
      <c r="F44" s="31"/>
      <c r="G44" s="31"/>
      <c r="H44" s="31"/>
      <c r="I44" s="31"/>
      <c r="J44" s="31"/>
      <c r="K44" s="9"/>
      <c r="L44" s="9"/>
      <c r="M44" s="9"/>
      <c r="N44" s="9"/>
    </row>
    <row r="45" spans="1:14" ht="15.6" x14ac:dyDescent="0.35">
      <c r="A45" s="9"/>
      <c r="B45" s="31"/>
      <c r="C45" s="31"/>
      <c r="D45" s="31"/>
      <c r="E45" s="31"/>
      <c r="F45" s="31"/>
      <c r="G45" s="31"/>
      <c r="H45" s="31"/>
      <c r="I45" s="31"/>
      <c r="J45" s="31"/>
      <c r="K45" s="9"/>
      <c r="L45" s="9"/>
      <c r="M45" s="9"/>
      <c r="N45" s="9"/>
    </row>
    <row r="46" spans="1:14" ht="15.6" x14ac:dyDescent="0.35">
      <c r="A46" s="10" t="s">
        <v>9</v>
      </c>
      <c r="B46" s="31"/>
      <c r="C46" s="31"/>
      <c r="D46" s="31"/>
      <c r="E46" s="31"/>
      <c r="F46" s="31"/>
      <c r="G46" s="31"/>
      <c r="H46" s="31"/>
      <c r="I46" s="31"/>
      <c r="J46" s="31"/>
      <c r="K46" s="9"/>
      <c r="L46" s="9"/>
      <c r="M46" s="9"/>
      <c r="N46" s="9"/>
    </row>
    <row r="47" spans="1:14" ht="15.6" x14ac:dyDescent="0.35">
      <c r="A47" s="9" t="s">
        <v>10</v>
      </c>
      <c r="B47" s="38" t="s">
        <v>48</v>
      </c>
      <c r="C47" s="80">
        <f>D16/C36*100</f>
        <v>125.37848541524875</v>
      </c>
      <c r="D47" s="80"/>
      <c r="E47" s="38">
        <f>E16/E36*100</f>
        <v>1.1298300691769947</v>
      </c>
      <c r="F47" s="38" t="s">
        <v>48</v>
      </c>
      <c r="G47" s="38">
        <f t="shared" ref="G47" si="8">G16/G36*100</f>
        <v>7.7586206896551726</v>
      </c>
      <c r="H47" s="38" t="s">
        <v>48</v>
      </c>
      <c r="I47" s="38" t="s">
        <v>48</v>
      </c>
      <c r="J47" s="80" t="s">
        <v>48</v>
      </c>
      <c r="K47" s="80"/>
      <c r="L47" s="40" t="s">
        <v>48</v>
      </c>
      <c r="M47" s="40" t="s">
        <v>48</v>
      </c>
      <c r="N47" s="40"/>
    </row>
    <row r="48" spans="1:14" ht="15.6" x14ac:dyDescent="0.35">
      <c r="A48" s="9" t="s">
        <v>11</v>
      </c>
      <c r="B48" s="38">
        <f>(B18/B36)*100</f>
        <v>80.064002846598441</v>
      </c>
      <c r="C48" s="80">
        <f>D18/C36*100</f>
        <v>207.70850862008908</v>
      </c>
      <c r="D48" s="80"/>
      <c r="E48" s="38">
        <f>E18/E36*100</f>
        <v>0.96981644063981121</v>
      </c>
      <c r="F48" s="38" t="s">
        <v>48</v>
      </c>
      <c r="G48" s="38">
        <f t="shared" ref="G48" si="9">G18/G36*100</f>
        <v>13.466748768472906</v>
      </c>
      <c r="H48" s="38" t="s">
        <v>48</v>
      </c>
      <c r="I48" s="38" t="s">
        <v>48</v>
      </c>
      <c r="J48" s="80" t="s">
        <v>48</v>
      </c>
      <c r="K48" s="80"/>
      <c r="L48" s="40" t="s">
        <v>48</v>
      </c>
      <c r="M48" s="40" t="s">
        <v>48</v>
      </c>
      <c r="N48" s="40"/>
    </row>
    <row r="49" spans="1:14" ht="15.6" x14ac:dyDescent="0.35">
      <c r="A49" s="9"/>
      <c r="B49" s="38"/>
      <c r="C49" s="38"/>
      <c r="D49" s="38"/>
      <c r="E49" s="38"/>
      <c r="F49" s="38"/>
      <c r="G49" s="38"/>
      <c r="H49" s="38"/>
      <c r="I49" s="38"/>
      <c r="J49" s="38"/>
      <c r="K49" s="40"/>
      <c r="L49" s="40"/>
      <c r="M49" s="40"/>
      <c r="N49" s="40"/>
    </row>
    <row r="50" spans="1:14" ht="15.6" x14ac:dyDescent="0.35">
      <c r="A50" s="10" t="s">
        <v>12</v>
      </c>
      <c r="B50" s="38"/>
      <c r="C50" s="38"/>
      <c r="D50" s="38"/>
      <c r="E50" s="38"/>
      <c r="F50" s="38"/>
      <c r="G50" s="38"/>
      <c r="H50" s="38"/>
      <c r="I50" s="38"/>
      <c r="J50" s="38"/>
      <c r="K50" s="40"/>
      <c r="L50" s="40"/>
      <c r="M50" s="40"/>
      <c r="N50" s="40"/>
    </row>
    <row r="51" spans="1:14" ht="15.6" x14ac:dyDescent="0.35">
      <c r="A51" s="9" t="s">
        <v>13</v>
      </c>
      <c r="B51" s="38" t="s">
        <v>48</v>
      </c>
      <c r="C51" s="38" t="s">
        <v>48</v>
      </c>
      <c r="D51" s="38">
        <f>D18/D16*100</f>
        <v>165.6651920241072</v>
      </c>
      <c r="E51" s="38">
        <f>E18/E16*100</f>
        <v>85.837372105546578</v>
      </c>
      <c r="F51" s="38">
        <f t="shared" ref="F51:I51" si="10">F18/F16*100</f>
        <v>163.50364963503651</v>
      </c>
      <c r="G51" s="38">
        <f t="shared" si="10"/>
        <v>173.57142857142858</v>
      </c>
      <c r="H51" s="38">
        <f t="shared" si="10"/>
        <v>153.80934412733259</v>
      </c>
      <c r="I51" s="38">
        <f t="shared" si="10"/>
        <v>155.42693233621884</v>
      </c>
      <c r="J51" s="38" t="s">
        <v>48</v>
      </c>
      <c r="K51" s="40" t="s">
        <v>48</v>
      </c>
      <c r="L51" s="40" t="s">
        <v>48</v>
      </c>
      <c r="M51" s="40">
        <f t="shared" ref="M51" si="11">M18/M16*100</f>
        <v>71.757071757071756</v>
      </c>
      <c r="N51" s="40"/>
    </row>
    <row r="52" spans="1:14" ht="15.6" x14ac:dyDescent="0.35">
      <c r="A52" s="9" t="s">
        <v>14</v>
      </c>
      <c r="B52" s="38">
        <f>B25/B24*100</f>
        <v>96.203406514265339</v>
      </c>
      <c r="C52" s="80">
        <f>C25/C24*100</f>
        <v>99.554235311565236</v>
      </c>
      <c r="D52" s="80"/>
      <c r="E52" s="38">
        <f>E25/E24*100</f>
        <v>99.917567122958701</v>
      </c>
      <c r="F52" s="38">
        <f t="shared" ref="F52:I52" si="12">F25/F24*100</f>
        <v>95.258906674989959</v>
      </c>
      <c r="G52" s="38">
        <f t="shared" si="12"/>
        <v>99.912615574729131</v>
      </c>
      <c r="H52" s="38">
        <f t="shared" si="12"/>
        <v>87.850898955457822</v>
      </c>
      <c r="I52" s="38">
        <f t="shared" si="12"/>
        <v>121.06982997647083</v>
      </c>
      <c r="J52" s="80" t="s">
        <v>48</v>
      </c>
      <c r="K52" s="80"/>
      <c r="L52" s="40" t="s">
        <v>48</v>
      </c>
      <c r="M52" s="40">
        <f t="shared" ref="M52" si="13">M25/M24*100</f>
        <v>70.075270075270083</v>
      </c>
      <c r="N52" s="40"/>
    </row>
    <row r="53" spans="1:14" ht="15.6" x14ac:dyDescent="0.35">
      <c r="A53" s="9" t="s">
        <v>15</v>
      </c>
      <c r="B53" s="38" t="s">
        <v>48</v>
      </c>
      <c r="C53" s="38" t="s">
        <v>48</v>
      </c>
      <c r="D53" s="38">
        <f>AVERAGE(D51,C52)</f>
        <v>132.60971366783622</v>
      </c>
      <c r="E53" s="38">
        <f>AVERAGE(E51:E52)</f>
        <v>92.877469614252647</v>
      </c>
      <c r="F53" s="38">
        <f t="shared" ref="F53:I53" si="14">AVERAGE(F51:F52)</f>
        <v>129.38127815501323</v>
      </c>
      <c r="G53" s="38">
        <f t="shared" si="14"/>
        <v>136.74202207307886</v>
      </c>
      <c r="H53" s="38">
        <f t="shared" si="14"/>
        <v>120.83012154139521</v>
      </c>
      <c r="I53" s="38">
        <f t="shared" si="14"/>
        <v>138.24838115634483</v>
      </c>
      <c r="J53" s="38" t="s">
        <v>48</v>
      </c>
      <c r="K53" s="40" t="s">
        <v>48</v>
      </c>
      <c r="L53" s="40" t="s">
        <v>48</v>
      </c>
      <c r="M53" s="40">
        <f t="shared" ref="M53" si="15">AVERAGE(M51:M52)</f>
        <v>70.916170916170927</v>
      </c>
      <c r="N53" s="40"/>
    </row>
    <row r="54" spans="1:14" ht="15.6" x14ac:dyDescent="0.35">
      <c r="A54" s="9"/>
      <c r="B54" s="38"/>
      <c r="C54" s="38"/>
      <c r="D54" s="38"/>
      <c r="E54" s="38"/>
      <c r="F54" s="38"/>
      <c r="G54" s="38"/>
      <c r="H54" s="38"/>
      <c r="I54" s="38"/>
      <c r="J54" s="38"/>
      <c r="K54" s="40"/>
      <c r="L54" s="40"/>
      <c r="M54" s="40"/>
      <c r="N54" s="40"/>
    </row>
    <row r="55" spans="1:14" ht="15.6" x14ac:dyDescent="0.35">
      <c r="A55" s="10" t="s">
        <v>16</v>
      </c>
      <c r="B55" s="38"/>
      <c r="C55" s="38"/>
      <c r="D55" s="38"/>
      <c r="E55" s="38"/>
      <c r="F55" s="38"/>
      <c r="G55" s="38"/>
      <c r="H55" s="38"/>
      <c r="I55" s="38"/>
      <c r="J55" s="38"/>
      <c r="K55" s="40"/>
      <c r="L55" s="40"/>
      <c r="M55" s="40"/>
      <c r="N55" s="40"/>
    </row>
    <row r="56" spans="1:14" ht="15.6" x14ac:dyDescent="0.35">
      <c r="A56" s="9" t="s">
        <v>17</v>
      </c>
      <c r="B56" s="38" t="s">
        <v>48</v>
      </c>
      <c r="C56" s="80">
        <f>D18/D20*100</f>
        <v>165.6651920241072</v>
      </c>
      <c r="D56" s="80"/>
      <c r="E56" s="38">
        <f>E18/E20*100</f>
        <v>85.837372105546578</v>
      </c>
      <c r="F56" s="38">
        <f t="shared" ref="F56:I56" si="16">F18/F20*100</f>
        <v>163.50364963503651</v>
      </c>
      <c r="G56" s="38">
        <f t="shared" si="16"/>
        <v>173.57142857142858</v>
      </c>
      <c r="H56" s="38">
        <f t="shared" si="16"/>
        <v>153.80934412733259</v>
      </c>
      <c r="I56" s="38">
        <f t="shared" si="16"/>
        <v>155.42693233621884</v>
      </c>
      <c r="J56" s="80" t="s">
        <v>48</v>
      </c>
      <c r="K56" s="80"/>
      <c r="L56" s="40" t="s">
        <v>48</v>
      </c>
      <c r="M56" s="40">
        <f t="shared" ref="M56" si="17">M18/M20*100</f>
        <v>71.757071757071756</v>
      </c>
      <c r="N56" s="40"/>
    </row>
    <row r="57" spans="1:14" ht="15.6" x14ac:dyDescent="0.35">
      <c r="A57" s="9" t="s">
        <v>18</v>
      </c>
      <c r="B57" s="38">
        <f>B25/B26*100</f>
        <v>96.203406514265339</v>
      </c>
      <c r="C57" s="80">
        <f>C25/C26*100</f>
        <v>99.554235311565236</v>
      </c>
      <c r="D57" s="80"/>
      <c r="E57" s="38">
        <f>E25/E26*100</f>
        <v>99.917567122958701</v>
      </c>
      <c r="F57" s="38">
        <f t="shared" ref="F57:I57" si="18">F25/F26*100</f>
        <v>95.258906674989959</v>
      </c>
      <c r="G57" s="38">
        <f t="shared" si="18"/>
        <v>99.912615574729131</v>
      </c>
      <c r="H57" s="38">
        <f t="shared" si="18"/>
        <v>87.850898955457822</v>
      </c>
      <c r="I57" s="38">
        <f t="shared" si="18"/>
        <v>121.06982997647083</v>
      </c>
      <c r="J57" s="80" t="s">
        <v>48</v>
      </c>
      <c r="K57" s="80"/>
      <c r="L57" s="40" t="s">
        <v>48</v>
      </c>
      <c r="M57" s="40">
        <f t="shared" ref="M57" si="19">M25/M26*100</f>
        <v>70.075270075270083</v>
      </c>
      <c r="N57" s="40"/>
    </row>
    <row r="58" spans="1:14" ht="15.6" x14ac:dyDescent="0.35">
      <c r="A58" s="9" t="s">
        <v>19</v>
      </c>
      <c r="B58" s="38" t="s">
        <v>48</v>
      </c>
      <c r="C58" s="80">
        <f>(C56+C57)/2</f>
        <v>132.60971366783622</v>
      </c>
      <c r="D58" s="80"/>
      <c r="E58" s="38">
        <f>(E56+E57)/2</f>
        <v>92.877469614252647</v>
      </c>
      <c r="F58" s="38">
        <f t="shared" ref="F58:I58" si="20">(F56+F57)/2</f>
        <v>129.38127815501323</v>
      </c>
      <c r="G58" s="38">
        <f t="shared" si="20"/>
        <v>136.74202207307886</v>
      </c>
      <c r="H58" s="38">
        <f t="shared" si="20"/>
        <v>120.83012154139521</v>
      </c>
      <c r="I58" s="38">
        <f t="shared" si="20"/>
        <v>138.24838115634483</v>
      </c>
      <c r="J58" s="80" t="s">
        <v>48</v>
      </c>
      <c r="K58" s="80"/>
      <c r="L58" s="40" t="s">
        <v>48</v>
      </c>
      <c r="M58" s="40">
        <f t="shared" ref="M58" si="21">(M56+M57)/2</f>
        <v>70.916170916170927</v>
      </c>
      <c r="N58" s="40"/>
    </row>
    <row r="59" spans="1:14" ht="15.6" x14ac:dyDescent="0.35">
      <c r="A59" s="9"/>
      <c r="B59" s="38"/>
      <c r="C59" s="38"/>
      <c r="D59" s="38"/>
      <c r="E59" s="38"/>
      <c r="F59" s="38"/>
      <c r="G59" s="38"/>
      <c r="H59" s="38"/>
      <c r="I59" s="38"/>
      <c r="J59" s="38"/>
      <c r="K59" s="40"/>
      <c r="L59" s="40"/>
      <c r="M59" s="40"/>
      <c r="N59" s="40"/>
    </row>
    <row r="60" spans="1:14" ht="15.6" x14ac:dyDescent="0.35">
      <c r="A60" s="10" t="s">
        <v>30</v>
      </c>
      <c r="B60" s="38"/>
      <c r="C60" s="38"/>
      <c r="D60" s="38"/>
      <c r="E60" s="38"/>
      <c r="F60" s="38"/>
      <c r="G60" s="38"/>
      <c r="H60" s="38"/>
      <c r="I60" s="38"/>
      <c r="J60" s="38"/>
      <c r="K60" s="40"/>
      <c r="L60" s="40"/>
      <c r="M60" s="40"/>
      <c r="N60" s="40"/>
    </row>
    <row r="61" spans="1:14" ht="15.6" x14ac:dyDescent="0.35">
      <c r="A61" s="9" t="s">
        <v>20</v>
      </c>
      <c r="B61" s="38">
        <f>B27/B25*100</f>
        <v>100</v>
      </c>
      <c r="C61" s="80">
        <f>C27/C25*100</f>
        <v>100</v>
      </c>
      <c r="D61" s="80"/>
      <c r="E61" s="38">
        <f>E27/E25*100</f>
        <v>100</v>
      </c>
      <c r="F61" s="38">
        <f t="shared" ref="F61:I61" si="22">F27/F25*100</f>
        <v>100</v>
      </c>
      <c r="G61" s="38">
        <f t="shared" si="22"/>
        <v>100</v>
      </c>
      <c r="H61" s="38">
        <f t="shared" si="22"/>
        <v>100</v>
      </c>
      <c r="I61" s="38">
        <f t="shared" si="22"/>
        <v>100</v>
      </c>
      <c r="J61" s="80" t="s">
        <v>48</v>
      </c>
      <c r="K61" s="80"/>
      <c r="L61" s="40">
        <f t="shared" ref="L61:M61" si="23">L27/L25*100</f>
        <v>100</v>
      </c>
      <c r="M61" s="40">
        <f t="shared" si="23"/>
        <v>100</v>
      </c>
      <c r="N61" s="40"/>
    </row>
    <row r="62" spans="1:14" ht="15.6" x14ac:dyDescent="0.35">
      <c r="A62" s="9"/>
      <c r="B62" s="38"/>
      <c r="C62" s="38"/>
      <c r="D62" s="38"/>
      <c r="E62" s="38"/>
      <c r="F62" s="38"/>
      <c r="G62" s="38"/>
      <c r="H62" s="38"/>
      <c r="I62" s="38"/>
      <c r="J62" s="38"/>
      <c r="K62" s="40"/>
      <c r="L62" s="40"/>
      <c r="M62" s="40"/>
      <c r="N62" s="40"/>
    </row>
    <row r="63" spans="1:14" ht="15.6" x14ac:dyDescent="0.35">
      <c r="A63" s="10" t="s">
        <v>21</v>
      </c>
      <c r="B63" s="38"/>
      <c r="C63" s="38"/>
      <c r="D63" s="38"/>
      <c r="E63" s="38"/>
      <c r="F63" s="38"/>
      <c r="G63" s="38"/>
      <c r="H63" s="38"/>
      <c r="I63" s="38"/>
      <c r="J63" s="38"/>
      <c r="K63" s="40"/>
      <c r="L63" s="40"/>
      <c r="M63" s="40"/>
      <c r="N63" s="40"/>
    </row>
    <row r="64" spans="1:14" ht="15.6" x14ac:dyDescent="0.35">
      <c r="A64" s="9" t="s">
        <v>22</v>
      </c>
      <c r="B64" s="50">
        <f>((B18/B15)-1)*100</f>
        <v>13.992926895010838</v>
      </c>
      <c r="C64" s="86">
        <f>((D18/D15)-1)*100</f>
        <v>102.45823713160398</v>
      </c>
      <c r="D64" s="86"/>
      <c r="E64" s="50">
        <f>((E18/E15)-1)*100</f>
        <v>-18.962887646161665</v>
      </c>
      <c r="F64" s="50">
        <f t="shared" ref="F64:H64" si="24">((F18/F15)-1)*100</f>
        <v>10.344827586206895</v>
      </c>
      <c r="G64" s="50">
        <f t="shared" si="24"/>
        <v>52.937062937062926</v>
      </c>
      <c r="H64" s="50">
        <f t="shared" si="24"/>
        <v>-22.85716743513867</v>
      </c>
      <c r="I64" s="50">
        <f>((I18/I15)-1)*100</f>
        <v>21.061240773987635</v>
      </c>
      <c r="J64" s="80">
        <f>((K18/K15)-1)*100</f>
        <v>-100</v>
      </c>
      <c r="K64" s="80">
        <f t="shared" ref="K64" si="25">((K18/K15)-1)*100</f>
        <v>-100</v>
      </c>
      <c r="L64" s="40" t="s">
        <v>48</v>
      </c>
      <c r="M64" s="40" t="s">
        <v>48</v>
      </c>
      <c r="N64" s="40"/>
    </row>
    <row r="65" spans="1:14" ht="15.6" x14ac:dyDescent="0.35">
      <c r="A65" s="9" t="s">
        <v>23</v>
      </c>
      <c r="B65" s="50">
        <f>((B40/B39)-1)*100</f>
        <v>15.866502618453261</v>
      </c>
      <c r="C65" s="86">
        <f>((C40/C39)-1)*100</f>
        <v>51.800448105268494</v>
      </c>
      <c r="D65" s="86"/>
      <c r="E65" s="50">
        <f>((E40/E39)-1)*100</f>
        <v>-10.433001612937842</v>
      </c>
      <c r="F65" s="50">
        <f t="shared" ref="F65:I65" si="26">((F40/F39)-1)*100</f>
        <v>-0.93972226830827399</v>
      </c>
      <c r="G65" s="50">
        <f t="shared" si="26"/>
        <v>-2.3208467052711179</v>
      </c>
      <c r="H65" s="50">
        <f t="shared" si="26"/>
        <v>-11.687671256172127</v>
      </c>
      <c r="I65" s="50">
        <f t="shared" si="26"/>
        <v>27.897853056641587</v>
      </c>
      <c r="J65" s="80">
        <f t="shared" ref="J65:L65" si="27">((J40/J39)-1)*100</f>
        <v>-100</v>
      </c>
      <c r="K65" s="80" t="e">
        <f t="shared" si="27"/>
        <v>#DIV/0!</v>
      </c>
      <c r="L65" s="40">
        <f t="shared" si="27"/>
        <v>-86.516045836530452</v>
      </c>
      <c r="M65" s="40" t="s">
        <v>48</v>
      </c>
      <c r="N65" s="40"/>
    </row>
    <row r="66" spans="1:14" ht="15.6" x14ac:dyDescent="0.35">
      <c r="A66" s="9" t="s">
        <v>24</v>
      </c>
      <c r="B66" s="50">
        <f>((B42/B41)-1)*100</f>
        <v>1.6435894528509021</v>
      </c>
      <c r="C66" s="86">
        <f>((C42/C41)-1)*100</f>
        <v>-25.021352425096133</v>
      </c>
      <c r="D66" s="86"/>
      <c r="E66" s="50">
        <f>((E42/E41)-1)*100</f>
        <v>10.525900769981988</v>
      </c>
      <c r="F66" s="50">
        <f t="shared" ref="F66:I66" si="28">((F42/F41)-1)*100</f>
        <v>-10.226623305654382</v>
      </c>
      <c r="G66" s="50">
        <f t="shared" si="28"/>
        <v>-36.131143478983866</v>
      </c>
      <c r="H66" s="50">
        <f t="shared" si="28"/>
        <v>14.478981141346182</v>
      </c>
      <c r="I66" s="50">
        <f t="shared" si="28"/>
        <v>5.6472346053493716</v>
      </c>
      <c r="J66" s="80" t="s">
        <v>48</v>
      </c>
      <c r="K66" s="80" t="e">
        <f t="shared" ref="K66" si="29">((K42/K41)-1)*100</f>
        <v>#DIV/0!</v>
      </c>
      <c r="L66" s="40" t="s">
        <v>48</v>
      </c>
      <c r="M66" s="40" t="s">
        <v>48</v>
      </c>
      <c r="N66" s="40"/>
    </row>
    <row r="67" spans="1:14" ht="15.6" x14ac:dyDescent="0.35">
      <c r="A67" s="9"/>
      <c r="B67" s="38"/>
      <c r="C67" s="38"/>
      <c r="D67" s="38"/>
      <c r="E67" s="38"/>
      <c r="F67" s="38"/>
      <c r="G67" s="38"/>
      <c r="H67" s="38"/>
      <c r="I67" s="38"/>
      <c r="J67" s="38"/>
      <c r="K67" s="40"/>
      <c r="L67" s="40"/>
      <c r="M67" s="40"/>
      <c r="N67" s="40"/>
    </row>
    <row r="68" spans="1:14" ht="15.6" x14ac:dyDescent="0.35">
      <c r="A68" s="10" t="s">
        <v>25</v>
      </c>
      <c r="B68" s="38"/>
      <c r="C68" s="38"/>
      <c r="D68" s="38"/>
      <c r="E68" s="38"/>
      <c r="F68" s="38"/>
      <c r="G68" s="38"/>
      <c r="H68" s="38"/>
      <c r="I68" s="38"/>
      <c r="J68" s="38"/>
      <c r="K68" s="40"/>
      <c r="L68" s="40"/>
      <c r="M68" s="40"/>
      <c r="N68" s="40"/>
    </row>
    <row r="69" spans="1:14" ht="15.6" x14ac:dyDescent="0.35">
      <c r="A69" s="9" t="s">
        <v>39</v>
      </c>
      <c r="B69" s="38">
        <f>(B24/B17)*12</f>
        <v>628077.80400429852</v>
      </c>
      <c r="C69" s="80">
        <f>(C24/D17)*12</f>
        <v>360000</v>
      </c>
      <c r="D69" s="80"/>
      <c r="E69" s="38">
        <f>(E24/E17)*12</f>
        <v>1200000</v>
      </c>
      <c r="F69" s="38">
        <f t="shared" ref="F69:I69" si="30">(F24/F17)*12</f>
        <v>3936000</v>
      </c>
      <c r="G69" s="38">
        <f t="shared" si="30"/>
        <v>900000</v>
      </c>
      <c r="H69" s="38">
        <f t="shared" si="30"/>
        <v>900000</v>
      </c>
      <c r="I69" s="38">
        <f t="shared" si="30"/>
        <v>1560000</v>
      </c>
      <c r="J69" s="80" t="s">
        <v>48</v>
      </c>
      <c r="K69" s="80"/>
      <c r="L69" s="40" t="s">
        <v>48</v>
      </c>
      <c r="M69" s="40">
        <f>(M24/M17)*3</f>
        <v>180000</v>
      </c>
      <c r="N69" s="40"/>
    </row>
    <row r="70" spans="1:14" ht="15.6" x14ac:dyDescent="0.35">
      <c r="A70" s="9" t="s">
        <v>40</v>
      </c>
      <c r="B70" s="38">
        <f>(B25/B19)*12</f>
        <v>510205.82605702721</v>
      </c>
      <c r="C70" s="80">
        <f>(C25/D19)*12</f>
        <v>293472.10148341721</v>
      </c>
      <c r="D70" s="80"/>
      <c r="E70" s="38">
        <f>(E25/E19)*12</f>
        <v>1224822.0776448944</v>
      </c>
      <c r="F70" s="38">
        <f t="shared" ref="F70:I70" si="31">(F25/F19)*12</f>
        <v>2765902.4140256238</v>
      </c>
      <c r="G70" s="38">
        <f t="shared" si="31"/>
        <v>861760.96771805896</v>
      </c>
      <c r="H70" s="38">
        <f t="shared" si="31"/>
        <v>945710.20873010019</v>
      </c>
      <c r="I70" s="38">
        <f t="shared" si="31"/>
        <v>1513662.8798635835</v>
      </c>
      <c r="J70" s="80" t="s">
        <v>48</v>
      </c>
      <c r="K70" s="80"/>
      <c r="L70" s="40" t="s">
        <v>48</v>
      </c>
      <c r="M70" s="40">
        <f>(M25/M19)*3</f>
        <v>272892.67355522094</v>
      </c>
      <c r="N70" s="40"/>
    </row>
    <row r="71" spans="1:14" ht="15.6" x14ac:dyDescent="0.35">
      <c r="A71" s="9" t="s">
        <v>26</v>
      </c>
      <c r="B71" s="38" t="s">
        <v>48</v>
      </c>
      <c r="C71" s="80">
        <f>(C70/C69)*D53</f>
        <v>108.10347596448369</v>
      </c>
      <c r="D71" s="80"/>
      <c r="E71" s="38">
        <f>(E70/E69)*E53</f>
        <v>94.798646082774553</v>
      </c>
      <c r="F71" s="38">
        <f t="shared" ref="F71:I71" si="32">(F70/F69)*F53</f>
        <v>90.91869653929669</v>
      </c>
      <c r="G71" s="38">
        <f t="shared" si="32"/>
        <v>130.93215252157847</v>
      </c>
      <c r="H71" s="38">
        <f t="shared" si="32"/>
        <v>126.96697718199582</v>
      </c>
      <c r="I71" s="38">
        <f t="shared" si="32"/>
        <v>134.14195048563545</v>
      </c>
      <c r="J71" s="80" t="s">
        <v>48</v>
      </c>
      <c r="K71" s="80"/>
      <c r="L71" s="40" t="s">
        <v>48</v>
      </c>
      <c r="M71" s="40">
        <f t="shared" ref="M71" si="33">(M70/M69)*M53</f>
        <v>107.5139082200716</v>
      </c>
      <c r="N71" s="40"/>
    </row>
    <row r="72" spans="1:14" ht="15.6" x14ac:dyDescent="0.35">
      <c r="A72" s="9" t="s">
        <v>33</v>
      </c>
      <c r="B72" s="38">
        <f>B24/B17</f>
        <v>52339.817000358205</v>
      </c>
      <c r="C72" s="80">
        <f>C24/D17</f>
        <v>30000</v>
      </c>
      <c r="D72" s="80"/>
      <c r="E72" s="38">
        <f>E24/E17</f>
        <v>100000</v>
      </c>
      <c r="F72" s="38">
        <f t="shared" ref="F72:I72" si="34">F24/F17</f>
        <v>328000</v>
      </c>
      <c r="G72" s="38">
        <f t="shared" si="34"/>
        <v>75000</v>
      </c>
      <c r="H72" s="38">
        <f t="shared" si="34"/>
        <v>75000</v>
      </c>
      <c r="I72" s="38">
        <f t="shared" si="34"/>
        <v>130000</v>
      </c>
      <c r="J72" s="80" t="s">
        <v>48</v>
      </c>
      <c r="K72" s="80"/>
      <c r="L72" s="40" t="s">
        <v>48</v>
      </c>
      <c r="M72" s="40">
        <f>M24/M17</f>
        <v>60000</v>
      </c>
      <c r="N72" s="40"/>
    </row>
    <row r="73" spans="1:14" ht="15.6" x14ac:dyDescent="0.35">
      <c r="A73" s="9" t="s">
        <v>34</v>
      </c>
      <c r="B73" s="38">
        <f>B25/B19</f>
        <v>42517.152171418937</v>
      </c>
      <c r="C73" s="80">
        <f>C25/D19</f>
        <v>24456.008456951437</v>
      </c>
      <c r="D73" s="80"/>
      <c r="E73" s="38">
        <f>E25/E19</f>
        <v>102068.50647040787</v>
      </c>
      <c r="F73" s="38">
        <f t="shared" ref="F73:I73" si="35">F25/F19</f>
        <v>230491.86783546864</v>
      </c>
      <c r="G73" s="38">
        <f t="shared" si="35"/>
        <v>71813.413976504919</v>
      </c>
      <c r="H73" s="38">
        <f t="shared" si="35"/>
        <v>78809.184060841682</v>
      </c>
      <c r="I73" s="38">
        <f t="shared" si="35"/>
        <v>126138.57332196529</v>
      </c>
      <c r="J73" s="80" t="s">
        <v>48</v>
      </c>
      <c r="K73" s="80"/>
      <c r="L73" s="40" t="s">
        <v>48</v>
      </c>
      <c r="M73" s="40">
        <f t="shared" ref="M73" si="36">M25/M19</f>
        <v>90964.224518406976</v>
      </c>
      <c r="N73" s="40"/>
    </row>
    <row r="74" spans="1:14" ht="15.6" x14ac:dyDescent="0.35">
      <c r="A74" s="9"/>
      <c r="B74" s="38"/>
      <c r="C74" s="38"/>
      <c r="D74" s="38"/>
      <c r="E74" s="38"/>
      <c r="F74" s="38"/>
      <c r="G74" s="38"/>
      <c r="H74" s="38"/>
      <c r="I74" s="38"/>
      <c r="J74" s="38"/>
      <c r="K74" s="40"/>
      <c r="L74" s="40"/>
      <c r="M74" s="40"/>
      <c r="N74" s="40"/>
    </row>
    <row r="75" spans="1:14" ht="15.6" x14ac:dyDescent="0.35">
      <c r="A75" s="10" t="s">
        <v>27</v>
      </c>
      <c r="B75" s="38"/>
      <c r="C75" s="38"/>
      <c r="D75" s="38"/>
      <c r="E75" s="38"/>
      <c r="F75" s="38"/>
      <c r="G75" s="38"/>
      <c r="H75" s="38"/>
      <c r="I75" s="38"/>
      <c r="J75" s="38"/>
      <c r="K75" s="40"/>
      <c r="L75" s="40"/>
      <c r="M75" s="40"/>
      <c r="N75" s="40"/>
    </row>
    <row r="76" spans="1:14" ht="15.6" x14ac:dyDescent="0.35">
      <c r="A76" s="9" t="s">
        <v>28</v>
      </c>
      <c r="B76" s="38">
        <f>(B31/B30)*100</f>
        <v>99.980470687882786</v>
      </c>
      <c r="C76" s="38"/>
      <c r="D76" s="38"/>
      <c r="E76" s="38"/>
      <c r="F76" s="38"/>
      <c r="G76" s="38"/>
      <c r="H76" s="38"/>
      <c r="I76" s="38"/>
      <c r="J76" s="38"/>
      <c r="K76" s="40"/>
      <c r="L76" s="40"/>
      <c r="M76" s="40"/>
      <c r="N76" s="40"/>
    </row>
    <row r="77" spans="1:14" ht="15.6" x14ac:dyDescent="0.35">
      <c r="A77" s="9" t="s">
        <v>29</v>
      </c>
      <c r="B77" s="38">
        <f>(B25/B31)*100</f>
        <v>96.222198047648106</v>
      </c>
      <c r="C77" s="38"/>
      <c r="D77" s="38"/>
      <c r="E77" s="38"/>
      <c r="F77" s="38"/>
      <c r="G77" s="38"/>
      <c r="H77" s="38"/>
      <c r="I77" s="38"/>
      <c r="J77" s="38"/>
      <c r="K77" s="40"/>
      <c r="L77" s="40"/>
      <c r="M77" s="40"/>
      <c r="N77" s="40"/>
    </row>
    <row r="78" spans="1:14" ht="16.2" thickBot="1" x14ac:dyDescent="0.4">
      <c r="A78" s="16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53"/>
    </row>
    <row r="79" spans="1:14" ht="16.2" thickTop="1" x14ac:dyDescent="0.35">
      <c r="A79" s="81" t="s">
        <v>99</v>
      </c>
      <c r="B79" s="81"/>
      <c r="C79" s="81"/>
      <c r="D79" s="81"/>
      <c r="E79" s="81"/>
      <c r="F79" s="81"/>
      <c r="G79" s="9"/>
      <c r="H79" s="9"/>
      <c r="I79" s="9"/>
      <c r="J79" s="9"/>
      <c r="K79" s="9"/>
      <c r="L79" s="9"/>
      <c r="M79" s="9"/>
    </row>
    <row r="80" spans="1:14" s="57" customFormat="1" ht="42.75" customHeight="1" x14ac:dyDescent="0.3">
      <c r="A80" s="91" t="s">
        <v>137</v>
      </c>
      <c r="B80" s="91"/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</row>
  </sheetData>
  <mergeCells count="56">
    <mergeCell ref="A79:F79"/>
    <mergeCell ref="C9:M9"/>
    <mergeCell ref="A80:M80"/>
    <mergeCell ref="C47:D47"/>
    <mergeCell ref="C48:D48"/>
    <mergeCell ref="C52:D52"/>
    <mergeCell ref="C65:D65"/>
    <mergeCell ref="C66:D66"/>
    <mergeCell ref="C64:D64"/>
    <mergeCell ref="C56:D56"/>
    <mergeCell ref="C57:D57"/>
    <mergeCell ref="C58:D58"/>
    <mergeCell ref="C61:D61"/>
    <mergeCell ref="A9:A10"/>
    <mergeCell ref="J10:K10"/>
    <mergeCell ref="C26:D26"/>
    <mergeCell ref="B9:B10"/>
    <mergeCell ref="C23:D23"/>
    <mergeCell ref="C24:D24"/>
    <mergeCell ref="C25:D25"/>
    <mergeCell ref="C10:D10"/>
    <mergeCell ref="J24:K24"/>
    <mergeCell ref="J25:K25"/>
    <mergeCell ref="J26:K26"/>
    <mergeCell ref="J23:K23"/>
    <mergeCell ref="C42:D42"/>
    <mergeCell ref="C27:D27"/>
    <mergeCell ref="C36:D36"/>
    <mergeCell ref="J39:K39"/>
    <mergeCell ref="J40:K40"/>
    <mergeCell ref="J41:K41"/>
    <mergeCell ref="J42:K42"/>
    <mergeCell ref="J27:K27"/>
    <mergeCell ref="C39:D39"/>
    <mergeCell ref="C40:D40"/>
    <mergeCell ref="C41:D41"/>
    <mergeCell ref="J47:K47"/>
    <mergeCell ref="J48:K48"/>
    <mergeCell ref="J52:K52"/>
    <mergeCell ref="J56:K56"/>
    <mergeCell ref="J57:K57"/>
    <mergeCell ref="J58:K58"/>
    <mergeCell ref="J61:K61"/>
    <mergeCell ref="J64:K64"/>
    <mergeCell ref="J65:K65"/>
    <mergeCell ref="J66:K66"/>
    <mergeCell ref="C69:D69"/>
    <mergeCell ref="C72:D72"/>
    <mergeCell ref="C73:D73"/>
    <mergeCell ref="C71:D71"/>
    <mergeCell ref="C70:D70"/>
    <mergeCell ref="J69:K69"/>
    <mergeCell ref="J70:K70"/>
    <mergeCell ref="J71:K71"/>
    <mergeCell ref="J72:K72"/>
    <mergeCell ref="J73:K73"/>
  </mergeCells>
  <pageMargins left="0.7" right="0.7" top="0.75" bottom="0.75" header="0.3" footer="0.3"/>
  <pageSetup orientation="portrait" r:id="rId1"/>
  <ignoredErrors>
    <ignoredError sqref="B24:B25" formula="1"/>
    <ignoredError sqref="C23:D23 K27 J23:J26 C24:D25" formulaRange="1"/>
    <ignoredError sqref="B49:I50 C47:G47 B54:I55 D53:I53 B52:I52 D51:I51 B59:I63 C58:I58 B57:I57 C56:I56 B75:J77 C71 B67:I68 B66:I66 B65:I65 B64:H64 B73:C73 B69:I69 B48:D48 E71:I71 B72:C72 E72:I72 E73:I73 B70:C70 E70:I70 F48:G48 B74:I74" evalError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 Trimestre</vt:lpstr>
      <vt:lpstr>II Trimestre</vt:lpstr>
      <vt:lpstr>I Semestre</vt:lpstr>
      <vt:lpstr>III Trimestre</vt:lpstr>
      <vt:lpstr>III T Acumulado</vt:lpstr>
      <vt:lpstr>IV Trimestre</vt:lpstr>
      <vt:lpstr>Anual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Astorga</dc:creator>
  <cp:lastModifiedBy>Stephanie Tatiana Salas Soto</cp:lastModifiedBy>
  <cp:lastPrinted>2012-11-21T16:57:56Z</cp:lastPrinted>
  <dcterms:created xsi:type="dcterms:W3CDTF">2012-04-24T21:09:42Z</dcterms:created>
  <dcterms:modified xsi:type="dcterms:W3CDTF">2025-12-30T19:32:01Z</dcterms:modified>
</cp:coreProperties>
</file>