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BD4797C5-22B8-49DB-BD08-74C7D42A1459}" xr6:coauthVersionLast="47" xr6:coauthVersionMax="47" xr10:uidLastSave="{00000000-0000-0000-0000-000000000000}"/>
  <bookViews>
    <workbookView xWindow="-108" yWindow="-108" windowWidth="23256" windowHeight="13896" tabRatio="647" xr2:uid="{00000000-000D-0000-FFFF-FFFF00000000}"/>
  </bookViews>
  <sheets>
    <sheet name="I Trimestre" sheetId="4" r:id="rId1"/>
    <sheet name="II Trimestre" sheetId="5" r:id="rId2"/>
    <sheet name="I Semestre" sheetId="2" r:id="rId3"/>
    <sheet name="III Trimestre" sheetId="6" r:id="rId4"/>
    <sheet name="III T Acumulado" sheetId="3" r:id="rId5"/>
    <sheet name="IV Trimestre" sheetId="1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7" l="1"/>
  <c r="H56" i="7"/>
  <c r="H51" i="7"/>
  <c r="H50" i="7"/>
  <c r="B29" i="7" l="1"/>
  <c r="F67" i="1"/>
  <c r="D67" i="1" l="1"/>
  <c r="E67" i="1"/>
  <c r="B34" i="4"/>
  <c r="E67" i="7" l="1"/>
  <c r="B17" i="7"/>
  <c r="C17" i="1"/>
  <c r="D16" i="7"/>
  <c r="D22" i="7"/>
  <c r="D67" i="7" s="1"/>
  <c r="E22" i="7"/>
  <c r="C22" i="1"/>
  <c r="E24" i="7"/>
  <c r="D24" i="7"/>
  <c r="C24" i="7" s="1"/>
  <c r="C67" i="1" l="1"/>
  <c r="C70" i="1"/>
  <c r="B22" i="1"/>
  <c r="B67" i="1" s="1"/>
  <c r="H23" i="7"/>
  <c r="H55" i="7" s="1"/>
  <c r="F46" i="1"/>
  <c r="F45" i="1"/>
  <c r="F46" i="6"/>
  <c r="F45" i="6"/>
  <c r="F46" i="5"/>
  <c r="F45" i="5"/>
  <c r="F45" i="4" l="1"/>
  <c r="B34" i="7"/>
  <c r="B34" i="1"/>
  <c r="B34" i="3"/>
  <c r="B34" i="6"/>
  <c r="B34" i="2"/>
  <c r="B34" i="5"/>
  <c r="H22" i="7" l="1"/>
  <c r="G22" i="7"/>
  <c r="F22" i="7"/>
  <c r="F67" i="7" s="1"/>
  <c r="C22" i="7"/>
  <c r="C67" i="7" s="1"/>
  <c r="F16" i="7"/>
  <c r="F45" i="7" s="1"/>
  <c r="E16" i="7"/>
  <c r="B22" i="7" l="1"/>
  <c r="C24" i="1"/>
  <c r="C23" i="1"/>
  <c r="C68" i="1" s="1"/>
  <c r="C21" i="1"/>
  <c r="C16" i="1"/>
  <c r="C45" i="1" s="1"/>
  <c r="C46" i="1"/>
  <c r="C18" i="1"/>
  <c r="C15" i="1"/>
  <c r="B28" i="7" l="1"/>
  <c r="B67" i="7"/>
  <c r="E24" i="3"/>
  <c r="F24" i="3"/>
  <c r="G24" i="3"/>
  <c r="H24" i="3"/>
  <c r="D24" i="3"/>
  <c r="C24" i="3" s="1"/>
  <c r="D21" i="3"/>
  <c r="E21" i="3"/>
  <c r="F21" i="3"/>
  <c r="G21" i="3"/>
  <c r="H21" i="3"/>
  <c r="D22" i="3"/>
  <c r="E22" i="3"/>
  <c r="F22" i="3"/>
  <c r="G22" i="3"/>
  <c r="H22" i="3"/>
  <c r="D23" i="3"/>
  <c r="E23" i="3"/>
  <c r="F23" i="3"/>
  <c r="G23" i="3"/>
  <c r="H23" i="3"/>
  <c r="D15" i="3"/>
  <c r="E15" i="3"/>
  <c r="F15" i="3"/>
  <c r="D16" i="3"/>
  <c r="E16" i="3"/>
  <c r="F16" i="3"/>
  <c r="F45" i="3" s="1"/>
  <c r="D17" i="3"/>
  <c r="E17" i="3"/>
  <c r="F17" i="3"/>
  <c r="F46" i="3" s="1"/>
  <c r="D18" i="3"/>
  <c r="E18" i="3"/>
  <c r="F18" i="3"/>
  <c r="C21" i="6"/>
  <c r="C15" i="6"/>
  <c r="C17" i="6"/>
  <c r="C46" i="6" s="1"/>
  <c r="C18" i="6"/>
  <c r="E15" i="2"/>
  <c r="D15" i="2"/>
  <c r="C21" i="5"/>
  <c r="C15" i="5"/>
  <c r="C21" i="4"/>
  <c r="C15" i="4"/>
  <c r="C18" i="3" l="1"/>
  <c r="C22" i="3"/>
  <c r="C17" i="3"/>
  <c r="C46" i="3" s="1"/>
  <c r="C16" i="3"/>
  <c r="C45" i="3" s="1"/>
  <c r="C23" i="3"/>
  <c r="C21" i="3"/>
  <c r="C15" i="2"/>
  <c r="C15" i="3"/>
  <c r="F46" i="4"/>
  <c r="C16" i="7" l="1"/>
  <c r="F21" i="7"/>
  <c r="F37" i="7" s="1"/>
  <c r="G21" i="7"/>
  <c r="G37" i="7" s="1"/>
  <c r="H21" i="7"/>
  <c r="H37" i="7" s="1"/>
  <c r="F23" i="7"/>
  <c r="G23" i="7"/>
  <c r="G25" i="7" s="1"/>
  <c r="F24" i="7"/>
  <c r="G24" i="7"/>
  <c r="H24" i="7"/>
  <c r="E21" i="7"/>
  <c r="E37" i="7" s="1"/>
  <c r="E23" i="7"/>
  <c r="E25" i="7" s="1"/>
  <c r="E18" i="7"/>
  <c r="F18" i="7"/>
  <c r="E17" i="7"/>
  <c r="E49" i="7" s="1"/>
  <c r="F17" i="7"/>
  <c r="F46" i="7" s="1"/>
  <c r="D17" i="7"/>
  <c r="D15" i="7"/>
  <c r="E15" i="7"/>
  <c r="F15" i="7"/>
  <c r="F25" i="7" l="1"/>
  <c r="F68" i="7"/>
  <c r="F70" i="7"/>
  <c r="B24" i="7"/>
  <c r="C45" i="7"/>
  <c r="B16" i="7"/>
  <c r="B45" i="7" s="1"/>
  <c r="E39" i="7"/>
  <c r="E55" i="7"/>
  <c r="F39" i="7"/>
  <c r="C15" i="7"/>
  <c r="F50" i="7"/>
  <c r="G50" i="7"/>
  <c r="G51" i="7" s="1"/>
  <c r="E70" i="7"/>
  <c r="G55" i="7"/>
  <c r="G56" i="7" s="1"/>
  <c r="G38" i="7"/>
  <c r="G63" i="7" s="1"/>
  <c r="F49" i="7"/>
  <c r="E71" i="7"/>
  <c r="E68" i="7"/>
  <c r="E54" i="7"/>
  <c r="D49" i="7"/>
  <c r="C17" i="7"/>
  <c r="H38" i="7"/>
  <c r="H63" i="7" s="1"/>
  <c r="E38" i="7"/>
  <c r="E40" i="7" s="1"/>
  <c r="F62" i="7"/>
  <c r="F54" i="7"/>
  <c r="E50" i="7"/>
  <c r="E51" i="7" s="1"/>
  <c r="F38" i="7"/>
  <c r="F71" i="7"/>
  <c r="F55" i="7"/>
  <c r="B46" i="7" l="1"/>
  <c r="C46" i="7"/>
  <c r="E56" i="7"/>
  <c r="F51" i="7"/>
  <c r="F69" i="7" s="1"/>
  <c r="C49" i="7"/>
  <c r="E69" i="7"/>
  <c r="F56" i="7"/>
  <c r="F63" i="7"/>
  <c r="F40" i="7"/>
  <c r="F64" i="7" s="1"/>
  <c r="C37" i="1"/>
  <c r="C39" i="1" s="1"/>
  <c r="D37" i="1"/>
  <c r="D39" i="1" s="1"/>
  <c r="E37" i="1"/>
  <c r="E39" i="1" s="1"/>
  <c r="F37" i="1"/>
  <c r="F39" i="1" s="1"/>
  <c r="G37" i="1"/>
  <c r="H37" i="1"/>
  <c r="D38" i="1"/>
  <c r="D40" i="1" s="1"/>
  <c r="E38" i="1"/>
  <c r="E40" i="1" s="1"/>
  <c r="F38" i="1"/>
  <c r="F40" i="1" s="1"/>
  <c r="G38" i="1"/>
  <c r="H38" i="1"/>
  <c r="D49" i="1"/>
  <c r="E49" i="1"/>
  <c r="F49" i="1"/>
  <c r="D50" i="1"/>
  <c r="E50" i="1"/>
  <c r="F50" i="1"/>
  <c r="H50" i="1"/>
  <c r="H51" i="1" s="1"/>
  <c r="D54" i="1"/>
  <c r="E54" i="1"/>
  <c r="F54" i="1"/>
  <c r="D55" i="1"/>
  <c r="E55" i="1"/>
  <c r="F55" i="1"/>
  <c r="G55" i="1"/>
  <c r="G56" i="1" s="1"/>
  <c r="H55" i="1"/>
  <c r="H56" i="1" s="1"/>
  <c r="F62" i="1"/>
  <c r="D68" i="1"/>
  <c r="E68" i="1"/>
  <c r="F68" i="1"/>
  <c r="D70" i="1"/>
  <c r="E70" i="1"/>
  <c r="F70" i="1"/>
  <c r="D71" i="1"/>
  <c r="E71" i="1"/>
  <c r="F71" i="1"/>
  <c r="B21" i="1"/>
  <c r="D25" i="1"/>
  <c r="E25" i="1"/>
  <c r="F25" i="1"/>
  <c r="G25" i="1"/>
  <c r="B24" i="1"/>
  <c r="B15" i="1"/>
  <c r="B18" i="1"/>
  <c r="D37" i="3"/>
  <c r="D39" i="3" s="1"/>
  <c r="E37" i="3"/>
  <c r="E39" i="3" s="1"/>
  <c r="G25" i="3"/>
  <c r="E25" i="3"/>
  <c r="G50" i="3"/>
  <c r="G51" i="3" s="1"/>
  <c r="E50" i="3"/>
  <c r="H37" i="3"/>
  <c r="G37" i="3"/>
  <c r="B18" i="3"/>
  <c r="C37" i="6"/>
  <c r="D37" i="6"/>
  <c r="D39" i="6" s="1"/>
  <c r="E37" i="6"/>
  <c r="E39" i="6" s="1"/>
  <c r="F37" i="6"/>
  <c r="F39" i="6" s="1"/>
  <c r="G37" i="6"/>
  <c r="H37" i="6"/>
  <c r="H63" i="6" s="1"/>
  <c r="D38" i="6"/>
  <c r="D40" i="6" s="1"/>
  <c r="E38" i="6"/>
  <c r="E40" i="6" s="1"/>
  <c r="F38" i="6"/>
  <c r="F40" i="6" s="1"/>
  <c r="G38" i="6"/>
  <c r="H38" i="6"/>
  <c r="C39" i="6"/>
  <c r="D49" i="6"/>
  <c r="E49" i="6"/>
  <c r="F49" i="6"/>
  <c r="D50" i="6"/>
  <c r="D51" i="6" s="1"/>
  <c r="E50" i="6"/>
  <c r="E51" i="6" s="1"/>
  <c r="F50" i="6"/>
  <c r="F51" i="6" s="1"/>
  <c r="H50" i="6"/>
  <c r="H51" i="6" s="1"/>
  <c r="D54" i="6"/>
  <c r="E54" i="6"/>
  <c r="F54" i="6"/>
  <c r="D55" i="6"/>
  <c r="D56" i="6" s="1"/>
  <c r="E55" i="6"/>
  <c r="E56" i="6" s="1"/>
  <c r="F55" i="6"/>
  <c r="F56" i="6" s="1"/>
  <c r="G55" i="6"/>
  <c r="G56" i="6" s="1"/>
  <c r="H55" i="6"/>
  <c r="H56" i="6" s="1"/>
  <c r="F62" i="6"/>
  <c r="D67" i="6"/>
  <c r="E67" i="6"/>
  <c r="F67" i="6"/>
  <c r="D68" i="6"/>
  <c r="E68" i="6"/>
  <c r="F68" i="6"/>
  <c r="D70" i="6"/>
  <c r="E70" i="6"/>
  <c r="F70" i="6"/>
  <c r="D71" i="6"/>
  <c r="E71" i="6"/>
  <c r="F71" i="6"/>
  <c r="B21" i="6"/>
  <c r="C23" i="6"/>
  <c r="C38" i="6" s="1"/>
  <c r="C24" i="6"/>
  <c r="B24" i="6" s="1"/>
  <c r="C22" i="6"/>
  <c r="G25" i="6"/>
  <c r="F25" i="6"/>
  <c r="E25" i="6"/>
  <c r="D25" i="6"/>
  <c r="B15" i="6"/>
  <c r="B18" i="6"/>
  <c r="C16" i="6"/>
  <c r="C45" i="6" s="1"/>
  <c r="E21" i="2"/>
  <c r="E37" i="2" s="1"/>
  <c r="E39" i="2" s="1"/>
  <c r="F21" i="2"/>
  <c r="F37" i="2" s="1"/>
  <c r="G21" i="2"/>
  <c r="G37" i="2" s="1"/>
  <c r="H21" i="2"/>
  <c r="H37" i="2" s="1"/>
  <c r="E22" i="2"/>
  <c r="F22" i="2"/>
  <c r="G22" i="2"/>
  <c r="H22" i="2"/>
  <c r="E23" i="2"/>
  <c r="F23" i="2"/>
  <c r="F38" i="2" s="1"/>
  <c r="G23" i="2"/>
  <c r="G25" i="2" s="1"/>
  <c r="H23" i="2"/>
  <c r="E24" i="2"/>
  <c r="F24" i="2"/>
  <c r="G24" i="2"/>
  <c r="H24" i="2"/>
  <c r="E25" i="2"/>
  <c r="F15" i="2"/>
  <c r="F16" i="2"/>
  <c r="F45" i="2" s="1"/>
  <c r="F17" i="2"/>
  <c r="F46" i="2" s="1"/>
  <c r="F18" i="2"/>
  <c r="E18" i="2"/>
  <c r="E17" i="2"/>
  <c r="E16" i="2"/>
  <c r="C37" i="5"/>
  <c r="C39" i="5" s="1"/>
  <c r="D37" i="5"/>
  <c r="D39" i="5" s="1"/>
  <c r="E37" i="5"/>
  <c r="E39" i="5" s="1"/>
  <c r="F37" i="5"/>
  <c r="F39" i="5" s="1"/>
  <c r="G37" i="5"/>
  <c r="H37" i="5"/>
  <c r="D38" i="5"/>
  <c r="D40" i="5" s="1"/>
  <c r="E38" i="5"/>
  <c r="E40" i="5" s="1"/>
  <c r="F38" i="5"/>
  <c r="F40" i="5" s="1"/>
  <c r="G38" i="5"/>
  <c r="H38" i="5"/>
  <c r="D49" i="5"/>
  <c r="E49" i="5"/>
  <c r="F49" i="5"/>
  <c r="D50" i="5"/>
  <c r="E50" i="5"/>
  <c r="F50" i="5"/>
  <c r="F51" i="5" s="1"/>
  <c r="G50" i="5"/>
  <c r="G51" i="5" s="1"/>
  <c r="H50" i="5"/>
  <c r="H51" i="5" s="1"/>
  <c r="D54" i="5"/>
  <c r="E54" i="5"/>
  <c r="F54" i="5"/>
  <c r="D55" i="5"/>
  <c r="E55" i="5"/>
  <c r="E56" i="5" s="1"/>
  <c r="F55" i="5"/>
  <c r="G55" i="5"/>
  <c r="G56" i="5" s="1"/>
  <c r="H55" i="5"/>
  <c r="H56" i="5" s="1"/>
  <c r="F62" i="5"/>
  <c r="E67" i="5"/>
  <c r="F67" i="5"/>
  <c r="E68" i="5"/>
  <c r="F68" i="5"/>
  <c r="E70" i="5"/>
  <c r="F70" i="5"/>
  <c r="E71" i="5"/>
  <c r="F71" i="5"/>
  <c r="G25" i="5"/>
  <c r="F25" i="5"/>
  <c r="E25" i="5"/>
  <c r="D25" i="5"/>
  <c r="B21" i="5"/>
  <c r="C23" i="5"/>
  <c r="C38" i="5" s="1"/>
  <c r="C24" i="5"/>
  <c r="B24" i="5" s="1"/>
  <c r="C22" i="5"/>
  <c r="B22" i="5" s="1"/>
  <c r="B15" i="5"/>
  <c r="C17" i="5"/>
  <c r="C18" i="5"/>
  <c r="B18" i="5" s="1"/>
  <c r="C16" i="5"/>
  <c r="C45" i="5" s="1"/>
  <c r="C37" i="4"/>
  <c r="C39" i="4" s="1"/>
  <c r="D37" i="4"/>
  <c r="D39" i="4" s="1"/>
  <c r="E37" i="4"/>
  <c r="E39" i="4" s="1"/>
  <c r="F37" i="4"/>
  <c r="F39" i="4" s="1"/>
  <c r="G37" i="4"/>
  <c r="H37" i="4"/>
  <c r="D38" i="4"/>
  <c r="D40" i="4" s="1"/>
  <c r="E38" i="4"/>
  <c r="E40" i="4" s="1"/>
  <c r="F38" i="4"/>
  <c r="F40" i="4" s="1"/>
  <c r="G38" i="4"/>
  <c r="H38" i="4"/>
  <c r="H63" i="4" s="1"/>
  <c r="D67" i="4"/>
  <c r="E67" i="4"/>
  <c r="F67" i="4"/>
  <c r="D68" i="4"/>
  <c r="E68" i="4"/>
  <c r="F68" i="4"/>
  <c r="D70" i="4"/>
  <c r="E70" i="4"/>
  <c r="F70" i="4"/>
  <c r="D71" i="4"/>
  <c r="E71" i="4"/>
  <c r="F71" i="4"/>
  <c r="F62" i="4"/>
  <c r="D54" i="4"/>
  <c r="E54" i="4"/>
  <c r="E56" i="4" s="1"/>
  <c r="F54" i="4"/>
  <c r="D55" i="4"/>
  <c r="E55" i="4"/>
  <c r="F55" i="4"/>
  <c r="G55" i="4"/>
  <c r="G56" i="4" s="1"/>
  <c r="H55" i="4"/>
  <c r="H56" i="4" s="1"/>
  <c r="D49" i="4"/>
  <c r="E49" i="4"/>
  <c r="F49" i="4"/>
  <c r="D50" i="4"/>
  <c r="E50" i="4"/>
  <c r="F50" i="4"/>
  <c r="G50" i="4"/>
  <c r="G51" i="4" s="1"/>
  <c r="H50" i="4"/>
  <c r="H51" i="4" s="1"/>
  <c r="B21" i="4"/>
  <c r="C23" i="4"/>
  <c r="C38" i="4" s="1"/>
  <c r="C24" i="4"/>
  <c r="B24" i="4" s="1"/>
  <c r="C22" i="4"/>
  <c r="B22" i="4" s="1"/>
  <c r="G25" i="4"/>
  <c r="F25" i="4"/>
  <c r="E25" i="4"/>
  <c r="D25" i="4"/>
  <c r="B15" i="4"/>
  <c r="C17" i="4"/>
  <c r="C46" i="4" s="1"/>
  <c r="C18" i="4"/>
  <c r="B18" i="4" s="1"/>
  <c r="C16" i="4"/>
  <c r="C45" i="4" s="1"/>
  <c r="F63" i="6" l="1"/>
  <c r="F63" i="2"/>
  <c r="H50" i="2"/>
  <c r="H51" i="2" s="1"/>
  <c r="F69" i="5"/>
  <c r="F25" i="2"/>
  <c r="D56" i="5"/>
  <c r="D51" i="5"/>
  <c r="C49" i="5"/>
  <c r="C46" i="5"/>
  <c r="E51" i="5"/>
  <c r="G63" i="6"/>
  <c r="D69" i="6"/>
  <c r="G63" i="4"/>
  <c r="E51" i="4"/>
  <c r="E69" i="4" s="1"/>
  <c r="E69" i="6"/>
  <c r="F69" i="6"/>
  <c r="C67" i="6"/>
  <c r="F63" i="5"/>
  <c r="E69" i="5"/>
  <c r="F56" i="5"/>
  <c r="G63" i="5"/>
  <c r="H63" i="5"/>
  <c r="F56" i="4"/>
  <c r="D56" i="4"/>
  <c r="F63" i="1"/>
  <c r="D56" i="1"/>
  <c r="F51" i="1"/>
  <c r="F69" i="1" s="1"/>
  <c r="E55" i="3"/>
  <c r="G55" i="3"/>
  <c r="G56" i="3" s="1"/>
  <c r="G38" i="3"/>
  <c r="G63" i="3" s="1"/>
  <c r="F64" i="6"/>
  <c r="B23" i="6"/>
  <c r="C40" i="6"/>
  <c r="C64" i="6" s="1"/>
  <c r="C63" i="6"/>
  <c r="B16" i="6"/>
  <c r="B45" i="6" s="1"/>
  <c r="B17" i="6"/>
  <c r="B46" i="6" s="1"/>
  <c r="B22" i="6"/>
  <c r="C71" i="6"/>
  <c r="C70" i="6"/>
  <c r="C68" i="6"/>
  <c r="C62" i="6"/>
  <c r="C55" i="6"/>
  <c r="C54" i="6"/>
  <c r="C50" i="6"/>
  <c r="C49" i="6"/>
  <c r="B23" i="5"/>
  <c r="F64" i="5"/>
  <c r="C40" i="5"/>
  <c r="C64" i="5" s="1"/>
  <c r="C63" i="5"/>
  <c r="B16" i="5"/>
  <c r="B45" i="5" s="1"/>
  <c r="H55" i="2"/>
  <c r="H56" i="2" s="1"/>
  <c r="H38" i="2"/>
  <c r="H63" i="2" s="1"/>
  <c r="B17" i="5"/>
  <c r="C62" i="5"/>
  <c r="C55" i="5"/>
  <c r="C54" i="5"/>
  <c r="C50" i="5"/>
  <c r="F63" i="4"/>
  <c r="F39" i="2"/>
  <c r="F55" i="2"/>
  <c r="F50" i="2"/>
  <c r="F70" i="2"/>
  <c r="F51" i="4"/>
  <c r="F69" i="4" s="1"/>
  <c r="D51" i="4"/>
  <c r="D69" i="4" s="1"/>
  <c r="F67" i="2"/>
  <c r="F64" i="4"/>
  <c r="C62" i="4"/>
  <c r="C54" i="4"/>
  <c r="C49" i="4"/>
  <c r="B16" i="4"/>
  <c r="B45" i="4" s="1"/>
  <c r="C67" i="4"/>
  <c r="C40" i="4"/>
  <c r="C64" i="4" s="1"/>
  <c r="C63" i="4"/>
  <c r="F40" i="2"/>
  <c r="F49" i="2"/>
  <c r="F54" i="2"/>
  <c r="F62" i="2"/>
  <c r="F71" i="2"/>
  <c r="F68" i="2"/>
  <c r="B17" i="4"/>
  <c r="B46" i="4" s="1"/>
  <c r="E49" i="2"/>
  <c r="G38" i="2"/>
  <c r="G63" i="2" s="1"/>
  <c r="G50" i="2"/>
  <c r="G51" i="2" s="1"/>
  <c r="G55" i="2"/>
  <c r="G56" i="2" s="1"/>
  <c r="E38" i="2"/>
  <c r="E40" i="2" s="1"/>
  <c r="E50" i="2"/>
  <c r="E55" i="2"/>
  <c r="E68" i="2"/>
  <c r="E71" i="2"/>
  <c r="E67" i="2"/>
  <c r="E70" i="2"/>
  <c r="B23" i="4"/>
  <c r="C50" i="4"/>
  <c r="C55" i="4"/>
  <c r="C71" i="4"/>
  <c r="C70" i="4"/>
  <c r="C68" i="4"/>
  <c r="E54" i="2"/>
  <c r="E56" i="1"/>
  <c r="D51" i="1"/>
  <c r="D69" i="1" s="1"/>
  <c r="E70" i="3"/>
  <c r="D67" i="3"/>
  <c r="F67" i="3"/>
  <c r="B24" i="3"/>
  <c r="E68" i="3"/>
  <c r="E38" i="3"/>
  <c r="E40" i="3" s="1"/>
  <c r="H63" i="1"/>
  <c r="F64" i="1"/>
  <c r="C50" i="1"/>
  <c r="F56" i="1"/>
  <c r="E51" i="1"/>
  <c r="E69" i="1" s="1"/>
  <c r="B16" i="1"/>
  <c r="B45" i="1" s="1"/>
  <c r="G63" i="1"/>
  <c r="C38" i="1"/>
  <c r="C63" i="1" s="1"/>
  <c r="B23" i="1"/>
  <c r="B68" i="1" s="1"/>
  <c r="C55" i="1"/>
  <c r="B17" i="1"/>
  <c r="B46" i="1" s="1"/>
  <c r="C71" i="1"/>
  <c r="C62" i="1"/>
  <c r="C54" i="1"/>
  <c r="C49" i="1"/>
  <c r="B23" i="3"/>
  <c r="C38" i="3"/>
  <c r="E49" i="3"/>
  <c r="E51" i="3" s="1"/>
  <c r="E54" i="3"/>
  <c r="F37" i="3"/>
  <c r="F39" i="3" s="1"/>
  <c r="D25" i="3"/>
  <c r="D38" i="3"/>
  <c r="D50" i="3"/>
  <c r="D55" i="3"/>
  <c r="D68" i="3"/>
  <c r="D71" i="3"/>
  <c r="F25" i="3"/>
  <c r="F38" i="3"/>
  <c r="F50" i="3"/>
  <c r="F55" i="3"/>
  <c r="F68" i="3"/>
  <c r="F71" i="3"/>
  <c r="H38" i="3"/>
  <c r="H50" i="3"/>
  <c r="H51" i="3" s="1"/>
  <c r="H55" i="3"/>
  <c r="H56" i="3" s="1"/>
  <c r="E71" i="3"/>
  <c r="E67" i="3"/>
  <c r="F70" i="3"/>
  <c r="D70" i="3"/>
  <c r="F62" i="3"/>
  <c r="F54" i="3"/>
  <c r="D54" i="3"/>
  <c r="F49" i="3"/>
  <c r="D49" i="3"/>
  <c r="C67" i="5"/>
  <c r="D67" i="5"/>
  <c r="C68" i="5"/>
  <c r="D68" i="5"/>
  <c r="C70" i="5"/>
  <c r="D70" i="5"/>
  <c r="C71" i="5"/>
  <c r="D71" i="5"/>
  <c r="C51" i="1" l="1"/>
  <c r="C69" i="1" s="1"/>
  <c r="F64" i="2"/>
  <c r="D69" i="5"/>
  <c r="B49" i="5"/>
  <c r="B46" i="5"/>
  <c r="D51" i="3"/>
  <c r="D69" i="3" s="1"/>
  <c r="E56" i="3"/>
  <c r="D56" i="3"/>
  <c r="E69" i="3"/>
  <c r="C71" i="3"/>
  <c r="C51" i="6"/>
  <c r="C69" i="6" s="1"/>
  <c r="C56" i="6"/>
  <c r="F51" i="2"/>
  <c r="F69" i="2" s="1"/>
  <c r="C51" i="5"/>
  <c r="C69" i="5" s="1"/>
  <c r="C56" i="5"/>
  <c r="E56" i="2"/>
  <c r="F56" i="2"/>
  <c r="C51" i="4"/>
  <c r="C69" i="4" s="1"/>
  <c r="E51" i="2"/>
  <c r="E69" i="2" s="1"/>
  <c r="C56" i="4"/>
  <c r="F56" i="3"/>
  <c r="C55" i="3"/>
  <c r="C40" i="1"/>
  <c r="C64" i="1" s="1"/>
  <c r="C56" i="1"/>
  <c r="C70" i="3"/>
  <c r="C67" i="3"/>
  <c r="B22" i="3"/>
  <c r="H63" i="3"/>
  <c r="B16" i="3"/>
  <c r="B45" i="3" s="1"/>
  <c r="C50" i="3"/>
  <c r="F51" i="3"/>
  <c r="F69" i="3" s="1"/>
  <c r="C49" i="3"/>
  <c r="C54" i="3"/>
  <c r="B17" i="3"/>
  <c r="B46" i="3" s="1"/>
  <c r="C68" i="3"/>
  <c r="F40" i="3"/>
  <c r="F64" i="3" s="1"/>
  <c r="F63" i="3"/>
  <c r="D40" i="3"/>
  <c r="C40" i="3"/>
  <c r="C56" i="3" l="1"/>
  <c r="C51" i="3"/>
  <c r="C69" i="3" s="1"/>
  <c r="D16" i="2"/>
  <c r="C16" i="2" s="1"/>
  <c r="C45" i="2" s="1"/>
  <c r="D17" i="2"/>
  <c r="D18" i="2"/>
  <c r="C18" i="2" s="1"/>
  <c r="B18" i="2" s="1"/>
  <c r="D21" i="2"/>
  <c r="D22" i="2"/>
  <c r="D23" i="2"/>
  <c r="D25" i="2" s="1"/>
  <c r="D24" i="2"/>
  <c r="C24" i="2" s="1"/>
  <c r="B24" i="2" s="1"/>
  <c r="B37" i="1"/>
  <c r="B37" i="6"/>
  <c r="D37" i="2" l="1"/>
  <c r="D39" i="2" s="1"/>
  <c r="C21" i="2"/>
  <c r="C23" i="2"/>
  <c r="D38" i="2"/>
  <c r="D40" i="2" s="1"/>
  <c r="D50" i="2"/>
  <c r="D55" i="2"/>
  <c r="D68" i="2"/>
  <c r="D71" i="2"/>
  <c r="C17" i="2"/>
  <c r="C46" i="2" s="1"/>
  <c r="D49" i="2"/>
  <c r="D54" i="2"/>
  <c r="C22" i="2"/>
  <c r="D67" i="2"/>
  <c r="D70" i="2"/>
  <c r="B16" i="2"/>
  <c r="B45" i="2" s="1"/>
  <c r="B55" i="6"/>
  <c r="B50" i="6"/>
  <c r="B54" i="6"/>
  <c r="B39" i="1"/>
  <c r="B71" i="1"/>
  <c r="B75" i="1"/>
  <c r="B38" i="1"/>
  <c r="B40" i="1" s="1"/>
  <c r="B62" i="1"/>
  <c r="B55" i="1"/>
  <c r="B50" i="1"/>
  <c r="B54" i="1"/>
  <c r="B62" i="6"/>
  <c r="B39" i="6"/>
  <c r="B71" i="6"/>
  <c r="B75" i="6"/>
  <c r="B38" i="6"/>
  <c r="B40" i="6" s="1"/>
  <c r="B68" i="6"/>
  <c r="B49" i="1"/>
  <c r="B70" i="1"/>
  <c r="B67" i="6"/>
  <c r="B49" i="6"/>
  <c r="B70" i="6"/>
  <c r="B37" i="5"/>
  <c r="B37" i="4"/>
  <c r="B54" i="4"/>
  <c r="B56" i="1" l="1"/>
  <c r="B56" i="6"/>
  <c r="D51" i="2"/>
  <c r="D69" i="2" s="1"/>
  <c r="C67" i="2"/>
  <c r="C70" i="2"/>
  <c r="B22" i="2"/>
  <c r="D56" i="2"/>
  <c r="C49" i="2"/>
  <c r="C54" i="2"/>
  <c r="B17" i="2"/>
  <c r="B46" i="2" s="1"/>
  <c r="C38" i="2"/>
  <c r="C50" i="2"/>
  <c r="C55" i="2"/>
  <c r="C68" i="2"/>
  <c r="C71" i="2"/>
  <c r="B23" i="2"/>
  <c r="B51" i="6"/>
  <c r="B69" i="6" s="1"/>
  <c r="B64" i="6"/>
  <c r="B55" i="5"/>
  <c r="B50" i="5"/>
  <c r="B54" i="5"/>
  <c r="B56" i="5" s="1"/>
  <c r="B55" i="4"/>
  <c r="B56" i="4" s="1"/>
  <c r="B50" i="4"/>
  <c r="B64" i="1"/>
  <c r="B51" i="1"/>
  <c r="B69" i="1" s="1"/>
  <c r="B63" i="1"/>
  <c r="B63" i="6"/>
  <c r="B62" i="5"/>
  <c r="B39" i="5"/>
  <c r="B71" i="5"/>
  <c r="B68" i="5"/>
  <c r="B75" i="5"/>
  <c r="B38" i="5"/>
  <c r="B40" i="5" s="1"/>
  <c r="B39" i="4"/>
  <c r="B62" i="4"/>
  <c r="B68" i="4"/>
  <c r="B75" i="4"/>
  <c r="B38" i="4"/>
  <c r="B40" i="4" s="1"/>
  <c r="B71" i="4"/>
  <c r="B67" i="5"/>
  <c r="B70" i="5"/>
  <c r="B70" i="4"/>
  <c r="B67" i="4"/>
  <c r="B49" i="4"/>
  <c r="B51" i="4" l="1"/>
  <c r="B69" i="4" s="1"/>
  <c r="C51" i="2"/>
  <c r="C69" i="2" s="1"/>
  <c r="C40" i="2"/>
  <c r="C56" i="2"/>
  <c r="B51" i="5"/>
  <c r="B69" i="5" s="1"/>
  <c r="B64" i="5"/>
  <c r="B63" i="5"/>
  <c r="B63" i="4"/>
  <c r="B64" i="4"/>
  <c r="C25" i="4" l="1"/>
  <c r="B25" i="4" l="1"/>
  <c r="B59" i="4" s="1"/>
  <c r="D18" i="7"/>
  <c r="C18" i="7" l="1"/>
  <c r="D54" i="7"/>
  <c r="B15" i="7"/>
  <c r="C62" i="7"/>
  <c r="B15" i="3"/>
  <c r="C62" i="3"/>
  <c r="B54" i="3"/>
  <c r="B18" i="7" l="1"/>
  <c r="C54" i="7"/>
  <c r="B15" i="2"/>
  <c r="C62" i="2"/>
  <c r="B54" i="7"/>
  <c r="B62" i="3"/>
  <c r="B62" i="7"/>
  <c r="B49" i="7"/>
  <c r="B49" i="3"/>
  <c r="B28" i="4"/>
  <c r="B74" i="4" s="1"/>
  <c r="C25" i="5"/>
  <c r="C25" i="6"/>
  <c r="C25" i="1"/>
  <c r="B25" i="6" l="1"/>
  <c r="B59" i="6" s="1"/>
  <c r="B25" i="5"/>
  <c r="B59" i="5" s="1"/>
  <c r="C37" i="2"/>
  <c r="B21" i="2"/>
  <c r="C37" i="3"/>
  <c r="B21" i="3"/>
  <c r="B25" i="1"/>
  <c r="B59" i="1" s="1"/>
  <c r="B62" i="2"/>
  <c r="B49" i="2"/>
  <c r="B54" i="2"/>
  <c r="C25" i="2"/>
  <c r="B25" i="2" s="1"/>
  <c r="C25" i="3"/>
  <c r="C39" i="3" l="1"/>
  <c r="C64" i="3" s="1"/>
  <c r="C63" i="3"/>
  <c r="C39" i="2"/>
  <c r="C64" i="2" s="1"/>
  <c r="C63" i="2"/>
  <c r="B25" i="3"/>
  <c r="D23" i="7"/>
  <c r="C23" i="7" s="1"/>
  <c r="D21" i="7"/>
  <c r="C68" i="7" l="1"/>
  <c r="D37" i="7"/>
  <c r="D39" i="7" s="1"/>
  <c r="C21" i="7"/>
  <c r="D70" i="7"/>
  <c r="D50" i="7"/>
  <c r="D51" i="7" s="1"/>
  <c r="D55" i="7"/>
  <c r="D56" i="7" s="1"/>
  <c r="D68" i="7"/>
  <c r="D71" i="7"/>
  <c r="D38" i="7"/>
  <c r="D40" i="7" s="1"/>
  <c r="B37" i="2"/>
  <c r="B55" i="3"/>
  <c r="B56" i="3" s="1"/>
  <c r="B37" i="3"/>
  <c r="B55" i="2"/>
  <c r="B56" i="2" s="1"/>
  <c r="B59" i="2"/>
  <c r="D25" i="7"/>
  <c r="C37" i="7" l="1"/>
  <c r="C39" i="7" s="1"/>
  <c r="B21" i="7"/>
  <c r="B37" i="7" s="1"/>
  <c r="B39" i="7" s="1"/>
  <c r="C25" i="7"/>
  <c r="B25" i="7" s="1"/>
  <c r="B70" i="7"/>
  <c r="C70" i="7"/>
  <c r="D69" i="7"/>
  <c r="C55" i="7"/>
  <c r="C56" i="7" s="1"/>
  <c r="C71" i="7"/>
  <c r="C38" i="7"/>
  <c r="B55" i="7"/>
  <c r="B56" i="7" s="1"/>
  <c r="C50" i="7"/>
  <c r="C51" i="7" s="1"/>
  <c r="B39" i="2"/>
  <c r="B59" i="3"/>
  <c r="B39" i="3"/>
  <c r="B71" i="3"/>
  <c r="B68" i="3"/>
  <c r="B38" i="3"/>
  <c r="B40" i="3" s="1"/>
  <c r="B38" i="2"/>
  <c r="B40" i="2" s="1"/>
  <c r="B71" i="2"/>
  <c r="B68" i="2"/>
  <c r="B50" i="2"/>
  <c r="B51" i="2" s="1"/>
  <c r="B70" i="2"/>
  <c r="B67" i="2"/>
  <c r="B50" i="3"/>
  <c r="B51" i="3" s="1"/>
  <c r="B70" i="3"/>
  <c r="B67" i="3"/>
  <c r="B29" i="3"/>
  <c r="B75" i="3" s="1"/>
  <c r="B29" i="2"/>
  <c r="B75" i="2" s="1"/>
  <c r="B59" i="7" l="1"/>
  <c r="C69" i="7"/>
  <c r="B50" i="7"/>
  <c r="B51" i="7" s="1"/>
  <c r="B38" i="7"/>
  <c r="B63" i="7" s="1"/>
  <c r="B75" i="7"/>
  <c r="B71" i="7"/>
  <c r="B68" i="7"/>
  <c r="C63" i="7"/>
  <c r="C40" i="7"/>
  <c r="C64" i="7" s="1"/>
  <c r="B63" i="3"/>
  <c r="B64" i="2"/>
  <c r="B64" i="3"/>
  <c r="B63" i="2"/>
  <c r="B69" i="3"/>
  <c r="B69" i="2"/>
  <c r="B28" i="2"/>
  <c r="B74" i="2" s="1"/>
  <c r="B74" i="7"/>
  <c r="B40" i="7" l="1"/>
  <c r="B64" i="7" s="1"/>
  <c r="B69" i="7"/>
  <c r="B28" i="1"/>
  <c r="B74" i="1" s="1"/>
  <c r="B28" i="3" l="1"/>
  <c r="B74" i="3" s="1"/>
  <c r="B28" i="6" l="1"/>
  <c r="B74" i="6" s="1"/>
  <c r="B28" i="5"/>
  <c r="B74" i="5" s="1"/>
</calcChain>
</file>

<file path=xl/sharedStrings.xml><?xml version="1.0" encoding="utf-8"?>
<sst xmlns="http://schemas.openxmlformats.org/spreadsheetml/2006/main" count="448" uniqueCount="126">
  <si>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</si>
  <si>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</si>
  <si>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</si>
  <si>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</si>
  <si>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</si>
  <si>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</si>
  <si>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</si>
  <si>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</si>
  <si>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</si>
  <si>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</si>
  <si>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</si>
  <si>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</si>
  <si>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</si>
  <si>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</si>
  <si>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</si>
  <si>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</si>
  <si>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</si>
  <si>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</si>
  <si>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</si>
  <si>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</si>
  <si>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</si>
  <si>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</si>
  <si>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</si>
  <si>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</si>
  <si>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</si>
  <si>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</si>
  <si>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</si>
  <si>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</si>
  <si>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</si>
  <si>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</si>
  <si>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</si>
  <si>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</si>
  <si>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</si>
  <si>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</si>
  <si>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</si>
  <si>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</si>
  <si>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</si>
  <si>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</si>
  <si>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</si>
  <si>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 xml:space="preserve">Gasto programado anual por beneficiario (GPB) </t>
  </si>
  <si>
    <t xml:space="preserve">Gasto efectivo anual por beneficiario (GEB) </t>
  </si>
  <si>
    <t xml:space="preserve">Beneficiarios: personas (promedio mensual) </t>
  </si>
  <si>
    <t>Pensión Especial</t>
  </si>
  <si>
    <t xml:space="preserve">Servicios Médicos </t>
  </si>
  <si>
    <t xml:space="preserve">Gastos Administrativos </t>
  </si>
  <si>
    <t xml:space="preserve">Productos </t>
  </si>
  <si>
    <t>Total Pensión Ordinaria</t>
  </si>
  <si>
    <t>Pensiones ordinarias para adultos mayores (65 o más años)</t>
  </si>
  <si>
    <t>Pensiones ordinarias para otros beneficiarios</t>
  </si>
  <si>
    <t>Efectivos 1T 2021</t>
  </si>
  <si>
    <t>IPC (1T 2021)</t>
  </si>
  <si>
    <t>Gasto efectivo real 1T 2021</t>
  </si>
  <si>
    <t>Gasto efectivo real por beneficiario 1T 2021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</si>
  <si>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A partir del año 2021, se le solicitó a la Unidad Ejecutora separar en el cronograma de metas e inversión los "recursos Fodesaf" de "la inversión programada de fuentes diferentes de Fodesaf y unidad ejecutora" y, por ende, realizar el reporte de ejecución trimestral únicamente con la información que corresponde a los recursos del fondo. Tomar en consideración este tema al momento de interpretar los indicadores (algunos resultados). </t>
    </r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</si>
  <si>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</si>
  <si>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</si>
  <si>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</si>
  <si>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</si>
  <si>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</si>
  <si>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</si>
  <si>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</si>
  <si>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</si>
  <si>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</si>
  <si>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</si>
  <si>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</si>
  <si>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</si>
  <si>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n.d.</t>
  </si>
  <si>
    <t>Efectivos 3 TA 2021</t>
  </si>
  <si>
    <t>IPC (3 TA 2021)</t>
  </si>
  <si>
    <t>Gasto efectivo real 3 TA 2021</t>
  </si>
  <si>
    <t>Gasto efectivo real por beneficiario 3 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</si>
  <si>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</si>
  <si>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</si>
  <si>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</si>
  <si>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</si>
  <si>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</si>
  <si>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</si>
  <si>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</si>
  <si>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</si>
  <si>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</si>
  <si>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</si>
  <si>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</si>
  <si>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</si>
  <si>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</si>
  <si>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</si>
  <si>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</si>
  <si>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RNC 2021 y 2022 - Cronogramas de Metas e Inversión - Modificaciones 2022 - IPC, INEC 2021 y 2022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</si>
  <si>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</si>
  <si>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</si>
  <si>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</si>
  <si>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</si>
  <si>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</si>
  <si>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</si>
  <si>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</si>
  <si>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</si>
  <si>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</si>
  <si>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</si>
  <si>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</si>
  <si>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</si>
  <si>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</si>
  <si>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</si>
  <si>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</si>
  <si>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</si>
  <si>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</si>
  <si>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</si>
  <si>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 TA 2022</t>
  </si>
  <si>
    <t>Efectivos 3 TA 2022</t>
  </si>
  <si>
    <t>En transferencias 3 TA 2022</t>
  </si>
  <si>
    <t>IPC (3 TA 2022)</t>
  </si>
  <si>
    <t>Gasto efectivo real 3 TA 2022</t>
  </si>
  <si>
    <t>Gasto efectivo real por beneficiario 3 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</si>
  <si>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</si>
  <si>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</si>
  <si>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</si>
  <si>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</si>
  <si>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</si>
  <si>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</si>
  <si>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</si>
  <si>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</si>
  <si>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</si>
  <si>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</si>
  <si>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</si>
  <si>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</si>
  <si>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t xml:space="preserve">** El día 21-05-2023 se realizó la modificación de los insumos programados por cronograma actualizado remitido por la analista del programa. </t>
  </si>
  <si>
    <t xml:space="preserve">** El día 22-06-2022 se realizó la modificación de los insumos de la ejecución efectiva para el año 2022, dado que se le solicitó a la UE ajustar la información con los datos de la liquidación que se envió al Dept. de Presupuesto de Fodesaf. </t>
  </si>
  <si>
    <r>
      <rPr>
        <b/>
        <sz val="11"/>
        <color theme="1"/>
        <rFont val="Palatino Linotype"/>
        <family val="1"/>
      </rPr>
      <t>Nota</t>
    </r>
    <r>
      <rPr>
        <sz val="11"/>
        <color theme="1"/>
        <rFont val="Palatino Linotype"/>
        <family val="1"/>
      </rPr>
      <t xml:space="preserve">: El gasto mensual programado por beneficiario no es congruente con el dato del Cronograma de metas e inversión debido a que en el cronograma no se consideró el monto del "aguinaldo" y "Judiciales y reconocimientos de pensiones pagados por planilla" al cálcular ese dato.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</si>
</sst>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___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64" fontId="0" fillId="0" borderId="0" xfId="1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0" fontId="4" fillId="0" borderId="3" xfId="0" applyFont="1" applyFill="1" applyBorder="1"/>
    <xf numFmtId="166" fontId="5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" fontId="4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164" fontId="4" fillId="0" borderId="0" xfId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4071B9"/>
      <color rgb="FFA2BFE6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cobertura potencial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(Anual!$B$45,Anual!$C$45,Anual!$F$45)</c:f>
              <c:numCache>
                <c:formatCode>#,##0.00</c:formatCode>
                <c:ptCount val="3"/>
                <c:pt idx="0">
                  <c:v>93.443091667968872</c:v>
                </c:pt>
                <c:pt idx="1">
                  <c:v>99.907654164847358</c:v>
                </c:pt>
                <c:pt idx="2">
                  <c:v>33.614923709329062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F-4D9D-908D-1B7850383094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(Anual!$B$46,Anual!$C$46,Anual!$F$46)</c:f>
              <c:numCache>
                <c:formatCode>#,##0.00</c:formatCode>
                <c:ptCount val="3"/>
                <c:pt idx="0">
                  <c:v>93.808273375592506</c:v>
                </c:pt>
                <c:pt idx="1">
                  <c:v>100.28381287923274</c:v>
                </c:pt>
                <c:pt idx="2">
                  <c:v>33.878515525209593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F-4D9D-908D-1B785038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87968"/>
        <c:axId val="53875072"/>
        <c:axId val="0"/>
      </c:bar3DChart>
      <c:catAx>
        <c:axId val="53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75072"/>
        <c:crosses val="autoZero"/>
        <c:auto val="1"/>
        <c:lblAlgn val="ctr"/>
        <c:lblOffset val="100"/>
        <c:noMultiLvlLbl val="0"/>
      </c:catAx>
      <c:valAx>
        <c:axId val="53875072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87968"/>
        <c:crosses val="autoZero"/>
        <c:crossBetween val="between"/>
        <c:majorUnit val="3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100.39080653380053</c:v>
                </c:pt>
                <c:pt idx="1">
                  <c:v>100.37650640236704</c:v>
                </c:pt>
                <c:pt idx="2">
                  <c:v>122.17238087215343</c:v>
                </c:pt>
                <c:pt idx="3">
                  <c:v>63.871495468379422</c:v>
                </c:pt>
                <c:pt idx="4">
                  <c:v>100.7841511649999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A96-9D6B-3CE9D5C43B09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00374250163095E-3"/>
                  <c:y val="-7.233585970911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DB6-9976-C2FFC46B4C18}"/>
                </c:ext>
              </c:extLst>
            </c:dLbl>
            <c:dLbl>
              <c:idx val="1"/>
              <c:layout>
                <c:manualLayout>
                  <c:x val="3.100374250163095E-3"/>
                  <c:y val="-6.544673021300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DB6-9976-C2FFC46B4C18}"/>
                </c:ext>
              </c:extLst>
            </c:dLbl>
            <c:dLbl>
              <c:idx val="2"/>
              <c:layout>
                <c:manualLayout>
                  <c:x val="5.1672904169384921E-3"/>
                  <c:y val="-5.5113035968850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DB6-9976-C2FFC46B4C18}"/>
                </c:ext>
              </c:extLst>
            </c:dLbl>
            <c:dLbl>
              <c:idx val="4"/>
              <c:layout>
                <c:manualLayout>
                  <c:x val="7.2342065837138888E-3"/>
                  <c:y val="-6.2002165464956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DB6-9976-C2FFC46B4C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92.905376796541333</c:v>
                </c:pt>
                <c:pt idx="1">
                  <c:v>94.167158143799128</c:v>
                </c:pt>
                <c:pt idx="2">
                  <c:v>111.28934327160813</c:v>
                </c:pt>
                <c:pt idx="3">
                  <c:v>65.489868675807443</c:v>
                </c:pt>
                <c:pt idx="4">
                  <c:v>92.479938850549161</c:v>
                </c:pt>
                <c:pt idx="5">
                  <c:v>74.39469939608351</c:v>
                </c:pt>
                <c:pt idx="6">
                  <c:v>679.79202686599501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4-4A96-9D6B-3CE9D5C43B09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96.648091665170938</c:v>
                </c:pt>
                <c:pt idx="1">
                  <c:v>97.271832273083078</c:v>
                </c:pt>
                <c:pt idx="2">
                  <c:v>116.73086207188078</c:v>
                </c:pt>
                <c:pt idx="3">
                  <c:v>64.680682072093433</c:v>
                </c:pt>
                <c:pt idx="4">
                  <c:v>96.632045007774536</c:v>
                </c:pt>
                <c:pt idx="5">
                  <c:v>74.39469939608351</c:v>
                </c:pt>
                <c:pt idx="6">
                  <c:v>679.79202686599501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4-4A96-9D6B-3CE9D5C4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14240"/>
        <c:axId val="53932416"/>
        <c:axId val="0"/>
      </c:bar3DChart>
      <c:catAx>
        <c:axId val="539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32416"/>
        <c:crosses val="autoZero"/>
        <c:auto val="1"/>
        <c:lblAlgn val="ctr"/>
        <c:lblOffset val="100"/>
        <c:noMultiLvlLbl val="0"/>
      </c:catAx>
      <c:valAx>
        <c:axId val="5393241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14240"/>
        <c:crosses val="autoZero"/>
        <c:crossBetween val="between"/>
        <c:majorUnit val="2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100.39080653380053</c:v>
                </c:pt>
                <c:pt idx="1">
                  <c:v>100.37656943175503</c:v>
                </c:pt>
                <c:pt idx="2">
                  <c:v>122.17238087215343</c:v>
                </c:pt>
                <c:pt idx="3">
                  <c:v>63.871602748538301</c:v>
                </c:pt>
                <c:pt idx="4">
                  <c:v>100.78241044595669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1-4319-AE32-F5EE4F6E5E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842817196181289E-17"/>
                  <c:y val="-5.8248267660367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8-4DB0-BB01-E7DA16E35105}"/>
                </c:ext>
              </c:extLst>
            </c:dLbl>
            <c:dLbl>
              <c:idx val="1"/>
              <c:layout>
                <c:manualLayout>
                  <c:x val="0"/>
                  <c:y val="-6.1674636346271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8-4DB0-BB01-E7DA16E35105}"/>
                </c:ext>
              </c:extLst>
            </c:dLbl>
            <c:dLbl>
              <c:idx val="2"/>
              <c:layout>
                <c:manualLayout>
                  <c:x val="0"/>
                  <c:y val="-5.1395530288559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8-4DB0-BB01-E7DA16E35105}"/>
                </c:ext>
              </c:extLst>
            </c:dLbl>
            <c:dLbl>
              <c:idx val="3"/>
              <c:layout>
                <c:manualLayout>
                  <c:x val="-1.0274253756945031E-16"/>
                  <c:y val="-3.76900555449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8-4DB0-BB01-E7DA16E35105}"/>
                </c:ext>
              </c:extLst>
            </c:dLbl>
            <c:dLbl>
              <c:idx val="4"/>
              <c:layout>
                <c:manualLayout>
                  <c:x val="1.4010507880910684E-3"/>
                  <c:y val="-5.1395530288559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8-4DB0-BB01-E7DA16E35105}"/>
                </c:ext>
              </c:extLst>
            </c:dLbl>
            <c:dLbl>
              <c:idx val="5"/>
              <c:layout>
                <c:manualLayout>
                  <c:x val="-8.40630472854641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8-4DB0-BB01-E7DA16E35105}"/>
                </c:ext>
              </c:extLst>
            </c:dLbl>
            <c:dLbl>
              <c:idx val="6"/>
              <c:layout>
                <c:manualLayout>
                  <c:x val="-1.1208406304728444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92.905376796541333</c:v>
                </c:pt>
                <c:pt idx="1">
                  <c:v>94.167158143799114</c:v>
                </c:pt>
                <c:pt idx="2">
                  <c:v>111.28934327160813</c:v>
                </c:pt>
                <c:pt idx="3">
                  <c:v>65.489868675807401</c:v>
                </c:pt>
                <c:pt idx="4">
                  <c:v>92.479938850549175</c:v>
                </c:pt>
                <c:pt idx="5">
                  <c:v>74.39469939608351</c:v>
                </c:pt>
                <c:pt idx="6">
                  <c:v>679.79202686599501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1-4319-AE32-F5EE4F6E5E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5"/>
              <c:layout>
                <c:manualLayout>
                  <c:x val="1.1208406304728444E-2"/>
                  <c:y val="-3.4263686859040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8-4DB0-BB01-E7DA16E35105}"/>
                </c:ext>
              </c:extLst>
            </c:dLbl>
            <c:dLbl>
              <c:idx val="6"/>
              <c:layout>
                <c:manualLayout>
                  <c:x val="1.4010507880910683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96.648091665170938</c:v>
                </c:pt>
                <c:pt idx="1">
                  <c:v>97.271863787777079</c:v>
                </c:pt>
                <c:pt idx="2">
                  <c:v>116.73086207188078</c:v>
                </c:pt>
                <c:pt idx="3">
                  <c:v>64.680735712172847</c:v>
                </c:pt>
                <c:pt idx="4">
                  <c:v>96.631174648252937</c:v>
                </c:pt>
                <c:pt idx="5">
                  <c:v>74.39469939608351</c:v>
                </c:pt>
                <c:pt idx="6">
                  <c:v>679.79202686599501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1-4319-AE32-F5EE4F6E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278208"/>
        <c:axId val="55296384"/>
        <c:axId val="0"/>
      </c:bar3DChart>
      <c:catAx>
        <c:axId val="55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96384"/>
        <c:crosses val="autoZero"/>
        <c:auto val="1"/>
        <c:lblAlgn val="ctr"/>
        <c:lblOffset val="100"/>
        <c:noMultiLvlLbl val="0"/>
      </c:catAx>
      <c:valAx>
        <c:axId val="5529638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78208"/>
        <c:crosses val="autoZero"/>
        <c:crossBetween val="between"/>
        <c:majorUnit val="2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transferencia efectiva del gasto (ITG)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Anual!$B$59</c:f>
              <c:numCache>
                <c:formatCode>#,##0.00</c:formatCode>
                <c:ptCount val="1"/>
                <c:pt idx="0">
                  <c:v>99.235764788658784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2D0-A671-9A15E62B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333248"/>
        <c:axId val="55334784"/>
        <c:axId val="0"/>
      </c:bar3DChart>
      <c:catAx>
        <c:axId val="553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4784"/>
        <c:crosses val="autoZero"/>
        <c:auto val="1"/>
        <c:lblAlgn val="ctr"/>
        <c:lblOffset val="100"/>
        <c:noMultiLvlLbl val="0"/>
      </c:catAx>
      <c:valAx>
        <c:axId val="5533478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3248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1876799477992381E-2"/>
          <c:y val="0.17171296296296296"/>
          <c:w val="0.93733989453030098"/>
          <c:h val="0.590736761612946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(Anual!$B$62,Anual!$C$62,Anual!$F$62)</c:f>
              <c:numCache>
                <c:formatCode>#,##0.00</c:formatCode>
                <c:ptCount val="3"/>
                <c:pt idx="0">
                  <c:v>4.5250493012035653</c:v>
                </c:pt>
                <c:pt idx="1">
                  <c:v>4.534284073832362</c:v>
                </c:pt>
                <c:pt idx="2">
                  <c:v>4.2726947819871075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B-4856-931B-E8FFA52A35FF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(Anual!$B$63,Anual!$C$63,Anual!$F$63)</c:f>
              <c:numCache>
                <c:formatCode>#,##0.00</c:formatCode>
                <c:ptCount val="3"/>
                <c:pt idx="0">
                  <c:v>6.6499109038947291</c:v>
                </c:pt>
                <c:pt idx="1">
                  <c:v>3.4845972152497184</c:v>
                </c:pt>
                <c:pt idx="2">
                  <c:v>1.1715097081371084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B-4856-931B-E8FFA52A35FF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(Anual!$B$64,Anual!$C$64,Anual!$F$64)</c:f>
              <c:numCache>
                <c:formatCode>#,##0.00</c:formatCode>
                <c:ptCount val="3"/>
                <c:pt idx="0">
                  <c:v>2.0328730930019079</c:v>
                </c:pt>
                <c:pt idx="1">
                  <c:v>-1.0041555915198508</c:v>
                </c:pt>
                <c:pt idx="2">
                  <c:v>-2.9741104134058838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B-4856-931B-E8FFA52A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446976"/>
        <c:axId val="56448512"/>
        <c:axId val="0"/>
      </c:bar3DChart>
      <c:catAx>
        <c:axId val="5644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8512"/>
        <c:crosses val="autoZero"/>
        <c:auto val="1"/>
        <c:lblAlgn val="ctr"/>
        <c:lblOffset val="100"/>
        <c:noMultiLvlLbl val="0"/>
      </c:catAx>
      <c:valAx>
        <c:axId val="56448512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697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8739415060753914E-3"/>
          <c:y val="0.88951754830127838"/>
          <c:w val="0.98653874556341559"/>
          <c:h val="0.110482451698721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1285198.6717306061</c:v>
                </c:pt>
                <c:pt idx="1">
                  <c:v>1066397.2213753159</c:v>
                </c:pt>
                <c:pt idx="2">
                  <c:v>1066397.8885941347</c:v>
                </c:pt>
                <c:pt idx="3">
                  <c:v>1066396.1038780434</c:v>
                </c:pt>
                <c:pt idx="4">
                  <c:v>4148026.1468885974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A-4B27-8DB5-23B200490592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1189370.5308099606</c:v>
                </c:pt>
                <c:pt idx="1">
                  <c:v>1000429.2776122092</c:v>
                </c:pt>
                <c:pt idx="2">
                  <c:v>971403.84627570992</c:v>
                </c:pt>
                <c:pt idx="3">
                  <c:v>1093416.4025318653</c:v>
                </c:pt>
                <c:pt idx="4">
                  <c:v>3806245.3270723727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A-4B27-8DB5-23B20049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478336"/>
        <c:axId val="57549184"/>
        <c:axId val="0"/>
      </c:bar3DChart>
      <c:catAx>
        <c:axId val="564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49184"/>
        <c:crosses val="autoZero"/>
        <c:auto val="1"/>
        <c:lblAlgn val="ctr"/>
        <c:lblOffset val="100"/>
        <c:noMultiLvlLbl val="0"/>
      </c:catAx>
      <c:valAx>
        <c:axId val="57549184"/>
        <c:scaling>
          <c:orientation val="minMax"/>
          <c:max val="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78336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89.441729604953352</c:v>
                </c:pt>
                <c:pt idx="1">
                  <c:v>91.254540936887153</c:v>
                </c:pt>
                <c:pt idx="2">
                  <c:v>106.33255148806943</c:v>
                </c:pt>
                <c:pt idx="3">
                  <c:v>66.319558414913175</c:v>
                </c:pt>
                <c:pt idx="4">
                  <c:v>88.669949689728185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D-4632-8D7A-06D02F0B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7582720"/>
        <c:axId val="57584256"/>
        <c:axId val="0"/>
      </c:bar3DChart>
      <c:catAx>
        <c:axId val="57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4256"/>
        <c:crosses val="autoZero"/>
        <c:auto val="1"/>
        <c:lblAlgn val="ctr"/>
        <c:lblOffset val="100"/>
        <c:noMultiLvlLbl val="0"/>
      </c:catAx>
      <c:valAx>
        <c:axId val="575842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272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giro de recursos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65-4593-A5F9-599DE244620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100.00000016121753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5-4593-A5F9-599DE2446203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92.905376646761567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F-45A9-AB90-DFFD7EBF4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637504"/>
        <c:axId val="57651584"/>
      </c:barChart>
      <c:catAx>
        <c:axId val="5763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51584"/>
        <c:crosses val="autoZero"/>
        <c:auto val="1"/>
        <c:lblAlgn val="ctr"/>
        <c:lblOffset val="100"/>
        <c:noMultiLvlLbl val="0"/>
      </c:catAx>
      <c:valAx>
        <c:axId val="576515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49600" cy="385977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49600" cy="385977"/>
        </a:xfrm>
        <a:prstGeom prst="rect">
          <a:avLst/>
        </a:prstGeom>
      </xdr:spPr>
    </xdr:pic>
    <xdr:clientData/>
  </xdr:oneCellAnchor>
  <xdr:twoCellAnchor>
    <xdr:from>
      <xdr:col>0</xdr:col>
      <xdr:colOff>15876</xdr:colOff>
      <xdr:row>6</xdr:row>
      <xdr:rowOff>63500</xdr:rowOff>
    </xdr:from>
    <xdr:to>
      <xdr:col>8</xdr:col>
      <xdr:colOff>11906</xdr:colOff>
      <xdr:row>7</xdr:row>
      <xdr:rowOff>166687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876" y="1206500"/>
          <a:ext cx="15378905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38287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31946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78175" cy="3857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78175" cy="38570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47626</xdr:rowOff>
    </xdr:from>
    <xdr:to>
      <xdr:col>7</xdr:col>
      <xdr:colOff>1539875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190626"/>
          <a:ext cx="1532255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 Trimestre 2022     Fecha Actualización: 22-06-2023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40668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31946" cy="993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78175" cy="3802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78175" cy="380206"/>
        </a:xfrm>
        <a:prstGeom prst="rect">
          <a:avLst/>
        </a:prstGeom>
      </xdr:spPr>
    </xdr:pic>
    <xdr:clientData/>
  </xdr:oneCellAnchor>
  <xdr:twoCellAnchor>
    <xdr:from>
      <xdr:col>0</xdr:col>
      <xdr:colOff>1928812</xdr:colOff>
      <xdr:row>6</xdr:row>
      <xdr:rowOff>38498</xdr:rowOff>
    </xdr:from>
    <xdr:to>
      <xdr:col>6</xdr:col>
      <xdr:colOff>1222375</xdr:colOff>
      <xdr:row>8</xdr:row>
      <xdr:rowOff>31750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928812" y="1181498"/>
          <a:ext cx="11476038" cy="374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 Semestre 20221      Fecha Actualización: 22-06-2023</a:t>
          </a:r>
          <a:endParaRPr lang="es-CR" sz="1100">
            <a:solidFill>
              <a:schemeClr val="bg1"/>
            </a:solidFill>
            <a:latin typeface="Palatino Linotype" panose="0204050205050503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40668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31946" cy="99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78175" cy="40481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78175" cy="404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47626</xdr:rowOff>
    </xdr:from>
    <xdr:to>
      <xdr:col>7</xdr:col>
      <xdr:colOff>1539875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0" y="1190626"/>
          <a:ext cx="1532255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2022     Fecha Actualización: 22-06-2023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40668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31946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78175" cy="404812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78175" cy="404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47626</xdr:rowOff>
    </xdr:from>
    <xdr:to>
      <xdr:col>7</xdr:col>
      <xdr:colOff>1539875</xdr:colOff>
      <xdr:row>8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0" y="1190626"/>
          <a:ext cx="15322550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Acumulado 2022     Fecha Actualización: 22-06-2023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6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40668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31946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859125" cy="40481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5859125" cy="404812"/>
        </a:xfrm>
        <a:prstGeom prst="rect">
          <a:avLst/>
        </a:prstGeom>
      </xdr:spPr>
    </xdr:pic>
    <xdr:clientData/>
  </xdr:oneCellAnchor>
  <xdr:twoCellAnchor>
    <xdr:from>
      <xdr:col>0</xdr:col>
      <xdr:colOff>1000125</xdr:colOff>
      <xdr:row>6</xdr:row>
      <xdr:rowOff>31750</xdr:rowOff>
    </xdr:from>
    <xdr:to>
      <xdr:col>7</xdr:col>
      <xdr:colOff>1369219</xdr:colOff>
      <xdr:row>7</xdr:row>
      <xdr:rowOff>138905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00125" y="1174750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22-06-2023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11906</xdr:colOff>
      <xdr:row>6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35906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424802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695853</xdr:colOff>
      <xdr:row>13</xdr:row>
      <xdr:rowOff>3968</xdr:rowOff>
    </xdr:from>
    <xdr:to>
      <xdr:col>19</xdr:col>
      <xdr:colOff>23812</xdr:colOff>
      <xdr:row>30</xdr:row>
      <xdr:rowOff>83342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150810</xdr:colOff>
      <xdr:row>13</xdr:row>
      <xdr:rowOff>15874</xdr:rowOff>
    </xdr:from>
    <xdr:to>
      <xdr:col>35</xdr:col>
      <xdr:colOff>247649</xdr:colOff>
      <xdr:row>30</xdr:row>
      <xdr:rowOff>83342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138905</xdr:colOff>
      <xdr:row>31</xdr:row>
      <xdr:rowOff>8202</xdr:rowOff>
    </xdr:from>
    <xdr:to>
      <xdr:col>35</xdr:col>
      <xdr:colOff>266700</xdr:colOff>
      <xdr:row>48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673365</xdr:colOff>
      <xdr:row>31</xdr:row>
      <xdr:rowOff>10846</xdr:rowOff>
    </xdr:from>
    <xdr:to>
      <xdr:col>19</xdr:col>
      <xdr:colOff>11906</xdr:colOff>
      <xdr:row>48</xdr:row>
      <xdr:rowOff>59531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132291</xdr:colOff>
      <xdr:row>48</xdr:row>
      <xdr:rowOff>192088</xdr:rowOff>
    </xdr:from>
    <xdr:to>
      <xdr:col>35</xdr:col>
      <xdr:colOff>228601</xdr:colOff>
      <xdr:row>65</xdr:row>
      <xdr:rowOff>202406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138906</xdr:colOff>
      <xdr:row>66</xdr:row>
      <xdr:rowOff>102126</xdr:rowOff>
    </xdr:from>
    <xdr:to>
      <xdr:col>35</xdr:col>
      <xdr:colOff>247650</xdr:colOff>
      <xdr:row>88</xdr:row>
      <xdr:rowOff>178592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695853</xdr:colOff>
      <xdr:row>48</xdr:row>
      <xdr:rowOff>173565</xdr:rowOff>
    </xdr:from>
    <xdr:to>
      <xdr:col>19</xdr:col>
      <xdr:colOff>11906</xdr:colOff>
      <xdr:row>65</xdr:row>
      <xdr:rowOff>202406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705114</xdr:colOff>
      <xdr:row>66</xdr:row>
      <xdr:rowOff>95512</xdr:rowOff>
    </xdr:from>
    <xdr:to>
      <xdr:col>19</xdr:col>
      <xdr:colOff>0</xdr:colOff>
      <xdr:row>83</xdr:row>
      <xdr:rowOff>178593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15859125" cy="404812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85850"/>
          <a:ext cx="15859125" cy="404812"/>
        </a:xfrm>
        <a:prstGeom prst="rect">
          <a:avLst/>
        </a:prstGeom>
      </xdr:spPr>
    </xdr:pic>
    <xdr:clientData/>
  </xdr:oneCellAnchor>
  <xdr:twoCellAnchor>
    <xdr:from>
      <xdr:col>0</xdr:col>
      <xdr:colOff>1000125</xdr:colOff>
      <xdr:row>6</xdr:row>
      <xdr:rowOff>31750</xdr:rowOff>
    </xdr:from>
    <xdr:to>
      <xdr:col>7</xdr:col>
      <xdr:colOff>1369219</xdr:colOff>
      <xdr:row>7</xdr:row>
      <xdr:rowOff>138905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000125" y="1174750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22-06-2023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11906</xdr:colOff>
      <xdr:row>6</xdr:row>
      <xdr:rowOff>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1535906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112914</xdr:colOff>
      <xdr:row>5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2643" y="95250"/>
          <a:ext cx="5424802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129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7" spans="1:8" x14ac:dyDescent="0.3">
      <c r="G7" s="1"/>
    </row>
    <row r="9" spans="1:8" s="2" customFormat="1" ht="20.25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49</v>
      </c>
      <c r="B15" s="8">
        <f>C15+F15</f>
        <v>130178</v>
      </c>
      <c r="C15" s="8">
        <f>+SUM(D15:E15)</f>
        <v>125615.33333333333</v>
      </c>
      <c r="D15" s="8">
        <v>94352.333333333328</v>
      </c>
      <c r="E15" s="8">
        <v>31263</v>
      </c>
      <c r="F15" s="8">
        <v>4562.666666666667</v>
      </c>
      <c r="G15" s="8"/>
      <c r="H15" s="8"/>
    </row>
    <row r="16" spans="1:8" ht="15.6" x14ac:dyDescent="0.35">
      <c r="A16" s="7" t="s">
        <v>79</v>
      </c>
      <c r="B16" s="8">
        <f>C16+F16</f>
        <v>135588</v>
      </c>
      <c r="C16" s="8">
        <f>+SUM(D16:E16)</f>
        <v>130836</v>
      </c>
      <c r="D16" s="8">
        <v>81924</v>
      </c>
      <c r="E16" s="8">
        <v>48912</v>
      </c>
      <c r="F16" s="8">
        <v>4752</v>
      </c>
      <c r="G16" s="8"/>
      <c r="H16" s="8"/>
    </row>
    <row r="17" spans="1:8" ht="15.6" x14ac:dyDescent="0.35">
      <c r="A17" s="7" t="s">
        <v>80</v>
      </c>
      <c r="B17" s="8">
        <f t="shared" ref="B17:B18" si="0">C17+F17</f>
        <v>135514</v>
      </c>
      <c r="C17" s="8">
        <f t="shared" ref="C17:C18" si="1">+SUM(D17:E17)</f>
        <v>130727</v>
      </c>
      <c r="D17" s="8">
        <v>99282</v>
      </c>
      <c r="E17" s="8">
        <v>31445</v>
      </c>
      <c r="F17" s="8">
        <v>4787</v>
      </c>
      <c r="G17" s="8"/>
      <c r="H17" s="8"/>
    </row>
    <row r="18" spans="1:8" ht="15.6" x14ac:dyDescent="0.35">
      <c r="A18" s="7" t="s">
        <v>81</v>
      </c>
      <c r="B18" s="8">
        <f t="shared" si="0"/>
        <v>137536</v>
      </c>
      <c r="C18" s="8">
        <f t="shared" si="1"/>
        <v>132711</v>
      </c>
      <c r="D18" s="8">
        <v>83097</v>
      </c>
      <c r="E18" s="8">
        <v>49614</v>
      </c>
      <c r="F18" s="8">
        <v>4825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49</v>
      </c>
      <c r="B21" s="8">
        <f>C21+F21+G21+H21</f>
        <v>37524590400</v>
      </c>
      <c r="C21" s="8">
        <f>+SUM(D21:E21)</f>
        <v>30924960300</v>
      </c>
      <c r="D21" s="8">
        <v>22884470622</v>
      </c>
      <c r="E21" s="8">
        <v>8040489678</v>
      </c>
      <c r="F21" s="8">
        <v>4128696000</v>
      </c>
      <c r="G21" s="8">
        <v>1851801150.0000002</v>
      </c>
      <c r="H21" s="8">
        <v>619132950</v>
      </c>
    </row>
    <row r="22" spans="1:8" ht="15.6" x14ac:dyDescent="0.35">
      <c r="A22" s="7" t="s">
        <v>79</v>
      </c>
      <c r="B22" s="8">
        <f t="shared" ref="B22:B25" si="2">C22+F22+G22+H22</f>
        <v>41794876862.461258</v>
      </c>
      <c r="C22" s="8">
        <f>+SUM(D22:E22)</f>
        <v>32185574000</v>
      </c>
      <c r="D22" s="8">
        <v>20153304000</v>
      </c>
      <c r="E22" s="8">
        <v>12032270000</v>
      </c>
      <c r="F22" s="8">
        <v>4516599065.8999996</v>
      </c>
      <c r="G22" s="8">
        <v>5046548796.5612564</v>
      </c>
      <c r="H22" s="8">
        <v>46155000</v>
      </c>
    </row>
    <row r="23" spans="1:8" ht="15.6" x14ac:dyDescent="0.35">
      <c r="A23" s="7" t="s">
        <v>80</v>
      </c>
      <c r="B23" s="8">
        <f t="shared" si="2"/>
        <v>40117797900</v>
      </c>
      <c r="C23" s="8">
        <f t="shared" ref="C23:C24" si="3">+SUM(D23:E23)</f>
        <v>32191282700</v>
      </c>
      <c r="D23" s="8">
        <v>23821549198</v>
      </c>
      <c r="E23" s="8">
        <v>8369733502</v>
      </c>
      <c r="F23" s="8">
        <v>4460085800</v>
      </c>
      <c r="G23" s="8">
        <v>2778672300</v>
      </c>
      <c r="H23" s="8">
        <v>687757100</v>
      </c>
    </row>
    <row r="24" spans="1:8" ht="15.6" x14ac:dyDescent="0.35">
      <c r="A24" s="7" t="s">
        <v>81</v>
      </c>
      <c r="B24" s="8">
        <f t="shared" si="2"/>
        <v>176761191615.02997</v>
      </c>
      <c r="C24" s="8">
        <f t="shared" si="3"/>
        <v>141522997111.68005</v>
      </c>
      <c r="D24" s="8">
        <v>88614465348.506821</v>
      </c>
      <c r="E24" s="8">
        <v>52908531763.173241</v>
      </c>
      <c r="F24" s="8">
        <v>20013189152.200756</v>
      </c>
      <c r="G24" s="8">
        <v>15040385351.149164</v>
      </c>
      <c r="H24" s="8">
        <v>184620000</v>
      </c>
    </row>
    <row r="25" spans="1:8" ht="15.6" x14ac:dyDescent="0.35">
      <c r="A25" s="7" t="s">
        <v>82</v>
      </c>
      <c r="B25" s="8">
        <f t="shared" si="2"/>
        <v>39430040800</v>
      </c>
      <c r="C25" s="8">
        <f>C23</f>
        <v>32191282700</v>
      </c>
      <c r="D25" s="8">
        <f>+D23</f>
        <v>23821549198</v>
      </c>
      <c r="E25" s="8">
        <f>+E23</f>
        <v>8369733502</v>
      </c>
      <c r="F25" s="8">
        <f t="shared" ref="F25:G25" si="4">F23</f>
        <v>4460085800</v>
      </c>
      <c r="G25" s="8">
        <f t="shared" si="4"/>
        <v>2778672300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79</v>
      </c>
      <c r="B28" s="8">
        <f>+B22</f>
        <v>41794876862.461258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80</v>
      </c>
      <c r="B29" s="8">
        <v>40117797900.000008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50</v>
      </c>
      <c r="B32" s="21">
        <v>1.07</v>
      </c>
      <c r="C32" s="21">
        <v>1.07</v>
      </c>
      <c r="D32" s="21">
        <v>1.07</v>
      </c>
      <c r="E32" s="21">
        <v>1.07</v>
      </c>
      <c r="F32" s="21">
        <v>1.07</v>
      </c>
      <c r="G32" s="21">
        <v>1.07</v>
      </c>
      <c r="H32" s="21">
        <v>1.07</v>
      </c>
    </row>
    <row r="33" spans="1:8" ht="15.6" x14ac:dyDescent="0.35">
      <c r="A33" s="7" t="s">
        <v>83</v>
      </c>
      <c r="B33" s="21">
        <v>1.0573999999999999</v>
      </c>
      <c r="C33" s="21">
        <v>1.0573999999999999</v>
      </c>
      <c r="D33" s="21">
        <v>1.0573999999999999</v>
      </c>
      <c r="E33" s="21">
        <v>1.0573999999999999</v>
      </c>
      <c r="F33" s="21">
        <v>1.0573999999999999</v>
      </c>
      <c r="G33" s="21">
        <v>1.0573999999999999</v>
      </c>
      <c r="H33" s="21">
        <v>1.0573999999999999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51</v>
      </c>
      <c r="B37" s="8">
        <f>B21/B32</f>
        <v>35069710654.205605</v>
      </c>
      <c r="C37" s="8">
        <f t="shared" ref="C37:H37" si="5">C21/C32</f>
        <v>28901832056.074764</v>
      </c>
      <c r="D37" s="8">
        <f t="shared" si="5"/>
        <v>21387355721.495327</v>
      </c>
      <c r="E37" s="8">
        <f t="shared" si="5"/>
        <v>7514476334.5794392</v>
      </c>
      <c r="F37" s="8">
        <f t="shared" si="5"/>
        <v>3858594392.5233641</v>
      </c>
      <c r="G37" s="8">
        <f t="shared" si="5"/>
        <v>1730655280.373832</v>
      </c>
      <c r="H37" s="8">
        <f t="shared" si="5"/>
        <v>578628925.23364484</v>
      </c>
    </row>
    <row r="38" spans="1:8" ht="15.6" x14ac:dyDescent="0.35">
      <c r="A38" s="5" t="s">
        <v>84</v>
      </c>
      <c r="B38" s="8">
        <f>B23/B33</f>
        <v>37940039625.496506</v>
      </c>
      <c r="C38" s="8">
        <f t="shared" ref="C38:H38" si="6">C23/C33</f>
        <v>30443808114.242485</v>
      </c>
      <c r="D38" s="8">
        <f t="shared" si="6"/>
        <v>22528418004.53944</v>
      </c>
      <c r="E38" s="8">
        <f t="shared" si="6"/>
        <v>7915390109.7030458</v>
      </c>
      <c r="F38" s="8">
        <f t="shared" si="6"/>
        <v>4217974087.38415</v>
      </c>
      <c r="G38" s="8">
        <f t="shared" si="6"/>
        <v>2627834594.2878761</v>
      </c>
      <c r="H38" s="8">
        <f t="shared" si="6"/>
        <v>650422829.58199358</v>
      </c>
    </row>
    <row r="39" spans="1:8" ht="15.6" x14ac:dyDescent="0.35">
      <c r="A39" s="5" t="s">
        <v>52</v>
      </c>
      <c r="B39" s="8">
        <f>B37/B15</f>
        <v>269398.13681425131</v>
      </c>
      <c r="C39" s="8">
        <f t="shared" ref="C39:F39" si="7">C37/C15</f>
        <v>230082.03926331789</v>
      </c>
      <c r="D39" s="8">
        <f t="shared" si="7"/>
        <v>226675.42991159373</v>
      </c>
      <c r="E39" s="8">
        <f t="shared" si="7"/>
        <v>240363.25159387899</v>
      </c>
      <c r="F39" s="8">
        <f t="shared" si="7"/>
        <v>845688.42618133337</v>
      </c>
      <c r="G39" s="8"/>
      <c r="H39" s="8"/>
    </row>
    <row r="40" spans="1:8" ht="15.6" x14ac:dyDescent="0.35">
      <c r="A40" s="5" t="s">
        <v>85</v>
      </c>
      <c r="B40" s="8">
        <f>B38/B17</f>
        <v>279971.365508335</v>
      </c>
      <c r="C40" s="8">
        <f t="shared" ref="C40:F40" si="8">C38/C17</f>
        <v>232880.79826082205</v>
      </c>
      <c r="D40" s="8">
        <f t="shared" si="8"/>
        <v>226913.4183894305</v>
      </c>
      <c r="E40" s="8">
        <f t="shared" si="8"/>
        <v>251721.7398538097</v>
      </c>
      <c r="F40" s="8">
        <f t="shared" si="8"/>
        <v>881130.99799125758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92.119548601438979</v>
      </c>
      <c r="C45" s="12">
        <f>(C16/C34)*100</f>
        <v>98.495867021997384</v>
      </c>
      <c r="D45" s="12"/>
      <c r="E45" s="12"/>
      <c r="F45" s="12">
        <f>(F16/F34)*100</f>
        <v>33.108061032536753</v>
      </c>
      <c r="G45" s="12"/>
      <c r="H45" s="12"/>
    </row>
    <row r="46" spans="1:8" ht="15.6" x14ac:dyDescent="0.35">
      <c r="A46" s="5" t="s">
        <v>10</v>
      </c>
      <c r="B46" s="12">
        <f>(B17/B34)*100</f>
        <v>92.069272422156843</v>
      </c>
      <c r="C46" s="12">
        <f>(C17/C34)*100</f>
        <v>98.413809717391629</v>
      </c>
      <c r="D46" s="12"/>
      <c r="E46" s="12"/>
      <c r="F46" s="12">
        <f>(F17/F34)*100</f>
        <v>33.351912492161915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99.945422898781601</v>
      </c>
      <c r="C49" s="12">
        <f t="shared" ref="C49:F49" si="9">C17/C16*100</f>
        <v>99.916689596135626</v>
      </c>
      <c r="D49" s="12">
        <f t="shared" si="9"/>
        <v>121.18793027684195</v>
      </c>
      <c r="E49" s="12">
        <f t="shared" si="9"/>
        <v>64.288927052666011</v>
      </c>
      <c r="F49" s="12">
        <f t="shared" si="9"/>
        <v>100.73653198653199</v>
      </c>
      <c r="G49" s="12"/>
      <c r="H49" s="12"/>
    </row>
    <row r="50" spans="1:8" ht="15.6" x14ac:dyDescent="0.35">
      <c r="A50" s="5" t="s">
        <v>13</v>
      </c>
      <c r="B50" s="12">
        <f>B23/B22*100</f>
        <v>95.987357570210833</v>
      </c>
      <c r="C50" s="12">
        <f t="shared" ref="C50:H50" si="10">C23/C22*100</f>
        <v>100.01773682830699</v>
      </c>
      <c r="D50" s="12">
        <f t="shared" si="10"/>
        <v>118.20170627109083</v>
      </c>
      <c r="E50" s="12">
        <f t="shared" si="10"/>
        <v>69.560718816981336</v>
      </c>
      <c r="F50" s="12">
        <f t="shared" si="10"/>
        <v>98.748765053629157</v>
      </c>
      <c r="G50" s="12">
        <f t="shared" si="10"/>
        <v>55.060842805946933</v>
      </c>
      <c r="H50" s="12">
        <f t="shared" si="10"/>
        <v>1490.1031307550645</v>
      </c>
    </row>
    <row r="51" spans="1:8" ht="15.6" x14ac:dyDescent="0.35">
      <c r="A51" s="5" t="s">
        <v>14</v>
      </c>
      <c r="B51" s="12">
        <f>AVERAGE(B49:B50)</f>
        <v>97.966390234496217</v>
      </c>
      <c r="C51" s="12">
        <f t="shared" ref="C51:H51" si="11">AVERAGE(C49:C50)</f>
        <v>99.96721321222131</v>
      </c>
      <c r="D51" s="12">
        <f t="shared" si="11"/>
        <v>119.69481827396639</v>
      </c>
      <c r="E51" s="12">
        <f t="shared" si="11"/>
        <v>66.92482293482368</v>
      </c>
      <c r="F51" s="12">
        <f t="shared" si="11"/>
        <v>99.742648520080564</v>
      </c>
      <c r="G51" s="12">
        <f t="shared" si="11"/>
        <v>55.060842805946933</v>
      </c>
      <c r="H51" s="12">
        <f t="shared" si="11"/>
        <v>1490.1031307550645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98.529839460214049</v>
      </c>
      <c r="C54" s="12">
        <f t="shared" ref="C54:F54" si="12">C17/C18*100</f>
        <v>98.505022191076847</v>
      </c>
      <c r="D54" s="12">
        <f t="shared" si="12"/>
        <v>119.47723744539513</v>
      </c>
      <c r="E54" s="12">
        <f t="shared" si="12"/>
        <v>63.379288104164146</v>
      </c>
      <c r="F54" s="12">
        <f t="shared" si="12"/>
        <v>99.212435233160619</v>
      </c>
      <c r="G54" s="12"/>
      <c r="H54" s="12"/>
    </row>
    <row r="55" spans="1:8" ht="15.6" x14ac:dyDescent="0.35">
      <c r="A55" s="5" t="s">
        <v>17</v>
      </c>
      <c r="B55" s="12">
        <f>B23/B24*100</f>
        <v>22.696044043068554</v>
      </c>
      <c r="C55" s="12">
        <f t="shared" ref="C55:H55" si="13">C23/C24*100</f>
        <v>22.746326291123477</v>
      </c>
      <c r="D55" s="12">
        <f t="shared" si="13"/>
        <v>26.882235427718914</v>
      </c>
      <c r="E55" s="12">
        <f t="shared" si="13"/>
        <v>15.819251117124589</v>
      </c>
      <c r="F55" s="12">
        <f t="shared" si="13"/>
        <v>22.285732504104903</v>
      </c>
      <c r="G55" s="12">
        <f t="shared" si="13"/>
        <v>18.47474140539687</v>
      </c>
      <c r="H55" s="12">
        <f t="shared" si="13"/>
        <v>372.52578268876613</v>
      </c>
    </row>
    <row r="56" spans="1:8" ht="15.6" x14ac:dyDescent="0.35">
      <c r="A56" s="5" t="s">
        <v>18</v>
      </c>
      <c r="B56" s="12">
        <f>AVERAGE(B54:B55)</f>
        <v>60.612941751641301</v>
      </c>
      <c r="C56" s="12">
        <f t="shared" ref="C56:H56" si="14">AVERAGE(C54:C55)</f>
        <v>60.625674241100164</v>
      </c>
      <c r="D56" s="12">
        <f t="shared" si="14"/>
        <v>73.179736436557022</v>
      </c>
      <c r="E56" s="12">
        <f t="shared" si="14"/>
        <v>39.59926961064437</v>
      </c>
      <c r="F56" s="12">
        <f t="shared" si="14"/>
        <v>60.749083868632759</v>
      </c>
      <c r="G56" s="12">
        <f t="shared" si="14"/>
        <v>18.47474140539687</v>
      </c>
      <c r="H56" s="12">
        <f t="shared" si="14"/>
        <v>372.52578268876613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98.28565590336153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4.0990029037164533</v>
      </c>
      <c r="C62" s="12">
        <f t="shared" ref="C62:F62" si="15">((C17/C15)-1)*100</f>
        <v>4.0693015183921322</v>
      </c>
      <c r="D62" s="12"/>
      <c r="E62" s="12"/>
      <c r="F62" s="12">
        <f t="shared" si="15"/>
        <v>4.9167153711279887</v>
      </c>
      <c r="G62" s="12"/>
      <c r="H62" s="12"/>
    </row>
    <row r="63" spans="1:8" ht="15.6" x14ac:dyDescent="0.35">
      <c r="A63" s="5" t="s">
        <v>22</v>
      </c>
      <c r="B63" s="12">
        <f>((B38/B37)-1)*100</f>
        <v>8.1846383039567261</v>
      </c>
      <c r="C63" s="12">
        <f t="shared" ref="C63:H63" si="16">((C38/C37)-1)*100</f>
        <v>5.3352190794549337</v>
      </c>
      <c r="D63" s="12"/>
      <c r="E63" s="12"/>
      <c r="F63" s="12">
        <f t="shared" si="16"/>
        <v>9.3137463620726955</v>
      </c>
      <c r="G63" s="12">
        <f t="shared" si="16"/>
        <v>51.840440097362887</v>
      </c>
      <c r="H63" s="12">
        <f t="shared" si="16"/>
        <v>12.40758994537976</v>
      </c>
    </row>
    <row r="64" spans="1:8" ht="15.6" x14ac:dyDescent="0.35">
      <c r="A64" s="5" t="s">
        <v>23</v>
      </c>
      <c r="B64" s="12">
        <f>((B40/B39)-1)*100</f>
        <v>3.9247593985306084</v>
      </c>
      <c r="C64" s="12">
        <f t="shared" ref="C64:F64" si="17">((C40/C39)-1)*100</f>
        <v>1.216417850982765</v>
      </c>
      <c r="D64" s="12"/>
      <c r="E64" s="12"/>
      <c r="F64" s="12">
        <f t="shared" si="17"/>
        <v>4.1909727876924485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102749.69481680104</v>
      </c>
      <c r="C67" s="12">
        <f t="shared" ref="C67:F67" si="18">C22/(C16*3)</f>
        <v>81999.791087060643</v>
      </c>
      <c r="D67" s="12">
        <f t="shared" si="18"/>
        <v>82000</v>
      </c>
      <c r="E67" s="12">
        <f t="shared" si="18"/>
        <v>81999.441173263549</v>
      </c>
      <c r="F67" s="12">
        <f t="shared" si="18"/>
        <v>316820.92213103251</v>
      </c>
      <c r="G67" s="12"/>
      <c r="H67" s="12"/>
    </row>
    <row r="68" spans="1:8" ht="15.6" x14ac:dyDescent="0.35">
      <c r="A68" s="5" t="s">
        <v>31</v>
      </c>
      <c r="B68" s="12">
        <f>B23/(B17*3)</f>
        <v>98680.573962837792</v>
      </c>
      <c r="C68" s="12">
        <f t="shared" ref="C68:F68" si="19">C23/(C17*3)</f>
        <v>82082.718693664399</v>
      </c>
      <c r="D68" s="12">
        <f t="shared" si="19"/>
        <v>79979.416201661268</v>
      </c>
      <c r="E68" s="12">
        <f t="shared" si="19"/>
        <v>88723.522573806113</v>
      </c>
      <c r="F68" s="12">
        <f t="shared" si="19"/>
        <v>310569.30575865193</v>
      </c>
      <c r="G68" s="12"/>
      <c r="H68" s="12"/>
    </row>
    <row r="69" spans="1:8" ht="15.6" x14ac:dyDescent="0.35">
      <c r="A69" s="5" t="s">
        <v>25</v>
      </c>
      <c r="B69" s="12">
        <f>(B68/B67)*B51</f>
        <v>94.086699086007201</v>
      </c>
      <c r="C69" s="12">
        <f t="shared" ref="C69:F69" si="20">(C68/C67)*C51</f>
        <v>100.068311539676</v>
      </c>
      <c r="D69" s="12">
        <f t="shared" si="20"/>
        <v>116.74538643799717</v>
      </c>
      <c r="E69" s="12">
        <f t="shared" si="20"/>
        <v>72.412762251139171</v>
      </c>
      <c r="F69" s="12">
        <f t="shared" si="20"/>
        <v>97.774493228067229</v>
      </c>
      <c r="G69" s="12"/>
      <c r="H69" s="12"/>
    </row>
    <row r="70" spans="1:8" ht="15.6" x14ac:dyDescent="0.35">
      <c r="A70" s="13" t="s">
        <v>32</v>
      </c>
      <c r="B70" s="12">
        <f>B22/B16</f>
        <v>308249.08445040311</v>
      </c>
      <c r="C70" s="12">
        <f t="shared" ref="C70:F70" si="21">C22/C16</f>
        <v>245999.37326118193</v>
      </c>
      <c r="D70" s="12">
        <f t="shared" si="21"/>
        <v>246000</v>
      </c>
      <c r="E70" s="12">
        <f t="shared" si="21"/>
        <v>245998.32351979063</v>
      </c>
      <c r="F70" s="12">
        <f t="shared" si="21"/>
        <v>950462.76639309758</v>
      </c>
      <c r="G70" s="12"/>
      <c r="H70" s="12"/>
    </row>
    <row r="71" spans="1:8" ht="15.6" x14ac:dyDescent="0.35">
      <c r="A71" s="13" t="s">
        <v>33</v>
      </c>
      <c r="B71" s="12">
        <f>B23/B17</f>
        <v>296041.72188851336</v>
      </c>
      <c r="C71" s="12">
        <f t="shared" ref="C71:F71" si="22">C23/C17</f>
        <v>246248.15608099321</v>
      </c>
      <c r="D71" s="12">
        <f t="shared" si="22"/>
        <v>239938.24860498379</v>
      </c>
      <c r="E71" s="12">
        <f t="shared" si="22"/>
        <v>266170.56772141834</v>
      </c>
      <c r="F71" s="12">
        <f t="shared" si="22"/>
        <v>931707.91727595567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95.987357570210847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99.999999999999972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5"/>
      <c r="H76" s="5"/>
    </row>
    <row r="77" spans="1:8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79" spans="1:8" ht="15.6" x14ac:dyDescent="0.35">
      <c r="A79" s="5"/>
      <c r="B79" s="5"/>
      <c r="C79" s="5"/>
      <c r="D79" s="5"/>
      <c r="E79" s="5"/>
      <c r="F79" s="5"/>
      <c r="G79" s="5"/>
      <c r="H79" s="5"/>
    </row>
    <row r="80" spans="1:8" ht="15.6" x14ac:dyDescent="0.35">
      <c r="A80" s="5" t="s">
        <v>123</v>
      </c>
      <c r="B80" s="5"/>
      <c r="C80" s="5"/>
      <c r="D80" s="5"/>
      <c r="E80" s="5"/>
      <c r="F80" s="5"/>
      <c r="G80" s="5"/>
      <c r="H80" s="5"/>
    </row>
    <row r="81" spans="1:8" ht="15.6" x14ac:dyDescent="0.35">
      <c r="A81" s="5" t="s">
        <v>124</v>
      </c>
      <c r="B81" s="5"/>
      <c r="C81" s="5"/>
      <c r="D81" s="5"/>
      <c r="E81" s="5"/>
      <c r="F81" s="5"/>
      <c r="G81" s="5"/>
      <c r="H81" s="5"/>
    </row>
    <row r="82" spans="1:8" ht="15.6" x14ac:dyDescent="0.35">
      <c r="A82" s="5"/>
      <c r="B82" s="5"/>
      <c r="C82" s="5"/>
      <c r="D82" s="5"/>
      <c r="E82" s="5"/>
      <c r="F82" s="5"/>
      <c r="G82" s="5"/>
      <c r="H82" s="5"/>
    </row>
    <row r="83" spans="1:8" ht="15.6" x14ac:dyDescent="0.35">
      <c r="A83" s="5"/>
      <c r="B83" s="5"/>
      <c r="C83" s="5"/>
      <c r="D83" s="5"/>
      <c r="E83" s="5"/>
      <c r="F83" s="5"/>
      <c r="G83" s="5"/>
      <c r="H83" s="5"/>
    </row>
    <row r="84" spans="1:8" ht="15.6" x14ac:dyDescent="0.35">
      <c r="A84" s="5"/>
      <c r="B84" s="5"/>
      <c r="C84" s="5"/>
      <c r="D84" s="5"/>
      <c r="E84" s="5"/>
      <c r="F84" s="5"/>
      <c r="G84" s="5"/>
      <c r="H84" s="5"/>
    </row>
    <row r="85" spans="1:8" ht="15.6" x14ac:dyDescent="0.35">
      <c r="A85" s="5"/>
      <c r="B85" s="5"/>
      <c r="C85" s="5"/>
      <c r="D85" s="5"/>
      <c r="E85" s="5"/>
      <c r="F85" s="5"/>
      <c r="G85" s="5"/>
      <c r="H85" s="5"/>
    </row>
    <row r="86" spans="1:8" ht="15.6" x14ac:dyDescent="0.35">
      <c r="A86" s="5"/>
      <c r="B86" s="5"/>
      <c r="C86" s="5"/>
      <c r="D86" s="5"/>
      <c r="E86" s="5"/>
      <c r="F86" s="5"/>
      <c r="G86" s="5"/>
      <c r="H86" s="5"/>
    </row>
    <row r="87" spans="1:8" ht="15.6" x14ac:dyDescent="0.35">
      <c r="A87" s="5"/>
      <c r="B87" s="5"/>
      <c r="C87" s="5"/>
      <c r="D87" s="5"/>
      <c r="E87" s="5"/>
      <c r="F87" s="5"/>
      <c r="G87" s="5"/>
      <c r="H87" s="5"/>
    </row>
    <row r="88" spans="1:8" ht="15.6" x14ac:dyDescent="0.35">
      <c r="A88" s="5"/>
      <c r="B88" s="5"/>
      <c r="C88" s="5"/>
      <c r="D88" s="5"/>
      <c r="E88" s="5"/>
      <c r="F88" s="5"/>
      <c r="G88" s="5"/>
      <c r="H88" s="5"/>
    </row>
    <row r="89" spans="1:8" ht="15.6" x14ac:dyDescent="0.35">
      <c r="A89" s="5"/>
      <c r="B89" s="5"/>
      <c r="C89" s="5"/>
      <c r="D89" s="5"/>
      <c r="E89" s="5"/>
      <c r="F89" s="5"/>
      <c r="G89" s="5"/>
      <c r="H89" s="5"/>
    </row>
    <row r="90" spans="1:8" ht="15.6" x14ac:dyDescent="0.35">
      <c r="A90" s="5"/>
      <c r="B90" s="5"/>
      <c r="C90" s="5"/>
      <c r="D90" s="5"/>
      <c r="E90" s="5"/>
      <c r="F90" s="5"/>
      <c r="G90" s="5"/>
      <c r="H90" s="5"/>
    </row>
    <row r="91" spans="1:8" ht="15.6" x14ac:dyDescent="0.35">
      <c r="A91" s="5"/>
      <c r="B91" s="5"/>
      <c r="C91" s="5"/>
      <c r="D91" s="5"/>
      <c r="E91" s="5"/>
      <c r="F91" s="5"/>
      <c r="G91" s="5"/>
      <c r="H91" s="5"/>
    </row>
    <row r="92" spans="1:8" ht="15.6" x14ac:dyDescent="0.35">
      <c r="A92" s="5"/>
      <c r="B92" s="5"/>
      <c r="C92" s="5"/>
      <c r="D92" s="5"/>
      <c r="E92" s="5"/>
      <c r="F92" s="5"/>
      <c r="G92" s="5"/>
      <c r="H92" s="5"/>
    </row>
    <row r="93" spans="1:8" ht="15.6" x14ac:dyDescent="0.35">
      <c r="A93" s="5"/>
      <c r="B93" s="5"/>
      <c r="C93" s="5"/>
      <c r="D93" s="5"/>
      <c r="E93" s="5"/>
      <c r="F93" s="5"/>
      <c r="G93" s="5"/>
      <c r="H93" s="5"/>
    </row>
    <row r="94" spans="1:8" ht="15.6" x14ac:dyDescent="0.35">
      <c r="A94" s="5"/>
      <c r="B94" s="5"/>
      <c r="C94" s="5"/>
      <c r="D94" s="5"/>
      <c r="E94" s="5"/>
      <c r="F94" s="5"/>
      <c r="G94" s="5"/>
      <c r="H94" s="5"/>
    </row>
    <row r="95" spans="1:8" ht="15.6" x14ac:dyDescent="0.35">
      <c r="A95" s="5"/>
      <c r="B95" s="5"/>
      <c r="C95" s="5"/>
      <c r="D95" s="5"/>
      <c r="E95" s="5"/>
      <c r="F95" s="5"/>
      <c r="G95" s="5"/>
      <c r="H95" s="5"/>
    </row>
    <row r="96" spans="1:8" ht="15.6" x14ac:dyDescent="0.35">
      <c r="A96" s="5"/>
      <c r="B96" s="5"/>
      <c r="C96" s="5"/>
      <c r="D96" s="5"/>
      <c r="E96" s="5"/>
      <c r="F96" s="5"/>
      <c r="G96" s="5"/>
      <c r="H96" s="5"/>
    </row>
    <row r="97" spans="1:8" ht="15.6" x14ac:dyDescent="0.35">
      <c r="A97" s="5"/>
      <c r="B97" s="5"/>
      <c r="C97" s="5"/>
      <c r="D97" s="5"/>
      <c r="E97" s="5"/>
      <c r="F97" s="5"/>
      <c r="G97" s="5"/>
      <c r="H97" s="5"/>
    </row>
    <row r="98" spans="1:8" ht="15.6" x14ac:dyDescent="0.35">
      <c r="A98" s="5"/>
      <c r="B98" s="5"/>
      <c r="C98" s="5"/>
      <c r="D98" s="5"/>
      <c r="E98" s="5"/>
      <c r="F98" s="5"/>
      <c r="G98" s="5"/>
      <c r="H98" s="5"/>
    </row>
    <row r="99" spans="1:8" ht="15.6" x14ac:dyDescent="0.35">
      <c r="A99" s="5"/>
      <c r="B99" s="5"/>
      <c r="C99" s="5"/>
      <c r="D99" s="5"/>
      <c r="E99" s="5"/>
      <c r="F99" s="5"/>
      <c r="G99" s="5"/>
      <c r="H99" s="5"/>
    </row>
    <row r="100" spans="1:8" ht="15.6" x14ac:dyDescent="0.35">
      <c r="A100" s="5"/>
      <c r="B100" s="5"/>
      <c r="C100" s="5"/>
      <c r="D100" s="5"/>
      <c r="E100" s="5"/>
      <c r="F100" s="5"/>
      <c r="G100" s="5"/>
      <c r="H100" s="5"/>
    </row>
    <row r="101" spans="1:8" ht="15.6" x14ac:dyDescent="0.35">
      <c r="A101" s="5"/>
      <c r="B101" s="5"/>
      <c r="C101" s="5"/>
      <c r="D101" s="5"/>
      <c r="E101" s="5"/>
      <c r="F101" s="5"/>
      <c r="G101" s="5"/>
      <c r="H101" s="5"/>
    </row>
    <row r="102" spans="1:8" ht="15.6" x14ac:dyDescent="0.35">
      <c r="A102" s="5"/>
      <c r="B102" s="5"/>
      <c r="C102" s="5"/>
      <c r="D102" s="5"/>
      <c r="E102" s="5"/>
      <c r="F102" s="5"/>
      <c r="G102" s="5"/>
      <c r="H102" s="5"/>
    </row>
    <row r="103" spans="1:8" ht="15.6" x14ac:dyDescent="0.35">
      <c r="A103" s="5"/>
      <c r="B103" s="5"/>
      <c r="C103" s="5"/>
      <c r="D103" s="5"/>
      <c r="E103" s="5"/>
      <c r="F103" s="5"/>
      <c r="G103" s="5"/>
      <c r="H103" s="5"/>
    </row>
    <row r="104" spans="1:8" ht="15.6" x14ac:dyDescent="0.35">
      <c r="A104" s="5"/>
      <c r="B104" s="5"/>
      <c r="C104" s="5"/>
      <c r="D104" s="5"/>
      <c r="E104" s="5"/>
      <c r="F104" s="5"/>
      <c r="G104" s="5"/>
      <c r="H104" s="5"/>
    </row>
    <row r="105" spans="1:8" ht="15.6" x14ac:dyDescent="0.35">
      <c r="A105" s="5"/>
      <c r="B105" s="5"/>
      <c r="C105" s="5"/>
      <c r="D105" s="5"/>
      <c r="E105" s="5"/>
      <c r="F105" s="5"/>
      <c r="G105" s="5"/>
      <c r="H105" s="5"/>
    </row>
    <row r="106" spans="1:8" ht="15.6" x14ac:dyDescent="0.35">
      <c r="A106" s="5"/>
      <c r="B106" s="5"/>
      <c r="C106" s="5"/>
      <c r="D106" s="5"/>
      <c r="E106" s="5"/>
      <c r="F106" s="5"/>
      <c r="G106" s="5"/>
      <c r="H106" s="5"/>
    </row>
    <row r="107" spans="1:8" ht="15.6" x14ac:dyDescent="0.35">
      <c r="A107" s="5"/>
      <c r="B107" s="5"/>
      <c r="C107" s="5"/>
      <c r="D107" s="5"/>
      <c r="E107" s="5"/>
      <c r="F107" s="5"/>
      <c r="G107" s="5"/>
      <c r="H107" s="5"/>
    </row>
    <row r="108" spans="1:8" ht="15.6" x14ac:dyDescent="0.35">
      <c r="A108" s="5"/>
      <c r="B108" s="5"/>
      <c r="C108" s="5"/>
      <c r="D108" s="5"/>
      <c r="E108" s="5"/>
      <c r="F108" s="5"/>
      <c r="G108" s="5"/>
      <c r="H108" s="5"/>
    </row>
    <row r="109" spans="1:8" ht="15.6" x14ac:dyDescent="0.35">
      <c r="A109" s="5"/>
      <c r="B109" s="5"/>
      <c r="C109" s="5"/>
      <c r="D109" s="5"/>
      <c r="E109" s="5"/>
      <c r="F109" s="5"/>
      <c r="G109" s="5"/>
      <c r="H109" s="5"/>
    </row>
    <row r="110" spans="1:8" ht="15.6" x14ac:dyDescent="0.35">
      <c r="A110" s="5"/>
      <c r="B110" s="5"/>
      <c r="C110" s="5"/>
      <c r="D110" s="5"/>
      <c r="E110" s="5"/>
      <c r="F110" s="5"/>
      <c r="G110" s="5"/>
      <c r="H110" s="5"/>
    </row>
    <row r="111" spans="1:8" ht="15.6" x14ac:dyDescent="0.35">
      <c r="A111" s="5"/>
      <c r="B111" s="5"/>
      <c r="C111" s="5"/>
      <c r="D111" s="5"/>
      <c r="E111" s="5"/>
      <c r="F111" s="5"/>
      <c r="G111" s="5"/>
      <c r="H111" s="5"/>
    </row>
    <row r="112" spans="1:8" ht="15.6" x14ac:dyDescent="0.35">
      <c r="A112" s="5"/>
      <c r="B112" s="5"/>
      <c r="C112" s="5"/>
      <c r="D112" s="5"/>
      <c r="E112" s="5"/>
      <c r="F112" s="5"/>
      <c r="G112" s="5"/>
      <c r="H112" s="5"/>
    </row>
    <row r="113" spans="1:8" ht="15.6" x14ac:dyDescent="0.35">
      <c r="A113" s="5"/>
      <c r="B113" s="5"/>
      <c r="C113" s="5"/>
      <c r="D113" s="5"/>
      <c r="E113" s="5"/>
      <c r="F113" s="5"/>
      <c r="G113" s="5"/>
      <c r="H113" s="5"/>
    </row>
    <row r="114" spans="1:8" ht="15.6" x14ac:dyDescent="0.35">
      <c r="A114" s="5"/>
      <c r="B114" s="5"/>
      <c r="C114" s="5"/>
      <c r="D114" s="5"/>
      <c r="E114" s="5"/>
      <c r="F114" s="5"/>
      <c r="G114" s="5"/>
      <c r="H114" s="5"/>
    </row>
    <row r="115" spans="1:8" ht="15.6" x14ac:dyDescent="0.35">
      <c r="A115" s="5"/>
      <c r="B115" s="5"/>
      <c r="C115" s="5"/>
      <c r="D115" s="5"/>
      <c r="E115" s="5"/>
      <c r="F115" s="5"/>
      <c r="G115" s="5"/>
      <c r="H115" s="5"/>
    </row>
    <row r="116" spans="1:8" ht="15.6" x14ac:dyDescent="0.35">
      <c r="A116" s="5"/>
      <c r="B116" s="5"/>
      <c r="C116" s="5"/>
      <c r="D116" s="5"/>
      <c r="E116" s="5"/>
      <c r="F116" s="5"/>
      <c r="G116" s="5"/>
      <c r="H116" s="5"/>
    </row>
    <row r="117" spans="1:8" ht="15.6" x14ac:dyDescent="0.35">
      <c r="A117" s="5"/>
      <c r="B117" s="5"/>
      <c r="C117" s="5"/>
      <c r="D117" s="5"/>
      <c r="E117" s="5"/>
      <c r="F117" s="5"/>
      <c r="G117" s="5"/>
      <c r="H117" s="5"/>
    </row>
    <row r="118" spans="1:8" ht="15.6" x14ac:dyDescent="0.35">
      <c r="A118" s="5"/>
      <c r="B118" s="5"/>
      <c r="C118" s="5"/>
      <c r="D118" s="5"/>
      <c r="E118" s="5"/>
      <c r="F118" s="5"/>
      <c r="G118" s="5"/>
      <c r="H118" s="5"/>
    </row>
    <row r="119" spans="1:8" ht="15.6" x14ac:dyDescent="0.35">
      <c r="A119" s="5"/>
      <c r="B119" s="5"/>
      <c r="C119" s="5"/>
      <c r="D119" s="5"/>
      <c r="E119" s="5"/>
      <c r="F119" s="5"/>
      <c r="G119" s="5"/>
      <c r="H119" s="5"/>
    </row>
    <row r="120" spans="1:8" ht="15.6" x14ac:dyDescent="0.35">
      <c r="A120" s="5"/>
      <c r="B120" s="5"/>
      <c r="C120" s="5"/>
      <c r="D120" s="5"/>
      <c r="E120" s="5"/>
      <c r="F120" s="5"/>
      <c r="G120" s="5"/>
      <c r="H120" s="5"/>
    </row>
    <row r="121" spans="1:8" ht="15.6" x14ac:dyDescent="0.35">
      <c r="A121" s="5"/>
      <c r="B121" s="5"/>
      <c r="C121" s="5"/>
      <c r="D121" s="5"/>
      <c r="E121" s="5"/>
      <c r="F121" s="5"/>
      <c r="G121" s="5"/>
      <c r="H121" s="5"/>
    </row>
    <row r="122" spans="1:8" ht="15.6" x14ac:dyDescent="0.35">
      <c r="A122" s="5"/>
      <c r="B122" s="5"/>
      <c r="C122" s="5"/>
      <c r="D122" s="5"/>
      <c r="E122" s="5"/>
      <c r="F122" s="5"/>
      <c r="G122" s="5"/>
      <c r="H122" s="5"/>
    </row>
    <row r="123" spans="1:8" ht="15.6" x14ac:dyDescent="0.35">
      <c r="A123" s="5"/>
      <c r="B123" s="5"/>
      <c r="C123" s="5"/>
      <c r="D123" s="5"/>
      <c r="E123" s="5"/>
      <c r="F123" s="5"/>
      <c r="G123" s="5"/>
      <c r="H123" s="5"/>
    </row>
    <row r="124" spans="1:8" ht="15.6" x14ac:dyDescent="0.35">
      <c r="A124" s="5"/>
      <c r="B124" s="5"/>
      <c r="C124" s="5"/>
      <c r="D124" s="5"/>
      <c r="E124" s="5"/>
      <c r="F124" s="5"/>
      <c r="G124" s="5"/>
      <c r="H124" s="5"/>
    </row>
    <row r="125" spans="1:8" ht="15.6" x14ac:dyDescent="0.35">
      <c r="A125" s="5"/>
      <c r="B125" s="5"/>
      <c r="C125" s="5"/>
      <c r="D125" s="5"/>
      <c r="E125" s="5"/>
      <c r="F125" s="5"/>
      <c r="G125" s="5"/>
      <c r="H125" s="5"/>
    </row>
    <row r="126" spans="1:8" ht="15.6" x14ac:dyDescent="0.35">
      <c r="A126" s="5"/>
      <c r="B126" s="5"/>
      <c r="C126" s="5"/>
      <c r="D126" s="5"/>
      <c r="E126" s="5"/>
      <c r="F126" s="5"/>
      <c r="G126" s="5"/>
      <c r="H126" s="5"/>
    </row>
    <row r="127" spans="1:8" ht="15.6" x14ac:dyDescent="0.35">
      <c r="A127" s="5"/>
      <c r="B127" s="5"/>
      <c r="C127" s="5"/>
      <c r="D127" s="5"/>
      <c r="E127" s="5"/>
      <c r="F127" s="5"/>
      <c r="G127" s="5"/>
      <c r="H127" s="5"/>
    </row>
    <row r="128" spans="1:8" ht="15.6" x14ac:dyDescent="0.35">
      <c r="A128" s="5"/>
      <c r="B128" s="5"/>
      <c r="C128" s="5"/>
      <c r="D128" s="5"/>
      <c r="E128" s="5"/>
      <c r="F128" s="5"/>
      <c r="G128" s="5"/>
      <c r="H128" s="5"/>
    </row>
    <row r="129" spans="1:8" ht="15.6" x14ac:dyDescent="0.35">
      <c r="A129" s="5"/>
      <c r="B129" s="5"/>
      <c r="C129" s="5"/>
      <c r="D129" s="5"/>
      <c r="E129" s="5"/>
      <c r="F129" s="5"/>
      <c r="G129" s="5"/>
      <c r="H129" s="5"/>
    </row>
  </sheetData>
  <mergeCells count="5">
    <mergeCell ref="A9:A10"/>
    <mergeCell ref="B9:B10"/>
    <mergeCell ref="C9:H9"/>
    <mergeCell ref="A77:H77"/>
    <mergeCell ref="A78:H78"/>
  </mergeCells>
  <pageMargins left="0.7" right="0.7" top="0.75" bottom="0.75" header="0.3" footer="0.3"/>
  <pageSetup orientation="portrait" r:id="rId1"/>
  <ignoredErrors>
    <ignoredError sqref="C15:C16 C17:C18 C21:C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L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0" width="13.5546875" style="3" bestFit="1" customWidth="1"/>
    <col min="11" max="12" width="11.5546875" style="3" bestFit="1" customWidth="1"/>
    <col min="13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54</v>
      </c>
      <c r="B15" s="8">
        <f>+SUM(C15+F15)</f>
        <v>130995.66666666666</v>
      </c>
      <c r="C15" s="8">
        <f>+SUM(D15:E15)</f>
        <v>126368.33333333333</v>
      </c>
      <c r="D15" s="8">
        <v>95463</v>
      </c>
      <c r="E15" s="8">
        <v>30905.333333333332</v>
      </c>
      <c r="F15" s="8">
        <v>4627.333333333333</v>
      </c>
      <c r="G15" s="8"/>
      <c r="H15" s="8"/>
    </row>
    <row r="16" spans="1:8" ht="15.6" x14ac:dyDescent="0.35">
      <c r="A16" s="7" t="s">
        <v>87</v>
      </c>
      <c r="B16" s="8">
        <f t="shared" ref="B16:B18" si="0">+SUM(C16+F16)</f>
        <v>137049.33333333334</v>
      </c>
      <c r="C16" s="8">
        <f>+SUM(D16:E16)</f>
        <v>132241.33333333334</v>
      </c>
      <c r="D16" s="8">
        <v>82800</v>
      </c>
      <c r="E16" s="8">
        <v>49441.333333333336</v>
      </c>
      <c r="F16" s="8">
        <v>4808</v>
      </c>
      <c r="G16" s="8"/>
      <c r="H16" s="8"/>
    </row>
    <row r="17" spans="1:8" ht="15.6" x14ac:dyDescent="0.35">
      <c r="A17" s="7" t="s">
        <v>88</v>
      </c>
      <c r="B17" s="8">
        <f t="shared" si="0"/>
        <v>137120.33333333334</v>
      </c>
      <c r="C17" s="8">
        <f t="shared" ref="C17:C18" si="1">+SUM(D17:E17)</f>
        <v>132282.33333333334</v>
      </c>
      <c r="D17" s="8">
        <v>100764</v>
      </c>
      <c r="E17" s="8">
        <v>31518.333333333332</v>
      </c>
      <c r="F17" s="8">
        <v>4838</v>
      </c>
      <c r="G17" s="8"/>
      <c r="H17" s="8"/>
    </row>
    <row r="18" spans="1:8" ht="15.6" x14ac:dyDescent="0.35">
      <c r="A18" s="7" t="s">
        <v>81</v>
      </c>
      <c r="B18" s="8">
        <f t="shared" si="0"/>
        <v>137536.08333333334</v>
      </c>
      <c r="C18" s="8">
        <f t="shared" si="1"/>
        <v>132711.25</v>
      </c>
      <c r="D18" s="8">
        <v>83097</v>
      </c>
      <c r="E18" s="8">
        <v>49614.25</v>
      </c>
      <c r="F18" s="8">
        <v>4824.833333333333</v>
      </c>
      <c r="G18" s="8"/>
      <c r="H18" s="8"/>
    </row>
    <row r="19" spans="1:8" ht="15.6" x14ac:dyDescent="0.35">
      <c r="A19" s="5"/>
      <c r="B19" s="8"/>
      <c r="C19" s="8"/>
      <c r="D19" s="8"/>
      <c r="E19" s="19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54</v>
      </c>
      <c r="B21" s="8">
        <f>+C21+F21+G21+H21</f>
        <v>37524590300</v>
      </c>
      <c r="C21" s="8">
        <f>+SUM(D21:E21)</f>
        <v>31189356020</v>
      </c>
      <c r="D21" s="8">
        <v>23080123454.799999</v>
      </c>
      <c r="E21" s="8">
        <v>8109232565.1999998</v>
      </c>
      <c r="F21" s="11">
        <v>4159629540</v>
      </c>
      <c r="G21" s="8">
        <v>1704136349.9999998</v>
      </c>
      <c r="H21" s="8">
        <v>471468390</v>
      </c>
    </row>
    <row r="22" spans="1:8" ht="15.6" x14ac:dyDescent="0.35">
      <c r="A22" s="7" t="s">
        <v>87</v>
      </c>
      <c r="B22" s="8">
        <f t="shared" ref="B22:B25" si="2">+C22+F22+G22+H22</f>
        <v>42248397410.51001</v>
      </c>
      <c r="C22" s="8">
        <f>+SUM(D22:E22)</f>
        <v>32531368000</v>
      </c>
      <c r="D22" s="8">
        <v>20368800000</v>
      </c>
      <c r="E22" s="8">
        <v>12162568000</v>
      </c>
      <c r="F22" s="8">
        <v>4569504448.8000002</v>
      </c>
      <c r="G22" s="8">
        <v>5101369961.7100058</v>
      </c>
      <c r="H22" s="8">
        <v>46155000</v>
      </c>
    </row>
    <row r="23" spans="1:8" ht="15.6" x14ac:dyDescent="0.35">
      <c r="A23" s="7" t="s">
        <v>88</v>
      </c>
      <c r="B23" s="8">
        <f t="shared" si="2"/>
        <v>40117797900</v>
      </c>
      <c r="C23" s="8">
        <f t="shared" ref="C23:C24" si="3">+SUM(D23:E23)</f>
        <v>32677653000</v>
      </c>
      <c r="D23" s="8">
        <v>24181463220</v>
      </c>
      <c r="E23" s="8">
        <v>8496189780.000001</v>
      </c>
      <c r="F23" s="11">
        <v>4533840390</v>
      </c>
      <c r="G23" s="8">
        <v>2768327969.9999995</v>
      </c>
      <c r="H23" s="8">
        <v>137976540</v>
      </c>
    </row>
    <row r="24" spans="1:8" ht="15.6" x14ac:dyDescent="0.35">
      <c r="A24" s="7" t="s">
        <v>81</v>
      </c>
      <c r="B24" s="8">
        <f t="shared" si="2"/>
        <v>176761191615.02997</v>
      </c>
      <c r="C24" s="8">
        <f t="shared" si="3"/>
        <v>141522997111.68005</v>
      </c>
      <c r="D24" s="8">
        <v>88614465348.506821</v>
      </c>
      <c r="E24" s="8">
        <v>52908531763.173241</v>
      </c>
      <c r="F24" s="8">
        <v>20013189152.200756</v>
      </c>
      <c r="G24" s="8">
        <v>15040385351.149164</v>
      </c>
      <c r="H24" s="8">
        <v>184620000</v>
      </c>
    </row>
    <row r="25" spans="1:8" ht="15.6" x14ac:dyDescent="0.35">
      <c r="A25" s="7" t="s">
        <v>89</v>
      </c>
      <c r="B25" s="8">
        <f t="shared" si="2"/>
        <v>39979821360</v>
      </c>
      <c r="C25" s="8">
        <f>+C23</f>
        <v>32677653000</v>
      </c>
      <c r="D25" s="8">
        <f>+D23</f>
        <v>24181463220</v>
      </c>
      <c r="E25" s="8">
        <f>+E23</f>
        <v>8496189780.000001</v>
      </c>
      <c r="F25" s="8">
        <f t="shared" ref="F25:G25" si="4">F23</f>
        <v>4533840390</v>
      </c>
      <c r="G25" s="8">
        <f t="shared" si="4"/>
        <v>2768327969.9999995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87</v>
      </c>
      <c r="B28" s="8">
        <f>B22</f>
        <v>42248397410.51001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88</v>
      </c>
      <c r="B29" s="8">
        <v>40117797900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55</v>
      </c>
      <c r="B32" s="21">
        <v>1.0788</v>
      </c>
      <c r="C32" s="21">
        <v>1.0788</v>
      </c>
      <c r="D32" s="21">
        <v>1.0788</v>
      </c>
      <c r="E32" s="21">
        <v>1.0788</v>
      </c>
      <c r="F32" s="21">
        <v>1.0788</v>
      </c>
      <c r="G32" s="21">
        <v>1.0788</v>
      </c>
      <c r="H32" s="21">
        <v>1.0788</v>
      </c>
    </row>
    <row r="33" spans="1:12" ht="15.6" x14ac:dyDescent="0.35">
      <c r="A33" s="7" t="s">
        <v>90</v>
      </c>
      <c r="B33" s="21">
        <v>1.121</v>
      </c>
      <c r="C33" s="21">
        <v>1.121</v>
      </c>
      <c r="D33" s="21">
        <v>1.121</v>
      </c>
      <c r="E33" s="21">
        <v>1.121</v>
      </c>
      <c r="F33" s="21">
        <v>1.121</v>
      </c>
      <c r="G33" s="21">
        <v>1.121</v>
      </c>
      <c r="H33" s="21">
        <v>1.121</v>
      </c>
    </row>
    <row r="34" spans="1:12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12" ht="15.6" x14ac:dyDescent="0.35">
      <c r="A35" s="5"/>
      <c r="B35" s="8"/>
      <c r="C35" s="8"/>
      <c r="D35" s="8"/>
      <c r="E35" s="8"/>
      <c r="F35" s="8"/>
      <c r="G35" s="8"/>
      <c r="H35" s="8"/>
    </row>
    <row r="36" spans="1:12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12" ht="15.6" x14ac:dyDescent="0.35">
      <c r="A37" s="5" t="s">
        <v>56</v>
      </c>
      <c r="B37" s="8">
        <f>B21/B32</f>
        <v>34783639506.859474</v>
      </c>
      <c r="C37" s="8">
        <f t="shared" ref="C37:H37" si="5">C21/C32</f>
        <v>28911156859.473488</v>
      </c>
      <c r="D37" s="8">
        <f t="shared" si="5"/>
        <v>21394256076.01038</v>
      </c>
      <c r="E37" s="8">
        <f t="shared" si="5"/>
        <v>7516900783.4631071</v>
      </c>
      <c r="F37" s="8">
        <f t="shared" si="5"/>
        <v>3855793047.8309231</v>
      </c>
      <c r="G37" s="8">
        <f t="shared" si="5"/>
        <v>1579659204.6718574</v>
      </c>
      <c r="H37" s="8">
        <f t="shared" si="5"/>
        <v>437030394.88320357</v>
      </c>
    </row>
    <row r="38" spans="1:12" ht="15.6" x14ac:dyDescent="0.35">
      <c r="A38" s="5" t="s">
        <v>91</v>
      </c>
      <c r="B38" s="8">
        <f>B23/B33</f>
        <v>35787509277.430862</v>
      </c>
      <c r="C38" s="8">
        <f t="shared" ref="C38:H38" si="6">C23/C33</f>
        <v>29150448706.512043</v>
      </c>
      <c r="D38" s="8">
        <f t="shared" si="6"/>
        <v>21571332042.818913</v>
      </c>
      <c r="E38" s="8">
        <f t="shared" si="6"/>
        <v>7579116663.6931324</v>
      </c>
      <c r="F38" s="8">
        <f t="shared" si="6"/>
        <v>4044460651.2042818</v>
      </c>
      <c r="G38" s="8">
        <f t="shared" si="6"/>
        <v>2469516476.3603921</v>
      </c>
      <c r="H38" s="8">
        <f t="shared" si="6"/>
        <v>123083443.35414809</v>
      </c>
    </row>
    <row r="39" spans="1:12" ht="15.6" x14ac:dyDescent="0.35">
      <c r="A39" s="5" t="s">
        <v>57</v>
      </c>
      <c r="B39" s="8">
        <f>B37/B15</f>
        <v>265532.74922727322</v>
      </c>
      <c r="C39" s="8">
        <f t="shared" ref="C39:F39" si="7">C37/C15</f>
        <v>228784.82367265128</v>
      </c>
      <c r="D39" s="8">
        <f t="shared" si="7"/>
        <v>224110.45196579178</v>
      </c>
      <c r="E39" s="8">
        <f t="shared" si="7"/>
        <v>243223.41721374221</v>
      </c>
      <c r="F39" s="8">
        <f t="shared" si="7"/>
        <v>833264.59757187509</v>
      </c>
      <c r="G39" s="8"/>
      <c r="H39" s="8"/>
    </row>
    <row r="40" spans="1:12" ht="15.6" x14ac:dyDescent="0.35">
      <c r="A40" s="5" t="s">
        <v>92</v>
      </c>
      <c r="B40" s="8">
        <f>B38/B17</f>
        <v>260993.45303101797</v>
      </c>
      <c r="C40" s="8">
        <f t="shared" ref="C40:F40" si="8">C38/C17</f>
        <v>220365.39552909843</v>
      </c>
      <c r="D40" s="8">
        <f t="shared" si="8"/>
        <v>214077.76629370521</v>
      </c>
      <c r="E40" s="8">
        <f t="shared" si="8"/>
        <v>240466.92391813651</v>
      </c>
      <c r="F40" s="8">
        <f t="shared" si="8"/>
        <v>835977.81132787967</v>
      </c>
      <c r="G40" s="8"/>
      <c r="H40" s="8"/>
    </row>
    <row r="41" spans="1:12" ht="15.6" x14ac:dyDescent="0.35">
      <c r="A41" s="5"/>
      <c r="B41" s="18"/>
      <c r="C41" s="18"/>
      <c r="D41" s="18"/>
      <c r="E41" s="18"/>
      <c r="F41" s="18"/>
      <c r="G41" s="18"/>
      <c r="H41" s="18"/>
    </row>
    <row r="42" spans="1:12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12" ht="15.6" x14ac:dyDescent="0.35">
      <c r="A43" s="5"/>
      <c r="B43" s="18"/>
      <c r="C43" s="18"/>
      <c r="D43" s="18"/>
      <c r="E43" s="18"/>
      <c r="F43" s="18"/>
      <c r="G43" s="18"/>
      <c r="H43" s="18"/>
    </row>
    <row r="44" spans="1:12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12" ht="15.6" x14ac:dyDescent="0.35">
      <c r="A45" s="5" t="s">
        <v>9</v>
      </c>
      <c r="B45" s="12">
        <f>(B16/B34)*100</f>
        <v>93.112389907623196</v>
      </c>
      <c r="C45" s="12">
        <f>(C16/C34)*100</f>
        <v>99.553829089941843</v>
      </c>
      <c r="D45" s="12"/>
      <c r="E45" s="12"/>
      <c r="F45" s="12">
        <f>(F16/F34)*100</f>
        <v>33.498223367937015</v>
      </c>
      <c r="G45" s="12"/>
      <c r="H45" s="12"/>
      <c r="I45" s="4"/>
      <c r="J45" s="4"/>
      <c r="K45" s="4"/>
      <c r="L45" s="4"/>
    </row>
    <row r="46" spans="1:12" ht="15.6" x14ac:dyDescent="0.35">
      <c r="A46" s="5" t="s">
        <v>10</v>
      </c>
      <c r="B46" s="12">
        <f>(B17/B34)*100</f>
        <v>93.160627863420913</v>
      </c>
      <c r="C46" s="12">
        <f>(C17/C34)*100</f>
        <v>99.584694681582533</v>
      </c>
      <c r="D46" s="12"/>
      <c r="E46" s="12"/>
      <c r="F46" s="12">
        <f>(F17/F34)*100</f>
        <v>33.707238904758583</v>
      </c>
      <c r="G46" s="12"/>
      <c r="H46" s="12"/>
      <c r="I46" s="4"/>
      <c r="J46" s="4"/>
      <c r="K46" s="4"/>
      <c r="L46" s="4"/>
    </row>
    <row r="47" spans="1:12" ht="15.6" x14ac:dyDescent="0.35">
      <c r="A47" s="5"/>
      <c r="B47" s="12"/>
      <c r="C47" s="12"/>
      <c r="D47" s="12"/>
      <c r="E47" s="12"/>
      <c r="F47" s="12"/>
      <c r="G47" s="12"/>
      <c r="H47" s="12"/>
      <c r="I47" s="4"/>
      <c r="J47" s="4"/>
      <c r="K47" s="4"/>
      <c r="L47" s="4"/>
    </row>
    <row r="48" spans="1:12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  <c r="I48" s="4"/>
      <c r="J48" s="4"/>
      <c r="K48" s="4"/>
      <c r="L48" s="4"/>
    </row>
    <row r="49" spans="1:12" ht="15.6" x14ac:dyDescent="0.35">
      <c r="A49" s="5" t="s">
        <v>12</v>
      </c>
      <c r="B49" s="12">
        <f>B17/B16*100</f>
        <v>100.05180616225789</v>
      </c>
      <c r="C49" s="12">
        <f t="shared" ref="C49:F49" si="9">C17/C16*100</f>
        <v>100.03100392212218</v>
      </c>
      <c r="D49" s="12">
        <f t="shared" si="9"/>
        <v>121.69565217391305</v>
      </c>
      <c r="E49" s="12">
        <f t="shared" si="9"/>
        <v>63.748954990426355</v>
      </c>
      <c r="F49" s="12">
        <f t="shared" si="9"/>
        <v>100.62396006655574</v>
      </c>
      <c r="G49" s="12"/>
      <c r="H49" s="12"/>
      <c r="I49" s="4"/>
      <c r="J49" s="4"/>
      <c r="K49" s="4"/>
      <c r="L49" s="4"/>
    </row>
    <row r="50" spans="1:12" ht="15.6" x14ac:dyDescent="0.35">
      <c r="A50" s="5" t="s">
        <v>13</v>
      </c>
      <c r="B50" s="12">
        <f>B23/B22*100</f>
        <v>94.956969634119218</v>
      </c>
      <c r="C50" s="12">
        <f t="shared" ref="C50:H50" si="10">C23/C22*100</f>
        <v>100.4496736811068</v>
      </c>
      <c r="D50" s="12">
        <f t="shared" si="10"/>
        <v>118.71815335218569</v>
      </c>
      <c r="E50" s="12">
        <f t="shared" si="10"/>
        <v>69.855229421944458</v>
      </c>
      <c r="F50" s="12">
        <f t="shared" si="10"/>
        <v>99.219520208381326</v>
      </c>
      <c r="G50" s="12">
        <f t="shared" si="10"/>
        <v>54.266363560741269</v>
      </c>
      <c r="H50" s="12">
        <f t="shared" si="10"/>
        <v>298.94169645758859</v>
      </c>
      <c r="I50" s="4"/>
      <c r="J50" s="4"/>
      <c r="K50" s="4"/>
      <c r="L50" s="4"/>
    </row>
    <row r="51" spans="1:12" ht="15.6" x14ac:dyDescent="0.35">
      <c r="A51" s="5" t="s">
        <v>14</v>
      </c>
      <c r="B51" s="12">
        <f>AVERAGE(B49:B50)</f>
        <v>97.504387898188554</v>
      </c>
      <c r="C51" s="12">
        <f t="shared" ref="C51:H51" si="11">AVERAGE(C49:C50)</f>
        <v>100.24033880161448</v>
      </c>
      <c r="D51" s="12">
        <f t="shared" si="11"/>
        <v>120.20690276304937</v>
      </c>
      <c r="E51" s="12">
        <f t="shared" si="11"/>
        <v>66.802092206185407</v>
      </c>
      <c r="F51" s="12">
        <f t="shared" si="11"/>
        <v>99.921740137468532</v>
      </c>
      <c r="G51" s="12">
        <f t="shared" si="11"/>
        <v>54.266363560741269</v>
      </c>
      <c r="H51" s="12">
        <f t="shared" si="11"/>
        <v>298.94169645758859</v>
      </c>
      <c r="I51" s="4"/>
      <c r="J51" s="4"/>
      <c r="K51" s="4"/>
      <c r="L51" s="4"/>
    </row>
    <row r="52" spans="1:12" ht="15.6" x14ac:dyDescent="0.35">
      <c r="A52" s="5"/>
      <c r="B52" s="12"/>
      <c r="C52" s="12"/>
      <c r="D52" s="12"/>
      <c r="E52" s="12"/>
      <c r="F52" s="12"/>
      <c r="G52" s="12"/>
      <c r="H52" s="12"/>
      <c r="I52" s="4"/>
      <c r="J52" s="4"/>
      <c r="K52" s="4"/>
      <c r="L52" s="4"/>
    </row>
    <row r="53" spans="1:12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  <c r="I53" s="4"/>
      <c r="J53" s="4"/>
      <c r="K53" s="4"/>
      <c r="L53" s="4"/>
    </row>
    <row r="54" spans="1:12" ht="15.6" x14ac:dyDescent="0.35">
      <c r="A54" s="5" t="s">
        <v>16</v>
      </c>
      <c r="B54" s="12">
        <f>B17/B18*100</f>
        <v>99.697715690367318</v>
      </c>
      <c r="C54" s="12">
        <f t="shared" ref="C54:F54" si="12">C17/C18*100</f>
        <v>99.67680459142187</v>
      </c>
      <c r="D54" s="12">
        <f t="shared" si="12"/>
        <v>121.26069533196144</v>
      </c>
      <c r="E54" s="12">
        <f t="shared" si="12"/>
        <v>63.526775741512431</v>
      </c>
      <c r="F54" s="12">
        <f t="shared" si="12"/>
        <v>100.27289370962728</v>
      </c>
      <c r="G54" s="12"/>
      <c r="H54" s="12"/>
      <c r="I54" s="4"/>
      <c r="J54" s="4"/>
      <c r="K54" s="4"/>
      <c r="L54" s="4"/>
    </row>
    <row r="55" spans="1:12" ht="15.6" x14ac:dyDescent="0.35">
      <c r="A55" s="5" t="s">
        <v>17</v>
      </c>
      <c r="B55" s="12">
        <f>B23/B24*100</f>
        <v>22.696044043068554</v>
      </c>
      <c r="C55" s="12">
        <f t="shared" ref="C55:H55" si="13">C23/C24*100</f>
        <v>23.08999503042822</v>
      </c>
      <c r="D55" s="12">
        <f t="shared" si="13"/>
        <v>27.288392617275399</v>
      </c>
      <c r="E55" s="12">
        <f t="shared" si="13"/>
        <v>16.058260353982718</v>
      </c>
      <c r="F55" s="12">
        <f t="shared" si="13"/>
        <v>22.654262424244539</v>
      </c>
      <c r="G55" s="12">
        <f t="shared" si="13"/>
        <v>18.405964377691191</v>
      </c>
      <c r="H55" s="12">
        <f t="shared" si="13"/>
        <v>74.735424114397148</v>
      </c>
      <c r="I55" s="4"/>
      <c r="J55" s="4"/>
      <c r="K55" s="4"/>
      <c r="L55" s="4"/>
    </row>
    <row r="56" spans="1:12" ht="15.6" x14ac:dyDescent="0.35">
      <c r="A56" s="5" t="s">
        <v>18</v>
      </c>
      <c r="B56" s="12">
        <f>AVERAGE(B54:B55)</f>
        <v>61.196879866717936</v>
      </c>
      <c r="C56" s="12">
        <f t="shared" ref="C56:H56" si="14">AVERAGE(C54:C55)</f>
        <v>61.383399810925042</v>
      </c>
      <c r="D56" s="12">
        <f t="shared" si="14"/>
        <v>74.274543974618425</v>
      </c>
      <c r="E56" s="12">
        <f t="shared" si="14"/>
        <v>39.792518047747578</v>
      </c>
      <c r="F56" s="12">
        <f t="shared" si="14"/>
        <v>61.463578066935909</v>
      </c>
      <c r="G56" s="12">
        <f t="shared" si="14"/>
        <v>18.405964377691191</v>
      </c>
      <c r="H56" s="12">
        <f t="shared" si="14"/>
        <v>74.735424114397148</v>
      </c>
      <c r="I56" s="4"/>
      <c r="J56" s="4"/>
      <c r="K56" s="4"/>
      <c r="L56" s="4"/>
    </row>
    <row r="57" spans="1:12" ht="15.6" x14ac:dyDescent="0.35">
      <c r="A57" s="5"/>
      <c r="B57" s="12"/>
      <c r="C57" s="12"/>
      <c r="D57" s="12"/>
      <c r="E57" s="12"/>
      <c r="F57" s="12"/>
      <c r="G57" s="12"/>
      <c r="H57" s="12"/>
      <c r="I57" s="4"/>
      <c r="J57" s="4"/>
      <c r="K57" s="4"/>
      <c r="L57" s="4"/>
    </row>
    <row r="58" spans="1:12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  <c r="I58" s="4"/>
      <c r="J58" s="4"/>
      <c r="K58" s="4"/>
      <c r="L58" s="4"/>
    </row>
    <row r="59" spans="1:12" ht="15.6" x14ac:dyDescent="0.35">
      <c r="A59" s="5" t="s">
        <v>19</v>
      </c>
      <c r="B59" s="12">
        <f>(B25/B23)*100</f>
        <v>99.65607150137221</v>
      </c>
      <c r="C59" s="12"/>
      <c r="D59" s="12"/>
      <c r="E59" s="12"/>
      <c r="F59" s="12"/>
      <c r="G59" s="12"/>
      <c r="H59" s="12"/>
      <c r="I59" s="4"/>
      <c r="J59" s="4"/>
      <c r="K59" s="4"/>
      <c r="L59" s="4"/>
    </row>
    <row r="60" spans="1:12" ht="15.6" x14ac:dyDescent="0.35">
      <c r="A60" s="5"/>
      <c r="B60" s="12"/>
      <c r="C60" s="12"/>
      <c r="D60" s="12"/>
      <c r="E60" s="12"/>
      <c r="F60" s="12"/>
      <c r="G60" s="12"/>
      <c r="H60" s="12"/>
      <c r="I60" s="4"/>
      <c r="J60" s="4"/>
      <c r="K60" s="4"/>
      <c r="L60" s="4"/>
    </row>
    <row r="61" spans="1:12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  <c r="I61" s="4"/>
      <c r="J61" s="4"/>
      <c r="K61" s="4"/>
      <c r="L61" s="4"/>
    </row>
    <row r="62" spans="1:12" ht="15.6" x14ac:dyDescent="0.35">
      <c r="A62" s="5" t="s">
        <v>21</v>
      </c>
      <c r="B62" s="12">
        <f>((B17/B15)-1)*100</f>
        <v>4.675472725560903</v>
      </c>
      <c r="C62" s="12">
        <f t="shared" ref="C62:F62" si="15">((C17/C15)-1)*100</f>
        <v>4.6799699291752983</v>
      </c>
      <c r="D62" s="12"/>
      <c r="E62" s="12"/>
      <c r="F62" s="12">
        <f t="shared" si="15"/>
        <v>4.5526581184267556</v>
      </c>
      <c r="G62" s="12"/>
      <c r="H62" s="12"/>
      <c r="I62" s="4"/>
      <c r="J62" s="4"/>
      <c r="K62" s="4"/>
      <c r="L62" s="4"/>
    </row>
    <row r="63" spans="1:12" ht="15.6" x14ac:dyDescent="0.35">
      <c r="A63" s="5" t="s">
        <v>22</v>
      </c>
      <c r="B63" s="12">
        <f>((B38/B37)-1)*100</f>
        <v>2.8860400602226166</v>
      </c>
      <c r="C63" s="12">
        <f t="shared" ref="C63:H63" si="16">((C38/C37)-1)*100</f>
        <v>0.8276799444645766</v>
      </c>
      <c r="D63" s="12"/>
      <c r="E63" s="12"/>
      <c r="F63" s="12">
        <f t="shared" si="16"/>
        <v>4.8930946509043949</v>
      </c>
      <c r="G63" s="12">
        <f t="shared" si="16"/>
        <v>56.332230968348938</v>
      </c>
      <c r="H63" s="12">
        <f t="shared" si="16"/>
        <v>-71.836411198117659</v>
      </c>
      <c r="I63" s="4"/>
      <c r="J63" s="4"/>
      <c r="K63" s="4"/>
      <c r="L63" s="4"/>
    </row>
    <row r="64" spans="1:12" ht="15.6" x14ac:dyDescent="0.35">
      <c r="A64" s="5" t="s">
        <v>23</v>
      </c>
      <c r="B64" s="12">
        <f>((B40/B39)-1)*100</f>
        <v>-1.7095052152569012</v>
      </c>
      <c r="C64" s="12">
        <f t="shared" ref="C64:F64" si="17">((C40/C39)-1)*100</f>
        <v>-3.6800640918383198</v>
      </c>
      <c r="D64" s="12"/>
      <c r="E64" s="12"/>
      <c r="F64" s="12">
        <f t="shared" si="17"/>
        <v>0.32561250818898824</v>
      </c>
      <c r="G64" s="12"/>
      <c r="H64" s="12"/>
      <c r="I64" s="4"/>
      <c r="J64" s="4"/>
      <c r="K64" s="4"/>
      <c r="L64" s="4"/>
    </row>
    <row r="65" spans="1:12" ht="15.6" x14ac:dyDescent="0.35">
      <c r="A65" s="5"/>
      <c r="B65" s="12"/>
      <c r="C65" s="12"/>
      <c r="D65" s="12"/>
      <c r="E65" s="12"/>
      <c r="F65" s="12"/>
      <c r="G65" s="12"/>
      <c r="H65" s="12"/>
      <c r="I65" s="4"/>
      <c r="J65" s="4"/>
      <c r="K65" s="4"/>
      <c r="L65" s="4"/>
    </row>
    <row r="66" spans="1:12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  <c r="I66" s="4"/>
      <c r="J66" s="4"/>
      <c r="K66" s="4"/>
      <c r="L66" s="4"/>
    </row>
    <row r="67" spans="1:12" ht="15.6" x14ac:dyDescent="0.35">
      <c r="A67" s="5" t="s">
        <v>30</v>
      </c>
      <c r="B67" s="12">
        <f>B22/(B16*3)</f>
        <v>102757.15170816837</v>
      </c>
      <c r="C67" s="12">
        <f t="shared" ref="C67:D67" si="18">C22/(C16*3)</f>
        <v>82000</v>
      </c>
      <c r="D67" s="12">
        <f t="shared" si="18"/>
        <v>82000</v>
      </c>
      <c r="E67" s="12">
        <f t="shared" ref="E67:F67" si="19">E22/(E16*3)</f>
        <v>82000</v>
      </c>
      <c r="F67" s="12">
        <f t="shared" si="19"/>
        <v>316798.7</v>
      </c>
      <c r="G67" s="12"/>
      <c r="H67" s="12"/>
      <c r="I67" s="4"/>
      <c r="J67" s="4"/>
      <c r="K67" s="4"/>
      <c r="L67" s="4"/>
    </row>
    <row r="68" spans="1:12" ht="15.6" x14ac:dyDescent="0.35">
      <c r="A68" s="5" t="s">
        <v>31</v>
      </c>
      <c r="B68" s="12">
        <f>B23/(B17*3)</f>
        <v>97524.553615923724</v>
      </c>
      <c r="C68" s="12">
        <f t="shared" ref="C68:D68" si="20">C23/(C17*3)</f>
        <v>82343.202796039783</v>
      </c>
      <c r="D68" s="12">
        <f t="shared" si="20"/>
        <v>79993.725338414515</v>
      </c>
      <c r="E68" s="12">
        <f t="shared" ref="E68:F68" si="21">E23/(E17*3)</f>
        <v>89854.473904077007</v>
      </c>
      <c r="F68" s="12">
        <f t="shared" si="21"/>
        <v>312377.0421661844</v>
      </c>
      <c r="G68" s="12"/>
      <c r="H68" s="12"/>
      <c r="I68" s="4"/>
      <c r="J68" s="4"/>
      <c r="K68" s="4"/>
      <c r="L68" s="4"/>
    </row>
    <row r="69" spans="1:12" ht="15.6" x14ac:dyDescent="0.35">
      <c r="A69" s="5" t="s">
        <v>25</v>
      </c>
      <c r="B69" s="12">
        <f>(B68/B67)*B51</f>
        <v>92.539270963549086</v>
      </c>
      <c r="C69" s="12">
        <f t="shared" ref="C69:D69" si="22">(C68/C67)*C51</f>
        <v>100.65988471079363</v>
      </c>
      <c r="D69" s="12">
        <f t="shared" si="22"/>
        <v>117.26582882205942</v>
      </c>
      <c r="E69" s="12">
        <f t="shared" ref="E69:F69" si="23">(E68/E67)*E51</f>
        <v>73.200815254615037</v>
      </c>
      <c r="F69" s="12">
        <f t="shared" si="23"/>
        <v>98.527101380910111</v>
      </c>
      <c r="G69" s="12"/>
      <c r="H69" s="12"/>
      <c r="I69" s="4"/>
      <c r="J69" s="4"/>
      <c r="K69" s="4"/>
      <c r="L69" s="4"/>
    </row>
    <row r="70" spans="1:12" ht="15.6" x14ac:dyDescent="0.35">
      <c r="A70" s="13" t="s">
        <v>32</v>
      </c>
      <c r="B70" s="12">
        <f>B22/B16</f>
        <v>308271.4551245051</v>
      </c>
      <c r="C70" s="12">
        <f t="shared" ref="C70:D70" si="24">C22/C16</f>
        <v>245999.99999999997</v>
      </c>
      <c r="D70" s="12">
        <f t="shared" si="24"/>
        <v>246000</v>
      </c>
      <c r="E70" s="12">
        <f t="shared" ref="E70:F70" si="25">E22/E16</f>
        <v>246000</v>
      </c>
      <c r="F70" s="12">
        <f t="shared" si="25"/>
        <v>950396.10000000009</v>
      </c>
      <c r="G70" s="12"/>
      <c r="H70" s="12"/>
      <c r="I70" s="4"/>
      <c r="J70" s="4"/>
      <c r="K70" s="4"/>
      <c r="L70" s="4"/>
    </row>
    <row r="71" spans="1:12" ht="15.6" x14ac:dyDescent="0.35">
      <c r="A71" s="13" t="s">
        <v>33</v>
      </c>
      <c r="B71" s="12">
        <f>B23/B17</f>
        <v>292573.66084777116</v>
      </c>
      <c r="C71" s="12">
        <f t="shared" ref="C71:D71" si="26">C23/C17</f>
        <v>247029.60838811932</v>
      </c>
      <c r="D71" s="12">
        <f t="shared" si="26"/>
        <v>239981.17601524355</v>
      </c>
      <c r="E71" s="12">
        <f t="shared" ref="E71:F71" si="27">E23/E17</f>
        <v>269563.42171223101</v>
      </c>
      <c r="F71" s="12">
        <f t="shared" si="27"/>
        <v>937131.12649855309</v>
      </c>
      <c r="G71" s="12"/>
      <c r="H71" s="12"/>
      <c r="I71" s="4"/>
      <c r="J71" s="4"/>
      <c r="K71" s="4"/>
      <c r="L71" s="4"/>
    </row>
    <row r="72" spans="1:12" ht="15.6" x14ac:dyDescent="0.35">
      <c r="A72" s="5"/>
      <c r="B72" s="12"/>
      <c r="C72" s="12"/>
      <c r="D72" s="12"/>
      <c r="E72" s="12"/>
      <c r="F72" s="12"/>
      <c r="G72" s="12"/>
      <c r="H72" s="12"/>
      <c r="I72" s="4"/>
      <c r="J72" s="4"/>
      <c r="K72" s="4"/>
      <c r="L72" s="4"/>
    </row>
    <row r="73" spans="1:12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  <c r="I73" s="4"/>
      <c r="J73" s="4"/>
      <c r="K73" s="4"/>
      <c r="L73" s="4"/>
    </row>
    <row r="74" spans="1:12" ht="15.6" x14ac:dyDescent="0.35">
      <c r="A74" s="5" t="s">
        <v>27</v>
      </c>
      <c r="B74" s="12">
        <f>(B29/B28)*100</f>
        <v>94.956969634119218</v>
      </c>
      <c r="C74" s="12"/>
      <c r="D74" s="12"/>
      <c r="E74" s="12"/>
      <c r="F74" s="12"/>
      <c r="G74" s="12"/>
      <c r="H74" s="12"/>
      <c r="I74" s="4"/>
      <c r="J74" s="4"/>
      <c r="K74" s="4"/>
      <c r="L74" s="4"/>
    </row>
    <row r="75" spans="1:12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  <c r="I75" s="4"/>
      <c r="J75" s="4"/>
      <c r="K75" s="4"/>
      <c r="L75" s="4"/>
    </row>
    <row r="76" spans="1:12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12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12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80" spans="1:12" ht="15.6" x14ac:dyDescent="0.35">
      <c r="A80" s="5" t="s">
        <v>123</v>
      </c>
      <c r="B80" s="5"/>
      <c r="C80" s="5"/>
      <c r="D80" s="5"/>
      <c r="E80" s="5"/>
      <c r="F80" s="5"/>
      <c r="G80" s="5"/>
      <c r="H80" s="5"/>
    </row>
    <row r="81" spans="1:8" ht="15.6" x14ac:dyDescent="0.35">
      <c r="A81" s="5" t="s">
        <v>124</v>
      </c>
      <c r="B81" s="5"/>
      <c r="C81" s="5"/>
      <c r="D81" s="5"/>
      <c r="E81" s="5"/>
      <c r="F81" s="5"/>
      <c r="G81" s="5"/>
      <c r="H81" s="5"/>
    </row>
  </sheetData>
  <mergeCells count="5">
    <mergeCell ref="A9:A10"/>
    <mergeCell ref="B9:B10"/>
    <mergeCell ref="C9:H9"/>
    <mergeCell ref="A77:H77"/>
    <mergeCell ref="A78:H78"/>
  </mergeCells>
  <pageMargins left="0.7" right="0.7" top="0.75" bottom="0.75" header="0.3" footer="0.3"/>
  <pageSetup scale="32" orientation="portrait" r:id="rId1"/>
  <ignoredErrors>
    <ignoredError sqref="C15:C18 C21:C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H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58</v>
      </c>
      <c r="B15" s="8">
        <f>+C15+F15</f>
        <v>130586.83333333331</v>
      </c>
      <c r="C15" s="8">
        <f>+D15+E15</f>
        <v>125991.83333333331</v>
      </c>
      <c r="D15" s="8">
        <f>(+'I Trimestre'!D15+'II Trimestre'!D15)/2</f>
        <v>94907.666666666657</v>
      </c>
      <c r="E15" s="8">
        <f>(+'I Trimestre'!E15+'II Trimestre'!E15)/2</f>
        <v>31084.166666666664</v>
      </c>
      <c r="F15" s="8">
        <f>(+'I Trimestre'!F15+'II Trimestre'!F15)/2</f>
        <v>4595</v>
      </c>
      <c r="G15" s="8"/>
      <c r="H15" s="8"/>
    </row>
    <row r="16" spans="1:8" ht="15.6" x14ac:dyDescent="0.35">
      <c r="A16" s="7" t="s">
        <v>93</v>
      </c>
      <c r="B16" s="8">
        <f t="shared" ref="B16:B18" si="0">+C16+F16</f>
        <v>136318.66666666669</v>
      </c>
      <c r="C16" s="8">
        <f>+D16+E16</f>
        <v>131538.66666666669</v>
      </c>
      <c r="D16" s="8">
        <f>(+'I Trimestre'!D16+'II Trimestre'!D16)/2</f>
        <v>82362</v>
      </c>
      <c r="E16" s="8">
        <f>(+'I Trimestre'!E16+'II Trimestre'!E16)/2</f>
        <v>49176.666666666672</v>
      </c>
      <c r="F16" s="8">
        <f>(+'I Trimestre'!F16+'II Trimestre'!F16)/2</f>
        <v>4780</v>
      </c>
      <c r="G16" s="8"/>
      <c r="H16" s="8"/>
    </row>
    <row r="17" spans="1:8" ht="15.6" x14ac:dyDescent="0.35">
      <c r="A17" s="7" t="s">
        <v>94</v>
      </c>
      <c r="B17" s="8">
        <f t="shared" si="0"/>
        <v>136317.16666666666</v>
      </c>
      <c r="C17" s="8">
        <f t="shared" ref="C17:C18" si="1">+D17+E17</f>
        <v>131504.66666666666</v>
      </c>
      <c r="D17" s="8">
        <f>(+'I Trimestre'!D17+'II Trimestre'!D17)/2</f>
        <v>100023</v>
      </c>
      <c r="E17" s="8">
        <f>(+'I Trimestre'!E17+'II Trimestre'!E17)/2</f>
        <v>31481.666666666664</v>
      </c>
      <c r="F17" s="8">
        <f>(+'I Trimestre'!F17+'II Trimestre'!F17)/2</f>
        <v>4812.5</v>
      </c>
      <c r="G17" s="8"/>
      <c r="H17" s="8"/>
    </row>
    <row r="18" spans="1:8" ht="15.6" x14ac:dyDescent="0.35">
      <c r="A18" s="7" t="s">
        <v>81</v>
      </c>
      <c r="B18" s="8">
        <f t="shared" si="0"/>
        <v>137536.08333333334</v>
      </c>
      <c r="C18" s="8">
        <f t="shared" si="1"/>
        <v>132711.25</v>
      </c>
      <c r="D18" s="8">
        <f>'II Trimestre'!D18</f>
        <v>83097</v>
      </c>
      <c r="E18" s="8">
        <f>'II Trimestre'!E18</f>
        <v>49614.25</v>
      </c>
      <c r="F18" s="8">
        <f>'II Trimestre'!F18</f>
        <v>4824.833333333333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58</v>
      </c>
      <c r="B21" s="8">
        <f>+C21+F21+G21+H21</f>
        <v>75049180700</v>
      </c>
      <c r="C21" s="8">
        <f>+SUM(D21:E21)</f>
        <v>62114316320</v>
      </c>
      <c r="D21" s="8">
        <f>+'I Trimestre'!D21+'II Trimestre'!D21</f>
        <v>45964594076.800003</v>
      </c>
      <c r="E21" s="8">
        <f>+'I Trimestre'!E21+'II Trimestre'!E21</f>
        <v>16149722243.200001</v>
      </c>
      <c r="F21" s="8">
        <f>+'I Trimestre'!F21+'II Trimestre'!F21</f>
        <v>8288325540</v>
      </c>
      <c r="G21" s="8">
        <f>+'I Trimestre'!G21+'II Trimestre'!G21</f>
        <v>3555937500</v>
      </c>
      <c r="H21" s="8">
        <f>+'I Trimestre'!H21+'II Trimestre'!H21</f>
        <v>1090601340</v>
      </c>
    </row>
    <row r="22" spans="1:8" ht="15.6" x14ac:dyDescent="0.35">
      <c r="A22" s="7" t="s">
        <v>93</v>
      </c>
      <c r="B22" s="8">
        <f t="shared" ref="B22:B23" si="2">+C22+F22+G22+H22</f>
        <v>84043274272.971252</v>
      </c>
      <c r="C22" s="8">
        <f>+SUM(D22:E22)</f>
        <v>64716942000</v>
      </c>
      <c r="D22" s="8">
        <f>+'I Trimestre'!D22+'II Trimestre'!D22</f>
        <v>40522104000</v>
      </c>
      <c r="E22" s="8">
        <f>+'I Trimestre'!E22+'II Trimestre'!E22</f>
        <v>24194838000</v>
      </c>
      <c r="F22" s="8">
        <f>+'I Trimestre'!F22+'II Trimestre'!F22</f>
        <v>9086103514.7000008</v>
      </c>
      <c r="G22" s="8">
        <f>+'I Trimestre'!G22+'II Trimestre'!G22</f>
        <v>10147918758.271263</v>
      </c>
      <c r="H22" s="8">
        <f>+'I Trimestre'!H22+'II Trimestre'!H22</f>
        <v>92310000</v>
      </c>
    </row>
    <row r="23" spans="1:8" ht="15.6" x14ac:dyDescent="0.35">
      <c r="A23" s="7" t="s">
        <v>94</v>
      </c>
      <c r="B23" s="8">
        <f t="shared" si="2"/>
        <v>80235595800</v>
      </c>
      <c r="C23" s="8">
        <f t="shared" ref="C23:C24" si="3">+SUM(D23:E23)</f>
        <v>64868935700</v>
      </c>
      <c r="D23" s="8">
        <f>+'I Trimestre'!D23+'II Trimestre'!D23</f>
        <v>48003012418</v>
      </c>
      <c r="E23" s="8">
        <f>+'I Trimestre'!E23+'II Trimestre'!E23</f>
        <v>16865923282</v>
      </c>
      <c r="F23" s="8">
        <f>+'I Trimestre'!F23+'II Trimestre'!F23</f>
        <v>8993926190</v>
      </c>
      <c r="G23" s="8">
        <f>+'I Trimestre'!G23+'II Trimestre'!G23</f>
        <v>5547000270</v>
      </c>
      <c r="H23" s="8">
        <f>+'I Trimestre'!H23+'II Trimestre'!H23</f>
        <v>825733640</v>
      </c>
    </row>
    <row r="24" spans="1:8" ht="15.6" x14ac:dyDescent="0.35">
      <c r="A24" s="7" t="s">
        <v>81</v>
      </c>
      <c r="B24" s="8">
        <f>+C24+F24+G24+H24</f>
        <v>176761191615.02997</v>
      </c>
      <c r="C24" s="8">
        <f t="shared" si="3"/>
        <v>141522997111.68005</v>
      </c>
      <c r="D24" s="8">
        <f>+'II Trimestre'!D24</f>
        <v>88614465348.506821</v>
      </c>
      <c r="E24" s="8">
        <f>+'II Trimestre'!E24</f>
        <v>52908531763.173241</v>
      </c>
      <c r="F24" s="8">
        <f>+'II Trimestre'!F24</f>
        <v>20013189152.200756</v>
      </c>
      <c r="G24" s="8">
        <f>+'II Trimestre'!G24</f>
        <v>15040385351.149164</v>
      </c>
      <c r="H24" s="8">
        <f>+'II Trimestre'!H24</f>
        <v>184620000</v>
      </c>
    </row>
    <row r="25" spans="1:8" ht="15.6" x14ac:dyDescent="0.35">
      <c r="A25" s="7" t="s">
        <v>95</v>
      </c>
      <c r="B25" s="8">
        <f>+C25+F25+G25</f>
        <v>79409862160</v>
      </c>
      <c r="C25" s="8">
        <f>+C23</f>
        <v>64868935700</v>
      </c>
      <c r="D25" s="8">
        <f t="shared" ref="D25" si="4">+D23</f>
        <v>48003012418</v>
      </c>
      <c r="E25" s="8">
        <f t="shared" ref="E25:G25" si="5">+E23</f>
        <v>16865923282</v>
      </c>
      <c r="F25" s="8">
        <f t="shared" si="5"/>
        <v>8993926190</v>
      </c>
      <c r="G25" s="8">
        <f t="shared" si="5"/>
        <v>5547000270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93</v>
      </c>
      <c r="B28" s="8">
        <f>B22</f>
        <v>84043274272.971252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94</v>
      </c>
      <c r="B29" s="8">
        <f>+'I Trimestre'!B29+'II Trimestre'!B29</f>
        <v>80235595800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59</v>
      </c>
      <c r="B32" s="21">
        <v>1.0788</v>
      </c>
      <c r="C32" s="21">
        <v>1.0788</v>
      </c>
      <c r="D32" s="21">
        <v>1.0788</v>
      </c>
      <c r="E32" s="21">
        <v>1.0788</v>
      </c>
      <c r="F32" s="21">
        <v>1.0788</v>
      </c>
      <c r="G32" s="21">
        <v>1.0788</v>
      </c>
      <c r="H32" s="21">
        <v>1.0788</v>
      </c>
    </row>
    <row r="33" spans="1:8" ht="15.6" x14ac:dyDescent="0.35">
      <c r="A33" s="7" t="s">
        <v>96</v>
      </c>
      <c r="B33" s="21">
        <v>1.121</v>
      </c>
      <c r="C33" s="21">
        <v>1.121</v>
      </c>
      <c r="D33" s="21">
        <v>1.121</v>
      </c>
      <c r="E33" s="21">
        <v>1.121</v>
      </c>
      <c r="F33" s="21">
        <v>1.121</v>
      </c>
      <c r="G33" s="21">
        <v>1.121</v>
      </c>
      <c r="H33" s="21">
        <v>1.121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60</v>
      </c>
      <c r="B37" s="8">
        <f>B21/B32</f>
        <v>69567279106.414536</v>
      </c>
      <c r="C37" s="8">
        <f t="shared" ref="C37:H37" si="6">C21/C32</f>
        <v>57577230552.465706</v>
      </c>
      <c r="D37" s="8">
        <f t="shared" si="6"/>
        <v>42607150608.824623</v>
      </c>
      <c r="E37" s="8">
        <f t="shared" si="6"/>
        <v>14970079943.641083</v>
      </c>
      <c r="F37" s="8">
        <f t="shared" si="6"/>
        <v>7682912068.965517</v>
      </c>
      <c r="G37" s="8">
        <f t="shared" si="6"/>
        <v>3296197163.5150166</v>
      </c>
      <c r="H37" s="8">
        <f t="shared" si="6"/>
        <v>1010939321.4682981</v>
      </c>
    </row>
    <row r="38" spans="1:8" ht="15.6" x14ac:dyDescent="0.35">
      <c r="A38" s="5" t="s">
        <v>97</v>
      </c>
      <c r="B38" s="8">
        <f>B23/B33</f>
        <v>71575018554.861725</v>
      </c>
      <c r="C38" s="8">
        <f t="shared" ref="C38:H38" si="7">C23/C33</f>
        <v>57867025602.140945</v>
      </c>
      <c r="D38" s="8">
        <f t="shared" si="7"/>
        <v>42821598945.584297</v>
      </c>
      <c r="E38" s="8">
        <f t="shared" si="7"/>
        <v>15045426656.556646</v>
      </c>
      <c r="F38" s="8">
        <f t="shared" si="7"/>
        <v>8023127734.1659231</v>
      </c>
      <c r="G38" s="8">
        <f t="shared" si="7"/>
        <v>4948260722.5691347</v>
      </c>
      <c r="H38" s="8">
        <f t="shared" si="7"/>
        <v>736604495.98572707</v>
      </c>
    </row>
    <row r="39" spans="1:8" ht="15.6" x14ac:dyDescent="0.35">
      <c r="A39" s="5" t="s">
        <v>61</v>
      </c>
      <c r="B39" s="8">
        <f>B37/B15</f>
        <v>532728.12680003128</v>
      </c>
      <c r="C39" s="8">
        <f t="shared" ref="C39:F39" si="8">C37/C15</f>
        <v>456991.76707854646</v>
      </c>
      <c r="D39" s="8">
        <f t="shared" si="8"/>
        <v>448932.65323305066</v>
      </c>
      <c r="E39" s="8">
        <f t="shared" si="8"/>
        <v>481598.2395209056</v>
      </c>
      <c r="F39" s="8">
        <f t="shared" si="8"/>
        <v>1672015.684214476</v>
      </c>
      <c r="G39" s="8"/>
      <c r="H39" s="8"/>
    </row>
    <row r="40" spans="1:8" ht="15.6" x14ac:dyDescent="0.35">
      <c r="A40" s="5" t="s">
        <v>98</v>
      </c>
      <c r="B40" s="8">
        <f>B38/B17</f>
        <v>525062.39899984514</v>
      </c>
      <c r="C40" s="8">
        <f t="shared" ref="C40:F40" si="9">C38/C17</f>
        <v>440037.81058827532</v>
      </c>
      <c r="D40" s="8">
        <f t="shared" si="9"/>
        <v>428117.52242568508</v>
      </c>
      <c r="E40" s="8">
        <f t="shared" si="9"/>
        <v>477910.74138037954</v>
      </c>
      <c r="F40" s="8">
        <f t="shared" si="9"/>
        <v>1667143.4252812308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92.615969254531095</v>
      </c>
      <c r="C45" s="12">
        <f>(C16/C34)*100</f>
        <v>99.024848055969613</v>
      </c>
      <c r="D45" s="12"/>
      <c r="E45" s="12"/>
      <c r="F45" s="12">
        <f>(F16/F34)*100</f>
        <v>33.303142200236884</v>
      </c>
      <c r="G45" s="12"/>
      <c r="H45" s="12"/>
    </row>
    <row r="46" spans="1:8" ht="15.6" x14ac:dyDescent="0.35">
      <c r="A46" s="5" t="s">
        <v>10</v>
      </c>
      <c r="B46" s="12">
        <f>(B17/B34)*100</f>
        <v>92.614950142788871</v>
      </c>
      <c r="C46" s="12">
        <f>(C17/C34)*100</f>
        <v>98.999252199487074</v>
      </c>
      <c r="D46" s="12"/>
      <c r="E46" s="12"/>
      <c r="F46" s="12">
        <f>(F17/F34)*100</f>
        <v>33.529575698460249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99.998899637124751</v>
      </c>
      <c r="C49" s="12">
        <f t="shared" ref="C49:F49" si="10">C17/C16*100</f>
        <v>99.974152087092236</v>
      </c>
      <c r="D49" s="12">
        <f t="shared" si="10"/>
        <v>121.44314125446201</v>
      </c>
      <c r="E49" s="12">
        <f t="shared" si="10"/>
        <v>64.017487968548764</v>
      </c>
      <c r="F49" s="12">
        <f t="shared" si="10"/>
        <v>100.67991631799163</v>
      </c>
      <c r="G49" s="12"/>
      <c r="H49" s="12"/>
    </row>
    <row r="50" spans="1:8" ht="15.6" x14ac:dyDescent="0.35">
      <c r="A50" s="5" t="s">
        <v>13</v>
      </c>
      <c r="B50" s="12">
        <f>B23/B22*100</f>
        <v>95.469383474275432</v>
      </c>
      <c r="C50" s="12">
        <f t="shared" ref="C50:H50" si="11">C23/C22*100</f>
        <v>100.23485921198191</v>
      </c>
      <c r="D50" s="12">
        <f t="shared" si="11"/>
        <v>118.46130304092799</v>
      </c>
      <c r="E50" s="12">
        <f t="shared" si="11"/>
        <v>69.708767142809563</v>
      </c>
      <c r="F50" s="12">
        <f t="shared" si="11"/>
        <v>98.985513156977888</v>
      </c>
      <c r="G50" s="12">
        <f t="shared" si="11"/>
        <v>54.661457212384626</v>
      </c>
      <c r="H50" s="12">
        <f t="shared" si="11"/>
        <v>894.5224136063265</v>
      </c>
    </row>
    <row r="51" spans="1:8" ht="15.6" x14ac:dyDescent="0.35">
      <c r="A51" s="5" t="s">
        <v>14</v>
      </c>
      <c r="B51" s="12">
        <f>AVERAGE(B49:B50)</f>
        <v>97.734141555700091</v>
      </c>
      <c r="C51" s="12">
        <f t="shared" ref="C51:H51" si="12">AVERAGE(C49:C50)</f>
        <v>100.10450564953707</v>
      </c>
      <c r="D51" s="12">
        <f t="shared" si="12"/>
        <v>119.952222147695</v>
      </c>
      <c r="E51" s="12">
        <f t="shared" si="12"/>
        <v>66.863127555679171</v>
      </c>
      <c r="F51" s="12">
        <f t="shared" si="12"/>
        <v>99.832714737484764</v>
      </c>
      <c r="G51" s="12">
        <f t="shared" si="12"/>
        <v>54.661457212384626</v>
      </c>
      <c r="H51" s="12">
        <f t="shared" si="12"/>
        <v>894.5224136063265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99.113747725596852</v>
      </c>
      <c r="C54" s="12">
        <f t="shared" ref="C54:F54" si="13">C17/C18*100</f>
        <v>99.090820609908093</v>
      </c>
      <c r="D54" s="12">
        <f t="shared" si="13"/>
        <v>120.36896638867829</v>
      </c>
      <c r="E54" s="12">
        <f t="shared" si="13"/>
        <v>63.452872242685643</v>
      </c>
      <c r="F54" s="12">
        <f t="shared" si="13"/>
        <v>99.744378044146615</v>
      </c>
      <c r="G54" s="12"/>
      <c r="H54" s="12"/>
    </row>
    <row r="55" spans="1:8" ht="15.6" x14ac:dyDescent="0.35">
      <c r="A55" s="5" t="s">
        <v>17</v>
      </c>
      <c r="B55" s="12">
        <f>B23/B24*100</f>
        <v>45.392088086137107</v>
      </c>
      <c r="C55" s="12">
        <f t="shared" ref="C55:H55" si="14">C23/C24*100</f>
        <v>45.836321321551701</v>
      </c>
      <c r="D55" s="12">
        <f t="shared" si="14"/>
        <v>54.170628044994309</v>
      </c>
      <c r="E55" s="12">
        <f t="shared" si="14"/>
        <v>31.877511471107301</v>
      </c>
      <c r="F55" s="12">
        <f t="shared" si="14"/>
        <v>44.939994928349442</v>
      </c>
      <c r="G55" s="12">
        <f t="shared" si="14"/>
        <v>36.880705783088061</v>
      </c>
      <c r="H55" s="12">
        <f t="shared" si="14"/>
        <v>447.26120680316325</v>
      </c>
    </row>
    <row r="56" spans="1:8" ht="15.6" x14ac:dyDescent="0.35">
      <c r="A56" s="5" t="s">
        <v>18</v>
      </c>
      <c r="B56" s="12">
        <f>AVERAGE(B54:B55)</f>
        <v>72.25291790586698</v>
      </c>
      <c r="C56" s="12">
        <f t="shared" ref="C56:H56" si="15">AVERAGE(C54:C55)</f>
        <v>72.4635709657299</v>
      </c>
      <c r="D56" s="12">
        <f t="shared" si="15"/>
        <v>87.269797216836295</v>
      </c>
      <c r="E56" s="12">
        <f t="shared" si="15"/>
        <v>47.66519185689647</v>
      </c>
      <c r="F56" s="12">
        <f t="shared" si="15"/>
        <v>72.342186486248025</v>
      </c>
      <c r="G56" s="12">
        <f t="shared" si="15"/>
        <v>36.880705783088061</v>
      </c>
      <c r="H56" s="12">
        <f t="shared" si="15"/>
        <v>447.26120680316325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98.97086370236687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4.3881402030066852</v>
      </c>
      <c r="C62" s="12">
        <f t="shared" ref="C62:F62" si="16">((C17/C15)-1)*100</f>
        <v>4.3755481506076555</v>
      </c>
      <c r="D62" s="12"/>
      <c r="E62" s="12"/>
      <c r="F62" s="12">
        <f t="shared" si="16"/>
        <v>4.7334058759521236</v>
      </c>
      <c r="G62" s="12"/>
      <c r="H62" s="12"/>
    </row>
    <row r="63" spans="1:8" ht="15.6" x14ac:dyDescent="0.35">
      <c r="A63" s="5" t="s">
        <v>22</v>
      </c>
      <c r="B63" s="12">
        <f>((B38/B37)-1)*100</f>
        <v>2.8860399231311451</v>
      </c>
      <c r="C63" s="12">
        <f t="shared" ref="C63:H63" si="17">((C38/C37)-1)*100</f>
        <v>0.50331536771497376</v>
      </c>
      <c r="D63" s="12"/>
      <c r="E63" s="12"/>
      <c r="F63" s="12">
        <f t="shared" si="17"/>
        <v>4.4282124036624015</v>
      </c>
      <c r="G63" s="12">
        <f t="shared" si="17"/>
        <v>50.120289445682964</v>
      </c>
      <c r="H63" s="12">
        <f t="shared" si="17"/>
        <v>-27.136626269925323</v>
      </c>
    </row>
    <row r="64" spans="1:8" ht="15.6" x14ac:dyDescent="0.35">
      <c r="A64" s="5" t="s">
        <v>23</v>
      </c>
      <c r="B64" s="12">
        <f>((B40/B39)-1)*100</f>
        <v>-1.4389568364321814</v>
      </c>
      <c r="C64" s="12">
        <f t="shared" ref="C64:F64" si="18">((C40/C39)-1)*100</f>
        <v>-3.7099041408676259</v>
      </c>
      <c r="D64" s="12"/>
      <c r="E64" s="12"/>
      <c r="F64" s="12">
        <f t="shared" si="18"/>
        <v>-0.29140031276286837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B22/(B16*6)</f>
        <v>102753.44324691562</v>
      </c>
      <c r="C67" s="12">
        <f t="shared" ref="C67:F67" si="19">C22/(C16*6)</f>
        <v>81999.896101526538</v>
      </c>
      <c r="D67" s="12">
        <f t="shared" si="19"/>
        <v>82000</v>
      </c>
      <c r="E67" s="12">
        <f t="shared" si="19"/>
        <v>81999.722090422292</v>
      </c>
      <c r="F67" s="12">
        <f t="shared" si="19"/>
        <v>316809.7459797769</v>
      </c>
      <c r="G67" s="12"/>
      <c r="H67" s="12"/>
    </row>
    <row r="68" spans="1:8" ht="15.6" x14ac:dyDescent="0.35">
      <c r="A68" s="5" t="s">
        <v>31</v>
      </c>
      <c r="B68" s="12">
        <f>B23/(B17*6)</f>
        <v>98099.158213137751</v>
      </c>
      <c r="C68" s="12">
        <f t="shared" ref="C68:F68" si="20">C23/(C17*6)</f>
        <v>82213.730944909432</v>
      </c>
      <c r="D68" s="12">
        <f t="shared" si="20"/>
        <v>79986.623773198837</v>
      </c>
      <c r="E68" s="12">
        <f t="shared" si="20"/>
        <v>89289.6568479009</v>
      </c>
      <c r="F68" s="12">
        <f t="shared" si="20"/>
        <v>311477.96329004329</v>
      </c>
      <c r="G68" s="12"/>
      <c r="H68" s="12"/>
    </row>
    <row r="69" spans="1:8" ht="15.6" x14ac:dyDescent="0.35">
      <c r="A69" s="5" t="s">
        <v>25</v>
      </c>
      <c r="B69" s="12">
        <f>(B68/B67)*B51</f>
        <v>93.307209104991429</v>
      </c>
      <c r="C69" s="12">
        <f t="shared" ref="C69:F69" si="21">(C68/C67)*C51</f>
        <v>100.3655527033161</v>
      </c>
      <c r="D69" s="12">
        <f t="shared" si="21"/>
        <v>117.00699102057132</v>
      </c>
      <c r="E69" s="12">
        <f t="shared" si="21"/>
        <v>72.807389623108833</v>
      </c>
      <c r="F69" s="12">
        <f t="shared" si="21"/>
        <v>98.152569643904172</v>
      </c>
      <c r="G69" s="12"/>
      <c r="H69" s="12"/>
    </row>
    <row r="70" spans="1:8" ht="15.6" x14ac:dyDescent="0.35">
      <c r="A70" s="13" t="s">
        <v>35</v>
      </c>
      <c r="B70" s="12">
        <f>B22/B16</f>
        <v>616520.65948149364</v>
      </c>
      <c r="C70" s="12">
        <f t="shared" ref="C70:F70" si="22">C22/C16</f>
        <v>491999.37660915923</v>
      </c>
      <c r="D70" s="12">
        <f t="shared" si="22"/>
        <v>492000</v>
      </c>
      <c r="E70" s="12">
        <f t="shared" si="22"/>
        <v>491998.3325425337</v>
      </c>
      <c r="F70" s="12">
        <f t="shared" si="22"/>
        <v>1900858.4758786613</v>
      </c>
      <c r="G70" s="12"/>
      <c r="H70" s="12"/>
    </row>
    <row r="71" spans="1:8" ht="15.6" x14ac:dyDescent="0.35">
      <c r="A71" s="13" t="s">
        <v>36</v>
      </c>
      <c r="B71" s="12">
        <f>B23/B17</f>
        <v>588594.94927882648</v>
      </c>
      <c r="C71" s="12">
        <f t="shared" ref="C71:F71" si="23">C23/C17</f>
        <v>493282.38566945662</v>
      </c>
      <c r="D71" s="12">
        <f t="shared" si="23"/>
        <v>479919.74263919296</v>
      </c>
      <c r="E71" s="12">
        <f t="shared" si="23"/>
        <v>535737.94108740543</v>
      </c>
      <c r="F71" s="12">
        <f t="shared" si="23"/>
        <v>1868867.7797402597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95.469383474275432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81" s="3" customFormat="1" x14ac:dyDescent="0.3"/>
  </sheetData>
  <mergeCells count="5">
    <mergeCell ref="A9:A10"/>
    <mergeCell ref="B9:B10"/>
    <mergeCell ref="C9:H9"/>
    <mergeCell ref="A77:H77"/>
    <mergeCell ref="A78:H78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H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6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62</v>
      </c>
      <c r="B15" s="8">
        <f>+C15+F15</f>
        <v>132815.33333333331</v>
      </c>
      <c r="C15" s="8">
        <f>+D15+E15</f>
        <v>128112.66666666666</v>
      </c>
      <c r="D15" s="8">
        <v>96724.333333333328</v>
      </c>
      <c r="E15" s="8">
        <v>31388.333333333332</v>
      </c>
      <c r="F15" s="8">
        <v>4702.666666666667</v>
      </c>
      <c r="G15" s="8"/>
      <c r="H15" s="8"/>
    </row>
    <row r="16" spans="1:8" ht="15.6" x14ac:dyDescent="0.35">
      <c r="A16" s="7" t="s">
        <v>99</v>
      </c>
      <c r="B16" s="8">
        <f t="shared" ref="B16:B18" si="0">+C16+F16</f>
        <v>138230.66666666669</v>
      </c>
      <c r="C16" s="8">
        <f>+D16+E16</f>
        <v>133380.66666666669</v>
      </c>
      <c r="D16" s="8">
        <v>83514.666666666672</v>
      </c>
      <c r="E16" s="8">
        <v>49866</v>
      </c>
      <c r="F16" s="8">
        <v>4850</v>
      </c>
      <c r="G16" s="8"/>
      <c r="H16" s="8"/>
    </row>
    <row r="17" spans="1:8" ht="15.6" x14ac:dyDescent="0.35">
      <c r="A17" s="7" t="s">
        <v>100</v>
      </c>
      <c r="B17" s="8">
        <f t="shared" si="0"/>
        <v>139033.33333333334</v>
      </c>
      <c r="C17" s="8">
        <f t="shared" ref="C17:C18" si="1">+D17+E17</f>
        <v>134158</v>
      </c>
      <c r="D17" s="8">
        <v>102475</v>
      </c>
      <c r="E17" s="8">
        <v>31683</v>
      </c>
      <c r="F17" s="8">
        <v>4875.333333333333</v>
      </c>
      <c r="G17" s="8"/>
      <c r="H17" s="8"/>
    </row>
    <row r="18" spans="1:8" ht="15.6" x14ac:dyDescent="0.35">
      <c r="A18" s="7" t="s">
        <v>81</v>
      </c>
      <c r="B18" s="8">
        <f t="shared" si="0"/>
        <v>137536.08333333334</v>
      </c>
      <c r="C18" s="8">
        <f t="shared" si="1"/>
        <v>132711.25</v>
      </c>
      <c r="D18" s="8">
        <v>83097</v>
      </c>
      <c r="E18" s="8">
        <v>49614.25</v>
      </c>
      <c r="F18" s="8">
        <v>4824.833333333333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62</v>
      </c>
      <c r="B21" s="8">
        <f>+C21+F21+G21+H21</f>
        <v>37524589800</v>
      </c>
      <c r="C21" s="8">
        <f>+D21+E21</f>
        <v>31423969199.999996</v>
      </c>
      <c r="D21" s="8">
        <v>23253737207.999996</v>
      </c>
      <c r="E21" s="8">
        <v>8170231992.000001</v>
      </c>
      <c r="F21" s="11">
        <v>4838547600</v>
      </c>
      <c r="G21" s="8">
        <v>971796000</v>
      </c>
      <c r="H21" s="8">
        <v>290277000</v>
      </c>
    </row>
    <row r="22" spans="1:8" ht="15.6" x14ac:dyDescent="0.35">
      <c r="A22" s="7" t="s">
        <v>99</v>
      </c>
      <c r="B22" s="8">
        <f t="shared" ref="B22:B24" si="2">+C22+F22+G22+H22</f>
        <v>40192683772.599983</v>
      </c>
      <c r="C22" s="8">
        <f>+D22+E22</f>
        <v>32811644000</v>
      </c>
      <c r="D22" s="8">
        <v>20544608000</v>
      </c>
      <c r="E22" s="8">
        <v>12267036000</v>
      </c>
      <c r="F22" s="8">
        <v>4609421085</v>
      </c>
      <c r="G22" s="8">
        <v>2725463687.5999856</v>
      </c>
      <c r="H22" s="8">
        <v>46155000</v>
      </c>
    </row>
    <row r="23" spans="1:8" ht="15.6" x14ac:dyDescent="0.35">
      <c r="A23" s="7" t="s">
        <v>100</v>
      </c>
      <c r="B23" s="8">
        <f t="shared" si="2"/>
        <v>40117798100</v>
      </c>
      <c r="C23" s="8">
        <f t="shared" ref="C23:C24" si="3">+D23+E23</f>
        <v>33129288000</v>
      </c>
      <c r="D23" s="8">
        <v>24515673120</v>
      </c>
      <c r="E23" s="8">
        <v>8613614880</v>
      </c>
      <c r="F23" s="11">
        <v>4521846200</v>
      </c>
      <c r="G23" s="8">
        <v>2421994700</v>
      </c>
      <c r="H23" s="8">
        <v>44669200</v>
      </c>
    </row>
    <row r="24" spans="1:8" ht="13.5" customHeight="1" x14ac:dyDescent="0.35">
      <c r="A24" s="7" t="s">
        <v>81</v>
      </c>
      <c r="B24" s="8">
        <f t="shared" si="2"/>
        <v>176761191615.02997</v>
      </c>
      <c r="C24" s="8">
        <f t="shared" si="3"/>
        <v>141522997111.68005</v>
      </c>
      <c r="D24" s="8">
        <v>88614465348.506821</v>
      </c>
      <c r="E24" s="8">
        <v>52908531763.173241</v>
      </c>
      <c r="F24" s="8">
        <v>20013189152.200756</v>
      </c>
      <c r="G24" s="8">
        <v>15040385351.149164</v>
      </c>
      <c r="H24" s="8">
        <v>184620000</v>
      </c>
    </row>
    <row r="25" spans="1:8" ht="15.6" x14ac:dyDescent="0.35">
      <c r="A25" s="7" t="s">
        <v>101</v>
      </c>
      <c r="B25" s="8">
        <f>+C25+F25+G25</f>
        <v>40073128900</v>
      </c>
      <c r="C25" s="8">
        <f>+C23</f>
        <v>33129288000</v>
      </c>
      <c r="D25" s="8">
        <f>+D23</f>
        <v>24515673120</v>
      </c>
      <c r="E25" s="8">
        <f>+E23</f>
        <v>8613614880</v>
      </c>
      <c r="F25" s="8">
        <f t="shared" ref="F25:G25" si="4">F23</f>
        <v>4521846200</v>
      </c>
      <c r="G25" s="8">
        <f t="shared" si="4"/>
        <v>2421994700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99</v>
      </c>
      <c r="B28" s="8">
        <f>B22</f>
        <v>40192683772.599983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100</v>
      </c>
      <c r="B29" s="8">
        <v>40117798200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63</v>
      </c>
      <c r="B32" s="10">
        <v>1.0863</v>
      </c>
      <c r="C32" s="10">
        <v>1.0863</v>
      </c>
      <c r="D32" s="10">
        <v>1.0863</v>
      </c>
      <c r="E32" s="10">
        <v>1.0863</v>
      </c>
      <c r="F32" s="10">
        <v>1.0863</v>
      </c>
      <c r="G32" s="10">
        <v>1.0863</v>
      </c>
      <c r="H32" s="10">
        <v>1.0863</v>
      </c>
    </row>
    <row r="33" spans="1:8" ht="15.6" x14ac:dyDescent="0.35">
      <c r="A33" s="7" t="s">
        <v>102</v>
      </c>
      <c r="B33" s="10">
        <v>1.1197999999999999</v>
      </c>
      <c r="C33" s="10">
        <v>1.1197999999999999</v>
      </c>
      <c r="D33" s="10">
        <v>1.1197999999999999</v>
      </c>
      <c r="E33" s="10">
        <v>1.1197999999999999</v>
      </c>
      <c r="F33" s="10">
        <v>1.1197999999999999</v>
      </c>
      <c r="G33" s="10">
        <v>1.1197999999999999</v>
      </c>
      <c r="H33" s="10">
        <v>1.1197999999999999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64</v>
      </c>
      <c r="B37" s="8">
        <f>B21/B32</f>
        <v>34543486882.076775</v>
      </c>
      <c r="C37" s="8">
        <f t="shared" ref="C37:H37" si="5">C21/C32</f>
        <v>28927523888.428608</v>
      </c>
      <c r="D37" s="8">
        <f t="shared" si="5"/>
        <v>21406367677.437168</v>
      </c>
      <c r="E37" s="8">
        <f t="shared" si="5"/>
        <v>7521156210.9914398</v>
      </c>
      <c r="F37" s="8">
        <f t="shared" si="5"/>
        <v>4454154101.0770502</v>
      </c>
      <c r="G37" s="8">
        <f t="shared" si="5"/>
        <v>894592653.96299362</v>
      </c>
      <c r="H37" s="8">
        <f t="shared" si="5"/>
        <v>267216238.60811928</v>
      </c>
    </row>
    <row r="38" spans="1:8" ht="15.6" x14ac:dyDescent="0.35">
      <c r="A38" s="5" t="s">
        <v>103</v>
      </c>
      <c r="B38" s="8">
        <f>B23/B33</f>
        <v>35825860064.297195</v>
      </c>
      <c r="C38" s="8">
        <f t="shared" ref="C38:H38" si="6">C23/C33</f>
        <v>29585004465.083054</v>
      </c>
      <c r="D38" s="8">
        <f t="shared" si="6"/>
        <v>21892903304.161461</v>
      </c>
      <c r="E38" s="8">
        <f t="shared" si="6"/>
        <v>7692101160.9215937</v>
      </c>
      <c r="F38" s="8">
        <f t="shared" si="6"/>
        <v>4038083764.9580288</v>
      </c>
      <c r="G38" s="8">
        <f t="shared" si="6"/>
        <v>2162881496.6958389</v>
      </c>
      <c r="H38" s="8">
        <f t="shared" si="6"/>
        <v>39890337.560278624</v>
      </c>
    </row>
    <row r="39" spans="1:8" ht="15.6" x14ac:dyDescent="0.35">
      <c r="A39" s="5" t="s">
        <v>65</v>
      </c>
      <c r="B39" s="8">
        <f>B37/B15</f>
        <v>260086.58800999468</v>
      </c>
      <c r="C39" s="8">
        <f t="shared" ref="C39:F39" si="7">C37/C15</f>
        <v>225797.53150946778</v>
      </c>
      <c r="D39" s="8">
        <f t="shared" si="7"/>
        <v>221313.15812398642</v>
      </c>
      <c r="E39" s="8">
        <f t="shared" si="7"/>
        <v>239616.29727578527</v>
      </c>
      <c r="F39" s="8">
        <f t="shared" si="7"/>
        <v>947154.96904105111</v>
      </c>
      <c r="G39" s="8"/>
      <c r="H39" s="8"/>
    </row>
    <row r="40" spans="1:8" ht="15.6" x14ac:dyDescent="0.35">
      <c r="A40" s="5" t="s">
        <v>104</v>
      </c>
      <c r="B40" s="8">
        <f>B38/B17</f>
        <v>257678.20712752716</v>
      </c>
      <c r="C40" s="8">
        <f t="shared" ref="C40:F40" si="8">C38/C17</f>
        <v>220523.59505272182</v>
      </c>
      <c r="D40" s="8">
        <f t="shared" si="8"/>
        <v>213641.4081889384</v>
      </c>
      <c r="E40" s="8">
        <f t="shared" si="8"/>
        <v>242783.23267751141</v>
      </c>
      <c r="F40" s="8">
        <f t="shared" si="8"/>
        <v>828268.24113729573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5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93.91499702192904</v>
      </c>
      <c r="C45" s="12">
        <f>(C16/C34)*100</f>
        <v>100.41154122187595</v>
      </c>
      <c r="D45" s="12"/>
      <c r="E45" s="12"/>
      <c r="F45" s="12">
        <f>(F16/F34)*100</f>
        <v>33.790845119487216</v>
      </c>
      <c r="G45" s="12"/>
      <c r="H45" s="12"/>
    </row>
    <row r="46" spans="1:8" ht="15.6" x14ac:dyDescent="0.35">
      <c r="A46" s="5" t="s">
        <v>10</v>
      </c>
      <c r="B46" s="12">
        <f>(B17/B34)*100</f>
        <v>94.460335038646988</v>
      </c>
      <c r="C46" s="12">
        <f>(C17/C34)*100</f>
        <v>100.99673276420194</v>
      </c>
      <c r="D46" s="12"/>
      <c r="E46" s="12"/>
      <c r="F46" s="12">
        <f>(F17/F34)*100</f>
        <v>33.96734712835876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5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100.58067192036499</v>
      </c>
      <c r="C49" s="12">
        <f t="shared" ref="C49:F49" si="9">C17/C16*100</f>
        <v>100.5827931084465</v>
      </c>
      <c r="D49" s="12">
        <f t="shared" si="9"/>
        <v>122.70299827575195</v>
      </c>
      <c r="E49" s="12">
        <f t="shared" si="9"/>
        <v>63.53627722295753</v>
      </c>
      <c r="F49" s="12">
        <f t="shared" si="9"/>
        <v>100.52233676975943</v>
      </c>
      <c r="G49" s="12"/>
      <c r="H49" s="12"/>
    </row>
    <row r="50" spans="1:8" ht="15.6" x14ac:dyDescent="0.35">
      <c r="A50" s="5" t="s">
        <v>13</v>
      </c>
      <c r="B50" s="12">
        <f>B23/B22*100</f>
        <v>99.813683323503184</v>
      </c>
      <c r="C50" s="12">
        <f t="shared" ref="C50:H50" si="10">C23/C22*100</f>
        <v>100.96808315974658</v>
      </c>
      <c r="D50" s="12">
        <f t="shared" si="10"/>
        <v>119.32898948473488</v>
      </c>
      <c r="E50" s="12">
        <f t="shared" si="10"/>
        <v>70.21757236222345</v>
      </c>
      <c r="F50" s="12">
        <f t="shared" si="10"/>
        <v>98.100089287025938</v>
      </c>
      <c r="G50" s="12" t="s">
        <v>66</v>
      </c>
      <c r="H50" s="12">
        <f t="shared" si="10"/>
        <v>96.780847145488025</v>
      </c>
    </row>
    <row r="51" spans="1:8" ht="15.6" x14ac:dyDescent="0.35">
      <c r="A51" s="5" t="s">
        <v>14</v>
      </c>
      <c r="B51" s="12">
        <f>AVERAGE(B49:B50)</f>
        <v>100.19717762193409</v>
      </c>
      <c r="C51" s="12">
        <f t="shared" ref="C51:H51" si="11">AVERAGE(C49:C50)</f>
        <v>100.77543813409653</v>
      </c>
      <c r="D51" s="12">
        <f t="shared" si="11"/>
        <v>121.01599388024341</v>
      </c>
      <c r="E51" s="12">
        <f t="shared" si="11"/>
        <v>66.876924792590486</v>
      </c>
      <c r="F51" s="12">
        <f t="shared" si="11"/>
        <v>99.311213028392686</v>
      </c>
      <c r="G51" s="12" t="s">
        <v>66</v>
      </c>
      <c r="H51" s="12">
        <f t="shared" si="11"/>
        <v>96.780847145488025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5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101.0886234097355</v>
      </c>
      <c r="C54" s="12">
        <f t="shared" ref="C54:F54" si="12">C17/C18*100</f>
        <v>101.09014872514577</v>
      </c>
      <c r="D54" s="12">
        <f t="shared" si="12"/>
        <v>123.31973476780149</v>
      </c>
      <c r="E54" s="12">
        <f t="shared" si="12"/>
        <v>63.858669636243611</v>
      </c>
      <c r="F54" s="12">
        <f t="shared" si="12"/>
        <v>101.04666827869701</v>
      </c>
      <c r="G54" s="12"/>
      <c r="H54" s="12"/>
    </row>
    <row r="55" spans="1:8" ht="15.6" x14ac:dyDescent="0.35">
      <c r="A55" s="5" t="s">
        <v>17</v>
      </c>
      <c r="B55" s="12">
        <f>B23/B24*100</f>
        <v>22.69604415621556</v>
      </c>
      <c r="C55" s="12">
        <f t="shared" ref="C55:H55" si="13">C23/C24*100</f>
        <v>23.409119843509732</v>
      </c>
      <c r="D55" s="12">
        <f t="shared" si="13"/>
        <v>27.665543118252415</v>
      </c>
      <c r="E55" s="12">
        <f t="shared" si="13"/>
        <v>16.28020017368063</v>
      </c>
      <c r="F55" s="12">
        <f t="shared" si="13"/>
        <v>22.594330996480657</v>
      </c>
      <c r="G55" s="12">
        <f t="shared" si="13"/>
        <v>16.103275570761536</v>
      </c>
      <c r="H55" s="12">
        <f t="shared" si="13"/>
        <v>24.195211786372006</v>
      </c>
    </row>
    <row r="56" spans="1:8" ht="15.6" x14ac:dyDescent="0.35">
      <c r="A56" s="5" t="s">
        <v>18</v>
      </c>
      <c r="B56" s="12">
        <f>AVERAGE(B54:B55)</f>
        <v>61.892333782975534</v>
      </c>
      <c r="C56" s="12">
        <f t="shared" ref="C56:H56" si="14">AVERAGE(C54:C55)</f>
        <v>62.249634284327747</v>
      </c>
      <c r="D56" s="12">
        <f t="shared" si="14"/>
        <v>75.492638943026947</v>
      </c>
      <c r="E56" s="12">
        <f t="shared" si="14"/>
        <v>40.069434904962122</v>
      </c>
      <c r="F56" s="12">
        <f t="shared" si="14"/>
        <v>61.820499637588838</v>
      </c>
      <c r="G56" s="12">
        <f t="shared" si="14"/>
        <v>16.103275570761536</v>
      </c>
      <c r="H56" s="12">
        <f t="shared" si="14"/>
        <v>24.195211786372006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5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99.888654906012903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5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4.6816883592758041</v>
      </c>
      <c r="C62" s="12">
        <f t="shared" ref="C62:F62" si="15">((C17/C15)-1)*100</f>
        <v>4.7187631719996626</v>
      </c>
      <c r="D62" s="12"/>
      <c r="E62" s="12"/>
      <c r="F62" s="12">
        <f t="shared" si="15"/>
        <v>3.6716756450240862</v>
      </c>
      <c r="G62" s="12"/>
      <c r="H62" s="12"/>
    </row>
    <row r="63" spans="1:8" ht="15.6" x14ac:dyDescent="0.35">
      <c r="A63" s="5" t="s">
        <v>22</v>
      </c>
      <c r="B63" s="12">
        <f>((B38/B37)-1)*100</f>
        <v>3.7123443461227312</v>
      </c>
      <c r="C63" s="12">
        <f t="shared" ref="C63:H63" si="16">((C38/C37)-1)*100</f>
        <v>2.2728546666845872</v>
      </c>
      <c r="D63" s="12"/>
      <c r="E63" s="12"/>
      <c r="F63" s="12">
        <f t="shared" si="16"/>
        <v>-9.3411751519421493</v>
      </c>
      <c r="G63" s="12">
        <f t="shared" si="16"/>
        <v>141.77277637083193</v>
      </c>
      <c r="H63" s="12">
        <f t="shared" si="16"/>
        <v>-85.071888681593549</v>
      </c>
    </row>
    <row r="64" spans="1:8" ht="15.6" x14ac:dyDescent="0.35">
      <c r="A64" s="5" t="s">
        <v>23</v>
      </c>
      <c r="B64" s="12">
        <f>((B40/B39)-1)*100</f>
        <v>-0.92599195556172242</v>
      </c>
      <c r="C64" s="12">
        <f t="shared" ref="C64:F64" si="17">((C40/C39)-1)*100</f>
        <v>-2.335692698449543</v>
      </c>
      <c r="D64" s="12"/>
      <c r="E64" s="12"/>
      <c r="F64" s="12">
        <f t="shared" si="17"/>
        <v>-12.551982705018428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5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 t="shared" ref="B67:B68" si="18">B22/(B16*3)</f>
        <v>96921.772719512257</v>
      </c>
      <c r="C67" s="12">
        <f t="shared" ref="C67:F67" si="19">C22/(C16*3)</f>
        <v>81999.999999999985</v>
      </c>
      <c r="D67" s="12">
        <f t="shared" si="19"/>
        <v>82000</v>
      </c>
      <c r="E67" s="12">
        <f t="shared" si="19"/>
        <v>82000</v>
      </c>
      <c r="F67" s="12">
        <f t="shared" si="19"/>
        <v>316798.7</v>
      </c>
      <c r="G67" s="12"/>
      <c r="H67" s="12"/>
    </row>
    <row r="68" spans="1:8" ht="15.6" x14ac:dyDescent="0.35">
      <c r="A68" s="5" t="s">
        <v>31</v>
      </c>
      <c r="B68" s="12">
        <f t="shared" si="18"/>
        <v>96182.68544713498</v>
      </c>
      <c r="C68" s="12">
        <f t="shared" ref="C68:F68" si="20">C23/(C17*3)</f>
        <v>82314.107246679283</v>
      </c>
      <c r="D68" s="12">
        <f t="shared" si="20"/>
        <v>79745.216296657716</v>
      </c>
      <c r="E68" s="12">
        <f t="shared" si="20"/>
        <v>90622.88798409242</v>
      </c>
      <c r="F68" s="12">
        <f t="shared" si="20"/>
        <v>309164.9254751812</v>
      </c>
      <c r="G68" s="12"/>
      <c r="H68" s="12"/>
    </row>
    <row r="69" spans="1:8" ht="15.6" x14ac:dyDescent="0.35">
      <c r="A69" s="5" t="s">
        <v>25</v>
      </c>
      <c r="B69" s="12">
        <f>(B68/B67)*B51</f>
        <v>99.433113401577657</v>
      </c>
      <c r="C69" s="12">
        <f t="shared" ref="C69:F69" si="21">(C68/C67)*C51</f>
        <v>101.16146612684288</v>
      </c>
      <c r="D69" s="12">
        <f t="shared" si="21"/>
        <v>117.68837326018314</v>
      </c>
      <c r="E69" s="12">
        <f t="shared" si="21"/>
        <v>73.909512978042684</v>
      </c>
      <c r="F69" s="12">
        <f t="shared" si="21"/>
        <v>96.918149521361258</v>
      </c>
      <c r="G69" s="12"/>
      <c r="H69" s="12"/>
    </row>
    <row r="70" spans="1:8" ht="15.6" x14ac:dyDescent="0.35">
      <c r="A70" s="13" t="s">
        <v>32</v>
      </c>
      <c r="B70" s="12">
        <f t="shared" ref="B70:B71" si="22">B22/B16</f>
        <v>290765.3181585368</v>
      </c>
      <c r="C70" s="12">
        <f t="shared" ref="C70:F70" si="23">C22/C16</f>
        <v>245999.99999999997</v>
      </c>
      <c r="D70" s="12">
        <f t="shared" si="23"/>
        <v>246000</v>
      </c>
      <c r="E70" s="12">
        <f t="shared" si="23"/>
        <v>246000</v>
      </c>
      <c r="F70" s="12">
        <f t="shared" si="23"/>
        <v>950396.1</v>
      </c>
      <c r="G70" s="12"/>
      <c r="H70" s="12"/>
    </row>
    <row r="71" spans="1:8" ht="15.6" x14ac:dyDescent="0.35">
      <c r="A71" s="13" t="s">
        <v>33</v>
      </c>
      <c r="B71" s="12">
        <f t="shared" si="22"/>
        <v>288548.05634140491</v>
      </c>
      <c r="C71" s="12">
        <f t="shared" ref="C71:F71" si="24">C23/C17</f>
        <v>246942.32174003788</v>
      </c>
      <c r="D71" s="12">
        <f t="shared" si="24"/>
        <v>239235.64888997318</v>
      </c>
      <c r="E71" s="12">
        <f t="shared" si="24"/>
        <v>271868.66395227727</v>
      </c>
      <c r="F71" s="12">
        <f t="shared" si="24"/>
        <v>927494.77642554359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5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99.813683572304683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99.999999750734077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80" spans="1:8" ht="15.6" x14ac:dyDescent="0.35">
      <c r="A80" s="5" t="s">
        <v>123</v>
      </c>
      <c r="B80" s="5"/>
      <c r="C80" s="5"/>
      <c r="D80" s="5"/>
      <c r="E80" s="5"/>
      <c r="F80" s="5"/>
      <c r="G80" s="5"/>
      <c r="H80" s="5"/>
    </row>
    <row r="81" spans="1:8" ht="15.6" x14ac:dyDescent="0.35">
      <c r="A81" s="5" t="s">
        <v>124</v>
      </c>
      <c r="B81" s="5"/>
      <c r="C81" s="5"/>
      <c r="D81" s="5"/>
      <c r="E81" s="5"/>
      <c r="F81" s="5"/>
      <c r="G81" s="5"/>
      <c r="H81" s="5"/>
    </row>
  </sheetData>
  <mergeCells count="5">
    <mergeCell ref="A9:A10"/>
    <mergeCell ref="B9:B10"/>
    <mergeCell ref="C9:H9"/>
    <mergeCell ref="A77:H77"/>
    <mergeCell ref="A78:H78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H7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67</v>
      </c>
      <c r="B15" s="8">
        <f>+C15+F15</f>
        <v>131329.66666666663</v>
      </c>
      <c r="C15" s="8">
        <f>+SUM(D15:E15)</f>
        <v>126698.77777777775</v>
      </c>
      <c r="D15" s="8">
        <f>(+'I Trimestre'!D15+'II Trimestre'!D15+'III Trimestre'!D15)/3</f>
        <v>95513.222222222204</v>
      </c>
      <c r="E15" s="8">
        <f>(+'I Trimestre'!E15+'II Trimestre'!E15+'III Trimestre'!E15)/3</f>
        <v>31185.555555555551</v>
      </c>
      <c r="F15" s="8">
        <f>(+'I Trimestre'!F15+'II Trimestre'!F15+'III Trimestre'!F15)/3</f>
        <v>4630.8888888888896</v>
      </c>
      <c r="G15" s="8"/>
      <c r="H15" s="8"/>
    </row>
    <row r="16" spans="1:8" ht="15.6" x14ac:dyDescent="0.35">
      <c r="A16" s="7" t="s">
        <v>105</v>
      </c>
      <c r="B16" s="8">
        <f t="shared" ref="B16:B18" si="0">+C16+F16</f>
        <v>136956.00000000003</v>
      </c>
      <c r="C16" s="8">
        <f t="shared" ref="C16:C18" si="1">+SUM(D16:E16)</f>
        <v>132152.66666666669</v>
      </c>
      <c r="D16" s="8">
        <f>(+'I Trimestre'!D16+'II Trimestre'!D16+'III Trimestre'!D16)/3</f>
        <v>82746.222222222234</v>
      </c>
      <c r="E16" s="8">
        <f>(+'I Trimestre'!E16+'II Trimestre'!E16+'III Trimestre'!E16)/3</f>
        <v>49406.444444444445</v>
      </c>
      <c r="F16" s="8">
        <f>(+'I Trimestre'!F16+'II Trimestre'!F16+'III Trimestre'!F16)/3</f>
        <v>4803.333333333333</v>
      </c>
      <c r="G16" s="8"/>
      <c r="H16" s="8"/>
    </row>
    <row r="17" spans="1:8" ht="15.6" x14ac:dyDescent="0.35">
      <c r="A17" s="7" t="s">
        <v>106</v>
      </c>
      <c r="B17" s="8">
        <f t="shared" si="0"/>
        <v>137222.55555555553</v>
      </c>
      <c r="C17" s="8">
        <f t="shared" si="1"/>
        <v>132389.11111111109</v>
      </c>
      <c r="D17" s="8">
        <f>(+'I Trimestre'!D17+'II Trimestre'!D17+'III Trimestre'!D17)/3</f>
        <v>100840.33333333333</v>
      </c>
      <c r="E17" s="8">
        <f>(+'I Trimestre'!E17+'II Trimestre'!E17+'III Trimestre'!E17)/3</f>
        <v>31548.777777777777</v>
      </c>
      <c r="F17" s="8">
        <f>(+'I Trimestre'!F17+'II Trimestre'!F17+'III Trimestre'!F17)/3</f>
        <v>4833.4444444444443</v>
      </c>
      <c r="G17" s="8"/>
      <c r="H17" s="8"/>
    </row>
    <row r="18" spans="1:8" ht="15.6" x14ac:dyDescent="0.35">
      <c r="A18" s="7" t="s">
        <v>81</v>
      </c>
      <c r="B18" s="8">
        <f t="shared" si="0"/>
        <v>137536.05555555553</v>
      </c>
      <c r="C18" s="8">
        <f t="shared" si="1"/>
        <v>132711.16666666666</v>
      </c>
      <c r="D18" s="8">
        <f>(+'I Trimestre'!D18+'II Trimestre'!D18+'III Trimestre'!D18)/3</f>
        <v>83097</v>
      </c>
      <c r="E18" s="8">
        <f>(+'I Trimestre'!E18+'II Trimestre'!E18+'III Trimestre'!E18)/3</f>
        <v>49614.166666666664</v>
      </c>
      <c r="F18" s="8">
        <f>(+'I Trimestre'!F18+'II Trimestre'!F18+'III Trimestre'!F18)/3</f>
        <v>4824.8888888888878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67</v>
      </c>
      <c r="B21" s="8">
        <f>+C21+F21+G21+H21</f>
        <v>112573770500</v>
      </c>
      <c r="C21" s="8">
        <f>+SUM(D21:E21)</f>
        <v>93538285520</v>
      </c>
      <c r="D21" s="8">
        <f>+'I Trimestre'!D21+'II Trimestre'!D21+'III Trimestre'!D21</f>
        <v>69218331284.800003</v>
      </c>
      <c r="E21" s="8">
        <f>+'I Trimestre'!E21+'II Trimestre'!E21+'III Trimestre'!E21</f>
        <v>24319954235.200001</v>
      </c>
      <c r="F21" s="8">
        <f>+'I Trimestre'!F21+'II Trimestre'!F21+'III Trimestre'!F21</f>
        <v>13126873140</v>
      </c>
      <c r="G21" s="8">
        <f>+'I Trimestre'!G21+'II Trimestre'!G21+'III Trimestre'!G21</f>
        <v>4527733500</v>
      </c>
      <c r="H21" s="8">
        <f>+'I Trimestre'!H21+'II Trimestre'!H21+'III Trimestre'!H21</f>
        <v>1380878340</v>
      </c>
    </row>
    <row r="22" spans="1:8" ht="15.6" x14ac:dyDescent="0.35">
      <c r="A22" s="7" t="s">
        <v>105</v>
      </c>
      <c r="B22" s="8">
        <f t="shared" ref="B22:B24" si="2">+C22+F22+G22+H22</f>
        <v>124235958045.57124</v>
      </c>
      <c r="C22" s="8">
        <f t="shared" ref="C22:C24" si="3">+SUM(D22:E22)</f>
        <v>97528586000</v>
      </c>
      <c r="D22" s="8">
        <f>+'I Trimestre'!D22+'II Trimestre'!D22+'III Trimestre'!D22</f>
        <v>61066712000</v>
      </c>
      <c r="E22" s="8">
        <f>+'I Trimestre'!E22+'II Trimestre'!E22+'III Trimestre'!E22</f>
        <v>36461874000</v>
      </c>
      <c r="F22" s="8">
        <f>+'I Trimestre'!F22+'II Trimestre'!F22+'III Trimestre'!F22</f>
        <v>13695524599.700001</v>
      </c>
      <c r="G22" s="8">
        <f>+'I Trimestre'!G22+'II Trimestre'!G22+'III Trimestre'!G22</f>
        <v>12873382445.871248</v>
      </c>
      <c r="H22" s="8">
        <f>+'I Trimestre'!H22+'II Trimestre'!H22+'III Trimestre'!H22</f>
        <v>138465000</v>
      </c>
    </row>
    <row r="23" spans="1:8" ht="15.6" x14ac:dyDescent="0.35">
      <c r="A23" s="7" t="s">
        <v>106</v>
      </c>
      <c r="B23" s="8">
        <f t="shared" si="2"/>
        <v>120353393900</v>
      </c>
      <c r="C23" s="8">
        <f t="shared" si="3"/>
        <v>97998223700</v>
      </c>
      <c r="D23" s="8">
        <f>+'I Trimestre'!D23+'II Trimestre'!D23+'III Trimestre'!D23</f>
        <v>72518685538</v>
      </c>
      <c r="E23" s="8">
        <f>+'I Trimestre'!E23+'II Trimestre'!E23+'III Trimestre'!E23</f>
        <v>25479538162</v>
      </c>
      <c r="F23" s="8">
        <f>+'I Trimestre'!F23+'II Trimestre'!F23+'III Trimestre'!F23</f>
        <v>13515772390</v>
      </c>
      <c r="G23" s="8">
        <f>+'I Trimestre'!G23+'II Trimestre'!G23+'III Trimestre'!G23</f>
        <v>7968994970</v>
      </c>
      <c r="H23" s="8">
        <f>+'I Trimestre'!H23+'II Trimestre'!H23+'III Trimestre'!H23</f>
        <v>870402840</v>
      </c>
    </row>
    <row r="24" spans="1:8" ht="15.6" x14ac:dyDescent="0.35">
      <c r="A24" s="7" t="s">
        <v>81</v>
      </c>
      <c r="B24" s="8">
        <f t="shared" si="2"/>
        <v>176761191615.02997</v>
      </c>
      <c r="C24" s="8">
        <f t="shared" si="3"/>
        <v>141522997111.68005</v>
      </c>
      <c r="D24" s="8">
        <f>+'III Trimestre'!D24</f>
        <v>88614465348.506821</v>
      </c>
      <c r="E24" s="8">
        <f>+'III Trimestre'!E24</f>
        <v>52908531763.173241</v>
      </c>
      <c r="F24" s="8">
        <f>+'III Trimestre'!F24</f>
        <v>20013189152.200756</v>
      </c>
      <c r="G24" s="8">
        <f>+'III Trimestre'!G24</f>
        <v>15040385351.149164</v>
      </c>
      <c r="H24" s="8">
        <f>+'III Trimestre'!H24</f>
        <v>184620000</v>
      </c>
    </row>
    <row r="25" spans="1:8" ht="15.6" x14ac:dyDescent="0.35">
      <c r="A25" s="7" t="s">
        <v>107</v>
      </c>
      <c r="B25" s="8">
        <f>+C25+F25+G25</f>
        <v>119482991060</v>
      </c>
      <c r="C25" s="8">
        <f>+C23</f>
        <v>97998223700</v>
      </c>
      <c r="D25" s="8">
        <f>+D23</f>
        <v>72518685538</v>
      </c>
      <c r="E25" s="8">
        <f>+E23</f>
        <v>25479538162</v>
      </c>
      <c r="F25" s="8">
        <f t="shared" ref="F25:G25" si="4">F23</f>
        <v>13515772390</v>
      </c>
      <c r="G25" s="8">
        <f t="shared" si="4"/>
        <v>7968994970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105</v>
      </c>
      <c r="B28" s="8">
        <f>B22</f>
        <v>124235958045.57124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106</v>
      </c>
      <c r="B29" s="8">
        <f>+'I Trimestre'!B29+'II Trimestre'!B29+'III Trimestre'!B29</f>
        <v>120353394000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68</v>
      </c>
      <c r="B32" s="10">
        <v>1.0863</v>
      </c>
      <c r="C32" s="10">
        <v>1.0863</v>
      </c>
      <c r="D32" s="10">
        <v>1.0863</v>
      </c>
      <c r="E32" s="10">
        <v>1.0863</v>
      </c>
      <c r="F32" s="10">
        <v>1.0863</v>
      </c>
      <c r="G32" s="10">
        <v>1.0863</v>
      </c>
      <c r="H32" s="10">
        <v>1.0863</v>
      </c>
    </row>
    <row r="33" spans="1:8" ht="15.6" x14ac:dyDescent="0.35">
      <c r="A33" s="7" t="s">
        <v>108</v>
      </c>
      <c r="B33" s="10">
        <v>1.1197999999999999</v>
      </c>
      <c r="C33" s="10">
        <v>1.1197999999999999</v>
      </c>
      <c r="D33" s="10">
        <v>1.1197999999999999</v>
      </c>
      <c r="E33" s="10">
        <v>1.1197999999999999</v>
      </c>
      <c r="F33" s="10">
        <v>1.1197999999999999</v>
      </c>
      <c r="G33" s="10">
        <v>1.1197999999999999</v>
      </c>
      <c r="H33" s="10">
        <v>1.1197999999999999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69</v>
      </c>
      <c r="B37" s="8">
        <f>B21/B32</f>
        <v>103630461658.84193</v>
      </c>
      <c r="C37" s="8">
        <f t="shared" ref="C37:H37" si="5">C21/C32</f>
        <v>86107231446.193497</v>
      </c>
      <c r="D37" s="8">
        <f t="shared" si="5"/>
        <v>63719351270.183189</v>
      </c>
      <c r="E37" s="8">
        <f t="shared" si="5"/>
        <v>22387880176.010311</v>
      </c>
      <c r="F37" s="8">
        <f t="shared" si="5"/>
        <v>12084022038.111019</v>
      </c>
      <c r="G37" s="8">
        <f t="shared" si="5"/>
        <v>4168032311.5161557</v>
      </c>
      <c r="H37" s="8">
        <f t="shared" si="5"/>
        <v>1271175863.0212648</v>
      </c>
    </row>
    <row r="38" spans="1:8" ht="15.6" x14ac:dyDescent="0.35">
      <c r="A38" s="5" t="s">
        <v>109</v>
      </c>
      <c r="B38" s="8">
        <f>B23/B33</f>
        <v>107477579835.68495</v>
      </c>
      <c r="C38" s="8">
        <f t="shared" ref="C38:H38" si="6">C23/C33</f>
        <v>87514041525.272385</v>
      </c>
      <c r="D38" s="8">
        <f t="shared" si="6"/>
        <v>64760390728.701561</v>
      </c>
      <c r="E38" s="8">
        <f t="shared" si="6"/>
        <v>22753650796.57082</v>
      </c>
      <c r="F38" s="8">
        <f t="shared" si="6"/>
        <v>12069809242.721916</v>
      </c>
      <c r="G38" s="8">
        <f t="shared" si="6"/>
        <v>7116444874.0846586</v>
      </c>
      <c r="H38" s="8">
        <f t="shared" si="6"/>
        <v>777284193.60600114</v>
      </c>
    </row>
    <row r="39" spans="1:8" ht="15.6" x14ac:dyDescent="0.35">
      <c r="A39" s="5" t="s">
        <v>70</v>
      </c>
      <c r="B39" s="8">
        <f>B37/B15</f>
        <v>789086.45920704864</v>
      </c>
      <c r="C39" s="8">
        <f t="shared" ref="C39:F39" si="7">C37/C15</f>
        <v>679621.64242200146</v>
      </c>
      <c r="D39" s="8">
        <f t="shared" si="7"/>
        <v>667125.97258977382</v>
      </c>
      <c r="E39" s="8">
        <f t="shared" si="7"/>
        <v>717892.6197459395</v>
      </c>
      <c r="F39" s="8">
        <f t="shared" si="7"/>
        <v>2609438.9928259309</v>
      </c>
      <c r="G39" s="8"/>
      <c r="H39" s="8"/>
    </row>
    <row r="40" spans="1:8" ht="15.6" x14ac:dyDescent="0.35">
      <c r="A40" s="5" t="s">
        <v>110</v>
      </c>
      <c r="B40" s="8">
        <f>B38/B17</f>
        <v>783235.52130736911</v>
      </c>
      <c r="C40" s="8">
        <f t="shared" ref="C40:F40" si="8">C38/C17</f>
        <v>661036.5519549707</v>
      </c>
      <c r="D40" s="8">
        <f t="shared" si="8"/>
        <v>642207.22589871346</v>
      </c>
      <c r="E40" s="8">
        <f t="shared" si="8"/>
        <v>721221.3086935482</v>
      </c>
      <c r="F40" s="8">
        <f t="shared" si="8"/>
        <v>2497144.5066664503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93.048978510330414</v>
      </c>
      <c r="C45" s="12">
        <f>(C16/C34)*100</f>
        <v>99.487079111271726</v>
      </c>
      <c r="D45" s="12"/>
      <c r="E45" s="12"/>
      <c r="F45" s="12">
        <f>(F16/F34)*100</f>
        <v>33.465709839986992</v>
      </c>
      <c r="G45" s="12"/>
      <c r="H45" s="12"/>
    </row>
    <row r="46" spans="1:8" ht="15.6" x14ac:dyDescent="0.35">
      <c r="A46" s="5" t="s">
        <v>10</v>
      </c>
      <c r="B46" s="12">
        <f>(B17/B34)*100</f>
        <v>93.230078441408224</v>
      </c>
      <c r="C46" s="12">
        <f>(C17/C34)*100</f>
        <v>99.66507905439201</v>
      </c>
      <c r="D46" s="12"/>
      <c r="E46" s="12"/>
      <c r="F46" s="12">
        <f>(F17/F34)*100</f>
        <v>33.675499508426419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100.19462860740347</v>
      </c>
      <c r="C49" s="12">
        <f t="shared" ref="C49:F49" si="9">C17/C16*100</f>
        <v>100.17891764911624</v>
      </c>
      <c r="D49" s="12">
        <f t="shared" si="9"/>
        <v>121.86699359218814</v>
      </c>
      <c r="E49" s="12">
        <f t="shared" si="9"/>
        <v>63.855592387857627</v>
      </c>
      <c r="F49" s="12">
        <f t="shared" si="9"/>
        <v>100.62687948184133</v>
      </c>
      <c r="G49" s="12"/>
      <c r="H49" s="12"/>
    </row>
    <row r="50" spans="1:8" ht="15.6" x14ac:dyDescent="0.35">
      <c r="A50" s="5" t="s">
        <v>13</v>
      </c>
      <c r="B50" s="12">
        <f>B23/B22*100</f>
        <v>96.874846697646859</v>
      </c>
      <c r="C50" s="12">
        <f t="shared" ref="C50:H50" si="10">C23/C22*100</f>
        <v>100.48153851015537</v>
      </c>
      <c r="D50" s="12">
        <f t="shared" si="10"/>
        <v>118.75321785459809</v>
      </c>
      <c r="E50" s="12">
        <f t="shared" si="10"/>
        <v>69.879946823358566</v>
      </c>
      <c r="F50" s="12">
        <f t="shared" si="10"/>
        <v>98.68751132246561</v>
      </c>
      <c r="G50" s="12">
        <f t="shared" si="10"/>
        <v>61.902883748752579</v>
      </c>
      <c r="H50" s="12">
        <f t="shared" si="10"/>
        <v>628.60855811938029</v>
      </c>
    </row>
    <row r="51" spans="1:8" ht="15.6" x14ac:dyDescent="0.35">
      <c r="A51" s="5" t="s">
        <v>14</v>
      </c>
      <c r="B51" s="12">
        <f>AVERAGE(B49:B50)</f>
        <v>98.534737652525166</v>
      </c>
      <c r="C51" s="12">
        <f t="shared" ref="C51:H51" si="11">AVERAGE(C49:C50)</f>
        <v>100.33022807963582</v>
      </c>
      <c r="D51" s="12">
        <f t="shared" si="11"/>
        <v>120.31010572339312</v>
      </c>
      <c r="E51" s="12">
        <f t="shared" si="11"/>
        <v>66.867769605608089</v>
      </c>
      <c r="F51" s="12">
        <f t="shared" si="11"/>
        <v>99.657195402153462</v>
      </c>
      <c r="G51" s="12">
        <f t="shared" si="11"/>
        <v>61.902883748752579</v>
      </c>
      <c r="H51" s="12">
        <f t="shared" si="11"/>
        <v>628.60855811938029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99.77205977099338</v>
      </c>
      <c r="C54" s="12">
        <f t="shared" ref="C54:F54" si="12">C17/C18*100</f>
        <v>99.757325955573535</v>
      </c>
      <c r="D54" s="12">
        <f t="shared" si="12"/>
        <v>121.35255584838602</v>
      </c>
      <c r="E54" s="12">
        <f t="shared" si="12"/>
        <v>63.588244844942366</v>
      </c>
      <c r="F54" s="12">
        <f t="shared" si="12"/>
        <v>100.17732129697865</v>
      </c>
      <c r="G54" s="12"/>
      <c r="H54" s="12"/>
    </row>
    <row r="55" spans="1:8" ht="15.6" x14ac:dyDescent="0.35">
      <c r="A55" s="5" t="s">
        <v>17</v>
      </c>
      <c r="B55" s="12">
        <f>B23/B24*100</f>
        <v>68.088132242352671</v>
      </c>
      <c r="C55" s="12">
        <f t="shared" ref="C55:H55" si="13">C23/C24*100</f>
        <v>69.245441165061422</v>
      </c>
      <c r="D55" s="12">
        <f t="shared" si="13"/>
        <v>81.836171163246732</v>
      </c>
      <c r="E55" s="12">
        <f t="shared" si="13"/>
        <v>48.157711644787931</v>
      </c>
      <c r="F55" s="12">
        <f t="shared" si="13"/>
        <v>67.5343259248301</v>
      </c>
      <c r="G55" s="12">
        <f t="shared" si="13"/>
        <v>52.983981353849593</v>
      </c>
      <c r="H55" s="12">
        <f t="shared" si="13"/>
        <v>471.45641858953525</v>
      </c>
    </row>
    <row r="56" spans="1:8" ht="15.6" x14ac:dyDescent="0.35">
      <c r="A56" s="5" t="s">
        <v>18</v>
      </c>
      <c r="B56" s="12">
        <f>AVERAGE(B54:B55)</f>
        <v>83.930096006673025</v>
      </c>
      <c r="C56" s="12">
        <f t="shared" ref="C56:H56" si="14">AVERAGE(C54:C55)</f>
        <v>84.501383560317478</v>
      </c>
      <c r="D56" s="12">
        <f t="shared" si="14"/>
        <v>101.59436350581637</v>
      </c>
      <c r="E56" s="12">
        <f t="shared" si="14"/>
        <v>55.872978244865152</v>
      </c>
      <c r="F56" s="12">
        <f t="shared" si="14"/>
        <v>83.855823610904366</v>
      </c>
      <c r="G56" s="12">
        <f t="shared" si="14"/>
        <v>52.983981353849593</v>
      </c>
      <c r="H56" s="12">
        <f t="shared" si="14"/>
        <v>471.45641858953525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99.276794104598991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4.4870965094626403</v>
      </c>
      <c r="C62" s="12">
        <f t="shared" ref="C62:F62" si="15">((C17/C15)-1)*100</f>
        <v>4.4912298548876795</v>
      </c>
      <c r="D62" s="12"/>
      <c r="E62" s="12"/>
      <c r="F62" s="12">
        <f t="shared" si="15"/>
        <v>4.3740102692067628</v>
      </c>
      <c r="G62" s="12"/>
      <c r="H62" s="12"/>
    </row>
    <row r="63" spans="1:8" ht="15.6" x14ac:dyDescent="0.35">
      <c r="A63" s="5" t="s">
        <v>22</v>
      </c>
      <c r="B63" s="12">
        <f>((B38/B37)-1)*100</f>
        <v>3.7123429880183023</v>
      </c>
      <c r="C63" s="12">
        <f t="shared" ref="C63:H63" si="16">((C38/C37)-1)*100</f>
        <v>1.6337885395351082</v>
      </c>
      <c r="D63" s="12"/>
      <c r="E63" s="12"/>
      <c r="F63" s="12">
        <f t="shared" si="16"/>
        <v>-0.11761643055828719</v>
      </c>
      <c r="G63" s="12">
        <f t="shared" si="16"/>
        <v>70.738716550304133</v>
      </c>
      <c r="H63" s="12">
        <f t="shared" si="16"/>
        <v>-38.853134627761698</v>
      </c>
    </row>
    <row r="64" spans="1:8" ht="15.6" x14ac:dyDescent="0.35">
      <c r="A64" s="5" t="s">
        <v>23</v>
      </c>
      <c r="B64" s="12">
        <f>((B40/B39)-1)*100</f>
        <v>-0.74148248666681127</v>
      </c>
      <c r="C64" s="12">
        <f t="shared" ref="C64:F64" si="17">((C40/C39)-1)*100</f>
        <v>-2.734623105997358</v>
      </c>
      <c r="D64" s="12"/>
      <c r="E64" s="12"/>
      <c r="F64" s="12">
        <f t="shared" si="17"/>
        <v>-4.3033957286684688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B22/(B16*9)</f>
        <v>100791.46104147904</v>
      </c>
      <c r="C67" s="12">
        <f t="shared" ref="C67:F67" si="18">C22/(C16*9)</f>
        <v>81999.931056169022</v>
      </c>
      <c r="D67" s="12">
        <f t="shared" si="18"/>
        <v>81999.999999999985</v>
      </c>
      <c r="E67" s="12">
        <f t="shared" si="18"/>
        <v>81999.815588609679</v>
      </c>
      <c r="F67" s="12">
        <f t="shared" si="18"/>
        <v>316806.02821420314</v>
      </c>
      <c r="G67" s="12"/>
      <c r="H67" s="12"/>
    </row>
    <row r="68" spans="1:8" ht="15.6" x14ac:dyDescent="0.35">
      <c r="A68" s="5" t="s">
        <v>31</v>
      </c>
      <c r="B68" s="12">
        <f>B23/(B17*9)</f>
        <v>97451.904084443537</v>
      </c>
      <c r="C68" s="12">
        <f t="shared" ref="C68:F68" si="19">C23/(C17*9)</f>
        <v>82247.636764352908</v>
      </c>
      <c r="D68" s="12">
        <f t="shared" si="19"/>
        <v>79904.850173486586</v>
      </c>
      <c r="E68" s="12">
        <f t="shared" si="19"/>
        <v>89735.957941670567</v>
      </c>
      <c r="F68" s="12">
        <f t="shared" si="19"/>
        <v>310700.26872945449</v>
      </c>
      <c r="G68" s="12"/>
      <c r="H68" s="12"/>
    </row>
    <row r="69" spans="1:8" ht="15.6" x14ac:dyDescent="0.35">
      <c r="A69" s="5" t="s">
        <v>25</v>
      </c>
      <c r="B69" s="12">
        <f>(B68/B67)*B51</f>
        <v>95.269953461116941</v>
      </c>
      <c r="C69" s="12">
        <f t="shared" ref="C69:F69" si="20">(C68/C67)*C51</f>
        <v>100.63330601980742</v>
      </c>
      <c r="D69" s="12">
        <f t="shared" si="20"/>
        <v>117.23610941687879</v>
      </c>
      <c r="E69" s="12">
        <f t="shared" si="20"/>
        <v>73.17630311617026</v>
      </c>
      <c r="F69" s="12">
        <f t="shared" si="20"/>
        <v>97.736515832133634</v>
      </c>
      <c r="G69" s="12"/>
      <c r="H69" s="12"/>
    </row>
    <row r="70" spans="1:8" ht="15.6" x14ac:dyDescent="0.35">
      <c r="A70" s="13" t="s">
        <v>37</v>
      </c>
      <c r="B70" s="12">
        <f>B22/B16</f>
        <v>907123.14937331132</v>
      </c>
      <c r="C70" s="12">
        <f t="shared" ref="C70:F70" si="21">C22/C16</f>
        <v>737999.37950552127</v>
      </c>
      <c r="D70" s="12">
        <f t="shared" si="21"/>
        <v>737999.99999999988</v>
      </c>
      <c r="E70" s="12">
        <f t="shared" si="21"/>
        <v>737998.3402974871</v>
      </c>
      <c r="F70" s="12">
        <f t="shared" si="21"/>
        <v>2851254.2539278283</v>
      </c>
      <c r="G70" s="12"/>
      <c r="H70" s="12"/>
    </row>
    <row r="71" spans="1:8" ht="15.6" x14ac:dyDescent="0.35">
      <c r="A71" s="13" t="s">
        <v>38</v>
      </c>
      <c r="B71" s="12">
        <f>B23/B17</f>
        <v>877067.13675999187</v>
      </c>
      <c r="C71" s="12">
        <f t="shared" ref="C71:F71" si="22">C23/C17</f>
        <v>740228.73087917618</v>
      </c>
      <c r="D71" s="12">
        <f t="shared" si="22"/>
        <v>719143.6515613792</v>
      </c>
      <c r="E71" s="12">
        <f t="shared" si="22"/>
        <v>807623.62147503509</v>
      </c>
      <c r="F71" s="12">
        <f t="shared" si="22"/>
        <v>2796302.4185650907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96.874846778138846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99.999999916911364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</sheetData>
  <mergeCells count="5">
    <mergeCell ref="A9:A10"/>
    <mergeCell ref="B9:B10"/>
    <mergeCell ref="C9:H9"/>
    <mergeCell ref="A77:H77"/>
    <mergeCell ref="A78:H7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8" spans="1:8" ht="17.25" customHeight="1" x14ac:dyDescent="0.3"/>
    <row r="9" spans="1:8" s="2" customFormat="1" ht="15.6" x14ac:dyDescent="0.3">
      <c r="A9" s="22" t="s">
        <v>0</v>
      </c>
      <c r="B9" s="22" t="s">
        <v>34</v>
      </c>
      <c r="C9" s="28" t="s">
        <v>45</v>
      </c>
      <c r="D9" s="28"/>
      <c r="E9" s="28"/>
      <c r="F9" s="28"/>
      <c r="G9" s="28"/>
      <c r="H9" s="28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71</v>
      </c>
      <c r="B15" s="8">
        <f>+C15+F15</f>
        <v>134395.66666666666</v>
      </c>
      <c r="C15" s="8">
        <f>+SUM(D15:E15)</f>
        <v>129635</v>
      </c>
      <c r="D15" s="8">
        <v>98223.666666666672</v>
      </c>
      <c r="E15" s="8">
        <v>31411.333333333332</v>
      </c>
      <c r="F15" s="8">
        <v>4760.666666666667</v>
      </c>
      <c r="G15" s="8"/>
      <c r="H15" s="8"/>
    </row>
    <row r="16" spans="1:8" ht="15.6" x14ac:dyDescent="0.35">
      <c r="A16" s="7" t="s">
        <v>111</v>
      </c>
      <c r="B16" s="8">
        <f t="shared" ref="B16:B18" si="0">+C16+F16</f>
        <v>139276.33333333331</v>
      </c>
      <c r="C16" s="8">
        <f t="shared" ref="C16:C18" si="1">+SUM(D16:E16)</f>
        <v>134387.33333333331</v>
      </c>
      <c r="D16" s="8">
        <v>84149.333333333328</v>
      </c>
      <c r="E16" s="8">
        <v>50238</v>
      </c>
      <c r="F16" s="8">
        <v>4889</v>
      </c>
      <c r="G16" s="8"/>
      <c r="H16" s="8"/>
    </row>
    <row r="17" spans="1:8" ht="15.6" x14ac:dyDescent="0.35">
      <c r="A17" s="7" t="s">
        <v>112</v>
      </c>
      <c r="B17" s="8">
        <f t="shared" si="0"/>
        <v>140626.66666666666</v>
      </c>
      <c r="C17" s="8">
        <f t="shared" si="1"/>
        <v>135676.66666666666</v>
      </c>
      <c r="D17" s="8">
        <v>103565.33333333333</v>
      </c>
      <c r="E17" s="8">
        <v>32111.333333333332</v>
      </c>
      <c r="F17" s="8">
        <v>4950</v>
      </c>
      <c r="G17" s="8"/>
      <c r="H17" s="8"/>
    </row>
    <row r="18" spans="1:8" ht="15.6" x14ac:dyDescent="0.35">
      <c r="A18" s="7" t="s">
        <v>81</v>
      </c>
      <c r="B18" s="8">
        <f t="shared" si="0"/>
        <v>137536.08333333334</v>
      </c>
      <c r="C18" s="8">
        <f t="shared" si="1"/>
        <v>132711.25</v>
      </c>
      <c r="D18" s="8">
        <v>83097</v>
      </c>
      <c r="E18" s="8">
        <v>49614.25</v>
      </c>
      <c r="F18" s="8">
        <v>4824.833333333333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71</v>
      </c>
      <c r="B21" s="8">
        <f>+C21+F21+G21+H21</f>
        <v>37524590100</v>
      </c>
      <c r="C21" s="8">
        <f>+SUM(D21:E21)</f>
        <v>31995158500</v>
      </c>
      <c r="D21" s="8">
        <v>23676417290</v>
      </c>
      <c r="E21" s="8">
        <v>8318741210.000001</v>
      </c>
      <c r="F21" s="11">
        <v>4705710900</v>
      </c>
      <c r="G21" s="8">
        <v>634265300</v>
      </c>
      <c r="H21" s="8">
        <v>189455400</v>
      </c>
    </row>
    <row r="22" spans="1:8" ht="15.6" x14ac:dyDescent="0.35">
      <c r="A22" s="7" t="s">
        <v>111</v>
      </c>
      <c r="B22" s="8">
        <f>+C22+F22+G22+H22</f>
        <v>52525233569.458687</v>
      </c>
      <c r="C22" s="8">
        <f>+SUM(D22:E22)</f>
        <v>43994411111.680016</v>
      </c>
      <c r="D22" s="8">
        <v>27547753348.506817</v>
      </c>
      <c r="E22" s="8">
        <v>16446657763.173201</v>
      </c>
      <c r="F22" s="11">
        <v>6317664552.5007582</v>
      </c>
      <c r="G22" s="8">
        <v>2167002905.2779155</v>
      </c>
      <c r="H22" s="8">
        <v>46155000</v>
      </c>
    </row>
    <row r="23" spans="1:8" ht="15.6" x14ac:dyDescent="0.35">
      <c r="A23" s="7" t="s">
        <v>112</v>
      </c>
      <c r="B23" s="8">
        <f t="shared" ref="B23:B24" si="2">+C23+F23+G23+H23</f>
        <v>43867257200</v>
      </c>
      <c r="C23" s="8">
        <f>+SUM(D23:E23)</f>
        <v>35269960800</v>
      </c>
      <c r="D23" s="8">
        <v>26099770992</v>
      </c>
      <c r="E23" s="8">
        <v>9170189808</v>
      </c>
      <c r="F23" s="11">
        <v>4992412700</v>
      </c>
      <c r="G23" s="8">
        <v>3220254500</v>
      </c>
      <c r="H23" s="8">
        <v>384629200</v>
      </c>
    </row>
    <row r="24" spans="1:8" ht="15.6" x14ac:dyDescent="0.35">
      <c r="A24" s="7" t="s">
        <v>81</v>
      </c>
      <c r="B24" s="8">
        <f t="shared" si="2"/>
        <v>176761191615.02997</v>
      </c>
      <c r="C24" s="8">
        <f>+SUM(D24:E24)</f>
        <v>141522997111.68005</v>
      </c>
      <c r="D24" s="8">
        <v>88614465348.506821</v>
      </c>
      <c r="E24" s="8">
        <v>52908531763.173241</v>
      </c>
      <c r="F24" s="8">
        <v>20013189152.200756</v>
      </c>
      <c r="G24" s="8">
        <v>15040385351.149164</v>
      </c>
      <c r="H24" s="8">
        <v>184620000</v>
      </c>
    </row>
    <row r="25" spans="1:8" ht="15.6" x14ac:dyDescent="0.35">
      <c r="A25" s="7" t="s">
        <v>113</v>
      </c>
      <c r="B25" s="8">
        <f>+C25+F25+G25</f>
        <v>43482628000</v>
      </c>
      <c r="C25" s="8">
        <f>+C23</f>
        <v>35269960800</v>
      </c>
      <c r="D25" s="8">
        <f t="shared" ref="D25:G25" si="3">+D23</f>
        <v>26099770992</v>
      </c>
      <c r="E25" s="8">
        <f t="shared" si="3"/>
        <v>9170189808</v>
      </c>
      <c r="F25" s="8">
        <f t="shared" si="3"/>
        <v>4992412700</v>
      </c>
      <c r="G25" s="8">
        <f t="shared" si="3"/>
        <v>3220254500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111</v>
      </c>
      <c r="B28" s="8">
        <f>B22</f>
        <v>52525233569.458687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112</v>
      </c>
      <c r="B29" s="8">
        <v>56407797900.000008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72</v>
      </c>
      <c r="B32" s="10">
        <v>1.0863</v>
      </c>
      <c r="C32" s="10">
        <v>1.0863</v>
      </c>
      <c r="D32" s="10">
        <v>1.0863</v>
      </c>
      <c r="E32" s="10">
        <v>1.0863</v>
      </c>
      <c r="F32" s="10">
        <v>1.0863</v>
      </c>
      <c r="G32" s="10">
        <v>1.0863</v>
      </c>
      <c r="H32" s="10">
        <v>1.0863</v>
      </c>
    </row>
    <row r="33" spans="1:8" ht="15.6" x14ac:dyDescent="0.35">
      <c r="A33" s="7" t="s">
        <v>114</v>
      </c>
      <c r="B33" s="10">
        <v>1.1144000000000001</v>
      </c>
      <c r="C33" s="10">
        <v>1.1144000000000001</v>
      </c>
      <c r="D33" s="10">
        <v>1.1144000000000001</v>
      </c>
      <c r="E33" s="10">
        <v>1.1144000000000001</v>
      </c>
      <c r="F33" s="10">
        <v>1.1144000000000001</v>
      </c>
      <c r="G33" s="10">
        <v>1.1144000000000001</v>
      </c>
      <c r="H33" s="10">
        <v>1.1144000000000001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73</v>
      </c>
      <c r="B37" s="8">
        <f>B21/B32</f>
        <v>34543487158.243576</v>
      </c>
      <c r="C37" s="8">
        <f t="shared" ref="C37:H37" si="4">C21/C32</f>
        <v>29453335634.723373</v>
      </c>
      <c r="D37" s="8">
        <f t="shared" si="4"/>
        <v>21795468369.695293</v>
      </c>
      <c r="E37" s="8">
        <f t="shared" si="4"/>
        <v>7657867265.0280771</v>
      </c>
      <c r="F37" s="8">
        <f t="shared" si="4"/>
        <v>4331870477.7685719</v>
      </c>
      <c r="G37" s="8">
        <f t="shared" si="4"/>
        <v>583876737.54947984</v>
      </c>
      <c r="H37" s="8">
        <f t="shared" si="4"/>
        <v>174404308.2021541</v>
      </c>
    </row>
    <row r="38" spans="1:8" ht="15.6" x14ac:dyDescent="0.35">
      <c r="A38" s="5" t="s">
        <v>115</v>
      </c>
      <c r="B38" s="8">
        <f>B23/B33</f>
        <v>39364013998.564247</v>
      </c>
      <c r="C38" s="8">
        <f t="shared" ref="C38:H38" si="5">C23/C33</f>
        <v>31649282842.785355</v>
      </c>
      <c r="D38" s="8">
        <f t="shared" si="5"/>
        <v>23420469303.661163</v>
      </c>
      <c r="E38" s="8">
        <f t="shared" si="5"/>
        <v>8228813539.1241922</v>
      </c>
      <c r="F38" s="8">
        <f t="shared" si="5"/>
        <v>4479910893.7544861</v>
      </c>
      <c r="G38" s="8">
        <f t="shared" si="5"/>
        <v>2889675610.1938262</v>
      </c>
      <c r="H38" s="8">
        <f t="shared" si="5"/>
        <v>345144651.83058149</v>
      </c>
    </row>
    <row r="39" spans="1:8" ht="15.6" x14ac:dyDescent="0.35">
      <c r="A39" s="5" t="s">
        <v>74</v>
      </c>
      <c r="B39" s="8">
        <f>B37/B15</f>
        <v>257028.28085908209</v>
      </c>
      <c r="C39" s="8">
        <f t="shared" ref="C39:F39" si="6">C37/C15</f>
        <v>227202.03366932829</v>
      </c>
      <c r="D39" s="8">
        <f t="shared" si="6"/>
        <v>221896.30166893205</v>
      </c>
      <c r="E39" s="8">
        <f t="shared" si="6"/>
        <v>243793.1298160349</v>
      </c>
      <c r="F39" s="8">
        <f t="shared" si="6"/>
        <v>909929.38197071245</v>
      </c>
      <c r="G39" s="8"/>
      <c r="H39" s="8"/>
    </row>
    <row r="40" spans="1:8" ht="15.6" x14ac:dyDescent="0.35">
      <c r="A40" s="5" t="s">
        <v>116</v>
      </c>
      <c r="B40" s="8">
        <f>B38/B17</f>
        <v>279918.55976982258</v>
      </c>
      <c r="C40" s="8">
        <f t="shared" ref="C40:F40" si="7">C38/C17</f>
        <v>233269.90277953976</v>
      </c>
      <c r="D40" s="8">
        <f t="shared" si="7"/>
        <v>226141.97772415317</v>
      </c>
      <c r="E40" s="8">
        <f t="shared" si="7"/>
        <v>256258.85582839473</v>
      </c>
      <c r="F40" s="8">
        <f t="shared" si="7"/>
        <v>905032.50378878508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94.62543114088426</v>
      </c>
      <c r="C45" s="12">
        <f>(C16/C34)*100</f>
        <v>101.16937932557425</v>
      </c>
      <c r="D45" s="12"/>
      <c r="E45" s="12"/>
      <c r="F45" s="12">
        <f>(F16/F34)*100</f>
        <v>34.062565317355258</v>
      </c>
      <c r="G45" s="12"/>
      <c r="H45" s="12"/>
    </row>
    <row r="46" spans="1:8" ht="15.6" x14ac:dyDescent="0.35">
      <c r="A46" s="5" t="s">
        <v>10</v>
      </c>
      <c r="B46" s="12">
        <f>(B17/B34)*100</f>
        <v>95.542858178145252</v>
      </c>
      <c r="C46" s="12">
        <f>(C17/C34)*100</f>
        <v>102.14001435375482</v>
      </c>
      <c r="D46" s="12"/>
      <c r="E46" s="12"/>
      <c r="F46" s="12">
        <f>(F17/F34)*100</f>
        <v>34.487563575559115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100.96953538409255</v>
      </c>
      <c r="C49" s="12">
        <f t="shared" ref="C49:F49" si="8">C17/C16*100</f>
        <v>100.95941581795904</v>
      </c>
      <c r="D49" s="12">
        <f t="shared" si="8"/>
        <v>123.07326657371023</v>
      </c>
      <c r="E49" s="12">
        <f t="shared" si="8"/>
        <v>63.918415011213291</v>
      </c>
      <c r="F49" s="12">
        <f t="shared" si="8"/>
        <v>101.24769891593373</v>
      </c>
      <c r="G49" s="12"/>
      <c r="H49" s="12"/>
    </row>
    <row r="50" spans="1:8" ht="15.6" x14ac:dyDescent="0.35">
      <c r="A50" s="5" t="s">
        <v>13</v>
      </c>
      <c r="B50" s="12">
        <f>B23/B22*100</f>
        <v>83.516539040212947</v>
      </c>
      <c r="C50" s="12">
        <f t="shared" ref="C50:H50" si="9">C23/C22*100</f>
        <v>80.169184923209997</v>
      </c>
      <c r="D50" s="12">
        <f t="shared" si="9"/>
        <v>94.74373703659829</v>
      </c>
      <c r="E50" s="12">
        <f t="shared" si="9"/>
        <v>55.757163188095149</v>
      </c>
      <c r="F50" s="12">
        <f t="shared" si="9"/>
        <v>79.023073455582946</v>
      </c>
      <c r="G50" s="12" t="s">
        <v>66</v>
      </c>
      <c r="H50" s="12">
        <f t="shared" si="9"/>
        <v>833.34243310583906</v>
      </c>
    </row>
    <row r="51" spans="1:8" ht="15.6" x14ac:dyDescent="0.35">
      <c r="A51" s="5" t="s">
        <v>14</v>
      </c>
      <c r="B51" s="12">
        <f>AVERAGE(B49:B50)</f>
        <v>92.243037212152757</v>
      </c>
      <c r="C51" s="12">
        <f t="shared" ref="C51:H51" si="10">AVERAGE(C49:C50)</f>
        <v>90.564300370584519</v>
      </c>
      <c r="D51" s="12">
        <f t="shared" si="10"/>
        <v>108.90850180515426</v>
      </c>
      <c r="E51" s="12">
        <f t="shared" si="10"/>
        <v>59.837789099654216</v>
      </c>
      <c r="F51" s="12">
        <f t="shared" si="10"/>
        <v>90.135386185758335</v>
      </c>
      <c r="G51" s="12" t="s">
        <v>66</v>
      </c>
      <c r="H51" s="12">
        <f t="shared" si="10"/>
        <v>833.34243310583906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102.24710727427286</v>
      </c>
      <c r="C54" s="12">
        <f t="shared" ref="C54:F54" si="11">C17/C18*100</f>
        <v>102.23448778205815</v>
      </c>
      <c r="D54" s="12">
        <f t="shared" si="11"/>
        <v>124.63185594345563</v>
      </c>
      <c r="E54" s="12">
        <f t="shared" si="11"/>
        <v>64.721996872538298</v>
      </c>
      <c r="F54" s="12">
        <f t="shared" si="11"/>
        <v>102.59421741683651</v>
      </c>
      <c r="G54" s="12"/>
      <c r="H54" s="12"/>
    </row>
    <row r="55" spans="1:8" ht="15.6" x14ac:dyDescent="0.35">
      <c r="A55" s="5" t="s">
        <v>17</v>
      </c>
      <c r="B55" s="12">
        <f>B23/B24*100</f>
        <v>24.817244554188655</v>
      </c>
      <c r="C55" s="12">
        <f t="shared" ref="C55:H55" si="12">C23/C24*100</f>
        <v>24.921716978737678</v>
      </c>
      <c r="D55" s="12">
        <f t="shared" si="12"/>
        <v>29.453172108361414</v>
      </c>
      <c r="E55" s="12">
        <f t="shared" si="12"/>
        <v>17.33215703101947</v>
      </c>
      <c r="F55" s="12">
        <f t="shared" si="12"/>
        <v>24.945612925719075</v>
      </c>
      <c r="G55" s="12">
        <f t="shared" si="12"/>
        <v>21.41071804223391</v>
      </c>
      <c r="H55" s="12">
        <f t="shared" si="12"/>
        <v>208.33560827645977</v>
      </c>
    </row>
    <row r="56" spans="1:8" ht="15.6" x14ac:dyDescent="0.35">
      <c r="A56" s="5" t="s">
        <v>18</v>
      </c>
      <c r="B56" s="12">
        <f>AVERAGE(B54:B55)</f>
        <v>63.532175914230763</v>
      </c>
      <c r="C56" s="12">
        <f t="shared" ref="C56:H56" si="13">AVERAGE(C54:C55)</f>
        <v>63.578102380397915</v>
      </c>
      <c r="D56" s="12">
        <f t="shared" si="13"/>
        <v>77.042514025908531</v>
      </c>
      <c r="E56" s="12">
        <f t="shared" si="13"/>
        <v>41.027076951778881</v>
      </c>
      <c r="F56" s="12">
        <f t="shared" si="13"/>
        <v>63.769915171277795</v>
      </c>
      <c r="G56" s="12">
        <f t="shared" si="13"/>
        <v>21.41071804223391</v>
      </c>
      <c r="H56" s="12">
        <f t="shared" si="13"/>
        <v>208.33560827645977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99.123197517806062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4.6363101984935096</v>
      </c>
      <c r="C62" s="12">
        <f t="shared" ref="C62:F62" si="14">((C17/C15)-1)*100</f>
        <v>4.6605212069785518</v>
      </c>
      <c r="D62" s="12"/>
      <c r="E62" s="12"/>
      <c r="F62" s="12">
        <f t="shared" si="14"/>
        <v>3.9770340288475037</v>
      </c>
      <c r="G62" s="12"/>
      <c r="H62" s="12"/>
    </row>
    <row r="63" spans="1:8" ht="15.6" x14ac:dyDescent="0.35">
      <c r="A63" s="5" t="s">
        <v>22</v>
      </c>
      <c r="B63" s="12">
        <f>((B38/B37)-1)*100</f>
        <v>13.954951387038195</v>
      </c>
      <c r="C63" s="12">
        <f t="shared" ref="C63:H63" si="15">((C38/C37)-1)*100</f>
        <v>7.4556825593401266</v>
      </c>
      <c r="D63" s="12"/>
      <c r="E63" s="12"/>
      <c r="F63" s="12">
        <f t="shared" si="15"/>
        <v>3.4174709688497673</v>
      </c>
      <c r="G63" s="12">
        <f t="shared" si="15"/>
        <v>394.91192650040193</v>
      </c>
      <c r="H63" s="12">
        <f t="shared" si="15"/>
        <v>97.899154779204324</v>
      </c>
    </row>
    <row r="64" spans="1:8" ht="15.6" x14ac:dyDescent="0.35">
      <c r="A64" s="5" t="s">
        <v>23</v>
      </c>
      <c r="B64" s="12">
        <f>((B40/B39)-1)*100</f>
        <v>8.9057433035123026</v>
      </c>
      <c r="C64" s="12">
        <f t="shared" ref="C64:F64" si="16">((C40/C39)-1)*100</f>
        <v>2.6706931325459315</v>
      </c>
      <c r="D64" s="12"/>
      <c r="E64" s="12"/>
      <c r="F64" s="12">
        <f t="shared" si="16"/>
        <v>-0.53816024396550199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125709.88028465878</v>
      </c>
      <c r="C67" s="12">
        <f>C22/(C16*3)</f>
        <v>109123.40724492889</v>
      </c>
      <c r="D67" s="12">
        <f t="shared" ref="D67:E67" si="17">D22/(D16*3)</f>
        <v>109122.48601100748</v>
      </c>
      <c r="E67" s="12">
        <f t="shared" si="17"/>
        <v>109124.95032427777</v>
      </c>
      <c r="F67" s="12">
        <f>F22/(F16*3)</f>
        <v>430740.06630536291</v>
      </c>
      <c r="G67" s="12"/>
      <c r="H67" s="12"/>
    </row>
    <row r="68" spans="1:8" ht="15.6" x14ac:dyDescent="0.35">
      <c r="A68" s="5" t="s">
        <v>31</v>
      </c>
      <c r="B68" s="12">
        <f>B23/(B17*3)</f>
        <v>103980.41433583009</v>
      </c>
      <c r="C68" s="12">
        <f>C23/(C17*3)</f>
        <v>86651.993219173033</v>
      </c>
      <c r="D68" s="12">
        <f t="shared" ref="D68:F68" si="18">D23/(D17*3)</f>
        <v>84004.206658598763</v>
      </c>
      <c r="E68" s="12">
        <f t="shared" si="18"/>
        <v>95191.622978387692</v>
      </c>
      <c r="F68" s="12">
        <f t="shared" si="18"/>
        <v>336189.40740740742</v>
      </c>
      <c r="G68" s="12"/>
      <c r="H68" s="12"/>
    </row>
    <row r="69" spans="1:8" ht="15.6" x14ac:dyDescent="0.35">
      <c r="A69" s="5" t="s">
        <v>25</v>
      </c>
      <c r="B69" s="12">
        <f>(B68/B67)*B51</f>
        <v>76.298451698434633</v>
      </c>
      <c r="C69" s="12">
        <f t="shared" ref="C69:F69" si="19">(C68/C67)*C51</f>
        <v>71.914700427169137</v>
      </c>
      <c r="D69" s="12">
        <f t="shared" si="19"/>
        <v>83.839478250116969</v>
      </c>
      <c r="E69" s="12">
        <f t="shared" si="19"/>
        <v>52.197561079368668</v>
      </c>
      <c r="F69" s="12">
        <f t="shared" si="19"/>
        <v>70.349996293926438</v>
      </c>
      <c r="G69" s="12"/>
      <c r="H69" s="12"/>
    </row>
    <row r="70" spans="1:8" ht="15.6" x14ac:dyDescent="0.35">
      <c r="A70" s="13" t="s">
        <v>32</v>
      </c>
      <c r="B70" s="12">
        <f>B22/B16</f>
        <v>377129.64085397637</v>
      </c>
      <c r="C70" s="12">
        <f>C22/C16</f>
        <v>327370.2217347867</v>
      </c>
      <c r="D70" s="12">
        <f t="shared" ref="D70:F70" si="20">D22/D16</f>
        <v>327367.45803302247</v>
      </c>
      <c r="E70" s="12">
        <f t="shared" si="20"/>
        <v>327374.85097283334</v>
      </c>
      <c r="F70" s="12">
        <f t="shared" si="20"/>
        <v>1292220.1989160888</v>
      </c>
      <c r="G70" s="12"/>
      <c r="H70" s="12"/>
    </row>
    <row r="71" spans="1:8" ht="15.6" x14ac:dyDescent="0.35">
      <c r="A71" s="13" t="s">
        <v>33</v>
      </c>
      <c r="B71" s="12">
        <f>B23/B17</f>
        <v>311941.24300749029</v>
      </c>
      <c r="C71" s="12">
        <f t="shared" ref="C71:F71" si="21">C23/C17</f>
        <v>259955.97965751911</v>
      </c>
      <c r="D71" s="12">
        <f t="shared" si="21"/>
        <v>252012.61997579629</v>
      </c>
      <c r="E71" s="12">
        <f t="shared" si="21"/>
        <v>285574.86893516307</v>
      </c>
      <c r="F71" s="12">
        <f t="shared" si="21"/>
        <v>1008568.2222222222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107.39180783538463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77.768072559343764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7"/>
      <c r="C76" s="17"/>
      <c r="D76" s="17"/>
      <c r="E76" s="17"/>
      <c r="F76" s="17"/>
      <c r="G76" s="17"/>
      <c r="H76" s="17"/>
    </row>
    <row r="77" spans="1:8" ht="16.2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42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79" spans="1:8" ht="38.25" customHeight="1" x14ac:dyDescent="0.35">
      <c r="A79" s="27" t="s">
        <v>125</v>
      </c>
      <c r="B79" s="27"/>
      <c r="C79" s="27"/>
      <c r="D79" s="27"/>
      <c r="E79" s="27"/>
      <c r="F79" s="27"/>
      <c r="G79" s="27"/>
      <c r="H79" s="27"/>
    </row>
    <row r="81" spans="1:8" ht="15.6" x14ac:dyDescent="0.35">
      <c r="A81" s="5" t="s">
        <v>123</v>
      </c>
      <c r="B81" s="5"/>
      <c r="C81" s="5"/>
      <c r="D81" s="5"/>
      <c r="E81" s="5"/>
      <c r="F81" s="5"/>
      <c r="G81" s="5"/>
      <c r="H81" s="5"/>
    </row>
    <row r="82" spans="1:8" ht="15.6" x14ac:dyDescent="0.35">
      <c r="A82" s="5" t="s">
        <v>124</v>
      </c>
      <c r="B82" s="5"/>
      <c r="C82" s="5"/>
      <c r="D82" s="5"/>
      <c r="E82" s="5"/>
      <c r="F82" s="5"/>
      <c r="G82" s="5"/>
      <c r="H82" s="5"/>
    </row>
  </sheetData>
  <mergeCells count="6">
    <mergeCell ref="A79:H79"/>
    <mergeCell ref="A77:H77"/>
    <mergeCell ref="A78:H78"/>
    <mergeCell ref="A9:A10"/>
    <mergeCell ref="B9:B10"/>
    <mergeCell ref="C9:H9"/>
  </mergeCells>
  <pageMargins left="0.7" right="0.7" top="0.75" bottom="0.75" header="0.3" footer="0.3"/>
  <pageSetup orientation="portrait" horizontalDpi="300" verticalDpi="300" r:id="rId1"/>
  <ignoredErrors>
    <ignoredError sqref="C15:C18 C21:C22 C23:C2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H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15.6" x14ac:dyDescent="0.3">
      <c r="A9" s="22" t="s">
        <v>0</v>
      </c>
      <c r="B9" s="22" t="s">
        <v>34</v>
      </c>
      <c r="C9" s="28" t="s">
        <v>45</v>
      </c>
      <c r="D9" s="28"/>
      <c r="E9" s="28"/>
      <c r="F9" s="28"/>
      <c r="G9" s="28"/>
      <c r="H9" s="28"/>
    </row>
    <row r="10" spans="1:8" s="2" customFormat="1" ht="47.4" thickBot="1" x14ac:dyDescent="0.35">
      <c r="A10" s="23"/>
      <c r="B10" s="23"/>
      <c r="C10" s="20" t="s">
        <v>46</v>
      </c>
      <c r="D10" s="20" t="s">
        <v>47</v>
      </c>
      <c r="E10" s="20" t="s">
        <v>48</v>
      </c>
      <c r="F10" s="20" t="s">
        <v>42</v>
      </c>
      <c r="G10" s="20" t="s">
        <v>43</v>
      </c>
      <c r="H10" s="20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75</v>
      </c>
      <c r="B15" s="8">
        <f>+C15+F15</f>
        <v>132096.16666666666</v>
      </c>
      <c r="C15" s="8">
        <f>+SUM(D15:E15)</f>
        <v>127432.83333333333</v>
      </c>
      <c r="D15" s="8">
        <f>(+'I Trimestre'!D15+'II Trimestre'!D15+'III Trimestre'!D15+'IV Trimestre'!D15)/4</f>
        <v>96190.833333333328</v>
      </c>
      <c r="E15" s="8">
        <f>(+'I Trimestre'!E15+'II Trimestre'!E15+'III Trimestre'!E15+'IV Trimestre'!E15)/4</f>
        <v>31241.999999999996</v>
      </c>
      <c r="F15" s="8">
        <f>(+'I Trimestre'!F15+'II Trimestre'!F15+'III Trimestre'!F15+'IV Trimestre'!F15)/4</f>
        <v>4663.3333333333339</v>
      </c>
      <c r="G15" s="8"/>
      <c r="H15" s="8"/>
    </row>
    <row r="16" spans="1:8" ht="15.6" x14ac:dyDescent="0.35">
      <c r="A16" s="7" t="s">
        <v>117</v>
      </c>
      <c r="B16" s="8">
        <f>+C16+F16</f>
        <v>137536.08333333334</v>
      </c>
      <c r="C16" s="8">
        <f>+SUM(D16:E16)</f>
        <v>132711.33333333334</v>
      </c>
      <c r="D16" s="8">
        <f>(+'I Trimestre'!D16+'II Trimestre'!D16+'III Trimestre'!D16+'IV Trimestre'!D16)/4</f>
        <v>83097</v>
      </c>
      <c r="E16" s="8">
        <f>(+'I Trimestre'!E16+'II Trimestre'!E16+'III Trimestre'!E16+'IV Trimestre'!E16)/4</f>
        <v>49614.333333333336</v>
      </c>
      <c r="F16" s="8">
        <f>(+'I Trimestre'!F16+'II Trimestre'!F16+'III Trimestre'!F16+'IV Trimestre'!F16)/4</f>
        <v>4824.75</v>
      </c>
      <c r="G16" s="8"/>
      <c r="H16" s="8"/>
    </row>
    <row r="17" spans="1:8" ht="15.6" x14ac:dyDescent="0.35">
      <c r="A17" s="7" t="s">
        <v>118</v>
      </c>
      <c r="B17" s="8">
        <f>+C17+F17</f>
        <v>138073.58333333334</v>
      </c>
      <c r="C17" s="8">
        <f>+SUM(D17:E17)</f>
        <v>133211</v>
      </c>
      <c r="D17" s="8">
        <f>(+'I Trimestre'!D17+'II Trimestre'!D17+'III Trimestre'!D17+'IV Trimestre'!D17)/4</f>
        <v>101521.58333333333</v>
      </c>
      <c r="E17" s="8">
        <f>(+'I Trimestre'!E17+'II Trimestre'!E17+'III Trimestre'!E17+'IV Trimestre'!E17)/4</f>
        <v>31689.416666666664</v>
      </c>
      <c r="F17" s="8">
        <f>(+'I Trimestre'!F17+'II Trimestre'!F17+'III Trimestre'!F17+'IV Trimestre'!F17)/4</f>
        <v>4862.583333333333</v>
      </c>
      <c r="G17" s="8"/>
      <c r="H17" s="8"/>
    </row>
    <row r="18" spans="1:8" ht="15.6" x14ac:dyDescent="0.35">
      <c r="A18" s="7" t="s">
        <v>81</v>
      </c>
      <c r="B18" s="8">
        <f t="shared" ref="B18" si="0">+C18+F18</f>
        <v>137536.08333333334</v>
      </c>
      <c r="C18" s="8">
        <f>+SUM(D18:E18)</f>
        <v>132711.25</v>
      </c>
      <c r="D18" s="8">
        <f>'IV Trimestre'!D18</f>
        <v>83097</v>
      </c>
      <c r="E18" s="8">
        <f>'IV Trimestre'!E18</f>
        <v>49614.25</v>
      </c>
      <c r="F18" s="8">
        <f>'IV Trimestre'!F18</f>
        <v>4824.833333333333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75</v>
      </c>
      <c r="B21" s="8">
        <f>+C21+F21+G21+H21</f>
        <v>150098360600</v>
      </c>
      <c r="C21" s="8">
        <f>+SUM(D21:E21)</f>
        <v>125533444020</v>
      </c>
      <c r="D21" s="8">
        <f>+'I Trimestre'!D21+'II Trimestre'!D21+'III Trimestre'!D21+'IV Trimestre'!D21</f>
        <v>92894748574.800003</v>
      </c>
      <c r="E21" s="8">
        <f>+'I Trimestre'!E21+'II Trimestre'!E21+'III Trimestre'!E21+'IV Trimestre'!E21</f>
        <v>32638695445.200001</v>
      </c>
      <c r="F21" s="8">
        <f>+'I Trimestre'!F21+'II Trimestre'!F21+'III Trimestre'!F21+'IV Trimestre'!F21</f>
        <v>17832584040</v>
      </c>
      <c r="G21" s="8">
        <f>+'I Trimestre'!G21+'II Trimestre'!G21+'III Trimestre'!G21+'IV Trimestre'!G21</f>
        <v>5161998800</v>
      </c>
      <c r="H21" s="8">
        <f>+'I Trimestre'!H21+'II Trimestre'!H21+'III Trimestre'!H21+'IV Trimestre'!H21</f>
        <v>1570333740</v>
      </c>
    </row>
    <row r="22" spans="1:8" ht="15.6" x14ac:dyDescent="0.35">
      <c r="A22" s="7" t="s">
        <v>117</v>
      </c>
      <c r="B22" s="8">
        <f>+C22+F22+G22+H22</f>
        <v>176761191615.02997</v>
      </c>
      <c r="C22" s="8">
        <f>+SUM(D22:E22)</f>
        <v>141522997111.68002</v>
      </c>
      <c r="D22" s="8">
        <f>+'I Trimestre'!D22+'II Trimestre'!D22+'III Trimestre'!D22+'IV Trimestre'!D22</f>
        <v>88614465348.506821</v>
      </c>
      <c r="E22" s="8">
        <f>+'I Trimestre'!E22+'II Trimestre'!E22+'III Trimestre'!E22+'IV Trimestre'!E22</f>
        <v>52908531763.173203</v>
      </c>
      <c r="F22" s="8">
        <f>+'I Trimestre'!F22+'II Trimestre'!F22+'III Trimestre'!F22+'IV Trimestre'!F22</f>
        <v>20013189152.20076</v>
      </c>
      <c r="G22" s="8">
        <f>+'I Trimestre'!G22+'II Trimestre'!G22+'III Trimestre'!G22+'IV Trimestre'!G22</f>
        <v>15040385351.149164</v>
      </c>
      <c r="H22" s="8">
        <f>+'I Trimestre'!H22+'II Trimestre'!H22+'III Trimestre'!H22+'IV Trimestre'!H22</f>
        <v>184620000</v>
      </c>
    </row>
    <row r="23" spans="1:8" ht="15.6" x14ac:dyDescent="0.35">
      <c r="A23" s="7" t="s">
        <v>118</v>
      </c>
      <c r="B23" s="8">
        <f>+C23+F23+G23+H23</f>
        <v>164220651100</v>
      </c>
      <c r="C23" s="8">
        <f>+SUM(D23:E23)</f>
        <v>133268184500</v>
      </c>
      <c r="D23" s="8">
        <f>+'I Trimestre'!D23+'II Trimestre'!D23+'III Trimestre'!D23+'IV Trimestre'!D23</f>
        <v>98618456530</v>
      </c>
      <c r="E23" s="8">
        <f>+'I Trimestre'!E23+'II Trimestre'!E23+'III Trimestre'!E23+'IV Trimestre'!E23</f>
        <v>34649727970</v>
      </c>
      <c r="F23" s="8">
        <f>+'I Trimestre'!F23+'II Trimestre'!F23+'III Trimestre'!F23+'IV Trimestre'!F23</f>
        <v>18508185090</v>
      </c>
      <c r="G23" s="8">
        <f>+'I Trimestre'!G23+'II Trimestre'!G23+'III Trimestre'!G23+'IV Trimestre'!G23</f>
        <v>11189249470</v>
      </c>
      <c r="H23" s="8">
        <f>+'I Trimestre'!H23+'II Trimestre'!H23+'III Trimestre'!H23+'IV Trimestre'!H23</f>
        <v>1255032040</v>
      </c>
    </row>
    <row r="24" spans="1:8" ht="15.6" x14ac:dyDescent="0.35">
      <c r="A24" s="7" t="s">
        <v>81</v>
      </c>
      <c r="B24" s="8">
        <f>+C24+F24+G24+H24</f>
        <v>176761191615.02997</v>
      </c>
      <c r="C24" s="8">
        <f>+SUM(D24:E24)</f>
        <v>141522997111.68005</v>
      </c>
      <c r="D24" s="8">
        <f>+'IV Trimestre'!D24</f>
        <v>88614465348.506821</v>
      </c>
      <c r="E24" s="8">
        <f>+'IV Trimestre'!E24</f>
        <v>52908531763.173241</v>
      </c>
      <c r="F24" s="8">
        <f>+'IV Trimestre'!F24</f>
        <v>20013189152.200756</v>
      </c>
      <c r="G24" s="8">
        <f>+'IV Trimestre'!G24</f>
        <v>15040385351.149164</v>
      </c>
      <c r="H24" s="8">
        <f>+'IV Trimestre'!H24</f>
        <v>184620000</v>
      </c>
    </row>
    <row r="25" spans="1:8" ht="15.6" x14ac:dyDescent="0.35">
      <c r="A25" s="7" t="s">
        <v>119</v>
      </c>
      <c r="B25" s="8">
        <f>+C25+F25+G25</f>
        <v>162965619060</v>
      </c>
      <c r="C25" s="8">
        <f>+SUM(D25:E25)</f>
        <v>133268184500</v>
      </c>
      <c r="D25" s="8">
        <f t="shared" ref="D25" si="1">+D23</f>
        <v>98618456530</v>
      </c>
      <c r="E25" s="8">
        <f t="shared" ref="E25" si="2">+E23</f>
        <v>34649727970</v>
      </c>
      <c r="F25" s="8">
        <f t="shared" ref="F25:G25" si="3">+F23</f>
        <v>18508185090</v>
      </c>
      <c r="G25" s="8">
        <f t="shared" si="3"/>
        <v>11189249470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117</v>
      </c>
      <c r="B28" s="8">
        <f>B22</f>
        <v>176761191615.02997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118</v>
      </c>
      <c r="B29" s="8">
        <f>+'I Trimestre'!B29+'II Trimestre'!B29+'III Trimestre'!B29+'IV Trimestre'!B29</f>
        <v>176761191900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76</v>
      </c>
      <c r="B32" s="10">
        <v>1.0863</v>
      </c>
      <c r="C32" s="10">
        <v>1.0863</v>
      </c>
      <c r="D32" s="10">
        <v>1.0863</v>
      </c>
      <c r="E32" s="10">
        <v>1.0863</v>
      </c>
      <c r="F32" s="10">
        <v>1.0863</v>
      </c>
      <c r="G32" s="10">
        <v>1.0863</v>
      </c>
      <c r="H32" s="10">
        <v>1.0863</v>
      </c>
    </row>
    <row r="33" spans="1:8" ht="15.6" x14ac:dyDescent="0.35">
      <c r="A33" s="7" t="s">
        <v>120</v>
      </c>
      <c r="B33" s="10">
        <v>1.1144000000000001</v>
      </c>
      <c r="C33" s="10">
        <v>1.1144000000000001</v>
      </c>
      <c r="D33" s="10">
        <v>1.1144000000000001</v>
      </c>
      <c r="E33" s="10">
        <v>1.1144000000000001</v>
      </c>
      <c r="F33" s="10">
        <v>1.1144000000000001</v>
      </c>
      <c r="G33" s="10">
        <v>1.1144000000000001</v>
      </c>
      <c r="H33" s="10">
        <v>1.1144000000000001</v>
      </c>
    </row>
    <row r="34" spans="1:8" ht="15.6" x14ac:dyDescent="0.35">
      <c r="A34" s="7" t="s">
        <v>5</v>
      </c>
      <c r="B34" s="11">
        <f>+C34+F34</f>
        <v>147187</v>
      </c>
      <c r="C34" s="11">
        <v>132834</v>
      </c>
      <c r="D34" s="11"/>
      <c r="E34" s="11"/>
      <c r="F34" s="11">
        <v>14353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77</v>
      </c>
      <c r="B37" s="8">
        <f>B21/B32</f>
        <v>138173948817.08551</v>
      </c>
      <c r="C37" s="8">
        <f t="shared" ref="C37:H37" si="4">C21/C32</f>
        <v>115560567080.91687</v>
      </c>
      <c r="D37" s="8">
        <f t="shared" si="4"/>
        <v>85514819639.878479</v>
      </c>
      <c r="E37" s="8">
        <f t="shared" si="4"/>
        <v>30045747441.038387</v>
      </c>
      <c r="F37" s="8">
        <f t="shared" si="4"/>
        <v>16415892515.879591</v>
      </c>
      <c r="G37" s="8">
        <f t="shared" si="4"/>
        <v>4751909049.0656357</v>
      </c>
      <c r="H37" s="8">
        <f t="shared" si="4"/>
        <v>1445580171.223419</v>
      </c>
    </row>
    <row r="38" spans="1:8" ht="15.6" x14ac:dyDescent="0.35">
      <c r="A38" s="5" t="s">
        <v>121</v>
      </c>
      <c r="B38" s="8">
        <f>B23/B33</f>
        <v>147362393305.81479</v>
      </c>
      <c r="C38" s="8">
        <f t="shared" ref="C38:H38" si="5">C23/C33</f>
        <v>119587387383.34529</v>
      </c>
      <c r="D38" s="8">
        <f t="shared" si="5"/>
        <v>88494666663.675522</v>
      </c>
      <c r="E38" s="8">
        <f t="shared" si="5"/>
        <v>31092720719.669777</v>
      </c>
      <c r="F38" s="8">
        <f t="shared" si="5"/>
        <v>16608206290.380472</v>
      </c>
      <c r="G38" s="8">
        <f t="shared" si="5"/>
        <v>10040604334.170855</v>
      </c>
      <c r="H38" s="8">
        <f t="shared" si="5"/>
        <v>1126195297.9181621</v>
      </c>
    </row>
    <row r="39" spans="1:8" ht="15.6" x14ac:dyDescent="0.35">
      <c r="A39" s="5" t="s">
        <v>78</v>
      </c>
      <c r="B39" s="8">
        <f>B37/B15</f>
        <v>1046010.2840512822</v>
      </c>
      <c r="C39" s="8">
        <f t="shared" ref="C39:F39" si="6">C37/C15</f>
        <v>906835.10723361617</v>
      </c>
      <c r="D39" s="8">
        <f t="shared" si="6"/>
        <v>889012.15091401793</v>
      </c>
      <c r="E39" s="8">
        <f t="shared" si="6"/>
        <v>961710.11590289965</v>
      </c>
      <c r="F39" s="8">
        <f t="shared" si="6"/>
        <v>3520205.6860356517</v>
      </c>
      <c r="G39" s="8"/>
      <c r="H39" s="8"/>
    </row>
    <row r="40" spans="1:8" ht="15.6" x14ac:dyDescent="0.35">
      <c r="A40" s="5" t="s">
        <v>122</v>
      </c>
      <c r="B40" s="8">
        <f>B38/B17</f>
        <v>1067274.3456657936</v>
      </c>
      <c r="C40" s="8">
        <f t="shared" ref="C40:F40" si="7">C38/C17</f>
        <v>897729.07179846475</v>
      </c>
      <c r="D40" s="8">
        <f t="shared" si="7"/>
        <v>871683.27914187894</v>
      </c>
      <c r="E40" s="8">
        <f t="shared" si="7"/>
        <v>981170.4976057657</v>
      </c>
      <c r="F40" s="8">
        <f t="shared" si="7"/>
        <v>3415510.8821539595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93.443091667968872</v>
      </c>
      <c r="C45" s="12">
        <f>(C16/C34)*100</f>
        <v>99.907654164847358</v>
      </c>
      <c r="D45" s="12"/>
      <c r="E45" s="12"/>
      <c r="F45" s="12">
        <f>(F16/F34)*100</f>
        <v>33.614923709329062</v>
      </c>
      <c r="G45" s="12"/>
      <c r="H45" s="12"/>
    </row>
    <row r="46" spans="1:8" ht="15.6" x14ac:dyDescent="0.35">
      <c r="A46" s="5" t="s">
        <v>10</v>
      </c>
      <c r="B46" s="12">
        <f>(B17/B34)*100</f>
        <v>93.808273375592506</v>
      </c>
      <c r="C46" s="12">
        <f>(C17/C34)*100</f>
        <v>100.28381287923274</v>
      </c>
      <c r="D46" s="12"/>
      <c r="E46" s="12"/>
      <c r="F46" s="12">
        <f>(F17/F34)*100</f>
        <v>33.878515525209593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100.39080653380053</v>
      </c>
      <c r="C49" s="12">
        <f t="shared" ref="C49:F49" si="8">C17/C16*100</f>
        <v>100.37650640236704</v>
      </c>
      <c r="D49" s="12">
        <f t="shared" si="8"/>
        <v>122.17238087215343</v>
      </c>
      <c r="E49" s="12">
        <f t="shared" si="8"/>
        <v>63.871495468379422</v>
      </c>
      <c r="F49" s="12">
        <f t="shared" si="8"/>
        <v>100.7841511649999</v>
      </c>
      <c r="G49" s="12"/>
      <c r="H49" s="12"/>
    </row>
    <row r="50" spans="1:8" ht="15.6" x14ac:dyDescent="0.35">
      <c r="A50" s="5" t="s">
        <v>13</v>
      </c>
      <c r="B50" s="12">
        <f>B23/B22*100</f>
        <v>92.905376796541333</v>
      </c>
      <c r="C50" s="12">
        <f t="shared" ref="C50:G50" si="9">C23/C22*100</f>
        <v>94.167158143799128</v>
      </c>
      <c r="D50" s="12">
        <f t="shared" si="9"/>
        <v>111.28934327160813</v>
      </c>
      <c r="E50" s="12">
        <f t="shared" si="9"/>
        <v>65.489868675807443</v>
      </c>
      <c r="F50" s="12">
        <f t="shared" si="9"/>
        <v>92.479938850549161</v>
      </c>
      <c r="G50" s="12">
        <f t="shared" si="9"/>
        <v>74.39469939608351</v>
      </c>
      <c r="H50" s="12">
        <f>H23/H22*100</f>
        <v>679.79202686599501</v>
      </c>
    </row>
    <row r="51" spans="1:8" ht="15.6" x14ac:dyDescent="0.35">
      <c r="A51" s="5" t="s">
        <v>14</v>
      </c>
      <c r="B51" s="12">
        <f>AVERAGE(B49:B50)</f>
        <v>96.648091665170938</v>
      </c>
      <c r="C51" s="12">
        <f t="shared" ref="C51:F51" si="10">AVERAGE(C49:C50)</f>
        <v>97.271832273083078</v>
      </c>
      <c r="D51" s="12">
        <f t="shared" si="10"/>
        <v>116.73086207188078</v>
      </c>
      <c r="E51" s="12">
        <f t="shared" si="10"/>
        <v>64.680682072093433</v>
      </c>
      <c r="F51" s="12">
        <f t="shared" si="10"/>
        <v>96.632045007774536</v>
      </c>
      <c r="G51" s="12">
        <f t="shared" ref="G51" si="11">AVERAGE(G49:G50)</f>
        <v>74.39469939608351</v>
      </c>
      <c r="H51" s="12">
        <f>AVERAGE(H49:H50)</f>
        <v>679.79202686599501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100.39080653380053</v>
      </c>
      <c r="C54" s="12">
        <f t="shared" ref="C54:F54" si="12">C17/C18*100</f>
        <v>100.37656943175503</v>
      </c>
      <c r="D54" s="12">
        <f t="shared" si="12"/>
        <v>122.17238087215343</v>
      </c>
      <c r="E54" s="12">
        <f t="shared" si="12"/>
        <v>63.871602748538301</v>
      </c>
      <c r="F54" s="12">
        <f t="shared" si="12"/>
        <v>100.78241044595669</v>
      </c>
      <c r="G54" s="12"/>
      <c r="H54" s="12"/>
    </row>
    <row r="55" spans="1:8" ht="15.6" x14ac:dyDescent="0.35">
      <c r="A55" s="5" t="s">
        <v>17</v>
      </c>
      <c r="B55" s="12">
        <f>B23/B24*100</f>
        <v>92.905376796541333</v>
      </c>
      <c r="C55" s="12">
        <f t="shared" ref="C55:G55" si="13">C23/C24*100</f>
        <v>94.167158143799114</v>
      </c>
      <c r="D55" s="12">
        <f t="shared" si="13"/>
        <v>111.28934327160813</v>
      </c>
      <c r="E55" s="12">
        <f t="shared" si="13"/>
        <v>65.489868675807401</v>
      </c>
      <c r="F55" s="12">
        <f t="shared" si="13"/>
        <v>92.479938850549175</v>
      </c>
      <c r="G55" s="12">
        <f t="shared" si="13"/>
        <v>74.39469939608351</v>
      </c>
      <c r="H55" s="12">
        <f>H23/H24*100</f>
        <v>679.79202686599501</v>
      </c>
    </row>
    <row r="56" spans="1:8" ht="15.6" x14ac:dyDescent="0.35">
      <c r="A56" s="5" t="s">
        <v>18</v>
      </c>
      <c r="B56" s="12">
        <f>AVERAGE(B54:B55)</f>
        <v>96.648091665170938</v>
      </c>
      <c r="C56" s="12">
        <f t="shared" ref="C56:F56" si="14">AVERAGE(C54:C55)</f>
        <v>97.271863787777079</v>
      </c>
      <c r="D56" s="12">
        <f t="shared" si="14"/>
        <v>116.73086207188078</v>
      </c>
      <c r="E56" s="12">
        <f t="shared" si="14"/>
        <v>64.680735712172847</v>
      </c>
      <c r="F56" s="12">
        <f t="shared" si="14"/>
        <v>96.631174648252937</v>
      </c>
      <c r="G56" s="12">
        <f t="shared" ref="G56" si="15">AVERAGE(G54:G55)</f>
        <v>74.39469939608351</v>
      </c>
      <c r="H56" s="12">
        <f>AVERAGE(H54:H55)</f>
        <v>679.79202686599501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99.235764788658784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4.5250493012035653</v>
      </c>
      <c r="C62" s="12">
        <f t="shared" ref="C62:F62" si="16">((C17/C15)-1)*100</f>
        <v>4.534284073832362</v>
      </c>
      <c r="D62" s="12"/>
      <c r="E62" s="12"/>
      <c r="F62" s="12">
        <f t="shared" si="16"/>
        <v>4.2726947819871075</v>
      </c>
      <c r="G62" s="12"/>
      <c r="H62" s="12"/>
    </row>
    <row r="63" spans="1:8" ht="15.6" x14ac:dyDescent="0.35">
      <c r="A63" s="5" t="s">
        <v>22</v>
      </c>
      <c r="B63" s="12">
        <f>((B38/B37)-1)*100</f>
        <v>6.6499109038947291</v>
      </c>
      <c r="C63" s="12">
        <f t="shared" ref="C63:H63" si="17">((C38/C37)-1)*100</f>
        <v>3.4845972152497184</v>
      </c>
      <c r="D63" s="12"/>
      <c r="E63" s="12"/>
      <c r="F63" s="12">
        <f t="shared" si="17"/>
        <v>1.1715097081371084</v>
      </c>
      <c r="G63" s="12">
        <f t="shared" si="17"/>
        <v>111.29622285479415</v>
      </c>
      <c r="H63" s="12">
        <f t="shared" si="17"/>
        <v>-22.093888645066016</v>
      </c>
    </row>
    <row r="64" spans="1:8" ht="15.6" x14ac:dyDescent="0.35">
      <c r="A64" s="5" t="s">
        <v>23</v>
      </c>
      <c r="B64" s="12">
        <f>((B40/B39)-1)*100</f>
        <v>2.0328730930019079</v>
      </c>
      <c r="C64" s="12">
        <f>((C40/C39)-1)*100</f>
        <v>-1.0041555915198508</v>
      </c>
      <c r="D64" s="12"/>
      <c r="E64" s="12"/>
      <c r="F64" s="12">
        <f t="shared" ref="F64" si="18">((F40/F39)-1)*100</f>
        <v>-2.9741104134058838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B22/(B16*12)</f>
        <v>107099.88931088385</v>
      </c>
      <c r="C67" s="12">
        <f>C22/(C16*12)</f>
        <v>88866.435114609674</v>
      </c>
      <c r="D67" s="12">
        <f>D22/(D16*12)</f>
        <v>88866.490716177897</v>
      </c>
      <c r="E67" s="12">
        <f>E22/(E16*12)</f>
        <v>88866.341989836947</v>
      </c>
      <c r="F67" s="12">
        <f>F22/(F16*12)</f>
        <v>345668.8455740498</v>
      </c>
      <c r="G67" s="12"/>
      <c r="H67" s="12"/>
    </row>
    <row r="68" spans="1:8" ht="15.6" x14ac:dyDescent="0.35">
      <c r="A68" s="5" t="s">
        <v>31</v>
      </c>
      <c r="B68" s="12">
        <f>B23/(B17*12)</f>
        <v>99114.210900830047</v>
      </c>
      <c r="C68" s="12">
        <f t="shared" ref="C68:E68" si="19">C23/(C17*12)</f>
        <v>83369.106467684105</v>
      </c>
      <c r="D68" s="12">
        <f t="shared" si="19"/>
        <v>80950.320522975817</v>
      </c>
      <c r="E68" s="12">
        <f t="shared" si="19"/>
        <v>91118.033544322112</v>
      </c>
      <c r="F68" s="12">
        <f>F23/(F17*12)</f>
        <v>317187.11058936437</v>
      </c>
      <c r="G68" s="12"/>
      <c r="H68" s="12"/>
    </row>
    <row r="69" spans="1:8" ht="15.6" x14ac:dyDescent="0.35">
      <c r="A69" s="5" t="s">
        <v>25</v>
      </c>
      <c r="B69" s="12">
        <f>(B68/B67)*B51</f>
        <v>89.441729604953352</v>
      </c>
      <c r="C69" s="12">
        <f t="shared" ref="C69:F69" si="20">(C68/C67)*C51</f>
        <v>91.254540936887153</v>
      </c>
      <c r="D69" s="12">
        <f t="shared" si="20"/>
        <v>106.33255148806943</v>
      </c>
      <c r="E69" s="12">
        <f t="shared" si="20"/>
        <v>66.319558414913175</v>
      </c>
      <c r="F69" s="12">
        <f t="shared" si="20"/>
        <v>88.669949689728185</v>
      </c>
      <c r="G69" s="12"/>
      <c r="H69" s="12"/>
    </row>
    <row r="70" spans="1:8" ht="15.6" x14ac:dyDescent="0.35">
      <c r="A70" s="13" t="s">
        <v>39</v>
      </c>
      <c r="B70" s="12">
        <f>B22/B16</f>
        <v>1285198.6717306061</v>
      </c>
      <c r="C70" s="12">
        <f t="shared" ref="C70:F70" si="21">C22/C16</f>
        <v>1066397.2213753159</v>
      </c>
      <c r="D70" s="12">
        <f t="shared" si="21"/>
        <v>1066397.8885941347</v>
      </c>
      <c r="E70" s="12">
        <f t="shared" si="21"/>
        <v>1066396.1038780434</v>
      </c>
      <c r="F70" s="12">
        <f t="shared" si="21"/>
        <v>4148026.1468885974</v>
      </c>
      <c r="G70" s="12"/>
      <c r="H70" s="12"/>
    </row>
    <row r="71" spans="1:8" ht="15.6" x14ac:dyDescent="0.35">
      <c r="A71" s="13" t="s">
        <v>40</v>
      </c>
      <c r="B71" s="12">
        <f>B23/B17</f>
        <v>1189370.5308099606</v>
      </c>
      <c r="C71" s="12">
        <f t="shared" ref="C71:F71" si="22">C23/C17</f>
        <v>1000429.2776122092</v>
      </c>
      <c r="D71" s="12">
        <f t="shared" si="22"/>
        <v>971403.84627570992</v>
      </c>
      <c r="E71" s="12">
        <f t="shared" si="22"/>
        <v>1093416.4025318653</v>
      </c>
      <c r="F71" s="12">
        <f t="shared" si="22"/>
        <v>3806245.3270723727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100.00000016121753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92.905376646761567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20.25" customHeight="1" thickTop="1" x14ac:dyDescent="0.3">
      <c r="A77" s="25" t="s">
        <v>86</v>
      </c>
      <c r="B77" s="25"/>
      <c r="C77" s="25"/>
      <c r="D77" s="25"/>
      <c r="E77" s="25"/>
      <c r="F77" s="25"/>
      <c r="G77" s="25"/>
      <c r="H77" s="25"/>
    </row>
    <row r="78" spans="1:8" ht="35.1" customHeight="1" x14ac:dyDescent="0.3">
      <c r="A78" s="26" t="s">
        <v>53</v>
      </c>
      <c r="B78" s="26"/>
      <c r="C78" s="26"/>
      <c r="D78" s="26"/>
      <c r="E78" s="26"/>
      <c r="F78" s="26"/>
      <c r="G78" s="26"/>
      <c r="H78" s="26"/>
    </row>
    <row r="80" spans="1:8" ht="38.25" customHeight="1" x14ac:dyDescent="0.35">
      <c r="A80" s="27" t="s">
        <v>125</v>
      </c>
      <c r="B80" s="27"/>
      <c r="C80" s="27"/>
      <c r="D80" s="27"/>
      <c r="E80" s="27"/>
      <c r="F80" s="27"/>
      <c r="G80" s="27"/>
      <c r="H80" s="27"/>
    </row>
  </sheetData>
  <mergeCells count="6">
    <mergeCell ref="A80:H80"/>
    <mergeCell ref="A9:A10"/>
    <mergeCell ref="B9:B10"/>
    <mergeCell ref="C9:H9"/>
    <mergeCell ref="A77:H77"/>
    <mergeCell ref="A78:H78"/>
  </mergeCells>
  <pageMargins left="0.7" right="0.7" top="0.75" bottom="0.75" header="0.3" footer="0.3"/>
  <pageSetup orientation="portrait" r:id="rId1"/>
  <ignoredErrors>
    <ignoredError sqref="D17:F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2012-04-23T14:39:07Z</dcterms:created>
  <dcterms:modified xsi:type="dcterms:W3CDTF">2025-12-30T19:19:05Z</dcterms:modified>
</cp:coreProperties>
</file>