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ttps://d.docs.live.net/217e95e08daa8650/Escritorio/Indicadores/Página web - Indicadores 2021/PW/"/>
    </mc:Choice>
  </mc:AlternateContent>
  <xr:revisionPtr revIDLastSave="1" documentId="11_5C3D61B7985C08A8FB8B69AD5247AF1D73BC94C5" xr6:coauthVersionLast="47" xr6:coauthVersionMax="47" xr10:uidLastSave="{F59671DF-1D8B-4513-8CBF-A0084CFCB80C}"/>
  <bookViews>
    <workbookView xWindow="-110" yWindow="-110" windowWidth="19420" windowHeight="10300" tabRatio="738" xr2:uid="{00000000-000D-0000-FFFF-FFFF00000000}"/>
  </bookViews>
  <sheets>
    <sheet name="I Trimestre" sheetId="1" r:id="rId1"/>
    <sheet name="II trimestre" sheetId="2" r:id="rId2"/>
    <sheet name="I Semestre" sheetId="6" r:id="rId3"/>
    <sheet name="III Trimestre" sheetId="3" r:id="rId4"/>
    <sheet name="III Trimestre Acumulado" sheetId="7" r:id="rId5"/>
    <sheet name="IV Trimestre" sheetId="4" r:id="rId6"/>
    <sheet name="Anual" sheetId="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1" i="4" l="1"/>
  <c r="E68" i="4"/>
  <c r="E67" i="4" l="1"/>
  <c r="E16" i="7"/>
  <c r="E16" i="6"/>
  <c r="E67" i="2"/>
  <c r="E16" i="5" l="1"/>
  <c r="E21" i="5"/>
  <c r="E37" i="5" s="1"/>
  <c r="E17" i="5" l="1"/>
  <c r="D17" i="5"/>
  <c r="D16" i="5"/>
  <c r="D62" i="4"/>
  <c r="E49" i="5" l="1"/>
  <c r="D49" i="5"/>
  <c r="B22" i="4"/>
  <c r="B23" i="4"/>
  <c r="B24" i="4"/>
  <c r="B16" i="4"/>
  <c r="B17" i="4"/>
  <c r="B18" i="4"/>
  <c r="B15" i="4"/>
  <c r="B22" i="3"/>
  <c r="B23" i="3"/>
  <c r="B24" i="3"/>
  <c r="B16" i="3"/>
  <c r="B17" i="3"/>
  <c r="B18" i="3"/>
  <c r="B15" i="3"/>
  <c r="B22" i="2"/>
  <c r="B23" i="2"/>
  <c r="B24" i="2"/>
  <c r="B16" i="2"/>
  <c r="B17" i="2"/>
  <c r="B18" i="2"/>
  <c r="B15" i="2"/>
  <c r="B16" i="1"/>
  <c r="B17" i="1"/>
  <c r="B18" i="1"/>
  <c r="B15" i="1"/>
  <c r="B29" i="5" l="1"/>
  <c r="B21" i="4" l="1"/>
  <c r="C62" i="3" l="1"/>
  <c r="D62" i="3"/>
  <c r="C37" i="1" l="1"/>
  <c r="C39" i="1" s="1"/>
  <c r="D37" i="1"/>
  <c r="E37" i="1"/>
  <c r="C38" i="1"/>
  <c r="C40" i="1" s="1"/>
  <c r="D38" i="1"/>
  <c r="E38" i="1"/>
  <c r="D39" i="1"/>
  <c r="D40" i="1"/>
  <c r="C71" i="4" l="1"/>
  <c r="C70" i="4"/>
  <c r="C68" i="4"/>
  <c r="C67" i="4"/>
  <c r="C71" i="3"/>
  <c r="C70" i="3"/>
  <c r="C68" i="3"/>
  <c r="C67" i="3"/>
  <c r="C71" i="2"/>
  <c r="C70" i="2"/>
  <c r="C68" i="2"/>
  <c r="C67" i="2"/>
  <c r="D67" i="2"/>
  <c r="C71" i="1"/>
  <c r="C70" i="1"/>
  <c r="C68" i="1"/>
  <c r="C67" i="1"/>
  <c r="C16" i="5" l="1"/>
  <c r="B16" i="5" s="1"/>
  <c r="D71" i="2"/>
  <c r="E70" i="2"/>
  <c r="D70" i="2"/>
  <c r="D68" i="2"/>
  <c r="D71" i="1"/>
  <c r="D70" i="1"/>
  <c r="D68" i="1"/>
  <c r="D67" i="1"/>
  <c r="D25" i="4" l="1"/>
  <c r="E25" i="4"/>
  <c r="C25" i="4"/>
  <c r="B25" i="4" l="1"/>
  <c r="C62" i="2"/>
  <c r="D62" i="2"/>
  <c r="C49" i="2"/>
  <c r="D49" i="2"/>
  <c r="E49" i="2"/>
  <c r="C50" i="2"/>
  <c r="D50" i="2"/>
  <c r="D51" i="2" s="1"/>
  <c r="D69" i="2" s="1"/>
  <c r="E50" i="2"/>
  <c r="C54" i="2"/>
  <c r="D54" i="2"/>
  <c r="E54" i="2"/>
  <c r="C55" i="2"/>
  <c r="D55" i="2"/>
  <c r="E55" i="2"/>
  <c r="C37" i="2"/>
  <c r="C39" i="2" s="1"/>
  <c r="D37" i="2"/>
  <c r="E37" i="2"/>
  <c r="C38" i="2"/>
  <c r="C40" i="2" s="1"/>
  <c r="D38" i="2"/>
  <c r="D40" i="2" s="1"/>
  <c r="E38" i="2"/>
  <c r="D39" i="2"/>
  <c r="C49" i="3"/>
  <c r="E49" i="3"/>
  <c r="C50" i="3"/>
  <c r="E50" i="3"/>
  <c r="C54" i="3"/>
  <c r="C56" i="3" s="1"/>
  <c r="D54" i="3"/>
  <c r="E54" i="3"/>
  <c r="C55" i="3"/>
  <c r="D55" i="3"/>
  <c r="D56" i="3" s="1"/>
  <c r="E55" i="3"/>
  <c r="E67" i="3"/>
  <c r="E68" i="3"/>
  <c r="E70" i="3"/>
  <c r="E71" i="3"/>
  <c r="C37" i="3"/>
  <c r="C39" i="3" s="1"/>
  <c r="D37" i="3"/>
  <c r="D39" i="3" s="1"/>
  <c r="E37" i="3"/>
  <c r="C38" i="3"/>
  <c r="D38" i="3"/>
  <c r="E38" i="3"/>
  <c r="C40" i="3"/>
  <c r="E40" i="3"/>
  <c r="C62" i="1"/>
  <c r="D62" i="1"/>
  <c r="E63" i="1"/>
  <c r="E54" i="1"/>
  <c r="E55" i="1"/>
  <c r="D54" i="1"/>
  <c r="D55" i="1"/>
  <c r="C54" i="1"/>
  <c r="C55" i="1"/>
  <c r="C49" i="1"/>
  <c r="D49" i="1"/>
  <c r="C50" i="1"/>
  <c r="D50" i="1"/>
  <c r="C64" i="3" l="1"/>
  <c r="E63" i="3"/>
  <c r="C63" i="3"/>
  <c r="E51" i="3"/>
  <c r="E69" i="3" s="1"/>
  <c r="C51" i="3"/>
  <c r="C69" i="3" s="1"/>
  <c r="D63" i="3"/>
  <c r="E63" i="2"/>
  <c r="E56" i="2"/>
  <c r="E51" i="2"/>
  <c r="E56" i="3"/>
  <c r="C51" i="1"/>
  <c r="C69" i="1" s="1"/>
  <c r="D64" i="2"/>
  <c r="C64" i="2"/>
  <c r="C56" i="2"/>
  <c r="C51" i="2"/>
  <c r="C69" i="2" s="1"/>
  <c r="C63" i="2"/>
  <c r="D56" i="2"/>
  <c r="D63" i="2"/>
  <c r="C56" i="1"/>
  <c r="D56" i="1"/>
  <c r="C64" i="1"/>
  <c r="E56" i="1"/>
  <c r="C63" i="1"/>
  <c r="D51" i="1"/>
  <c r="D69" i="1" s="1"/>
  <c r="D64" i="1"/>
  <c r="D63" i="1"/>
  <c r="D25" i="3"/>
  <c r="E25" i="3"/>
  <c r="C25" i="3"/>
  <c r="B25" i="3" s="1"/>
  <c r="D25" i="2" l="1"/>
  <c r="E25" i="2"/>
  <c r="C25" i="2"/>
  <c r="B25" i="2" s="1"/>
  <c r="D25" i="1"/>
  <c r="E25" i="1"/>
  <c r="C25" i="1"/>
  <c r="B25" i="1" s="1"/>
  <c r="E70" i="4" l="1"/>
  <c r="C17" i="5" l="1"/>
  <c r="C15" i="5"/>
  <c r="C17" i="7"/>
  <c r="C16" i="7"/>
  <c r="C15" i="7"/>
  <c r="C17" i="6"/>
  <c r="C16" i="6"/>
  <c r="C15" i="6"/>
  <c r="B17" i="5" l="1"/>
  <c r="C62" i="5"/>
  <c r="C49" i="5"/>
  <c r="C49" i="6"/>
  <c r="C62" i="6"/>
  <c r="B71" i="4" l="1"/>
  <c r="B68" i="4"/>
  <c r="B37" i="4"/>
  <c r="B21" i="3" l="1"/>
  <c r="B21" i="2" l="1"/>
  <c r="B71" i="2" l="1"/>
  <c r="B68" i="2"/>
  <c r="B22" i="1"/>
  <c r="B23" i="1"/>
  <c r="B24" i="1"/>
  <c r="B21" i="1"/>
  <c r="B71" i="1" l="1"/>
  <c r="B68" i="1"/>
  <c r="B70" i="1"/>
  <c r="B67" i="1"/>
  <c r="B75" i="1"/>
  <c r="B59" i="1"/>
  <c r="C54" i="4"/>
  <c r="D54" i="4"/>
  <c r="E54" i="4"/>
  <c r="B54" i="4" l="1"/>
  <c r="B54" i="2"/>
  <c r="B54" i="3"/>
  <c r="D16" i="7" l="1"/>
  <c r="B16" i="7" s="1"/>
  <c r="D15" i="7"/>
  <c r="B15" i="7" s="1"/>
  <c r="E15" i="7"/>
  <c r="E38" i="4" l="1"/>
  <c r="E37" i="4"/>
  <c r="B28" i="4"/>
  <c r="B54" i="1"/>
  <c r="B70" i="4" l="1"/>
  <c r="B67" i="4"/>
  <c r="B70" i="2" l="1"/>
  <c r="B67" i="2"/>
  <c r="B71" i="3"/>
  <c r="B68" i="3"/>
  <c r="B70" i="3"/>
  <c r="B67" i="3"/>
  <c r="E18" i="7" l="1"/>
  <c r="D18" i="7"/>
  <c r="C18" i="7"/>
  <c r="B18" i="7" s="1"/>
  <c r="D17" i="7"/>
  <c r="B17" i="7" s="1"/>
  <c r="E17" i="7"/>
  <c r="E54" i="7" l="1"/>
  <c r="D54" i="7"/>
  <c r="C54" i="7"/>
  <c r="D18" i="5"/>
  <c r="D54" i="5" s="1"/>
  <c r="E18" i="5"/>
  <c r="E54" i="5" s="1"/>
  <c r="C18" i="5"/>
  <c r="C54" i="5" s="1"/>
  <c r="E15" i="5"/>
  <c r="D15" i="5"/>
  <c r="D62" i="5" s="1"/>
  <c r="B15" i="5" l="1"/>
  <c r="B18" i="5"/>
  <c r="B54" i="7"/>
  <c r="B28" i="3"/>
  <c r="E17" i="6"/>
  <c r="E15" i="6"/>
  <c r="D17" i="6"/>
  <c r="B17" i="6" s="1"/>
  <c r="D16" i="6"/>
  <c r="B16" i="6" s="1"/>
  <c r="D15" i="6"/>
  <c r="D18" i="6"/>
  <c r="E18" i="6"/>
  <c r="C18" i="6"/>
  <c r="B18" i="6" s="1"/>
  <c r="B15" i="6" l="1"/>
  <c r="C54" i="6"/>
  <c r="E49" i="6"/>
  <c r="E54" i="6"/>
  <c r="D49" i="6"/>
  <c r="D54" i="6"/>
  <c r="D62" i="6"/>
  <c r="B54" i="6" l="1"/>
  <c r="C22" i="5" l="1"/>
  <c r="E22" i="5"/>
  <c r="E67" i="5" s="1"/>
  <c r="C23" i="5"/>
  <c r="D23" i="5"/>
  <c r="D68" i="5" s="1"/>
  <c r="E23" i="5"/>
  <c r="E68" i="5" s="1"/>
  <c r="C21" i="5"/>
  <c r="C37" i="5" s="1"/>
  <c r="C39" i="5" s="1"/>
  <c r="D21" i="5"/>
  <c r="D37" i="5" s="1"/>
  <c r="D39" i="5" s="1"/>
  <c r="D24" i="5"/>
  <c r="E24" i="5"/>
  <c r="C24" i="5"/>
  <c r="C24" i="7"/>
  <c r="D24" i="7"/>
  <c r="E24" i="7"/>
  <c r="C24" i="6"/>
  <c r="D24" i="6"/>
  <c r="E24" i="6"/>
  <c r="B24" i="6" l="1"/>
  <c r="B24" i="7"/>
  <c r="C71" i="5"/>
  <c r="C68" i="5"/>
  <c r="C70" i="5"/>
  <c r="C67" i="5"/>
  <c r="D55" i="5"/>
  <c r="D56" i="5" s="1"/>
  <c r="D38" i="5"/>
  <c r="D71" i="5"/>
  <c r="E70" i="5"/>
  <c r="E50" i="5"/>
  <c r="E51" i="5" s="1"/>
  <c r="E71" i="5"/>
  <c r="E55" i="5"/>
  <c r="E56" i="5" s="1"/>
  <c r="E38" i="5"/>
  <c r="C50" i="5"/>
  <c r="C51" i="5" s="1"/>
  <c r="C38" i="5"/>
  <c r="C55" i="5"/>
  <c r="C56" i="5" s="1"/>
  <c r="B23" i="5"/>
  <c r="B75" i="5" s="1"/>
  <c r="B24" i="5"/>
  <c r="B21" i="5"/>
  <c r="E25" i="5"/>
  <c r="D25" i="5"/>
  <c r="C25" i="5"/>
  <c r="C22" i="7"/>
  <c r="E22" i="7"/>
  <c r="E67" i="7" s="1"/>
  <c r="C23" i="7"/>
  <c r="D23" i="7"/>
  <c r="E23" i="7"/>
  <c r="E68" i="7" s="1"/>
  <c r="C21" i="7"/>
  <c r="D21" i="7"/>
  <c r="E21" i="7"/>
  <c r="C22" i="6"/>
  <c r="E22" i="6"/>
  <c r="E67" i="6" s="1"/>
  <c r="C23" i="6"/>
  <c r="D23" i="6"/>
  <c r="E23" i="6"/>
  <c r="C21" i="6"/>
  <c r="C37" i="6" s="1"/>
  <c r="C39" i="6" s="1"/>
  <c r="D21" i="6"/>
  <c r="D37" i="6" s="1"/>
  <c r="D39" i="6" s="1"/>
  <c r="E21" i="6"/>
  <c r="E37" i="6" s="1"/>
  <c r="D22" i="5"/>
  <c r="D67" i="5" s="1"/>
  <c r="B23" i="6" l="1"/>
  <c r="B23" i="7"/>
  <c r="B22" i="5"/>
  <c r="D70" i="5"/>
  <c r="C63" i="5"/>
  <c r="C40" i="5"/>
  <c r="C64" i="5" s="1"/>
  <c r="E63" i="5"/>
  <c r="E40" i="5"/>
  <c r="D40" i="5"/>
  <c r="D64" i="5" s="1"/>
  <c r="D63" i="5"/>
  <c r="B25" i="5"/>
  <c r="C69" i="5"/>
  <c r="E69" i="5"/>
  <c r="D50" i="5"/>
  <c r="D51" i="5" s="1"/>
  <c r="D69" i="5" s="1"/>
  <c r="D71" i="6"/>
  <c r="D68" i="6"/>
  <c r="D55" i="6"/>
  <c r="D56" i="6" s="1"/>
  <c r="D38" i="6"/>
  <c r="E70" i="6"/>
  <c r="E50" i="6"/>
  <c r="E51" i="6" s="1"/>
  <c r="E55" i="6"/>
  <c r="E56" i="6" s="1"/>
  <c r="E38" i="6"/>
  <c r="C71" i="6"/>
  <c r="C68" i="6"/>
  <c r="C50" i="6"/>
  <c r="C51" i="6" s="1"/>
  <c r="C55" i="6"/>
  <c r="C56" i="6" s="1"/>
  <c r="C38" i="6"/>
  <c r="C70" i="6"/>
  <c r="C67" i="6"/>
  <c r="C71" i="7"/>
  <c r="C68" i="7"/>
  <c r="C70" i="7"/>
  <c r="C67" i="7"/>
  <c r="D68" i="7"/>
  <c r="D71" i="7"/>
  <c r="E70" i="7"/>
  <c r="B68" i="5"/>
  <c r="B71" i="5"/>
  <c r="E71" i="7"/>
  <c r="B21" i="7"/>
  <c r="B21" i="6"/>
  <c r="D25" i="6"/>
  <c r="E25" i="7"/>
  <c r="D25" i="7"/>
  <c r="E25" i="6"/>
  <c r="C25" i="6"/>
  <c r="B25" i="6" s="1"/>
  <c r="C25" i="7"/>
  <c r="B28" i="2"/>
  <c r="D22" i="7"/>
  <c r="B22" i="7" s="1"/>
  <c r="D22" i="6"/>
  <c r="B22" i="6" s="1"/>
  <c r="B28" i="1"/>
  <c r="B28" i="5" l="1"/>
  <c r="B67" i="5"/>
  <c r="B25" i="7"/>
  <c r="C69" i="6"/>
  <c r="D70" i="6"/>
  <c r="D67" i="6"/>
  <c r="C63" i="6"/>
  <c r="C40" i="6"/>
  <c r="C64" i="6" s="1"/>
  <c r="E63" i="6"/>
  <c r="D63" i="6"/>
  <c r="D40" i="6"/>
  <c r="D64" i="6" s="1"/>
  <c r="D50" i="6"/>
  <c r="D51" i="6" s="1"/>
  <c r="B70" i="5"/>
  <c r="D70" i="7"/>
  <c r="D67" i="7"/>
  <c r="B68" i="7"/>
  <c r="B71" i="7"/>
  <c r="B68" i="6"/>
  <c r="B71" i="6"/>
  <c r="D69" i="6" l="1"/>
  <c r="B67" i="7"/>
  <c r="B70" i="7"/>
  <c r="B70" i="6"/>
  <c r="B67" i="6"/>
  <c r="B29" i="7"/>
  <c r="B28" i="7"/>
  <c r="B29" i="6"/>
  <c r="B28" i="6"/>
  <c r="D38" i="4"/>
  <c r="D55" i="4" l="1"/>
  <c r="D56" i="4" l="1"/>
  <c r="D38" i="7"/>
  <c r="D50" i="7"/>
  <c r="D55" i="7"/>
  <c r="D49" i="7"/>
  <c r="D56" i="7" l="1"/>
  <c r="D51" i="7"/>
  <c r="D69" i="7" s="1"/>
  <c r="D40" i="7"/>
  <c r="D37" i="7" l="1"/>
  <c r="D37" i="4"/>
  <c r="D63" i="4" s="1"/>
  <c r="B74" i="1"/>
  <c r="E55" i="4"/>
  <c r="C55" i="4"/>
  <c r="E50" i="4"/>
  <c r="C50" i="4"/>
  <c r="D63" i="7" l="1"/>
  <c r="B37" i="6" l="1"/>
  <c r="B74" i="6"/>
  <c r="E37" i="7" l="1"/>
  <c r="C37" i="7"/>
  <c r="B37" i="7"/>
  <c r="B74" i="7"/>
  <c r="E38" i="7"/>
  <c r="C38" i="7"/>
  <c r="C55" i="7" l="1"/>
  <c r="C56" i="7" s="1"/>
  <c r="E55" i="7"/>
  <c r="E56" i="7" s="1"/>
  <c r="E50" i="7"/>
  <c r="C50" i="7"/>
  <c r="C63" i="7"/>
  <c r="E63" i="7"/>
  <c r="B37" i="5" l="1"/>
  <c r="B74" i="5"/>
  <c r="C38" i="4"/>
  <c r="C37" i="4"/>
  <c r="B74" i="4"/>
  <c r="B37" i="3"/>
  <c r="B74" i="3"/>
  <c r="B37" i="2"/>
  <c r="B74" i="2"/>
  <c r="B37" i="1"/>
  <c r="C63" i="4" l="1"/>
  <c r="B62" i="3"/>
  <c r="B49" i="3"/>
  <c r="B39" i="6"/>
  <c r="B39" i="7"/>
  <c r="B39" i="5"/>
  <c r="B39" i="1"/>
  <c r="B50" i="2"/>
  <c r="B75" i="2"/>
  <c r="B55" i="2"/>
  <c r="B59" i="2"/>
  <c r="C62" i="4"/>
  <c r="C56" i="4"/>
  <c r="C49" i="4"/>
  <c r="C51" i="4" s="1"/>
  <c r="C69" i="4" s="1"/>
  <c r="B55" i="4"/>
  <c r="B56" i="4" s="1"/>
  <c r="B50" i="4"/>
  <c r="B75" i="4"/>
  <c r="B49" i="2"/>
  <c r="B62" i="2"/>
  <c r="B55" i="3"/>
  <c r="B50" i="3"/>
  <c r="B75" i="3"/>
  <c r="B62" i="4"/>
  <c r="B49" i="4"/>
  <c r="B51" i="4" s="1"/>
  <c r="B69" i="4" s="1"/>
  <c r="E56" i="4"/>
  <c r="E49" i="4"/>
  <c r="E51" i="4" s="1"/>
  <c r="E69" i="4" s="1"/>
  <c r="C39" i="4"/>
  <c r="B39" i="4"/>
  <c r="B39" i="3"/>
  <c r="B39" i="2"/>
  <c r="B59" i="5"/>
  <c r="B38" i="5"/>
  <c r="B50" i="5"/>
  <c r="B55" i="5"/>
  <c r="B59" i="4"/>
  <c r="B38" i="4"/>
  <c r="B63" i="4" s="1"/>
  <c r="C40" i="4"/>
  <c r="E40" i="4"/>
  <c r="B59" i="3"/>
  <c r="B38" i="3"/>
  <c r="B63" i="3" s="1"/>
  <c r="B38" i="2"/>
  <c r="B63" i="2" s="1"/>
  <c r="B38" i="1"/>
  <c r="B50" i="1"/>
  <c r="B55" i="1"/>
  <c r="B51" i="2" l="1"/>
  <c r="B69" i="2" s="1"/>
  <c r="D39" i="4"/>
  <c r="C39" i="7"/>
  <c r="C64" i="4"/>
  <c r="C40" i="7"/>
  <c r="C49" i="7"/>
  <c r="C51" i="7" s="1"/>
  <c r="C69" i="7" s="1"/>
  <c r="E49" i="7"/>
  <c r="E51" i="7" s="1"/>
  <c r="E69" i="7" s="1"/>
  <c r="E40" i="7"/>
  <c r="B56" i="3"/>
  <c r="B56" i="2"/>
  <c r="B51" i="3"/>
  <c r="B69" i="3" s="1"/>
  <c r="B75" i="6"/>
  <c r="B59" i="6"/>
  <c r="B50" i="6"/>
  <c r="B55" i="6"/>
  <c r="B38" i="6"/>
  <c r="B75" i="7"/>
  <c r="B55" i="7"/>
  <c r="B38" i="7"/>
  <c r="B50" i="7"/>
  <c r="B59" i="7"/>
  <c r="B63" i="5"/>
  <c r="B40" i="5"/>
  <c r="B64" i="5" s="1"/>
  <c r="B40" i="4"/>
  <c r="B64" i="4" s="1"/>
  <c r="B40" i="3"/>
  <c r="B64" i="3" s="1"/>
  <c r="B40" i="2"/>
  <c r="B64" i="2" s="1"/>
  <c r="B63" i="1"/>
  <c r="B40" i="1"/>
  <c r="B64" i="1" s="1"/>
  <c r="B49" i="1"/>
  <c r="B51" i="1" s="1"/>
  <c r="B69" i="1" s="1"/>
  <c r="B62" i="1"/>
  <c r="B56" i="1"/>
  <c r="B62" i="5" l="1"/>
  <c r="C64" i="7"/>
  <c r="C62" i="7"/>
  <c r="B54" i="5"/>
  <c r="B56" i="5" s="1"/>
  <c r="B49" i="5"/>
  <c r="B51" i="5" s="1"/>
  <c r="B69" i="5" s="1"/>
  <c r="B40" i="7"/>
  <c r="B64" i="7" s="1"/>
  <c r="B63" i="7"/>
  <c r="B49" i="6"/>
  <c r="B51" i="6" s="1"/>
  <c r="B69" i="6" s="1"/>
  <c r="B62" i="6"/>
  <c r="B56" i="6"/>
  <c r="B63" i="6"/>
  <c r="B40" i="6"/>
  <c r="B64" i="6" s="1"/>
  <c r="B49" i="7"/>
  <c r="B51" i="7" s="1"/>
  <c r="B69" i="7" s="1"/>
  <c r="B56" i="7"/>
  <c r="B62" i="7"/>
  <c r="D62" i="7" l="1"/>
  <c r="D39" i="7"/>
  <c r="D64" i="7" s="1"/>
</calcChain>
</file>

<file path=xl/sharedStrings.xml><?xml version="1.0" encoding="utf-8"?>
<sst xmlns="http://schemas.openxmlformats.org/spreadsheetml/2006/main" count="556" uniqueCount="129">
  <si>
    <t>Indicador</t>
  </si>
  <si>
    <t>Total programa</t>
  </si>
  <si>
    <t>Productos</t>
  </si>
  <si>
    <t>Insumos</t>
  </si>
  <si>
    <t xml:space="preserve">Beneficiarios </t>
  </si>
  <si>
    <t>Gasto FODESAF</t>
  </si>
  <si>
    <t>Ingresos FODESAF</t>
  </si>
  <si>
    <t>Otros insumos</t>
  </si>
  <si>
    <t>Población objetivo</t>
  </si>
  <si>
    <t>Cálculos intermedios</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</si>
  <si>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</si>
  <si>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</si>
  <si>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</si>
  <si>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</si>
  <si>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</si>
  <si>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</si>
  <si>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</si>
  <si>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</si>
  <si>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</si>
  <si>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</si>
  <si>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</si>
  <si>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</si>
  <si>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</si>
  <si>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</si>
  <si>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</si>
  <si>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</si>
  <si>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</si>
  <si>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</si>
  <si>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Índice de eficiencia (IE) </t>
  </si>
  <si>
    <t>De giro de recursos</t>
  </si>
  <si>
    <t>Índice de giro efectivo (IGE)</t>
  </si>
  <si>
    <t xml:space="preserve">Índice de uso de recursos (IUR) </t>
  </si>
  <si>
    <t>De Composición</t>
  </si>
  <si>
    <t xml:space="preserve">Gasto programado mensual por beneficiario (GPB) </t>
  </si>
  <si>
    <t xml:space="preserve">Gasto efectivo mensual por beneficiario (GEB) </t>
  </si>
  <si>
    <t>n.a.</t>
  </si>
  <si>
    <t>n.d.</t>
  </si>
  <si>
    <t xml:space="preserve">Gasto programado anual por beneficiario (GPB) </t>
  </si>
  <si>
    <t xml:space="preserve">Gasto efectivo anual por beneficiario (GEB) </t>
  </si>
  <si>
    <t>Atención de 
denuncias</t>
  </si>
  <si>
    <t xml:space="preserve">Gasto mensual programado por beneficiario (GPB) </t>
  </si>
  <si>
    <t xml:space="preserve">Gasto mensual efectivo por beneficiario (GEB) </t>
  </si>
  <si>
    <t xml:space="preserve">Gasto trimestral programado por beneficiario (GPB) </t>
  </si>
  <si>
    <t xml:space="preserve">Gasto trimestral efectivo por beneficiario (GEB) </t>
  </si>
  <si>
    <t xml:space="preserve">Gasto semestral programado por beneficiario (GPB) </t>
  </si>
  <si>
    <t xml:space="preserve">Gasto semestral efectivo por beneficiario (GEB) </t>
  </si>
  <si>
    <t xml:space="preserve">Gasto acumulado programado por beneficiario (GPB) </t>
  </si>
  <si>
    <t xml:space="preserve">Gasto acumulado efectivo por beneficiario (GEB) </t>
  </si>
  <si>
    <t>Centros de Atención Infantil-
Guarderías</t>
  </si>
  <si>
    <t xml:space="preserve">Proyectos fondo de niñez y adolescencia </t>
  </si>
  <si>
    <t>Efectivos 1T 2020</t>
  </si>
  <si>
    <t>IPC (1T 2020)</t>
  </si>
  <si>
    <t>Gasto efectivo real 1T 2020</t>
  </si>
  <si>
    <t>Gasto efectivo real por beneficiario 1T 2020</t>
  </si>
  <si>
    <t>Efectivos 2T 2020</t>
  </si>
  <si>
    <t>IPC (2T 2020)</t>
  </si>
  <si>
    <t>Gasto efectivo real 2T 2020</t>
  </si>
  <si>
    <t>Gasto efectivo real por beneficiario 2T 2020</t>
  </si>
  <si>
    <t>Efectivos 1S 2020</t>
  </si>
  <si>
    <t>IPC (1S 2020)</t>
  </si>
  <si>
    <t>Gasto efectivo real 1S 2020</t>
  </si>
  <si>
    <t>Gasto efectivo real por beneficiario 1S 2020</t>
  </si>
  <si>
    <t>Efectivos 3T 2020</t>
  </si>
  <si>
    <t>IPC (3T 2020)</t>
  </si>
  <si>
    <t>Gasto efectivo real 3T 2020</t>
  </si>
  <si>
    <t>Gasto efectivo real por beneficiario 3T 2020</t>
  </si>
  <si>
    <t>Efectivos 3TA 2020</t>
  </si>
  <si>
    <t>Gasto efectivo real 3TA 2020</t>
  </si>
  <si>
    <t>Gasto efectivo real por beneficiario 3TA 2020</t>
  </si>
  <si>
    <t>Efectivos 4T 2020</t>
  </si>
  <si>
    <t>IPC (4T 2020)</t>
  </si>
  <si>
    <t>Gasto efectivo real 4T 2020</t>
  </si>
  <si>
    <t>Gasto efectivo real por beneficiario 4T 2020</t>
  </si>
  <si>
    <t>Efectivos 2020</t>
  </si>
  <si>
    <t>IPC (2020)</t>
  </si>
  <si>
    <t>Gasto efectivo real  2020</t>
  </si>
  <si>
    <t>Gasto efectivo real por beneficiario  2020</t>
  </si>
  <si>
    <t>Programados 1T 2021</t>
  </si>
  <si>
    <t>Efectivos 1T 2021</t>
  </si>
  <si>
    <t>Programados año 2021</t>
  </si>
  <si>
    <t>En transferencias 1T 2021</t>
  </si>
  <si>
    <t>IPC (1T 2021)</t>
  </si>
  <si>
    <t>Gasto efectivo real 1T 2021</t>
  </si>
  <si>
    <t>Gasto efectivo real por beneficiario 1T 2021</t>
  </si>
  <si>
    <r>
      <rPr>
        <b/>
        <sz val="11"/>
        <color theme="1"/>
        <rFont val="Palatino Linotype"/>
        <family val="1"/>
      </rPr>
      <t xml:space="preserve">Fuentes: </t>
    </r>
    <r>
      <rPr>
        <sz val="11"/>
        <color theme="1"/>
        <rFont val="Palatino Linotype"/>
        <family val="1"/>
      </rPr>
      <t>Informes Trimestrales PANI 2020 y 2021 - Cronogramas de Metas e Inversión - Modificaciones 2021 - IPC, INEC 2020 y 2021</t>
    </r>
  </si>
  <si>
    <r>
      <t>Nota:</t>
    </r>
    <r>
      <rPr>
        <sz val="11"/>
        <color theme="1"/>
        <rFont val="Palatino Linotype"/>
        <family val="1"/>
      </rPr>
      <t xml:space="preserve"> 
El dato de los siguientes insumos: Beneficiarios efectivos I T 2020 y Gasto Fodesaf efectivo I T 2020 no coincide con el dato que se refleja en el cálculo del año anterior, esto debido a que para el año 2021 por recortes de presupuesto el producto "Protección y apoyo  a los niños, niñas y adolescentes en los Albergues PANI" no se programó (se deja de lado la información del producto mencionado). </t>
    </r>
  </si>
  <si>
    <t>Programados 2T 2021</t>
  </si>
  <si>
    <t>Efectivos 2T 2021</t>
  </si>
  <si>
    <t>En transferencias 2T 2021</t>
  </si>
  <si>
    <t>IPC (2T 2021)</t>
  </si>
  <si>
    <t>Gasto efectivo real 2T 2021</t>
  </si>
  <si>
    <t>Gasto efectivo real por beneficiario 2T 2021</t>
  </si>
  <si>
    <r>
      <t>Nota:</t>
    </r>
    <r>
      <rPr>
        <sz val="11"/>
        <color theme="1"/>
        <rFont val="Palatino Linotype"/>
        <family val="1"/>
      </rPr>
      <t xml:space="preserve"> 
El dato de los siguientes insumos: Beneficiarios efectivos II T 2020 y Gasto Fodesaf efectivo II T 2020 no coincide con el dato que se refleja en el cálculo del año anterior, esto debido a que para el año 2021 por recortes de presupuesto el producto "Protección y apoyo  a los niños, niñas y adolescentes en los Albergues PANI" no se programó (se deja de lado la información del producto mencionado). </t>
    </r>
  </si>
  <si>
    <t>Programados 1S 2021</t>
  </si>
  <si>
    <t>Efectivos 1S 2021</t>
  </si>
  <si>
    <t>En transferencias 1S 2021</t>
  </si>
  <si>
    <t>IPC (1S 2021)</t>
  </si>
  <si>
    <t>Gasto efectivo real 1S 2021</t>
  </si>
  <si>
    <t>Gasto efectivo real por beneficiario 1S 2021</t>
  </si>
  <si>
    <r>
      <t>Nota:</t>
    </r>
    <r>
      <rPr>
        <sz val="11"/>
        <color theme="1"/>
        <rFont val="Palatino Linotype"/>
        <family val="1"/>
      </rPr>
      <t xml:space="preserve"> 
El dato de los siguientes insumos: Beneficiarios efectivos I S 2020 y Gasto Fodesaf efectivo I S 2020 no coincide con el dato que se refleja en el cálculo del año anterior, esto debido a que para el año 2021 por recortes de presupuesto el producto "Protección y apoyo  a los niños, niñas y adolescentes en los Albergues PANI" no se programó (se deja de lado la información del producto mencionado). </t>
    </r>
  </si>
  <si>
    <t>Programados 3T 2021</t>
  </si>
  <si>
    <t>Efectivos 3T 2021</t>
  </si>
  <si>
    <t>En transferencias 3T 2021</t>
  </si>
  <si>
    <t>IPC (3T 2021)</t>
  </si>
  <si>
    <t>Gasto efectivo real 3T 2021</t>
  </si>
  <si>
    <t>Gasto efectivo real por beneficiario 3T 2021</t>
  </si>
  <si>
    <r>
      <t>Nota:</t>
    </r>
    <r>
      <rPr>
        <sz val="11"/>
        <color theme="1"/>
        <rFont val="Palatino Linotype"/>
        <family val="1"/>
      </rPr>
      <t xml:space="preserve"> 
El dato de los siguientes insumos: Beneficiarios efectivos III T 2020 y Gasto Fodesaf efectivo III T 2020 no coincide con el dato que se refleja en el cálculo del año anterior, esto debido a que para el año 2021 por recortes de presupuesto el producto "Protección y apoyo  a los niños, niñas y adolescentes en los Albergues PANI" no se programó (se deja de lado la información del producto mencionado). </t>
    </r>
  </si>
  <si>
    <t>Programados 3TA 2021</t>
  </si>
  <si>
    <t>Efectivos 3TA 2021</t>
  </si>
  <si>
    <t>En transferencias 3TA 2021</t>
  </si>
  <si>
    <t>IPC (3TA 2020)</t>
  </si>
  <si>
    <t>IPC (3TA 2021)</t>
  </si>
  <si>
    <t>Gasto efectivo real 3TA 2021</t>
  </si>
  <si>
    <t>Gasto efectivo real por beneficiario 3TA 2021</t>
  </si>
  <si>
    <r>
      <t>Nota:</t>
    </r>
    <r>
      <rPr>
        <sz val="11"/>
        <color theme="1"/>
        <rFont val="Palatino Linotype"/>
        <family val="1"/>
      </rPr>
      <t xml:space="preserve"> 
El dato de los siguientes insumos: Beneficiarios efectivos III TA 2020 y Gasto Fodesaf efectivo III TA 2020 no coincide con el dato que se refleja en el cálculo del año anterior, esto debido a que para el año 2021 por recortes de presupuesto el producto "Protección y apoyo  a los niños, niñas y adolescentes en los Albergues PANI" no se programó (se deja de lado la información del producto mencionado). </t>
    </r>
  </si>
  <si>
    <t>Programados 4T 2021</t>
  </si>
  <si>
    <t>Efectivos 4T 2021</t>
  </si>
  <si>
    <t>En transferencias 4T 2021</t>
  </si>
  <si>
    <t>IPC (4T 2021)</t>
  </si>
  <si>
    <t>Gasto efectivo real 4T 2021</t>
  </si>
  <si>
    <t>Gasto efectivo real por beneficiario 4T 2021</t>
  </si>
  <si>
    <t>Programados 2021</t>
  </si>
  <si>
    <t>Efectivos 2021</t>
  </si>
  <si>
    <t>En transferencias 2021</t>
  </si>
  <si>
    <t>IPC (2021)</t>
  </si>
  <si>
    <t>Gasto efectivo real  2021</t>
  </si>
  <si>
    <t>Gasto efectivo real por beneficiario  2021</t>
  </si>
  <si>
    <r>
      <t>Nota:</t>
    </r>
    <r>
      <rPr>
        <sz val="11"/>
        <color theme="1"/>
        <rFont val="Palatino Linotype"/>
        <family val="1"/>
      </rPr>
      <t xml:space="preserve"> 
El dato de los siguientes insumos: Beneficiarios efectivos IV T 2020 y Gasto Fodesaf efectivo IV T 2020 no coincide con el dato que se refleja en el cálculo del año anterior, esto debido a que para el año 2021 por recortes de presupuesto el producto "Protección y apoyo  a los niños, niñas y adolescentes en los Albergues PANI" no se programó (se deja de lado la información del producto mencionado). </t>
    </r>
  </si>
  <si>
    <r>
      <t>Nota:</t>
    </r>
    <r>
      <rPr>
        <sz val="11"/>
        <color theme="1"/>
        <rFont val="Palatino Linotype"/>
        <family val="1"/>
      </rPr>
      <t xml:space="preserve"> 
El dato de los siguientes insumos: Beneficiarios efectivos 2020 y Gasto Fodesaf efectivo 2020 no coincide con el dato que se refleja en el cálculo del año anterior, esto debido a que para el año 2021 por recortes de presupuesto el producto "Protección y apoyo  a los niños, niñas y adolescentes en los Albergues PANI" no se programó (se deja de lado la información del producto mencionado). 
El índice de crecimiento del gasto real para el producto "Proyectos fondo de niñez y adolescencia" da un resultado muy alto (3 108,08), esto debido a que el gasto efectivo real del año 2020 fue muy bajo en comparación al del año 2021, sin embargo, este producto realmente no se ejecutó en el 2020, ese dinero que se reporta como ejecutado hace referencia a facturas que quedaron pendientes del año 2019 y se pagaron en el año 2020. Por lo cual, ese dato no se considera en el gráfico para que así no genere "ruido", además, como se indica no es un dato de relevancia.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</si>
</sst>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____"/>
    <numFmt numFmtId="166" formatCode="0.0000"/>
    <numFmt numFmtId="167" formatCode="_(* #,##0.0000_);_(* \(#,##0.0000\);_(* &quot;-&quot;??_);_(@_)"/>
  </numFmts>
  <fonts count="8" x14ac:knownFonts="1">
    <font>
      <sz val="11"/>
      <color theme="1"/>
      <name val="Calibri"/>
      <family val="2"/>
      <scheme val="minor"/>
    </font>
    <font>
      <sz val="11"/>
      <color theme="1"/>
      <name val="Calibri"/>
      <family val="2"/>
      <scheme val="minor"/>
    </font>
    <font>
      <sz val="10"/>
      <color theme="1"/>
      <name val="Calibri"/>
      <family val="2"/>
      <scheme val="minor"/>
    </font>
    <font>
      <sz val="11"/>
      <color theme="1"/>
      <name val="Calibri Light"/>
      <family val="2"/>
    </font>
    <font>
      <b/>
      <sz val="11"/>
      <color theme="1"/>
      <name val="Calibri Light"/>
      <family val="2"/>
    </font>
    <font>
      <b/>
      <sz val="11"/>
      <color theme="1"/>
      <name val="Palatino Linotype"/>
      <family val="1"/>
    </font>
    <font>
      <sz val="11"/>
      <color theme="1"/>
      <name val="Palatino Linotype"/>
      <family val="1"/>
    </font>
    <font>
      <u/>
      <sz val="11"/>
      <color theme="1"/>
      <name val="Palatino Linotype"/>
      <family val="1"/>
    </font>
  </fonts>
  <fills count="3">
    <fill>
      <patternFill patternType="none"/>
    </fill>
    <fill>
      <patternFill patternType="gray125"/>
    </fill>
    <fill>
      <patternFill patternType="solid">
        <fgColor theme="3" tint="0.79998168889431442"/>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diagonal/>
    </border>
  </borders>
  <cellStyleXfs count="2">
    <xf numFmtId="0" fontId="0" fillId="0" borderId="0"/>
    <xf numFmtId="164" fontId="1" fillId="0" borderId="0" applyFont="0" applyFill="0" applyBorder="0" applyAlignment="0" applyProtection="0"/>
  </cellStyleXfs>
  <cellXfs count="35">
    <xf numFmtId="0" fontId="0" fillId="0" borderId="0" xfId="0"/>
    <xf numFmtId="0" fontId="0" fillId="0" borderId="0" xfId="0" applyFont="1" applyFill="1"/>
    <xf numFmtId="0" fontId="2" fillId="0" borderId="0" xfId="0" applyFont="1" applyFill="1"/>
    <xf numFmtId="0" fontId="4" fillId="0" borderId="0" xfId="0" applyFont="1" applyFill="1" applyAlignment="1">
      <alignment vertical="center"/>
    </xf>
    <xf numFmtId="0" fontId="3" fillId="0" borderId="0" xfId="0" applyFont="1" applyFill="1"/>
    <xf numFmtId="0" fontId="5" fillId="0" borderId="4" xfId="0" applyFont="1" applyFill="1" applyBorder="1" applyAlignment="1">
      <alignment horizontal="center" vertical="center" wrapText="1"/>
    </xf>
    <xf numFmtId="0" fontId="5" fillId="0" borderId="0" xfId="0" applyFont="1" applyFill="1"/>
    <xf numFmtId="0" fontId="6" fillId="0" borderId="0" xfId="0" applyFont="1" applyFill="1"/>
    <xf numFmtId="0" fontId="6" fillId="0" borderId="0" xfId="0" applyFont="1" applyFill="1" applyAlignment="1">
      <alignment horizontal="left" indent="1"/>
    </xf>
    <xf numFmtId="3" fontId="6" fillId="0" borderId="0" xfId="0" applyNumberFormat="1" applyFont="1" applyFill="1" applyAlignment="1">
      <alignment horizontal="right"/>
    </xf>
    <xf numFmtId="0" fontId="5" fillId="0" borderId="0" xfId="0" applyFont="1" applyFill="1" applyAlignment="1">
      <alignment horizontal="left"/>
    </xf>
    <xf numFmtId="4" fontId="6" fillId="0" borderId="0" xfId="0" applyNumberFormat="1" applyFont="1" applyFill="1" applyAlignment="1">
      <alignment horizontal="right"/>
    </xf>
    <xf numFmtId="2" fontId="6" fillId="0" borderId="0" xfId="0" applyNumberFormat="1" applyFont="1" applyFill="1" applyAlignment="1">
      <alignment horizontal="right"/>
    </xf>
    <xf numFmtId="167" fontId="6" fillId="0" borderId="0" xfId="0" applyNumberFormat="1" applyFont="1" applyFill="1" applyAlignment="1">
      <alignment horizontal="right"/>
    </xf>
    <xf numFmtId="0" fontId="5" fillId="0" borderId="0" xfId="0" applyFont="1" applyFill="1" applyAlignment="1">
      <alignment horizontal="left" indent="1"/>
    </xf>
    <xf numFmtId="0" fontId="6" fillId="0" borderId="0" xfId="0" applyFont="1" applyFill="1" applyAlignment="1">
      <alignment horizontal="right"/>
    </xf>
    <xf numFmtId="3" fontId="6" fillId="0" borderId="0" xfId="1" applyNumberFormat="1" applyFont="1" applyFill="1" applyAlignment="1">
      <alignment horizontal="right"/>
    </xf>
    <xf numFmtId="0" fontId="6" fillId="0" borderId="3" xfId="0" applyFont="1" applyFill="1" applyBorder="1"/>
    <xf numFmtId="3" fontId="6" fillId="0" borderId="0" xfId="0" applyNumberFormat="1" applyFont="1" applyFill="1"/>
    <xf numFmtId="3" fontId="6" fillId="0" borderId="0" xfId="1" applyNumberFormat="1" applyFont="1" applyFill="1"/>
    <xf numFmtId="4" fontId="6" fillId="0" borderId="0" xfId="0" applyNumberFormat="1" applyFont="1" applyFill="1"/>
    <xf numFmtId="166" fontId="6" fillId="0" borderId="0" xfId="0" applyNumberFormat="1" applyFont="1" applyFill="1" applyAlignment="1">
      <alignment horizontal="right"/>
    </xf>
    <xf numFmtId="165" fontId="6" fillId="0" borderId="0" xfId="0" applyNumberFormat="1" applyFont="1" applyFill="1" applyAlignment="1">
      <alignment horizontal="right"/>
    </xf>
    <xf numFmtId="164" fontId="6" fillId="0" borderId="0" xfId="1" applyNumberFormat="1" applyFont="1" applyFill="1" applyAlignment="1">
      <alignment horizontal="right"/>
    </xf>
    <xf numFmtId="165" fontId="0" fillId="0" borderId="0" xfId="0" applyNumberFormat="1" applyFont="1" applyFill="1"/>
    <xf numFmtId="3" fontId="7" fillId="0" borderId="0" xfId="0" applyNumberFormat="1" applyFont="1" applyFill="1" applyAlignment="1">
      <alignment horizontal="right"/>
    </xf>
    <xf numFmtId="3" fontId="7" fillId="0" borderId="0" xfId="0" applyNumberFormat="1" applyFont="1" applyFill="1"/>
    <xf numFmtId="4" fontId="6" fillId="2" borderId="0" xfId="0" applyNumberFormat="1" applyFont="1" applyFill="1" applyAlignment="1">
      <alignment horizontal="right"/>
    </xf>
    <xf numFmtId="0" fontId="5" fillId="0" borderId="0" xfId="0" applyFont="1" applyFill="1" applyAlignment="1">
      <alignment horizontal="left"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5" xfId="0" applyFont="1" applyFill="1" applyBorder="1" applyAlignment="1">
      <alignment horizontal="left" vertical="top" wrapText="1"/>
    </xf>
  </cellXfs>
  <cellStyles count="2">
    <cellStyle name="Millares" xfId="1" builtinId="3"/>
    <cellStyle name="Normal" xfId="0" builtinId="0"/>
  </cellStyles>
  <dxfs count="0"/>
  <tableStyles count="0" defaultTableStyle="TableStyleMedium2" defaultPivotStyle="PivotStyleLight16"/>
  <colors>
    <mruColors>
      <color rgb="FFA2BFE6"/>
      <color rgb="FF4071B9"/>
      <color rgb="FF102D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solidFill>
                <a:latin typeface="Palatino Linotype" panose="02040502050505030304" pitchFamily="18" charset="0"/>
                <a:ea typeface="+mn-ea"/>
                <a:cs typeface="+mn-cs"/>
              </a:defRPr>
            </a:pPr>
            <a:r>
              <a:rPr lang="es-CR" sz="1800">
                <a:latin typeface="Palatino Linotype" panose="02040502050505030304" pitchFamily="18" charset="0"/>
              </a:rPr>
              <a:t>PANI: Indicadores de resultado 2021</a:t>
            </a:r>
          </a:p>
        </c:rich>
      </c:tx>
      <c:layout>
        <c:manualLayout>
          <c:xMode val="edge"/>
          <c:yMode val="edge"/>
          <c:x val="0.29813366983142292"/>
          <c:y val="4.1666743507741494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Palatino Linotype" panose="02040502050505030304" pitchFamily="18" charset="0"/>
              <a:ea typeface="+mn-ea"/>
              <a:cs typeface="+mn-cs"/>
            </a:defRPr>
          </a:pPr>
          <a:endParaRPr lang="es-CR"/>
        </a:p>
      </c:txPr>
    </c:title>
    <c:autoTitleDeleted val="0"/>
    <c:view3D>
      <c:rotX val="0"/>
      <c:rotY val="0"/>
      <c:rAngAx val="0"/>
      <c:perspective val="1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Anual!$A$49</c:f>
              <c:strCache>
                <c:ptCount val="1"/>
                <c:pt idx="0">
                  <c:v>Índice efectividad en beneficiarios (IEB)</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(Anual!$B$9,Anual!$C$10,Anual!$D$10,Anual!$E$10)</c:f>
              <c:strCache>
                <c:ptCount val="4"/>
                <c:pt idx="0">
                  <c:v>Total programa</c:v>
                </c:pt>
                <c:pt idx="1">
                  <c:v>Atención de 
denuncias</c:v>
                </c:pt>
                <c:pt idx="2">
                  <c:v>Centros de Atención Infantil-
Guarderías</c:v>
                </c:pt>
                <c:pt idx="3">
                  <c:v>Proyectos fondo de niñez y adolescencia </c:v>
                </c:pt>
              </c:strCache>
            </c:strRef>
          </c:cat>
          <c:val>
            <c:numRef>
              <c:f>Anual!$B$49:$E$49</c:f>
              <c:numCache>
                <c:formatCode>#,##0.00</c:formatCode>
                <c:ptCount val="4"/>
                <c:pt idx="0">
                  <c:v>118.86057243810421</c:v>
                </c:pt>
                <c:pt idx="1">
                  <c:v>122.67770280872429</c:v>
                </c:pt>
                <c:pt idx="2">
                  <c:v>100.52164840897233</c:v>
                </c:pt>
                <c:pt idx="3">
                  <c:v>29.366666666666667</c:v>
                </c:pt>
              </c:numCache>
            </c:numRef>
          </c:val>
          <c:extLst>
            <c:ext xmlns:c16="http://schemas.microsoft.com/office/drawing/2014/chart" uri="{C3380CC4-5D6E-409C-BE32-E72D297353CC}">
              <c16:uniqueId val="{00000000-57FF-496E-976F-6D352FFDCED0}"/>
            </c:ext>
          </c:extLst>
        </c:ser>
        <c:ser>
          <c:idx val="1"/>
          <c:order val="1"/>
          <c:tx>
            <c:strRef>
              <c:f>Anual!$A$50</c:f>
              <c:strCache>
                <c:ptCount val="1"/>
                <c:pt idx="0">
                  <c:v>Índice efectividad en gasto (IEG)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(Anual!$B$9,Anual!$C$10,Anual!$D$10,Anual!$E$10)</c:f>
              <c:strCache>
                <c:ptCount val="4"/>
                <c:pt idx="0">
                  <c:v>Total programa</c:v>
                </c:pt>
                <c:pt idx="1">
                  <c:v>Atención de 
denuncias</c:v>
                </c:pt>
                <c:pt idx="2">
                  <c:v>Centros de Atención Infantil-
Guarderías</c:v>
                </c:pt>
                <c:pt idx="3">
                  <c:v>Proyectos fondo de niñez y adolescencia </c:v>
                </c:pt>
              </c:strCache>
            </c:strRef>
          </c:cat>
          <c:val>
            <c:numRef>
              <c:f>Anual!$B$50:$E$50</c:f>
              <c:numCache>
                <c:formatCode>#,##0.00</c:formatCode>
                <c:ptCount val="4"/>
                <c:pt idx="0">
                  <c:v>91.631161787164544</c:v>
                </c:pt>
                <c:pt idx="1">
                  <c:v>92.658122780317413</c:v>
                </c:pt>
                <c:pt idx="2">
                  <c:v>92.718967827201041</c:v>
                </c:pt>
                <c:pt idx="3">
                  <c:v>68.481930887916491</c:v>
                </c:pt>
              </c:numCache>
            </c:numRef>
          </c:val>
          <c:extLst>
            <c:ext xmlns:c16="http://schemas.microsoft.com/office/drawing/2014/chart" uri="{C3380CC4-5D6E-409C-BE32-E72D297353CC}">
              <c16:uniqueId val="{00000001-57FF-496E-976F-6D352FFDCED0}"/>
            </c:ext>
          </c:extLst>
        </c:ser>
        <c:ser>
          <c:idx val="2"/>
          <c:order val="2"/>
          <c:tx>
            <c:strRef>
              <c:f>Anual!$A$51</c:f>
              <c:strCache>
                <c:ptCount val="1"/>
                <c:pt idx="0">
                  <c:v>Índice efectividad total (IET)</c:v>
                </c:pt>
              </c:strCache>
            </c:strRef>
          </c:tx>
          <c:spPr>
            <a:solidFill>
              <a:srgbClr val="A2BFE6"/>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(Anual!$B$9,Anual!$C$10,Anual!$D$10,Anual!$E$10)</c:f>
              <c:strCache>
                <c:ptCount val="4"/>
                <c:pt idx="0">
                  <c:v>Total programa</c:v>
                </c:pt>
                <c:pt idx="1">
                  <c:v>Atención de 
denuncias</c:v>
                </c:pt>
                <c:pt idx="2">
                  <c:v>Centros de Atención Infantil-
Guarderías</c:v>
                </c:pt>
                <c:pt idx="3">
                  <c:v>Proyectos fondo de niñez y adolescencia </c:v>
                </c:pt>
              </c:strCache>
            </c:strRef>
          </c:cat>
          <c:val>
            <c:numRef>
              <c:f>Anual!$B$51:$E$51</c:f>
              <c:numCache>
                <c:formatCode>#,##0.00</c:formatCode>
                <c:ptCount val="4"/>
                <c:pt idx="0">
                  <c:v>105.24586711263439</c:v>
                </c:pt>
                <c:pt idx="1">
                  <c:v>107.66791279452084</c:v>
                </c:pt>
                <c:pt idx="2">
                  <c:v>96.620308118086683</c:v>
                </c:pt>
                <c:pt idx="3">
                  <c:v>48.924298777291582</c:v>
                </c:pt>
              </c:numCache>
            </c:numRef>
          </c:val>
          <c:extLst>
            <c:ext xmlns:c16="http://schemas.microsoft.com/office/drawing/2014/chart" uri="{C3380CC4-5D6E-409C-BE32-E72D297353CC}">
              <c16:uniqueId val="{00000002-57FF-496E-976F-6D352FFDCED0}"/>
            </c:ext>
          </c:extLst>
        </c:ser>
        <c:dLbls>
          <c:showLegendKey val="0"/>
          <c:showVal val="0"/>
          <c:showCatName val="0"/>
          <c:showSerName val="0"/>
          <c:showPercent val="0"/>
          <c:showBubbleSize val="0"/>
        </c:dLbls>
        <c:gapWidth val="100"/>
        <c:shape val="box"/>
        <c:axId val="246423776"/>
        <c:axId val="246424168"/>
        <c:axId val="0"/>
      </c:bar3DChart>
      <c:catAx>
        <c:axId val="246423776"/>
        <c:scaling>
          <c:orientation val="minMax"/>
        </c:scaling>
        <c:delete val="0"/>
        <c:axPos val="b"/>
        <c:numFmt formatCode="General" sourceLinked="0"/>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crossAx val="246424168"/>
        <c:crosses val="autoZero"/>
        <c:auto val="1"/>
        <c:lblAlgn val="ctr"/>
        <c:lblOffset val="100"/>
        <c:noMultiLvlLbl val="0"/>
      </c:catAx>
      <c:valAx>
        <c:axId val="24642416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crossAx val="246423776"/>
        <c:crosses val="autoZero"/>
        <c:crossBetween val="between"/>
        <c:majorUnit val="5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sz="1000">
          <a:solidFill>
            <a:schemeClr val="tx1"/>
          </a:solidFill>
          <a:latin typeface="Palatino Linotype" panose="02040502050505030304" pitchFamily="18" charset="0"/>
        </a:defRPr>
      </a:pPr>
      <a:endParaRPr lang="es-CR"/>
    </a:p>
  </c:txPr>
  <c:printSettings>
    <c:headerFooter/>
    <c:pageMargins b="0.75000000000000289" l="0.70000000000000062" r="0.70000000000000062" t="0.750000000000002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solidFill>
                <a:latin typeface="Palatino Linotype" panose="02040502050505030304" pitchFamily="18" charset="0"/>
                <a:ea typeface="+mn-ea"/>
                <a:cs typeface="+mn-cs"/>
              </a:defRPr>
            </a:pPr>
            <a:r>
              <a:rPr lang="es-CR" sz="1800"/>
              <a:t>PANI: Indicadores de expansión 2021</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Palatino Linotype" panose="02040502050505030304" pitchFamily="18" charset="0"/>
              <a:ea typeface="+mn-ea"/>
              <a:cs typeface="+mn-cs"/>
            </a:defRPr>
          </a:pPr>
          <a:endParaRPr lang="es-CR"/>
        </a:p>
      </c:txPr>
    </c:title>
    <c:autoTitleDeleted val="0"/>
    <c:view3D>
      <c:rotX val="0"/>
      <c:rotY val="0"/>
      <c:rAngAx val="0"/>
      <c:perspective val="1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Anual!$A$62</c:f>
              <c:strCache>
                <c:ptCount val="1"/>
                <c:pt idx="0">
                  <c:v>Índice de crecimiento beneficiarios (ICB)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(Anual!$B$9,Anual!$C$10,Anual!$D$10)</c:f>
              <c:strCache>
                <c:ptCount val="3"/>
                <c:pt idx="0">
                  <c:v>Total programa</c:v>
                </c:pt>
                <c:pt idx="1">
                  <c:v>Atención de 
denuncias</c:v>
                </c:pt>
                <c:pt idx="2">
                  <c:v>Centros de Atención Infantil-
Guarderías</c:v>
                </c:pt>
              </c:strCache>
            </c:strRef>
          </c:cat>
          <c:val>
            <c:numRef>
              <c:f>Anual!$B$62:$D$62</c:f>
              <c:numCache>
                <c:formatCode>#,##0.00</c:formatCode>
                <c:ptCount val="3"/>
                <c:pt idx="0">
                  <c:v>6.7150419979654208</c:v>
                </c:pt>
                <c:pt idx="1">
                  <c:v>8.3723186748449141</c:v>
                </c:pt>
                <c:pt idx="2">
                  <c:v>-61.922639924912318</c:v>
                </c:pt>
              </c:numCache>
            </c:numRef>
          </c:val>
          <c:extLst>
            <c:ext xmlns:c16="http://schemas.microsoft.com/office/drawing/2014/chart" uri="{C3380CC4-5D6E-409C-BE32-E72D297353CC}">
              <c16:uniqueId val="{00000000-89D5-4135-8F0A-F233885B319E}"/>
            </c:ext>
          </c:extLst>
        </c:ser>
        <c:ser>
          <c:idx val="1"/>
          <c:order val="1"/>
          <c:tx>
            <c:strRef>
              <c:f>Anual!$A$63</c:f>
              <c:strCache>
                <c:ptCount val="1"/>
                <c:pt idx="0">
                  <c:v>Índice de crecimiento del gasto real (ICGR)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(Anual!$B$9,Anual!$C$10,Anual!$D$10)</c:f>
              <c:strCache>
                <c:ptCount val="3"/>
                <c:pt idx="0">
                  <c:v>Total programa</c:v>
                </c:pt>
                <c:pt idx="1">
                  <c:v>Atención de 
denuncias</c:v>
                </c:pt>
                <c:pt idx="2">
                  <c:v>Centros de Atención Infantil-
Guarderías</c:v>
                </c:pt>
              </c:strCache>
            </c:strRef>
          </c:cat>
          <c:val>
            <c:numRef>
              <c:f>Anual!$B$63:$D$63</c:f>
              <c:numCache>
                <c:formatCode>#,##0.00</c:formatCode>
                <c:ptCount val="3"/>
                <c:pt idx="0">
                  <c:v>-14.10298194037718</c:v>
                </c:pt>
                <c:pt idx="1">
                  <c:v>-2.3045815720291629</c:v>
                </c:pt>
                <c:pt idx="2">
                  <c:v>-67.653556261525182</c:v>
                </c:pt>
              </c:numCache>
            </c:numRef>
          </c:val>
          <c:extLst>
            <c:ext xmlns:c16="http://schemas.microsoft.com/office/drawing/2014/chart" uri="{C3380CC4-5D6E-409C-BE32-E72D297353CC}">
              <c16:uniqueId val="{00000001-89D5-4135-8F0A-F233885B319E}"/>
            </c:ext>
          </c:extLst>
        </c:ser>
        <c:ser>
          <c:idx val="2"/>
          <c:order val="2"/>
          <c:tx>
            <c:strRef>
              <c:f>Anual!$A$64</c:f>
              <c:strCache>
                <c:ptCount val="1"/>
                <c:pt idx="0">
                  <c:v>Índice de crecimiento del gasto real por beneficiario (ICGRB) </c:v>
                </c:pt>
              </c:strCache>
            </c:strRef>
          </c:tx>
          <c:spPr>
            <a:solidFill>
              <a:srgbClr val="A2BFE6"/>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(Anual!$B$9,Anual!$C$10,Anual!$D$10)</c:f>
              <c:strCache>
                <c:ptCount val="3"/>
                <c:pt idx="0">
                  <c:v>Total programa</c:v>
                </c:pt>
                <c:pt idx="1">
                  <c:v>Atención de 
denuncias</c:v>
                </c:pt>
                <c:pt idx="2">
                  <c:v>Centros de Atención Infantil-
Guarderías</c:v>
                </c:pt>
              </c:strCache>
            </c:strRef>
          </c:cat>
          <c:val>
            <c:numRef>
              <c:f>Anual!$B$64:$D$64</c:f>
              <c:numCache>
                <c:formatCode>#,##0.00</c:formatCode>
                <c:ptCount val="3"/>
                <c:pt idx="0">
                  <c:v>-19.508050176037528</c:v>
                </c:pt>
                <c:pt idx="1">
                  <c:v>-9.852054821221035</c:v>
                </c:pt>
                <c:pt idx="2">
                  <c:v>-15.050718656208373</c:v>
                </c:pt>
              </c:numCache>
            </c:numRef>
          </c:val>
          <c:extLst>
            <c:ext xmlns:c16="http://schemas.microsoft.com/office/drawing/2014/chart" uri="{C3380CC4-5D6E-409C-BE32-E72D297353CC}">
              <c16:uniqueId val="{00000002-89D5-4135-8F0A-F233885B319E}"/>
            </c:ext>
          </c:extLst>
        </c:ser>
        <c:dLbls>
          <c:showLegendKey val="0"/>
          <c:showVal val="0"/>
          <c:showCatName val="0"/>
          <c:showSerName val="0"/>
          <c:showPercent val="0"/>
          <c:showBubbleSize val="0"/>
        </c:dLbls>
        <c:gapWidth val="100"/>
        <c:shape val="box"/>
        <c:axId val="246424952"/>
        <c:axId val="246425344"/>
        <c:axId val="0"/>
      </c:bar3DChart>
      <c:catAx>
        <c:axId val="246424952"/>
        <c:scaling>
          <c:orientation val="minMax"/>
        </c:scaling>
        <c:delete val="0"/>
        <c:axPos val="b"/>
        <c:numFmt formatCode="General" sourceLinked="0"/>
        <c:majorTickMark val="none"/>
        <c:minorTickMark val="none"/>
        <c:tickLblPos val="low"/>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crossAx val="246425344"/>
        <c:crosses val="autoZero"/>
        <c:auto val="1"/>
        <c:lblAlgn val="ctr"/>
        <c:lblOffset val="100"/>
        <c:noMultiLvlLbl val="0"/>
      </c:catAx>
      <c:valAx>
        <c:axId val="246425344"/>
        <c:scaling>
          <c:orientation val="minMax"/>
          <c:max val="60"/>
          <c:min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crossAx val="246424952"/>
        <c:crosses val="autoZero"/>
        <c:crossBetween val="between"/>
      </c:valAx>
      <c:spPr>
        <a:noFill/>
        <a:ln>
          <a:noFill/>
        </a:ln>
        <a:effectLst/>
      </c:spPr>
    </c:plotArea>
    <c:legend>
      <c:legendPos val="b"/>
      <c:layout>
        <c:manualLayout>
          <c:xMode val="edge"/>
          <c:yMode val="edge"/>
          <c:x val="5.8058369572042056E-3"/>
          <c:y val="0.87942290387428113"/>
          <c:w val="0.98401307085931444"/>
          <c:h val="0.1025894636852834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solidFill>
            <a:schemeClr val="tx1"/>
          </a:solidFill>
          <a:latin typeface="Palatino Linotype" panose="02040502050505030304" pitchFamily="18" charset="0"/>
        </a:defRPr>
      </a:pPr>
      <a:endParaRPr lang="es-CR"/>
    </a:p>
  </c:tx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Palatino Linotype" panose="02040502050505030304" pitchFamily="18" charset="0"/>
                <a:ea typeface="+mn-ea"/>
                <a:cs typeface="+mn-cs"/>
              </a:defRPr>
            </a:pPr>
            <a:r>
              <a:rPr lang="es-CR" sz="1800" b="1"/>
              <a:t>PANI: Indicadores de giro de recursos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Palatino Linotype" panose="02040502050505030304" pitchFamily="18" charset="0"/>
              <a:ea typeface="+mn-ea"/>
              <a:cs typeface="+mn-cs"/>
            </a:defRPr>
          </a:pPr>
          <a:endParaRPr lang="es-CR"/>
        </a:p>
      </c:txPr>
    </c:title>
    <c:autoTitleDeleted val="0"/>
    <c:plotArea>
      <c:layout/>
      <c:barChart>
        <c:barDir val="bar"/>
        <c:grouping val="clustered"/>
        <c:varyColors val="0"/>
        <c:ser>
          <c:idx val="0"/>
          <c:order val="0"/>
          <c:tx>
            <c:strRef>
              <c:f>Anual!$B$9</c:f>
              <c:strCache>
                <c:ptCount val="1"/>
                <c:pt idx="0">
                  <c:v>Total programa</c:v>
                </c:pt>
              </c:strCache>
            </c:strRef>
          </c:tx>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3-CEDF-4F5A-AC88-8C4483AF6676}"/>
              </c:ext>
            </c:extLst>
          </c:dPt>
          <c:dPt>
            <c:idx val="1"/>
            <c:invertIfNegative val="0"/>
            <c:bubble3D val="0"/>
            <c:spPr>
              <a:solidFill>
                <a:srgbClr val="102D7C"/>
              </a:solidFill>
              <a:ln w="19050">
                <a:solidFill>
                  <a:schemeClr val="lt1"/>
                </a:solidFill>
              </a:ln>
              <a:effectLst/>
            </c:spPr>
            <c:extLst>
              <c:ext xmlns:c16="http://schemas.microsoft.com/office/drawing/2014/chart" uri="{C3380CC4-5D6E-409C-BE32-E72D297353CC}">
                <c16:uniqueId val="{00000002-CEDF-4F5A-AC88-8C4483AF667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Palatino Linotype" panose="02040502050505030304" pitchFamily="18" charset="0"/>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Anual!$A$74:$A$75</c:f>
              <c:strCache>
                <c:ptCount val="2"/>
                <c:pt idx="0">
                  <c:v>Índice de giro efectivo (IGE)</c:v>
                </c:pt>
                <c:pt idx="1">
                  <c:v>Índice de uso de recursos (IUR) </c:v>
                </c:pt>
              </c:strCache>
            </c:strRef>
          </c:cat>
          <c:val>
            <c:numRef>
              <c:f>Anual!$B$74:$B$75</c:f>
              <c:numCache>
                <c:formatCode>#,##0.00</c:formatCode>
                <c:ptCount val="2"/>
                <c:pt idx="0">
                  <c:v>100.00000000000003</c:v>
                </c:pt>
                <c:pt idx="1">
                  <c:v>91.631161787164515</c:v>
                </c:pt>
              </c:numCache>
            </c:numRef>
          </c:val>
          <c:extLst>
            <c:ext xmlns:c16="http://schemas.microsoft.com/office/drawing/2014/chart" uri="{C3380CC4-5D6E-409C-BE32-E72D297353CC}">
              <c16:uniqueId val="{00000000-E82B-4B03-A2DA-CEF0339011E1}"/>
            </c:ext>
          </c:extLst>
        </c:ser>
        <c:dLbls>
          <c:showLegendKey val="0"/>
          <c:showVal val="0"/>
          <c:showCatName val="0"/>
          <c:showSerName val="0"/>
          <c:showPercent val="0"/>
          <c:showBubbleSize val="0"/>
        </c:dLbls>
        <c:gapWidth val="100"/>
        <c:axId val="490335600"/>
        <c:axId val="490335928"/>
      </c:barChart>
      <c:valAx>
        <c:axId val="490335928"/>
        <c:scaling>
          <c:orientation val="minMax"/>
          <c:max val="12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crossAx val="490335600"/>
        <c:crosses val="autoZero"/>
        <c:crossBetween val="between"/>
        <c:majorUnit val="20"/>
      </c:valAx>
      <c:catAx>
        <c:axId val="490335600"/>
        <c:scaling>
          <c:orientation val="minMax"/>
        </c:scaling>
        <c:delete val="1"/>
        <c:axPos val="l"/>
        <c:numFmt formatCode="General" sourceLinked="1"/>
        <c:majorTickMark val="out"/>
        <c:minorTickMark val="none"/>
        <c:tickLblPos val="nextTo"/>
        <c:crossAx val="49033592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solidFill>
            <a:schemeClr val="tx1"/>
          </a:solidFill>
          <a:latin typeface="Palatino Linotype" panose="02040502050505030304" pitchFamily="18" charset="0"/>
        </a:defRPr>
      </a:pPr>
      <a:endParaRPr lang="es-CR"/>
    </a:p>
  </c:txPr>
  <c:printSettings>
    <c:headerFooter/>
    <c:pageMargins b="0.75000000000000189" l="0.70000000000000062" r="0.70000000000000062" t="0.750000000000001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0">
              <a:defRPr/>
            </a:pPr>
            <a:r>
              <a:rPr lang="en-US"/>
              <a:t>PANI: Índice de eficiencia (IE) 2021 </a:t>
            </a:r>
          </a:p>
        </c:rich>
      </c:tx>
      <c:overlay val="0"/>
      <c:spPr>
        <a:noFill/>
        <a:ln>
          <a:noFill/>
        </a:ln>
        <a:effectLst/>
      </c:spPr>
    </c:title>
    <c:autoTitleDeleted val="0"/>
    <c:view3D>
      <c:rotX val="5"/>
      <c:rotY val="0"/>
      <c:rAngAx val="0"/>
      <c:perspective val="2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Anual!$A$69</c:f>
              <c:strCache>
                <c:ptCount val="1"/>
                <c:pt idx="0">
                  <c:v>Índice de eficiencia (IE)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(Anual!$B$9,Anual!$C$10,Anual!$D$10,Anual!$E$10)</c:f>
              <c:strCache>
                <c:ptCount val="4"/>
                <c:pt idx="0">
                  <c:v>Total programa</c:v>
                </c:pt>
                <c:pt idx="1">
                  <c:v>Atención de 
denuncias</c:v>
                </c:pt>
                <c:pt idx="2">
                  <c:v>Centros de Atención Infantil-
Guarderías</c:v>
                </c:pt>
                <c:pt idx="3">
                  <c:v>Proyectos fondo de niñez y adolescencia </c:v>
                </c:pt>
              </c:strCache>
            </c:strRef>
          </c:cat>
          <c:val>
            <c:numRef>
              <c:f>Anual!$B$69:$E$69</c:f>
              <c:numCache>
                <c:formatCode>#,##0.00</c:formatCode>
                <c:ptCount val="4"/>
                <c:pt idx="0">
                  <c:v>81.135408310860726</c:v>
                </c:pt>
                <c:pt idx="1">
                  <c:v>81.321270734666456</c:v>
                </c:pt>
                <c:pt idx="2">
                  <c:v>89.120456952788203</c:v>
                </c:pt>
                <c:pt idx="3">
                  <c:v>114.08957256320974</c:v>
                </c:pt>
              </c:numCache>
            </c:numRef>
          </c:val>
          <c:extLst>
            <c:ext xmlns:c16="http://schemas.microsoft.com/office/drawing/2014/chart" uri="{C3380CC4-5D6E-409C-BE32-E72D297353CC}">
              <c16:uniqueId val="{00000000-802D-458E-9F88-533C057E21D0}"/>
            </c:ext>
          </c:extLst>
        </c:ser>
        <c:dLbls>
          <c:showLegendKey val="0"/>
          <c:showVal val="0"/>
          <c:showCatName val="0"/>
          <c:showSerName val="0"/>
          <c:showPercent val="0"/>
          <c:showBubbleSize val="0"/>
        </c:dLbls>
        <c:gapWidth val="120"/>
        <c:gapDepth val="0"/>
        <c:shape val="box"/>
        <c:axId val="248352616"/>
        <c:axId val="248353008"/>
        <c:axId val="0"/>
      </c:bar3DChart>
      <c:catAx>
        <c:axId val="2483526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248353008"/>
        <c:crosses val="autoZero"/>
        <c:auto val="1"/>
        <c:lblAlgn val="ctr"/>
        <c:lblOffset val="100"/>
        <c:noMultiLvlLbl val="0"/>
      </c:catAx>
      <c:valAx>
        <c:axId val="248353008"/>
        <c:scaling>
          <c:orientation val="minMax"/>
          <c:max val="15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vert="horz"/>
          <a:lstStyle/>
          <a:p>
            <a:pPr>
              <a:defRPr/>
            </a:pPr>
            <a:endParaRPr lang="es-CR"/>
          </a:p>
        </c:txPr>
        <c:crossAx val="248352616"/>
        <c:crosses val="autoZero"/>
        <c:crossBetween val="between"/>
        <c:majorUnit val="30"/>
      </c:valAx>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solidFill>
            <a:schemeClr val="tx1"/>
          </a:solidFill>
          <a:latin typeface="Palatino Linotype" panose="02040502050505030304" pitchFamily="18" charset="0"/>
        </a:defRPr>
      </a:pPr>
      <a:endParaRPr lang="es-CR"/>
    </a:p>
  </c:txPr>
  <c:printSettings>
    <c:headerFooter/>
    <c:pageMargins b="0.75000000000000189" l="0.70000000000000062" r="0.70000000000000062" t="0.750000000000001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0">
              <a:defRPr/>
            </a:pPr>
            <a:r>
              <a:rPr lang="es-CR"/>
              <a:t>PANI: Indicadores de gasto medio 2021</a:t>
            </a:r>
          </a:p>
        </c:rich>
      </c:tx>
      <c:layout>
        <c:manualLayout>
          <c:xMode val="edge"/>
          <c:yMode val="edge"/>
          <c:x val="0.27473551453679707"/>
          <c:y val="2.3349139965684117E-2"/>
        </c:manualLayout>
      </c:layout>
      <c:overlay val="0"/>
      <c:spPr>
        <a:noFill/>
        <a:ln>
          <a:noFill/>
        </a:ln>
        <a:effectLst/>
      </c:spPr>
    </c:title>
    <c:autoTitleDeleted val="0"/>
    <c:view3D>
      <c:rotX val="0"/>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Anual!$A$70</c:f>
              <c:strCache>
                <c:ptCount val="1"/>
                <c:pt idx="0">
                  <c:v>Gasto programado anual por beneficiario (GPB)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(Anual!$B$9,Anual!$C$10,Anual!$D$10,Anual!$E$10)</c:f>
              <c:strCache>
                <c:ptCount val="4"/>
                <c:pt idx="0">
                  <c:v>Total programa</c:v>
                </c:pt>
                <c:pt idx="1">
                  <c:v>Atención de 
denuncias</c:v>
                </c:pt>
                <c:pt idx="2">
                  <c:v>Centros de Atención Infantil-
Guarderías</c:v>
                </c:pt>
                <c:pt idx="3">
                  <c:v>Proyectos fondo de niñez y adolescencia </c:v>
                </c:pt>
              </c:strCache>
            </c:strRef>
          </c:cat>
          <c:val>
            <c:numRef>
              <c:f>Anual!$B$70:$E$70</c:f>
              <c:numCache>
                <c:formatCode>#,##0.00</c:formatCode>
                <c:ptCount val="4"/>
                <c:pt idx="0">
                  <c:v>151021.96076974511</c:v>
                </c:pt>
                <c:pt idx="1">
                  <c:v>1674423.5741706679</c:v>
                </c:pt>
                <c:pt idx="2">
                  <c:v>785564.21316927229</c:v>
                </c:pt>
                <c:pt idx="3">
                  <c:v>173524.97245999999</c:v>
                </c:pt>
              </c:numCache>
            </c:numRef>
          </c:val>
          <c:extLst>
            <c:ext xmlns:c16="http://schemas.microsoft.com/office/drawing/2014/chart" uri="{C3380CC4-5D6E-409C-BE32-E72D297353CC}">
              <c16:uniqueId val="{00000000-585E-4D58-8C04-DFDAF3735ACC}"/>
            </c:ext>
          </c:extLst>
        </c:ser>
        <c:ser>
          <c:idx val="1"/>
          <c:order val="1"/>
          <c:tx>
            <c:strRef>
              <c:f>Anual!$A$71</c:f>
              <c:strCache>
                <c:ptCount val="1"/>
                <c:pt idx="0">
                  <c:v>Gasto efectivo anual por beneficiario (GEB)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(Anual!$B$9,Anual!$C$10,Anual!$D$10,Anual!$E$10)</c:f>
              <c:strCache>
                <c:ptCount val="4"/>
                <c:pt idx="0">
                  <c:v>Total programa</c:v>
                </c:pt>
                <c:pt idx="1">
                  <c:v>Atención de 
denuncias</c:v>
                </c:pt>
                <c:pt idx="2">
                  <c:v>Centros de Atención Infantil-
Guarderías</c:v>
                </c:pt>
                <c:pt idx="3">
                  <c:v>Proyectos fondo de niñez y adolescencia </c:v>
                </c:pt>
              </c:strCache>
            </c:strRef>
          </c:cat>
          <c:val>
            <c:numRef>
              <c:f>Anual!$B$71:$E$71</c:f>
              <c:numCache>
                <c:formatCode>#,##0.00</c:formatCode>
                <c:ptCount val="4"/>
                <c:pt idx="0">
                  <c:v>116424.79450377489</c:v>
                </c:pt>
                <c:pt idx="1">
                  <c:v>1264687.4009669682</c:v>
                </c:pt>
                <c:pt idx="2">
                  <c:v>724587.23230150505</c:v>
                </c:pt>
                <c:pt idx="3">
                  <c:v>404653.52456299658</c:v>
                </c:pt>
              </c:numCache>
            </c:numRef>
          </c:val>
          <c:extLst>
            <c:ext xmlns:c16="http://schemas.microsoft.com/office/drawing/2014/chart" uri="{C3380CC4-5D6E-409C-BE32-E72D297353CC}">
              <c16:uniqueId val="{00000001-585E-4D58-8C04-DFDAF3735ACC}"/>
            </c:ext>
          </c:extLst>
        </c:ser>
        <c:dLbls>
          <c:showLegendKey val="0"/>
          <c:showVal val="0"/>
          <c:showCatName val="0"/>
          <c:showSerName val="0"/>
          <c:showPercent val="0"/>
          <c:showBubbleSize val="0"/>
        </c:dLbls>
        <c:gapWidth val="150"/>
        <c:shape val="box"/>
        <c:axId val="248353792"/>
        <c:axId val="248354184"/>
        <c:axId val="0"/>
      </c:bar3DChart>
      <c:catAx>
        <c:axId val="2483537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248354184"/>
        <c:crosses val="autoZero"/>
        <c:auto val="1"/>
        <c:lblAlgn val="ctr"/>
        <c:lblOffset val="100"/>
        <c:noMultiLvlLbl val="0"/>
      </c:catAx>
      <c:valAx>
        <c:axId val="248354184"/>
        <c:scaling>
          <c:orientation val="minMax"/>
          <c:max val="200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effectLst/>
        </c:spPr>
        <c:txPr>
          <a:bodyPr rot="-60000000" vert="horz"/>
          <a:lstStyle/>
          <a:p>
            <a:pPr>
              <a:defRPr/>
            </a:pPr>
            <a:endParaRPr lang="es-CR"/>
          </a:p>
        </c:txPr>
        <c:crossAx val="248353792"/>
        <c:crosses val="autoZero"/>
        <c:crossBetween val="between"/>
        <c:majorUnit val="400000"/>
      </c:valAx>
      <c:dTable>
        <c:showHorzBorder val="1"/>
        <c:showVertBorder val="1"/>
        <c:showOutline val="1"/>
        <c:showKeys val="1"/>
      </c:dTable>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solidFill>
            <a:schemeClr val="tx1"/>
          </a:solidFill>
          <a:latin typeface="Palatino Linotype" panose="02040502050505030304" pitchFamily="18" charset="0"/>
        </a:defRPr>
      </a:pPr>
      <a:endParaRPr lang="es-CR"/>
    </a:p>
  </c:txPr>
  <c:printSettings>
    <c:headerFooter/>
    <c:pageMargins b="0.75000000000000189" l="0.70000000000000062" r="0.70000000000000062" t="0.750000000000001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solidFill>
                <a:latin typeface="Palatino Linotype" panose="02040502050505030304" pitchFamily="18" charset="0"/>
                <a:ea typeface="+mn-ea"/>
                <a:cs typeface="+mn-cs"/>
              </a:defRPr>
            </a:pPr>
            <a:r>
              <a:rPr lang="en-US" sz="1800"/>
              <a:t>PANI: Indicadores de avance 2021</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Palatino Linotype" panose="02040502050505030304" pitchFamily="18" charset="0"/>
              <a:ea typeface="+mn-ea"/>
              <a:cs typeface="+mn-cs"/>
            </a:defRPr>
          </a:pPr>
          <a:endParaRPr lang="es-CR"/>
        </a:p>
      </c:txPr>
    </c:title>
    <c:autoTitleDeleted val="0"/>
    <c:view3D>
      <c:rotX val="0"/>
      <c:rotY val="0"/>
      <c:rAngAx val="0"/>
      <c:perspective val="1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6609831225317887E-2"/>
          <c:y val="0.1258629772405033"/>
          <c:w val="0.93684363131235004"/>
          <c:h val="0.56364747761102163"/>
        </c:manualLayout>
      </c:layout>
      <c:bar3DChart>
        <c:barDir val="col"/>
        <c:grouping val="clustered"/>
        <c:varyColors val="0"/>
        <c:ser>
          <c:idx val="0"/>
          <c:order val="0"/>
          <c:tx>
            <c:strRef>
              <c:f>Anual!$A$54</c:f>
              <c:strCache>
                <c:ptCount val="1"/>
                <c:pt idx="0">
                  <c:v>Índice avance beneficiarios (IAB)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(Anual!$B$9,Anual!$C$10,Anual!$D$10,Anual!$E$10)</c:f>
              <c:strCache>
                <c:ptCount val="4"/>
                <c:pt idx="0">
                  <c:v>Total programa</c:v>
                </c:pt>
                <c:pt idx="1">
                  <c:v>Atención de 
denuncias</c:v>
                </c:pt>
                <c:pt idx="2">
                  <c:v>Centros de Atención Infantil-
Guarderías</c:v>
                </c:pt>
                <c:pt idx="3">
                  <c:v>Proyectos fondo de niñez y adolescencia </c:v>
                </c:pt>
              </c:strCache>
            </c:strRef>
          </c:cat>
          <c:val>
            <c:numRef>
              <c:f>Anual!$B$54:$E$54</c:f>
              <c:numCache>
                <c:formatCode>#,##0.00</c:formatCode>
                <c:ptCount val="4"/>
                <c:pt idx="0">
                  <c:v>118.86057243810421</c:v>
                </c:pt>
                <c:pt idx="1">
                  <c:v>122.67770280872429</c:v>
                </c:pt>
                <c:pt idx="2">
                  <c:v>100.52164840897233</c:v>
                </c:pt>
                <c:pt idx="3">
                  <c:v>29.366666666666667</c:v>
                </c:pt>
              </c:numCache>
            </c:numRef>
          </c:val>
          <c:extLst>
            <c:ext xmlns:c16="http://schemas.microsoft.com/office/drawing/2014/chart" uri="{C3380CC4-5D6E-409C-BE32-E72D297353CC}">
              <c16:uniqueId val="{00000000-9064-404D-BF2B-FBC3470BF25C}"/>
            </c:ext>
          </c:extLst>
        </c:ser>
        <c:ser>
          <c:idx val="1"/>
          <c:order val="1"/>
          <c:tx>
            <c:strRef>
              <c:f>Anual!$A$55</c:f>
              <c:strCache>
                <c:ptCount val="1"/>
                <c:pt idx="0">
                  <c:v>Índice avance gasto (IAG)</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(Anual!$B$9,Anual!$C$10,Anual!$D$10,Anual!$E$10)</c:f>
              <c:strCache>
                <c:ptCount val="4"/>
                <c:pt idx="0">
                  <c:v>Total programa</c:v>
                </c:pt>
                <c:pt idx="1">
                  <c:v>Atención de 
denuncias</c:v>
                </c:pt>
                <c:pt idx="2">
                  <c:v>Centros de Atención Infantil-
Guarderías</c:v>
                </c:pt>
                <c:pt idx="3">
                  <c:v>Proyectos fondo de niñez y adolescencia </c:v>
                </c:pt>
              </c:strCache>
            </c:strRef>
          </c:cat>
          <c:val>
            <c:numRef>
              <c:f>Anual!$B$55:$E$55</c:f>
              <c:numCache>
                <c:formatCode>#,##0.00</c:formatCode>
                <c:ptCount val="4"/>
                <c:pt idx="0">
                  <c:v>91.631161787164544</c:v>
                </c:pt>
                <c:pt idx="1">
                  <c:v>92.658122780317413</c:v>
                </c:pt>
                <c:pt idx="2">
                  <c:v>92.718967827201041</c:v>
                </c:pt>
                <c:pt idx="3">
                  <c:v>68.481930887916491</c:v>
                </c:pt>
              </c:numCache>
            </c:numRef>
          </c:val>
          <c:extLst>
            <c:ext xmlns:c16="http://schemas.microsoft.com/office/drawing/2014/chart" uri="{C3380CC4-5D6E-409C-BE32-E72D297353CC}">
              <c16:uniqueId val="{00000001-9064-404D-BF2B-FBC3470BF25C}"/>
            </c:ext>
          </c:extLst>
        </c:ser>
        <c:ser>
          <c:idx val="2"/>
          <c:order val="2"/>
          <c:tx>
            <c:strRef>
              <c:f>Anual!$A$56</c:f>
              <c:strCache>
                <c:ptCount val="1"/>
                <c:pt idx="0">
                  <c:v>Índice avance total (IAT) </c:v>
                </c:pt>
              </c:strCache>
            </c:strRef>
          </c:tx>
          <c:spPr>
            <a:solidFill>
              <a:srgbClr val="A2BFE6"/>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(Anual!$B$9,Anual!$C$10,Anual!$D$10,Anual!$E$10)</c:f>
              <c:strCache>
                <c:ptCount val="4"/>
                <c:pt idx="0">
                  <c:v>Total programa</c:v>
                </c:pt>
                <c:pt idx="1">
                  <c:v>Atención de 
denuncias</c:v>
                </c:pt>
                <c:pt idx="2">
                  <c:v>Centros de Atención Infantil-
Guarderías</c:v>
                </c:pt>
                <c:pt idx="3">
                  <c:v>Proyectos fondo de niñez y adolescencia </c:v>
                </c:pt>
              </c:strCache>
            </c:strRef>
          </c:cat>
          <c:val>
            <c:numRef>
              <c:f>Anual!$B$56:$E$56</c:f>
              <c:numCache>
                <c:formatCode>#,##0.00</c:formatCode>
                <c:ptCount val="4"/>
                <c:pt idx="0">
                  <c:v>105.24586711263439</c:v>
                </c:pt>
                <c:pt idx="1">
                  <c:v>107.66791279452084</c:v>
                </c:pt>
                <c:pt idx="2">
                  <c:v>96.620308118086683</c:v>
                </c:pt>
                <c:pt idx="3">
                  <c:v>48.924298777291582</c:v>
                </c:pt>
              </c:numCache>
            </c:numRef>
          </c:val>
          <c:extLst>
            <c:ext xmlns:c16="http://schemas.microsoft.com/office/drawing/2014/chart" uri="{C3380CC4-5D6E-409C-BE32-E72D297353CC}">
              <c16:uniqueId val="{00000002-9064-404D-BF2B-FBC3470BF25C}"/>
            </c:ext>
          </c:extLst>
        </c:ser>
        <c:dLbls>
          <c:showLegendKey val="0"/>
          <c:showVal val="0"/>
          <c:showCatName val="0"/>
          <c:showSerName val="0"/>
          <c:showPercent val="0"/>
          <c:showBubbleSize val="0"/>
        </c:dLbls>
        <c:gapWidth val="100"/>
        <c:shape val="box"/>
        <c:axId val="548439192"/>
        <c:axId val="548439584"/>
        <c:axId val="0"/>
      </c:bar3DChart>
      <c:catAx>
        <c:axId val="548439192"/>
        <c:scaling>
          <c:orientation val="minMax"/>
        </c:scaling>
        <c:delete val="0"/>
        <c:axPos val="b"/>
        <c:numFmt formatCode="General" sourceLinked="1"/>
        <c:majorTickMark val="none"/>
        <c:minorTickMark val="none"/>
        <c:tickLblPos val="low"/>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crossAx val="548439584"/>
        <c:crosses val="autoZero"/>
        <c:auto val="1"/>
        <c:lblAlgn val="ctr"/>
        <c:lblOffset val="100"/>
        <c:noMultiLvlLbl val="0"/>
      </c:catAx>
      <c:valAx>
        <c:axId val="548439584"/>
        <c:scaling>
          <c:orientation val="minMax"/>
          <c:max val="20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crossAx val="548439192"/>
        <c:crosses val="autoZero"/>
        <c:crossBetween val="between"/>
        <c:majorUnit val="50"/>
      </c:valAx>
      <c:spPr>
        <a:noFill/>
        <a:ln>
          <a:noFill/>
        </a:ln>
        <a:effectLst/>
      </c:spPr>
    </c:plotArea>
    <c:legend>
      <c:legendPos val="b"/>
      <c:layout>
        <c:manualLayout>
          <c:xMode val="edge"/>
          <c:yMode val="edge"/>
          <c:x val="0.19943567941216131"/>
          <c:y val="0.91613635050261599"/>
          <c:w val="0.68336584458248728"/>
          <c:h val="5.675334366966577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sz="1000">
          <a:solidFill>
            <a:schemeClr val="tx1"/>
          </a:solidFill>
          <a:latin typeface="Palatino Linotype" panose="02040502050505030304" pitchFamily="18" charset="0"/>
        </a:defRPr>
      </a:pPr>
      <a:endParaRPr lang="es-CR"/>
    </a:p>
  </c:txPr>
  <c:printSettings>
    <c:headerFooter/>
    <c:pageMargins b="0.75000000000000189" l="0.70000000000000062" r="0.70000000000000062" t="0.750000000000001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5</xdr:row>
      <xdr:rowOff>178594</xdr:rowOff>
    </xdr:from>
    <xdr:ext cx="11437938" cy="404812"/>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0" y="1091407"/>
          <a:ext cx="11437938" cy="404812"/>
        </a:xfrm>
        <a:prstGeom prst="rect">
          <a:avLst/>
        </a:prstGeom>
      </xdr:spPr>
    </xdr:pic>
    <xdr:clientData/>
  </xdr:oneCellAnchor>
  <xdr:twoCellAnchor editAs="oneCell">
    <xdr:from>
      <xdr:col>0</xdr:col>
      <xdr:colOff>0</xdr:colOff>
      <xdr:row>0</xdr:row>
      <xdr:rowOff>0</xdr:rowOff>
    </xdr:from>
    <xdr:to>
      <xdr:col>5</xdr:col>
      <xdr:colOff>11906</xdr:colOff>
      <xdr:row>5</xdr:row>
      <xdr:rowOff>178594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0" y="0"/>
          <a:ext cx="10870406" cy="1131094"/>
        </a:xfrm>
        <a:prstGeom prst="rect">
          <a:avLst/>
        </a:prstGeom>
      </xdr:spPr>
    </xdr:pic>
    <xdr:clientData/>
  </xdr:twoCellAnchor>
  <xdr:twoCellAnchor editAs="oneCell">
    <xdr:from>
      <xdr:col>0</xdr:col>
      <xdr:colOff>462643</xdr:colOff>
      <xdr:row>0</xdr:row>
      <xdr:rowOff>95250</xdr:rowOff>
    </xdr:from>
    <xdr:to>
      <xdr:col>1</xdr:col>
      <xdr:colOff>585107</xdr:colOff>
      <xdr:row>5</xdr:row>
      <xdr:rowOff>136071</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462643" y="95250"/>
          <a:ext cx="4408714" cy="993321"/>
        </a:xfrm>
        <a:prstGeom prst="rect">
          <a:avLst/>
        </a:prstGeom>
      </xdr:spPr>
    </xdr:pic>
    <xdr:clientData/>
  </xdr:twoCellAnchor>
  <xdr:twoCellAnchor>
    <xdr:from>
      <xdr:col>0</xdr:col>
      <xdr:colOff>23812</xdr:colOff>
      <xdr:row>6</xdr:row>
      <xdr:rowOff>35719</xdr:rowOff>
    </xdr:from>
    <xdr:to>
      <xdr:col>4</xdr:col>
      <xdr:colOff>1607344</xdr:colOff>
      <xdr:row>7</xdr:row>
      <xdr:rowOff>136068</xdr:rowOff>
    </xdr:to>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23812" y="1178719"/>
          <a:ext cx="10813257" cy="290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R" sz="1100" b="1" baseline="0">
              <a:solidFill>
                <a:schemeClr val="bg1"/>
              </a:solidFill>
              <a:effectLst/>
              <a:latin typeface="Palatino Linotype" panose="02040502050505030304" pitchFamily="18" charset="0"/>
              <a:ea typeface="+mn-ea"/>
              <a:cs typeface="+mn-cs"/>
            </a:rPr>
            <a:t> </a:t>
          </a:r>
          <a:r>
            <a:rPr lang="es-CR" sz="1100" b="1">
              <a:solidFill>
                <a:schemeClr val="bg1"/>
              </a:solidFill>
              <a:effectLst/>
              <a:latin typeface="Palatino Linotype" panose="02040502050505030304" pitchFamily="18" charset="0"/>
              <a:ea typeface="+mn-ea"/>
              <a:cs typeface="+mn-cs"/>
            </a:rPr>
            <a:t>Patronato Nacional de la Infancia</a:t>
          </a:r>
          <a:r>
            <a:rPr lang="es-CR" sz="1100" b="1" baseline="0">
              <a:solidFill>
                <a:schemeClr val="bg1"/>
              </a:solidFill>
              <a:effectLst/>
              <a:latin typeface="Palatino Linotype" panose="02040502050505030304" pitchFamily="18" charset="0"/>
              <a:ea typeface="+mn-ea"/>
              <a:cs typeface="+mn-cs"/>
            </a:rPr>
            <a:t>   Programa  Protección y Atención de los Niños, Niñas y Adolescentes</a:t>
          </a:r>
          <a:r>
            <a:rPr lang="es-CR" sz="1100" b="1" baseline="0">
              <a:solidFill>
                <a:schemeClr val="dk1"/>
              </a:solidFill>
              <a:effectLst/>
              <a:latin typeface="Palatino Linotype" panose="02040502050505030304" pitchFamily="18" charset="0"/>
              <a:ea typeface="+mn-ea"/>
              <a:cs typeface="+mn-cs"/>
            </a:rPr>
            <a:t>    </a:t>
          </a: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 Trimestre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11-05-2021</a:t>
          </a:r>
          <a:endParaRPr lang="es-CR" sz="1100">
            <a:solidFill>
              <a:schemeClr val="bg1"/>
            </a:solidFill>
            <a:effectLst/>
            <a:latin typeface="Palatino Linotype" panose="02040502050505030304" pitchFamily="18" charset="0"/>
          </a:endParaRPr>
        </a:p>
        <a:p>
          <a:endParaRPr lang="es-CR" sz="105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5</xdr:row>
      <xdr:rowOff>178594</xdr:rowOff>
    </xdr:from>
    <xdr:ext cx="11437938" cy="404812"/>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0" y="1091407"/>
          <a:ext cx="11437938" cy="404812"/>
        </a:xfrm>
        <a:prstGeom prst="rect">
          <a:avLst/>
        </a:prstGeom>
      </xdr:spPr>
    </xdr:pic>
    <xdr:clientData/>
  </xdr:oneCellAnchor>
  <xdr:twoCellAnchor editAs="oneCell">
    <xdr:from>
      <xdr:col>0</xdr:col>
      <xdr:colOff>0</xdr:colOff>
      <xdr:row>0</xdr:row>
      <xdr:rowOff>0</xdr:rowOff>
    </xdr:from>
    <xdr:to>
      <xdr:col>5</xdr:col>
      <xdr:colOff>11906</xdr:colOff>
      <xdr:row>5</xdr:row>
      <xdr:rowOff>178594</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0" y="0"/>
          <a:ext cx="10870406" cy="1131094"/>
        </a:xfrm>
        <a:prstGeom prst="rect">
          <a:avLst/>
        </a:prstGeom>
      </xdr:spPr>
    </xdr:pic>
    <xdr:clientData/>
  </xdr:twoCellAnchor>
  <xdr:twoCellAnchor editAs="oneCell">
    <xdr:from>
      <xdr:col>0</xdr:col>
      <xdr:colOff>462643</xdr:colOff>
      <xdr:row>0</xdr:row>
      <xdr:rowOff>95250</xdr:rowOff>
    </xdr:from>
    <xdr:to>
      <xdr:col>1</xdr:col>
      <xdr:colOff>585107</xdr:colOff>
      <xdr:row>5</xdr:row>
      <xdr:rowOff>136071</xdr:rowOff>
    </xdr:to>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462643" y="95250"/>
          <a:ext cx="4408714" cy="993321"/>
        </a:xfrm>
        <a:prstGeom prst="rect">
          <a:avLst/>
        </a:prstGeom>
      </xdr:spPr>
    </xdr:pic>
    <xdr:clientData/>
  </xdr:twoCellAnchor>
  <xdr:twoCellAnchor>
    <xdr:from>
      <xdr:col>0</xdr:col>
      <xdr:colOff>23812</xdr:colOff>
      <xdr:row>6</xdr:row>
      <xdr:rowOff>35719</xdr:rowOff>
    </xdr:from>
    <xdr:to>
      <xdr:col>4</xdr:col>
      <xdr:colOff>1607344</xdr:colOff>
      <xdr:row>7</xdr:row>
      <xdr:rowOff>136068</xdr:rowOff>
    </xdr:to>
    <xdr:sp macro="" textlink="">
      <xdr:nvSpPr>
        <xdr:cNvPr id="9" name="CuadroTexto 8">
          <a:extLst>
            <a:ext uri="{FF2B5EF4-FFF2-40B4-BE49-F238E27FC236}">
              <a16:creationId xmlns:a16="http://schemas.microsoft.com/office/drawing/2014/main" id="{00000000-0008-0000-0100-000009000000}"/>
            </a:ext>
          </a:extLst>
        </xdr:cNvPr>
        <xdr:cNvSpPr txBox="1"/>
      </xdr:nvSpPr>
      <xdr:spPr>
        <a:xfrm>
          <a:off x="23812" y="1178719"/>
          <a:ext cx="10813257" cy="290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Patronato Nacional de la Infancia</a:t>
          </a:r>
          <a:r>
            <a:rPr lang="es-CR" sz="1100" b="1" baseline="0">
              <a:solidFill>
                <a:schemeClr val="bg1"/>
              </a:solidFill>
              <a:effectLst/>
              <a:latin typeface="Palatino Linotype" panose="02040502050505030304" pitchFamily="18" charset="0"/>
              <a:ea typeface="+mn-ea"/>
              <a:cs typeface="+mn-cs"/>
            </a:rPr>
            <a:t>   Programa  Protección y Atención de los Niños, Niñas y Adolescentes</a:t>
          </a:r>
          <a:r>
            <a:rPr lang="es-CR" sz="1100" b="1" baseline="0">
              <a:solidFill>
                <a:schemeClr val="dk1"/>
              </a:solidFill>
              <a:effectLst/>
              <a:latin typeface="Palatino Linotype" panose="02040502050505030304" pitchFamily="18" charset="0"/>
              <a:ea typeface="+mn-ea"/>
              <a:cs typeface="+mn-cs"/>
            </a:rPr>
            <a:t>  </a:t>
          </a: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II Trimestre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09-08-2021</a:t>
          </a:r>
          <a:endParaRPr lang="es-CR" sz="1100">
            <a:solidFill>
              <a:schemeClr val="bg1"/>
            </a:solidFill>
            <a:effectLst/>
            <a:latin typeface="Palatino Linotype" panose="02040502050505030304" pitchFamily="18" charset="0"/>
          </a:endParaRPr>
        </a:p>
        <a:p>
          <a:endParaRPr lang="es-CR" sz="105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462643</xdr:colOff>
      <xdr:row>0</xdr:row>
      <xdr:rowOff>95250</xdr:rowOff>
    </xdr:from>
    <xdr:to>
      <xdr:col>1</xdr:col>
      <xdr:colOff>585107</xdr:colOff>
      <xdr:row>5</xdr:row>
      <xdr:rowOff>136071</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62643" y="95250"/>
          <a:ext cx="4408714" cy="993321"/>
        </a:xfrm>
        <a:prstGeom prst="rect">
          <a:avLst/>
        </a:prstGeom>
      </xdr:spPr>
    </xdr:pic>
    <xdr:clientData/>
  </xdr:twoCellAnchor>
  <xdr:oneCellAnchor>
    <xdr:from>
      <xdr:col>0</xdr:col>
      <xdr:colOff>0</xdr:colOff>
      <xdr:row>5</xdr:row>
      <xdr:rowOff>178594</xdr:rowOff>
    </xdr:from>
    <xdr:ext cx="11437938" cy="404812"/>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0" y="1091407"/>
          <a:ext cx="11437938" cy="404812"/>
        </a:xfrm>
        <a:prstGeom prst="rect">
          <a:avLst/>
        </a:prstGeom>
      </xdr:spPr>
    </xdr:pic>
    <xdr:clientData/>
  </xdr:oneCellAnchor>
  <xdr:twoCellAnchor editAs="oneCell">
    <xdr:from>
      <xdr:col>0</xdr:col>
      <xdr:colOff>0</xdr:colOff>
      <xdr:row>0</xdr:row>
      <xdr:rowOff>0</xdr:rowOff>
    </xdr:from>
    <xdr:to>
      <xdr:col>5</xdr:col>
      <xdr:colOff>11906</xdr:colOff>
      <xdr:row>5</xdr:row>
      <xdr:rowOff>178594</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a:stretch>
          <a:fillRect/>
        </a:stretch>
      </xdr:blipFill>
      <xdr:spPr>
        <a:xfrm>
          <a:off x="0" y="0"/>
          <a:ext cx="10889456" cy="1131094"/>
        </a:xfrm>
        <a:prstGeom prst="rect">
          <a:avLst/>
        </a:prstGeom>
      </xdr:spPr>
    </xdr:pic>
    <xdr:clientData/>
  </xdr:twoCellAnchor>
  <xdr:twoCellAnchor editAs="oneCell">
    <xdr:from>
      <xdr:col>0</xdr:col>
      <xdr:colOff>462643</xdr:colOff>
      <xdr:row>0</xdr:row>
      <xdr:rowOff>95250</xdr:rowOff>
    </xdr:from>
    <xdr:to>
      <xdr:col>1</xdr:col>
      <xdr:colOff>585107</xdr:colOff>
      <xdr:row>5</xdr:row>
      <xdr:rowOff>136071</xdr:rowOff>
    </xdr:to>
    <xdr:pic>
      <xdr:nvPicPr>
        <xdr:cNvPr id="8" name="Imagen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stretch>
          <a:fillRect/>
        </a:stretch>
      </xdr:blipFill>
      <xdr:spPr>
        <a:xfrm>
          <a:off x="462643" y="95250"/>
          <a:ext cx="4408714" cy="993321"/>
        </a:xfrm>
        <a:prstGeom prst="rect">
          <a:avLst/>
        </a:prstGeom>
      </xdr:spPr>
    </xdr:pic>
    <xdr:clientData/>
  </xdr:twoCellAnchor>
  <xdr:twoCellAnchor>
    <xdr:from>
      <xdr:col>0</xdr:col>
      <xdr:colOff>23812</xdr:colOff>
      <xdr:row>6</xdr:row>
      <xdr:rowOff>35719</xdr:rowOff>
    </xdr:from>
    <xdr:to>
      <xdr:col>4</xdr:col>
      <xdr:colOff>1607344</xdr:colOff>
      <xdr:row>7</xdr:row>
      <xdr:rowOff>136068</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23812" y="1178719"/>
          <a:ext cx="10813257" cy="290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Patronato Nacional de la Infancia</a:t>
          </a:r>
          <a:r>
            <a:rPr lang="es-CR" sz="1100" b="1" baseline="0">
              <a:solidFill>
                <a:schemeClr val="bg1"/>
              </a:solidFill>
              <a:effectLst/>
              <a:latin typeface="Palatino Linotype" panose="02040502050505030304" pitchFamily="18" charset="0"/>
              <a:ea typeface="+mn-ea"/>
              <a:cs typeface="+mn-cs"/>
            </a:rPr>
            <a:t>   Programa  Protección y Atención de los Niños, Niñas y Adolescentes</a:t>
          </a:r>
          <a:r>
            <a:rPr lang="es-CR" sz="1100" b="1" baseline="0">
              <a:solidFill>
                <a:schemeClr val="dk1"/>
              </a:solidFill>
              <a:effectLst/>
              <a:latin typeface="Palatino Linotype" panose="02040502050505030304" pitchFamily="18" charset="0"/>
              <a:ea typeface="+mn-ea"/>
              <a:cs typeface="+mn-cs"/>
            </a:rPr>
            <a:t>  </a:t>
          </a: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 Semestre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09-08-2021</a:t>
          </a:r>
          <a:endParaRPr lang="es-CR" sz="1100">
            <a:solidFill>
              <a:schemeClr val="bg1"/>
            </a:solidFill>
            <a:effectLst/>
            <a:latin typeface="Palatino Linotype" panose="02040502050505030304" pitchFamily="18" charset="0"/>
          </a:endParaRPr>
        </a:p>
        <a:p>
          <a:endParaRPr lang="es-CR" sz="1050">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5</xdr:row>
      <xdr:rowOff>178594</xdr:rowOff>
    </xdr:from>
    <xdr:ext cx="11437938" cy="404812"/>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0" y="1091407"/>
          <a:ext cx="11437938" cy="404812"/>
        </a:xfrm>
        <a:prstGeom prst="rect">
          <a:avLst/>
        </a:prstGeom>
      </xdr:spPr>
    </xdr:pic>
    <xdr:clientData/>
  </xdr:oneCellAnchor>
  <xdr:twoCellAnchor editAs="oneCell">
    <xdr:from>
      <xdr:col>0</xdr:col>
      <xdr:colOff>0</xdr:colOff>
      <xdr:row>0</xdr:row>
      <xdr:rowOff>0</xdr:rowOff>
    </xdr:from>
    <xdr:to>
      <xdr:col>5</xdr:col>
      <xdr:colOff>11906</xdr:colOff>
      <xdr:row>5</xdr:row>
      <xdr:rowOff>178594</xdr:rowOff>
    </xdr:to>
    <xdr:pic>
      <xdr:nvPicPr>
        <xdr:cNvPr id="7" name="Imagen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stretch>
          <a:fillRect/>
        </a:stretch>
      </xdr:blipFill>
      <xdr:spPr>
        <a:xfrm>
          <a:off x="0" y="0"/>
          <a:ext cx="10889456" cy="1131094"/>
        </a:xfrm>
        <a:prstGeom prst="rect">
          <a:avLst/>
        </a:prstGeom>
      </xdr:spPr>
    </xdr:pic>
    <xdr:clientData/>
  </xdr:twoCellAnchor>
  <xdr:twoCellAnchor editAs="oneCell">
    <xdr:from>
      <xdr:col>0</xdr:col>
      <xdr:colOff>462643</xdr:colOff>
      <xdr:row>0</xdr:row>
      <xdr:rowOff>95250</xdr:rowOff>
    </xdr:from>
    <xdr:to>
      <xdr:col>1</xdr:col>
      <xdr:colOff>585107</xdr:colOff>
      <xdr:row>5</xdr:row>
      <xdr:rowOff>136071</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3"/>
        <a:stretch>
          <a:fillRect/>
        </a:stretch>
      </xdr:blipFill>
      <xdr:spPr>
        <a:xfrm>
          <a:off x="462643" y="95250"/>
          <a:ext cx="4408714" cy="993321"/>
        </a:xfrm>
        <a:prstGeom prst="rect">
          <a:avLst/>
        </a:prstGeom>
      </xdr:spPr>
    </xdr:pic>
    <xdr:clientData/>
  </xdr:twoCellAnchor>
  <xdr:twoCellAnchor>
    <xdr:from>
      <xdr:col>0</xdr:col>
      <xdr:colOff>23812</xdr:colOff>
      <xdr:row>6</xdr:row>
      <xdr:rowOff>35719</xdr:rowOff>
    </xdr:from>
    <xdr:to>
      <xdr:col>4</xdr:col>
      <xdr:colOff>1607344</xdr:colOff>
      <xdr:row>7</xdr:row>
      <xdr:rowOff>136068</xdr:rowOff>
    </xdr:to>
    <xdr:sp macro="" textlink="">
      <xdr:nvSpPr>
        <xdr:cNvPr id="13" name="CuadroTexto 12">
          <a:extLst>
            <a:ext uri="{FF2B5EF4-FFF2-40B4-BE49-F238E27FC236}">
              <a16:creationId xmlns:a16="http://schemas.microsoft.com/office/drawing/2014/main" id="{00000000-0008-0000-0300-00000D000000}"/>
            </a:ext>
          </a:extLst>
        </xdr:cNvPr>
        <xdr:cNvSpPr txBox="1"/>
      </xdr:nvSpPr>
      <xdr:spPr>
        <a:xfrm>
          <a:off x="23812" y="1178719"/>
          <a:ext cx="10813257" cy="290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Patronato Nacional de la Infancia</a:t>
          </a:r>
          <a:r>
            <a:rPr lang="es-CR" sz="1100" b="1" baseline="0">
              <a:solidFill>
                <a:schemeClr val="bg1"/>
              </a:solidFill>
              <a:effectLst/>
              <a:latin typeface="Palatino Linotype" panose="02040502050505030304" pitchFamily="18" charset="0"/>
              <a:ea typeface="+mn-ea"/>
              <a:cs typeface="+mn-cs"/>
            </a:rPr>
            <a:t>   Programa  Protección y Atención de los Niños, Niñas y Adolescentes</a:t>
          </a:r>
          <a:r>
            <a:rPr lang="es-CR" sz="1100" b="1" baseline="0">
              <a:solidFill>
                <a:schemeClr val="dk1"/>
              </a:solidFill>
              <a:effectLst/>
              <a:latin typeface="Palatino Linotype" panose="02040502050505030304" pitchFamily="18" charset="0"/>
              <a:ea typeface="+mn-ea"/>
              <a:cs typeface="+mn-cs"/>
            </a:rPr>
            <a:t>  </a:t>
          </a: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III Trimestre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05-11-2021</a:t>
          </a:r>
          <a:endParaRPr lang="es-CR" sz="1100">
            <a:solidFill>
              <a:schemeClr val="bg1"/>
            </a:solidFill>
            <a:effectLst/>
            <a:latin typeface="Palatino Linotype" panose="02040502050505030304" pitchFamily="18" charset="0"/>
          </a:endParaRPr>
        </a:p>
        <a:p>
          <a:endParaRPr lang="es-CR" sz="1050">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5</xdr:row>
      <xdr:rowOff>178593</xdr:rowOff>
    </xdr:from>
    <xdr:ext cx="11437938" cy="559593"/>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0" y="1091406"/>
          <a:ext cx="11437938" cy="559593"/>
        </a:xfrm>
        <a:prstGeom prst="rect">
          <a:avLst/>
        </a:prstGeom>
      </xdr:spPr>
    </xdr:pic>
    <xdr:clientData/>
  </xdr:oneCellAnchor>
  <xdr:twoCellAnchor editAs="oneCell">
    <xdr:from>
      <xdr:col>0</xdr:col>
      <xdr:colOff>0</xdr:colOff>
      <xdr:row>0</xdr:row>
      <xdr:rowOff>0</xdr:rowOff>
    </xdr:from>
    <xdr:to>
      <xdr:col>5</xdr:col>
      <xdr:colOff>11906</xdr:colOff>
      <xdr:row>5</xdr:row>
      <xdr:rowOff>178594</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0" y="0"/>
          <a:ext cx="10889456" cy="1131094"/>
        </a:xfrm>
        <a:prstGeom prst="rect">
          <a:avLst/>
        </a:prstGeom>
      </xdr:spPr>
    </xdr:pic>
    <xdr:clientData/>
  </xdr:twoCellAnchor>
  <xdr:twoCellAnchor editAs="oneCell">
    <xdr:from>
      <xdr:col>0</xdr:col>
      <xdr:colOff>462643</xdr:colOff>
      <xdr:row>0</xdr:row>
      <xdr:rowOff>95250</xdr:rowOff>
    </xdr:from>
    <xdr:to>
      <xdr:col>1</xdr:col>
      <xdr:colOff>585107</xdr:colOff>
      <xdr:row>5</xdr:row>
      <xdr:rowOff>136071</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a:stretch>
          <a:fillRect/>
        </a:stretch>
      </xdr:blipFill>
      <xdr:spPr>
        <a:xfrm>
          <a:off x="462643" y="95250"/>
          <a:ext cx="4408714" cy="993321"/>
        </a:xfrm>
        <a:prstGeom prst="rect">
          <a:avLst/>
        </a:prstGeom>
      </xdr:spPr>
    </xdr:pic>
    <xdr:clientData/>
  </xdr:twoCellAnchor>
  <xdr:twoCellAnchor>
    <xdr:from>
      <xdr:col>0</xdr:col>
      <xdr:colOff>23812</xdr:colOff>
      <xdr:row>6</xdr:row>
      <xdr:rowOff>35719</xdr:rowOff>
    </xdr:from>
    <xdr:to>
      <xdr:col>4</xdr:col>
      <xdr:colOff>1607344</xdr:colOff>
      <xdr:row>8</xdr:row>
      <xdr:rowOff>11906</xdr:rowOff>
    </xdr:to>
    <xdr:sp macro="" textlink="">
      <xdr:nvSpPr>
        <xdr:cNvPr id="9" name="CuadroTexto 8">
          <a:extLst>
            <a:ext uri="{FF2B5EF4-FFF2-40B4-BE49-F238E27FC236}">
              <a16:creationId xmlns:a16="http://schemas.microsoft.com/office/drawing/2014/main" id="{00000000-0008-0000-0400-000009000000}"/>
            </a:ext>
          </a:extLst>
        </xdr:cNvPr>
        <xdr:cNvSpPr txBox="1"/>
      </xdr:nvSpPr>
      <xdr:spPr>
        <a:xfrm>
          <a:off x="23812" y="1178719"/>
          <a:ext cx="10813257" cy="509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Patronato Nacional de la Infancia</a:t>
          </a:r>
          <a:r>
            <a:rPr lang="es-CR" sz="1100" b="1" baseline="0">
              <a:solidFill>
                <a:schemeClr val="bg1"/>
              </a:solidFill>
              <a:effectLst/>
              <a:latin typeface="Palatino Linotype" panose="02040502050505030304" pitchFamily="18" charset="0"/>
              <a:ea typeface="+mn-ea"/>
              <a:cs typeface="+mn-cs"/>
            </a:rPr>
            <a:t>   Programa  Protección y Atención de los Niños, Niñas y Adolescentes</a:t>
          </a:r>
          <a:r>
            <a:rPr lang="es-CR" sz="1100" b="1" baseline="0">
              <a:solidFill>
                <a:schemeClr val="dk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III Trimestre Acumulado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05-11-2021</a:t>
          </a:r>
          <a:endParaRPr lang="es-CR" sz="1100">
            <a:solidFill>
              <a:schemeClr val="bg1"/>
            </a:solidFill>
            <a:effectLst/>
            <a:latin typeface="Palatino Linotype" panose="02040502050505030304" pitchFamily="18" charset="0"/>
          </a:endParaRPr>
        </a:p>
        <a:p>
          <a:endParaRPr lang="es-CR" sz="1050">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5</xdr:row>
      <xdr:rowOff>178594</xdr:rowOff>
    </xdr:from>
    <xdr:ext cx="11430000" cy="404812"/>
    <xdr:pic>
      <xdr:nvPicPr>
        <xdr:cNvPr id="10" name="Imagen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a:stretch>
          <a:fillRect/>
        </a:stretch>
      </xdr:blipFill>
      <xdr:spPr>
        <a:xfrm>
          <a:off x="0" y="1091407"/>
          <a:ext cx="11430000" cy="404812"/>
        </a:xfrm>
        <a:prstGeom prst="rect">
          <a:avLst/>
        </a:prstGeom>
      </xdr:spPr>
    </xdr:pic>
    <xdr:clientData/>
  </xdr:oneCellAnchor>
  <xdr:twoCellAnchor editAs="oneCell">
    <xdr:from>
      <xdr:col>0</xdr:col>
      <xdr:colOff>0</xdr:colOff>
      <xdr:row>0</xdr:row>
      <xdr:rowOff>0</xdr:rowOff>
    </xdr:from>
    <xdr:to>
      <xdr:col>5</xdr:col>
      <xdr:colOff>11906</xdr:colOff>
      <xdr:row>5</xdr:row>
      <xdr:rowOff>178594</xdr:rowOff>
    </xdr:to>
    <xdr:pic>
      <xdr:nvPicPr>
        <xdr:cNvPr id="11" name="Imagen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a:stretch>
          <a:fillRect/>
        </a:stretch>
      </xdr:blipFill>
      <xdr:spPr>
        <a:xfrm>
          <a:off x="0" y="0"/>
          <a:ext cx="10889456" cy="1131094"/>
        </a:xfrm>
        <a:prstGeom prst="rect">
          <a:avLst/>
        </a:prstGeom>
      </xdr:spPr>
    </xdr:pic>
    <xdr:clientData/>
  </xdr:twoCellAnchor>
  <xdr:twoCellAnchor editAs="oneCell">
    <xdr:from>
      <xdr:col>0</xdr:col>
      <xdr:colOff>462643</xdr:colOff>
      <xdr:row>0</xdr:row>
      <xdr:rowOff>95250</xdr:rowOff>
    </xdr:from>
    <xdr:to>
      <xdr:col>1</xdr:col>
      <xdr:colOff>585107</xdr:colOff>
      <xdr:row>5</xdr:row>
      <xdr:rowOff>136071</xdr:rowOff>
    </xdr:to>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3"/>
        <a:stretch>
          <a:fillRect/>
        </a:stretch>
      </xdr:blipFill>
      <xdr:spPr>
        <a:xfrm>
          <a:off x="462643" y="95250"/>
          <a:ext cx="4408714" cy="993321"/>
        </a:xfrm>
        <a:prstGeom prst="rect">
          <a:avLst/>
        </a:prstGeom>
      </xdr:spPr>
    </xdr:pic>
    <xdr:clientData/>
  </xdr:twoCellAnchor>
  <xdr:twoCellAnchor>
    <xdr:from>
      <xdr:col>0</xdr:col>
      <xdr:colOff>23812</xdr:colOff>
      <xdr:row>6</xdr:row>
      <xdr:rowOff>35719</xdr:rowOff>
    </xdr:from>
    <xdr:to>
      <xdr:col>4</xdr:col>
      <xdr:colOff>1607344</xdr:colOff>
      <xdr:row>7</xdr:row>
      <xdr:rowOff>136068</xdr:rowOff>
    </xdr:to>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23812" y="1178719"/>
          <a:ext cx="10813257" cy="290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Patronato Nacional de la Infancia</a:t>
          </a:r>
          <a:r>
            <a:rPr lang="es-CR" sz="1100" b="1" baseline="0">
              <a:solidFill>
                <a:schemeClr val="bg1"/>
              </a:solidFill>
              <a:effectLst/>
              <a:latin typeface="Palatino Linotype" panose="02040502050505030304" pitchFamily="18" charset="0"/>
              <a:ea typeface="+mn-ea"/>
              <a:cs typeface="+mn-cs"/>
            </a:rPr>
            <a:t>   Programa  Protección y Atención de los Niños, Niñas y Adolescentes</a:t>
          </a:r>
          <a:r>
            <a:rPr lang="es-CR" sz="1100" b="1" baseline="0">
              <a:solidFill>
                <a:schemeClr val="dk1"/>
              </a:solidFill>
              <a:effectLst/>
              <a:latin typeface="Palatino Linotype" panose="02040502050505030304" pitchFamily="18" charset="0"/>
              <a:ea typeface="+mn-ea"/>
              <a:cs typeface="+mn-cs"/>
            </a:rPr>
            <a:t>  </a:t>
          </a: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IV Trimestre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16-03-2022</a:t>
          </a:r>
          <a:endParaRPr lang="es-CR" sz="1100">
            <a:solidFill>
              <a:schemeClr val="bg1"/>
            </a:solidFill>
            <a:effectLst/>
            <a:latin typeface="Palatino Linotype" panose="02040502050505030304" pitchFamily="18" charset="0"/>
          </a:endParaRPr>
        </a:p>
        <a:p>
          <a:endParaRPr lang="es-CR" sz="1050">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361156</xdr:colOff>
      <xdr:row>11</xdr:row>
      <xdr:rowOff>0</xdr:rowOff>
    </xdr:from>
    <xdr:to>
      <xdr:col>30</xdr:col>
      <xdr:colOff>412749</xdr:colOff>
      <xdr:row>30</xdr:row>
      <xdr:rowOff>158750</xdr:rowOff>
    </xdr:to>
    <xdr:graphicFrame macro="">
      <xdr:nvGraphicFramePr>
        <xdr:cNvPr id="3" name="2 Gráfico">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283632</xdr:colOff>
      <xdr:row>11</xdr:row>
      <xdr:rowOff>2381</xdr:rowOff>
    </xdr:from>
    <xdr:to>
      <xdr:col>18</xdr:col>
      <xdr:colOff>273844</xdr:colOff>
      <xdr:row>30</xdr:row>
      <xdr:rowOff>166687</xdr:rowOff>
    </xdr:to>
    <xdr:graphicFrame macro="">
      <xdr:nvGraphicFramePr>
        <xdr:cNvPr id="5" name="4 Gráfico">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292098</xdr:colOff>
      <xdr:row>51</xdr:row>
      <xdr:rowOff>204258</xdr:rowOff>
    </xdr:from>
    <xdr:to>
      <xdr:col>18</xdr:col>
      <xdr:colOff>309562</xdr:colOff>
      <xdr:row>69</xdr:row>
      <xdr:rowOff>119062</xdr:rowOff>
    </xdr:to>
    <xdr:graphicFrame macro="">
      <xdr:nvGraphicFramePr>
        <xdr:cNvPr id="12" name="11 Gráfico">
          <a:extLst>
            <a:ext uri="{FF2B5EF4-FFF2-40B4-BE49-F238E27FC236}">
              <a16:creationId xmlns:a16="http://schemas.microsoft.com/office/drawing/2014/main" id="{00000000-0008-0000-06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374387</xdr:colOff>
      <xdr:row>52</xdr:row>
      <xdr:rowOff>1584</xdr:rowOff>
    </xdr:from>
    <xdr:to>
      <xdr:col>30</xdr:col>
      <xdr:colOff>357187</xdr:colOff>
      <xdr:row>69</xdr:row>
      <xdr:rowOff>119063</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374118</xdr:colOff>
      <xdr:row>31</xdr:row>
      <xdr:rowOff>53974</xdr:rowOff>
    </xdr:from>
    <xdr:to>
      <xdr:col>30</xdr:col>
      <xdr:colOff>404812</xdr:colOff>
      <xdr:row>51</xdr:row>
      <xdr:rowOff>130968</xdr:rowOff>
    </xdr:to>
    <xdr:graphicFrame macro="">
      <xdr:nvGraphicFramePr>
        <xdr:cNvPr id="4" name="Gráfico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292366</xdr:colOff>
      <xdr:row>31</xdr:row>
      <xdr:rowOff>57147</xdr:rowOff>
    </xdr:from>
    <xdr:to>
      <xdr:col>18</xdr:col>
      <xdr:colOff>317500</xdr:colOff>
      <xdr:row>51</xdr:row>
      <xdr:rowOff>103188</xdr:rowOff>
    </xdr:to>
    <xdr:graphicFrame macro="">
      <xdr:nvGraphicFramePr>
        <xdr:cNvPr id="9" name="Gráfico 8">
          <a:extLst>
            <a:ext uri="{FF2B5EF4-FFF2-40B4-BE49-F238E27FC236}">
              <a16:creationId xmlns:a16="http://schemas.microsoft.com/office/drawing/2014/main" id="{00000000-0008-0000-06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0</xdr:col>
      <xdr:colOff>0</xdr:colOff>
      <xdr:row>5</xdr:row>
      <xdr:rowOff>178594</xdr:rowOff>
    </xdr:from>
    <xdr:ext cx="11437938" cy="404812"/>
    <xdr:pic>
      <xdr:nvPicPr>
        <xdr:cNvPr id="13" name="Imagen 12">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7"/>
        <a:stretch>
          <a:fillRect/>
        </a:stretch>
      </xdr:blipFill>
      <xdr:spPr>
        <a:xfrm>
          <a:off x="0" y="1091407"/>
          <a:ext cx="11437938" cy="404812"/>
        </a:xfrm>
        <a:prstGeom prst="rect">
          <a:avLst/>
        </a:prstGeom>
      </xdr:spPr>
    </xdr:pic>
    <xdr:clientData/>
  </xdr:oneCellAnchor>
  <xdr:twoCellAnchor editAs="oneCell">
    <xdr:from>
      <xdr:col>0</xdr:col>
      <xdr:colOff>0</xdr:colOff>
      <xdr:row>0</xdr:row>
      <xdr:rowOff>0</xdr:rowOff>
    </xdr:from>
    <xdr:to>
      <xdr:col>5</xdr:col>
      <xdr:colOff>11906</xdr:colOff>
      <xdr:row>5</xdr:row>
      <xdr:rowOff>178594</xdr:rowOff>
    </xdr:to>
    <xdr:pic>
      <xdr:nvPicPr>
        <xdr:cNvPr id="18" name="Imagen 17">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8"/>
        <a:stretch>
          <a:fillRect/>
        </a:stretch>
      </xdr:blipFill>
      <xdr:spPr>
        <a:xfrm>
          <a:off x="0" y="0"/>
          <a:ext cx="10889456" cy="1131094"/>
        </a:xfrm>
        <a:prstGeom prst="rect">
          <a:avLst/>
        </a:prstGeom>
      </xdr:spPr>
    </xdr:pic>
    <xdr:clientData/>
  </xdr:twoCellAnchor>
  <xdr:twoCellAnchor editAs="oneCell">
    <xdr:from>
      <xdr:col>0</xdr:col>
      <xdr:colOff>462643</xdr:colOff>
      <xdr:row>0</xdr:row>
      <xdr:rowOff>95250</xdr:rowOff>
    </xdr:from>
    <xdr:to>
      <xdr:col>1</xdr:col>
      <xdr:colOff>585107</xdr:colOff>
      <xdr:row>5</xdr:row>
      <xdr:rowOff>136071</xdr:rowOff>
    </xdr:to>
    <xdr:pic>
      <xdr:nvPicPr>
        <xdr:cNvPr id="19" name="Imagen 18">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9"/>
        <a:stretch>
          <a:fillRect/>
        </a:stretch>
      </xdr:blipFill>
      <xdr:spPr>
        <a:xfrm>
          <a:off x="462643" y="95250"/>
          <a:ext cx="4408714" cy="993321"/>
        </a:xfrm>
        <a:prstGeom prst="rect">
          <a:avLst/>
        </a:prstGeom>
      </xdr:spPr>
    </xdr:pic>
    <xdr:clientData/>
  </xdr:twoCellAnchor>
  <xdr:twoCellAnchor>
    <xdr:from>
      <xdr:col>0</xdr:col>
      <xdr:colOff>23812</xdr:colOff>
      <xdr:row>6</xdr:row>
      <xdr:rowOff>35719</xdr:rowOff>
    </xdr:from>
    <xdr:to>
      <xdr:col>4</xdr:col>
      <xdr:colOff>1607344</xdr:colOff>
      <xdr:row>7</xdr:row>
      <xdr:rowOff>136068</xdr:rowOff>
    </xdr:to>
    <xdr:sp macro="" textlink="">
      <xdr:nvSpPr>
        <xdr:cNvPr id="20" name="CuadroTexto 19">
          <a:extLst>
            <a:ext uri="{FF2B5EF4-FFF2-40B4-BE49-F238E27FC236}">
              <a16:creationId xmlns:a16="http://schemas.microsoft.com/office/drawing/2014/main" id="{00000000-0008-0000-0600-000014000000}"/>
            </a:ext>
          </a:extLst>
        </xdr:cNvPr>
        <xdr:cNvSpPr txBox="1"/>
      </xdr:nvSpPr>
      <xdr:spPr>
        <a:xfrm>
          <a:off x="23812" y="1178719"/>
          <a:ext cx="10813257" cy="290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Patronato Nacional de la Infancia</a:t>
          </a:r>
          <a:r>
            <a:rPr lang="es-CR" sz="1100" b="1" baseline="0">
              <a:solidFill>
                <a:schemeClr val="bg1"/>
              </a:solidFill>
              <a:effectLst/>
              <a:latin typeface="Palatino Linotype" panose="02040502050505030304" pitchFamily="18" charset="0"/>
              <a:ea typeface="+mn-ea"/>
              <a:cs typeface="+mn-cs"/>
            </a:rPr>
            <a:t>   Programa  Protección y Atención de los Niños, Niñas y Adolescentes</a:t>
          </a:r>
          <a:r>
            <a:rPr lang="es-CR" sz="1100" b="1" baseline="0">
              <a:solidFill>
                <a:schemeClr val="dk1"/>
              </a:solidFill>
              <a:effectLst/>
              <a:latin typeface="Palatino Linotype" panose="02040502050505030304" pitchFamily="18" charset="0"/>
              <a:ea typeface="+mn-ea"/>
              <a:cs typeface="+mn-cs"/>
            </a:rPr>
            <a:t>  </a:t>
          </a: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Anual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17-03-2022</a:t>
          </a:r>
          <a:endParaRPr lang="es-CR" sz="1100">
            <a:solidFill>
              <a:schemeClr val="bg1"/>
            </a:solidFill>
            <a:effectLst/>
            <a:latin typeface="Palatino Linotype" panose="02040502050505030304" pitchFamily="18" charset="0"/>
          </a:endParaRPr>
        </a:p>
        <a:p>
          <a:endParaRPr lang="es-CR" sz="1050">
            <a:solidFill>
              <a:schemeClr val="bg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E79"/>
  <sheetViews>
    <sheetView showGridLines="0" tabSelected="1" zoomScale="80" zoomScaleNormal="80" workbookViewId="0">
      <pane ySplit="10" topLeftCell="A11" activePane="bottomLeft" state="frozen"/>
      <selection pane="bottomLeft" activeCell="A9" sqref="A9:A10"/>
    </sheetView>
  </sheetViews>
  <sheetFormatPr baseColWidth="10" defaultColWidth="11.453125" defaultRowHeight="14.5" x14ac:dyDescent="0.35"/>
  <cols>
    <col min="1" max="1" width="64.26953125" style="1" customWidth="1"/>
    <col min="2" max="5" width="24.7265625" style="1" customWidth="1"/>
    <col min="6" max="16384" width="11.453125" style="1"/>
  </cols>
  <sheetData>
    <row r="9" spans="1:5" s="4" customFormat="1" ht="15.5" x14ac:dyDescent="0.35">
      <c r="A9" s="29" t="s">
        <v>0</v>
      </c>
      <c r="B9" s="31" t="s">
        <v>1</v>
      </c>
      <c r="C9" s="33" t="s">
        <v>2</v>
      </c>
      <c r="D9" s="33"/>
      <c r="E9" s="33"/>
    </row>
    <row r="10" spans="1:5" s="3" customFormat="1" ht="47" thickBot="1" x14ac:dyDescent="0.4">
      <c r="A10" s="30"/>
      <c r="B10" s="32"/>
      <c r="C10" s="5" t="s">
        <v>39</v>
      </c>
      <c r="D10" s="5" t="s">
        <v>48</v>
      </c>
      <c r="E10" s="5" t="s">
        <v>49</v>
      </c>
    </row>
    <row r="11" spans="1:5" ht="15" thickTop="1" x14ac:dyDescent="0.35"/>
    <row r="12" spans="1:5" ht="15.5" x14ac:dyDescent="0.4">
      <c r="A12" s="6" t="s">
        <v>3</v>
      </c>
      <c r="B12" s="7"/>
      <c r="C12" s="7"/>
      <c r="D12" s="7"/>
      <c r="E12" s="7"/>
    </row>
    <row r="13" spans="1:5" ht="15.5" x14ac:dyDescent="0.4">
      <c r="A13" s="7"/>
      <c r="B13" s="7"/>
      <c r="C13" s="7"/>
      <c r="D13" s="7"/>
      <c r="E13" s="7"/>
    </row>
    <row r="14" spans="1:5" ht="15.5" x14ac:dyDescent="0.4">
      <c r="A14" s="6" t="s">
        <v>4</v>
      </c>
      <c r="B14" s="7"/>
      <c r="C14" s="7"/>
      <c r="D14" s="7"/>
      <c r="E14" s="7"/>
    </row>
    <row r="15" spans="1:5" ht="15.5" x14ac:dyDescent="0.4">
      <c r="A15" s="8" t="s">
        <v>50</v>
      </c>
      <c r="B15" s="25">
        <f>+SUM(C15:E15)</f>
        <v>26017</v>
      </c>
      <c r="C15" s="9">
        <v>21208</v>
      </c>
      <c r="D15" s="9">
        <v>4809</v>
      </c>
      <c r="E15" s="9">
        <v>0</v>
      </c>
    </row>
    <row r="16" spans="1:5" ht="15.5" x14ac:dyDescent="0.4">
      <c r="A16" s="8" t="s">
        <v>77</v>
      </c>
      <c r="B16" s="9">
        <f t="shared" ref="B16:B18" si="0">+SUM(C16:E16)</f>
        <v>20397</v>
      </c>
      <c r="C16" s="9">
        <v>19119</v>
      </c>
      <c r="D16" s="9">
        <v>1278</v>
      </c>
      <c r="E16" s="9">
        <v>0</v>
      </c>
    </row>
    <row r="17" spans="1:5" ht="15.5" x14ac:dyDescent="0.4">
      <c r="A17" s="8" t="s">
        <v>78</v>
      </c>
      <c r="B17" s="9">
        <f t="shared" si="0"/>
        <v>23744.333333333332</v>
      </c>
      <c r="C17" s="9">
        <v>22394</v>
      </c>
      <c r="D17" s="9">
        <v>1350.3333333333333</v>
      </c>
      <c r="E17" s="9">
        <v>0</v>
      </c>
    </row>
    <row r="18" spans="1:5" ht="15.5" x14ac:dyDescent="0.4">
      <c r="A18" s="8" t="s">
        <v>79</v>
      </c>
      <c r="B18" s="9">
        <f t="shared" si="0"/>
        <v>80754</v>
      </c>
      <c r="C18" s="9">
        <v>76476</v>
      </c>
      <c r="D18" s="9">
        <v>1278</v>
      </c>
      <c r="E18" s="9">
        <v>3000</v>
      </c>
    </row>
    <row r="19" spans="1:5" ht="15.5" x14ac:dyDescent="0.4">
      <c r="A19" s="7"/>
      <c r="B19" s="9"/>
      <c r="C19" s="9"/>
      <c r="D19" s="9"/>
      <c r="E19" s="9"/>
    </row>
    <row r="20" spans="1:5" ht="15.5" x14ac:dyDescent="0.4">
      <c r="A20" s="10" t="s">
        <v>5</v>
      </c>
      <c r="B20" s="9"/>
      <c r="C20" s="9"/>
      <c r="D20" s="9"/>
      <c r="E20" s="9"/>
    </row>
    <row r="21" spans="1:5" ht="15.5" x14ac:dyDescent="0.4">
      <c r="A21" s="8" t="s">
        <v>50</v>
      </c>
      <c r="B21" s="25">
        <f>SUM(C21:E21)</f>
        <v>3443832063.0899997</v>
      </c>
      <c r="C21" s="9">
        <v>2694542107.1699996</v>
      </c>
      <c r="D21" s="9">
        <v>743099137.62</v>
      </c>
      <c r="E21" s="9">
        <v>6190818.2999999998</v>
      </c>
    </row>
    <row r="22" spans="1:5" ht="15.5" x14ac:dyDescent="0.4">
      <c r="A22" s="8" t="s">
        <v>77</v>
      </c>
      <c r="B22" s="9">
        <f>SUM(C22:E22)</f>
        <v>2964537402.5666265</v>
      </c>
      <c r="C22" s="9">
        <v>2462561870.3514614</v>
      </c>
      <c r="D22" s="9">
        <v>501975532.21516502</v>
      </c>
      <c r="E22" s="9">
        <v>0</v>
      </c>
    </row>
    <row r="23" spans="1:5" ht="15.5" x14ac:dyDescent="0.4">
      <c r="A23" s="8" t="s">
        <v>78</v>
      </c>
      <c r="B23" s="9">
        <f>SUM(C23:E23)</f>
        <v>3355293655.1199999</v>
      </c>
      <c r="C23" s="9">
        <v>2853039655.1199999</v>
      </c>
      <c r="D23" s="9">
        <v>502254000</v>
      </c>
      <c r="E23" s="9">
        <v>0</v>
      </c>
    </row>
    <row r="24" spans="1:5" ht="15.5" x14ac:dyDescent="0.4">
      <c r="A24" s="8" t="s">
        <v>79</v>
      </c>
      <c r="B24" s="9">
        <f>SUM(C24:E24)</f>
        <v>12195627419.999996</v>
      </c>
      <c r="C24" s="9">
        <v>10671101438.189667</v>
      </c>
      <c r="D24" s="9">
        <v>1003951064.43033</v>
      </c>
      <c r="E24" s="9">
        <v>520574917.38</v>
      </c>
    </row>
    <row r="25" spans="1:5" ht="15.5" x14ac:dyDescent="0.4">
      <c r="A25" s="8" t="s">
        <v>80</v>
      </c>
      <c r="B25" s="9">
        <f>SUM(C25:E25)</f>
        <v>3355293655.1199999</v>
      </c>
      <c r="C25" s="16">
        <f>+C23</f>
        <v>2853039655.1199999</v>
      </c>
      <c r="D25" s="16">
        <f t="shared" ref="D25:E25" si="1">+D23</f>
        <v>502254000</v>
      </c>
      <c r="E25" s="16">
        <f t="shared" si="1"/>
        <v>0</v>
      </c>
    </row>
    <row r="26" spans="1:5" ht="15.5" x14ac:dyDescent="0.4">
      <c r="A26" s="7"/>
      <c r="B26" s="9"/>
      <c r="C26" s="9"/>
      <c r="D26" s="9"/>
      <c r="E26" s="9"/>
    </row>
    <row r="27" spans="1:5" ht="15.5" x14ac:dyDescent="0.4">
      <c r="A27" s="10" t="s">
        <v>6</v>
      </c>
      <c r="B27" s="9"/>
      <c r="C27" s="9"/>
      <c r="D27" s="9"/>
      <c r="E27" s="9"/>
    </row>
    <row r="28" spans="1:5" ht="15.5" x14ac:dyDescent="0.4">
      <c r="A28" s="8" t="s">
        <v>77</v>
      </c>
      <c r="B28" s="9">
        <f>B22</f>
        <v>2964537402.5666265</v>
      </c>
      <c r="C28" s="9"/>
      <c r="D28" s="9"/>
      <c r="E28" s="9"/>
    </row>
    <row r="29" spans="1:5" ht="15.5" x14ac:dyDescent="0.4">
      <c r="A29" s="8" t="s">
        <v>78</v>
      </c>
      <c r="B29" s="9">
        <v>3048906855</v>
      </c>
      <c r="C29" s="9"/>
      <c r="D29" s="9"/>
      <c r="E29" s="9"/>
    </row>
    <row r="30" spans="1:5" ht="15.5" x14ac:dyDescent="0.4">
      <c r="A30" s="7"/>
      <c r="B30" s="15"/>
      <c r="C30" s="15"/>
      <c r="D30" s="15"/>
      <c r="E30" s="15"/>
    </row>
    <row r="31" spans="1:5" ht="15.5" x14ac:dyDescent="0.4">
      <c r="A31" s="6" t="s">
        <v>7</v>
      </c>
      <c r="B31" s="15"/>
      <c r="C31" s="15"/>
      <c r="D31" s="15"/>
      <c r="E31" s="15"/>
    </row>
    <row r="32" spans="1:5" ht="15.5" x14ac:dyDescent="0.4">
      <c r="A32" s="8" t="s">
        <v>51</v>
      </c>
      <c r="B32" s="12">
        <v>1.0649999999999999</v>
      </c>
      <c r="C32" s="12">
        <v>1.0649999999999999</v>
      </c>
      <c r="D32" s="12">
        <v>1.0649999999999999</v>
      </c>
      <c r="E32" s="12">
        <v>1.0649999999999999</v>
      </c>
    </row>
    <row r="33" spans="1:5" ht="15.5" x14ac:dyDescent="0.4">
      <c r="A33" s="8" t="s">
        <v>81</v>
      </c>
      <c r="B33" s="12">
        <v>1.07</v>
      </c>
      <c r="C33" s="12">
        <v>1.07</v>
      </c>
      <c r="D33" s="12">
        <v>1.07</v>
      </c>
      <c r="E33" s="12">
        <v>1.07</v>
      </c>
    </row>
    <row r="34" spans="1:5" ht="15.5" x14ac:dyDescent="0.4">
      <c r="A34" s="8" t="s">
        <v>8</v>
      </c>
      <c r="B34" s="21" t="s">
        <v>36</v>
      </c>
      <c r="C34" s="21" t="s">
        <v>36</v>
      </c>
      <c r="D34" s="21" t="s">
        <v>36</v>
      </c>
      <c r="E34" s="21" t="s">
        <v>36</v>
      </c>
    </row>
    <row r="35" spans="1:5" ht="15.5" x14ac:dyDescent="0.4">
      <c r="A35" s="7"/>
      <c r="B35" s="15"/>
      <c r="C35" s="15"/>
      <c r="D35" s="15"/>
      <c r="E35" s="15"/>
    </row>
    <row r="36" spans="1:5" ht="15.5" x14ac:dyDescent="0.4">
      <c r="A36" s="6" t="s">
        <v>9</v>
      </c>
      <c r="B36" s="15"/>
      <c r="C36" s="15"/>
      <c r="D36" s="15"/>
      <c r="E36" s="15"/>
    </row>
    <row r="37" spans="1:5" ht="15.5" x14ac:dyDescent="0.4">
      <c r="A37" s="8" t="s">
        <v>52</v>
      </c>
      <c r="B37" s="16">
        <f t="shared" ref="B37:E37" si="2">B21/B32</f>
        <v>3233645129.6619716</v>
      </c>
      <c r="C37" s="16">
        <f t="shared" si="2"/>
        <v>2530086485.6056337</v>
      </c>
      <c r="D37" s="16">
        <f t="shared" si="2"/>
        <v>697745669.1267606</v>
      </c>
      <c r="E37" s="16">
        <f t="shared" si="2"/>
        <v>5812974.9295774652</v>
      </c>
    </row>
    <row r="38" spans="1:5" ht="15.5" x14ac:dyDescent="0.4">
      <c r="A38" s="8" t="s">
        <v>82</v>
      </c>
      <c r="B38" s="16">
        <f>B23/B33</f>
        <v>3135788462.7289715</v>
      </c>
      <c r="C38" s="16">
        <f t="shared" ref="C38:E38" si="3">C23/C33</f>
        <v>2666392201.0467286</v>
      </c>
      <c r="D38" s="16">
        <f t="shared" si="3"/>
        <v>469396261.68224299</v>
      </c>
      <c r="E38" s="16">
        <f t="shared" si="3"/>
        <v>0</v>
      </c>
    </row>
    <row r="39" spans="1:5" ht="15.5" x14ac:dyDescent="0.4">
      <c r="A39" s="8" t="s">
        <v>53</v>
      </c>
      <c r="B39" s="9">
        <f>B37/B15</f>
        <v>124289.70018303307</v>
      </c>
      <c r="C39" s="9">
        <f t="shared" ref="C39:D39" si="4">C37/C15</f>
        <v>119298.68377997141</v>
      </c>
      <c r="D39" s="9">
        <f t="shared" si="4"/>
        <v>145091.63425384916</v>
      </c>
      <c r="E39" s="9" t="s">
        <v>36</v>
      </c>
    </row>
    <row r="40" spans="1:5" ht="15.5" x14ac:dyDescent="0.4">
      <c r="A40" s="8" t="s">
        <v>83</v>
      </c>
      <c r="B40" s="9">
        <f>B38/B17</f>
        <v>132064.70860678217</v>
      </c>
      <c r="C40" s="9">
        <f t="shared" ref="C40:D40" si="5">C38/C17</f>
        <v>119067.25913399699</v>
      </c>
      <c r="D40" s="9">
        <f t="shared" si="5"/>
        <v>347615.10368963936</v>
      </c>
      <c r="E40" s="9" t="s">
        <v>36</v>
      </c>
    </row>
    <row r="41" spans="1:5" ht="15.5" x14ac:dyDescent="0.4">
      <c r="A41" s="7"/>
      <c r="B41" s="15"/>
      <c r="C41" s="15"/>
      <c r="D41" s="15"/>
      <c r="E41" s="15"/>
    </row>
    <row r="42" spans="1:5" ht="15.5" x14ac:dyDescent="0.4">
      <c r="A42" s="6" t="s">
        <v>10</v>
      </c>
      <c r="B42" s="15"/>
      <c r="C42" s="15"/>
      <c r="D42" s="15"/>
      <c r="E42" s="15"/>
    </row>
    <row r="43" spans="1:5" ht="15.5" x14ac:dyDescent="0.4">
      <c r="A43" s="7"/>
      <c r="B43" s="15"/>
      <c r="C43" s="15"/>
      <c r="D43" s="15"/>
      <c r="E43" s="15"/>
    </row>
    <row r="44" spans="1:5" ht="15.5" x14ac:dyDescent="0.4">
      <c r="A44" s="6" t="s">
        <v>11</v>
      </c>
      <c r="B44" s="15"/>
      <c r="C44" s="15"/>
      <c r="D44" s="15"/>
      <c r="E44" s="15"/>
    </row>
    <row r="45" spans="1:5" ht="15.5" x14ac:dyDescent="0.4">
      <c r="A45" s="7" t="s">
        <v>12</v>
      </c>
      <c r="B45" s="22" t="s">
        <v>35</v>
      </c>
      <c r="C45" s="22" t="s">
        <v>35</v>
      </c>
      <c r="D45" s="22" t="s">
        <v>35</v>
      </c>
      <c r="E45" s="22" t="s">
        <v>35</v>
      </c>
    </row>
    <row r="46" spans="1:5" ht="15.5" x14ac:dyDescent="0.4">
      <c r="A46" s="7" t="s">
        <v>13</v>
      </c>
      <c r="B46" s="22" t="s">
        <v>35</v>
      </c>
      <c r="C46" s="22" t="s">
        <v>35</v>
      </c>
      <c r="D46" s="22" t="s">
        <v>35</v>
      </c>
      <c r="E46" s="22" t="s">
        <v>35</v>
      </c>
    </row>
    <row r="47" spans="1:5" ht="15.5" x14ac:dyDescent="0.4">
      <c r="A47" s="7"/>
      <c r="B47" s="15"/>
      <c r="C47" s="15"/>
      <c r="D47" s="15"/>
      <c r="E47" s="15"/>
    </row>
    <row r="48" spans="1:5" ht="15.5" x14ac:dyDescent="0.4">
      <c r="A48" s="6" t="s">
        <v>14</v>
      </c>
      <c r="B48" s="15"/>
      <c r="C48" s="15"/>
      <c r="D48" s="15"/>
      <c r="E48" s="15"/>
    </row>
    <row r="49" spans="1:5" ht="15.5" x14ac:dyDescent="0.4">
      <c r="A49" s="7" t="s">
        <v>15</v>
      </c>
      <c r="B49" s="11">
        <f>B17/B16*100</f>
        <v>116.41091010115868</v>
      </c>
      <c r="C49" s="11">
        <f t="shared" ref="C49:D49" si="6">C17/C16*100</f>
        <v>117.12955698519798</v>
      </c>
      <c r="D49" s="11">
        <f t="shared" si="6"/>
        <v>105.65988523735001</v>
      </c>
      <c r="E49" s="11" t="s">
        <v>36</v>
      </c>
    </row>
    <row r="50" spans="1:5" ht="15.5" x14ac:dyDescent="0.4">
      <c r="A50" s="7" t="s">
        <v>16</v>
      </c>
      <c r="B50" s="11">
        <f>B23/B22*100</f>
        <v>113.18101948098432</v>
      </c>
      <c r="C50" s="11">
        <f t="shared" ref="C50:D50" si="7">C23/C22*100</f>
        <v>115.85656748241655</v>
      </c>
      <c r="D50" s="11">
        <f t="shared" si="7"/>
        <v>100.05547437414053</v>
      </c>
      <c r="E50" s="11" t="s">
        <v>36</v>
      </c>
    </row>
    <row r="51" spans="1:5" ht="15.5" x14ac:dyDescent="0.4">
      <c r="A51" s="7" t="s">
        <v>17</v>
      </c>
      <c r="B51" s="11">
        <f>AVERAGE(B49:B50)</f>
        <v>114.7959647910715</v>
      </c>
      <c r="C51" s="11">
        <f t="shared" ref="C51:D51" si="8">AVERAGE(C49:C50)</f>
        <v>116.49306223380727</v>
      </c>
      <c r="D51" s="11">
        <f t="shared" si="8"/>
        <v>102.85767980574528</v>
      </c>
      <c r="E51" s="11" t="s">
        <v>36</v>
      </c>
    </row>
    <row r="52" spans="1:5" ht="15.5" x14ac:dyDescent="0.4">
      <c r="A52" s="7"/>
      <c r="B52" s="11"/>
      <c r="C52" s="11"/>
      <c r="D52" s="11"/>
      <c r="E52" s="11"/>
    </row>
    <row r="53" spans="1:5" ht="15.5" x14ac:dyDescent="0.4">
      <c r="A53" s="6" t="s">
        <v>18</v>
      </c>
      <c r="B53" s="11"/>
      <c r="C53" s="11"/>
      <c r="D53" s="11"/>
      <c r="E53" s="11"/>
    </row>
    <row r="54" spans="1:5" ht="15.5" x14ac:dyDescent="0.4">
      <c r="A54" s="7" t="s">
        <v>19</v>
      </c>
      <c r="B54" s="11">
        <f>B17/B18*100</f>
        <v>29.403290652269032</v>
      </c>
      <c r="C54" s="11">
        <f>C17/C18*100</f>
        <v>29.282389246299495</v>
      </c>
      <c r="D54" s="11">
        <f>D17/D18*100</f>
        <v>105.65988523735001</v>
      </c>
      <c r="E54" s="11">
        <f>E17/E18*100</f>
        <v>0</v>
      </c>
    </row>
    <row r="55" spans="1:5" ht="15.5" x14ac:dyDescent="0.4">
      <c r="A55" s="7" t="s">
        <v>20</v>
      </c>
      <c r="B55" s="11">
        <f>B23/B24*100</f>
        <v>27.512267631409827</v>
      </c>
      <c r="C55" s="11">
        <f>C23/C24*100</f>
        <v>26.736130957480743</v>
      </c>
      <c r="D55" s="11">
        <f>D23/D24*100</f>
        <v>50.027737187070265</v>
      </c>
      <c r="E55" s="11">
        <f>E23/E24*100</f>
        <v>0</v>
      </c>
    </row>
    <row r="56" spans="1:5" ht="15.5" x14ac:dyDescent="0.4">
      <c r="A56" s="7" t="s">
        <v>21</v>
      </c>
      <c r="B56" s="11">
        <f>(B54+B55)/2</f>
        <v>28.457779141839431</v>
      </c>
      <c r="C56" s="11">
        <f>(C54+C55)/2</f>
        <v>28.009260101890121</v>
      </c>
      <c r="D56" s="11">
        <f>(D54+D55)/2</f>
        <v>77.843811212210142</v>
      </c>
      <c r="E56" s="11">
        <f>(E54+E55)/2</f>
        <v>0</v>
      </c>
    </row>
    <row r="57" spans="1:5" ht="15.5" x14ac:dyDescent="0.4">
      <c r="A57" s="7"/>
      <c r="B57" s="11"/>
      <c r="C57" s="11"/>
      <c r="D57" s="11"/>
      <c r="E57" s="11"/>
    </row>
    <row r="58" spans="1:5" ht="15.5" x14ac:dyDescent="0.4">
      <c r="A58" s="6" t="s">
        <v>32</v>
      </c>
      <c r="B58" s="11"/>
      <c r="C58" s="11"/>
      <c r="D58" s="11"/>
      <c r="E58" s="11"/>
    </row>
    <row r="59" spans="1:5" ht="15.5" x14ac:dyDescent="0.4">
      <c r="A59" s="7" t="s">
        <v>22</v>
      </c>
      <c r="B59" s="11">
        <f>B25/B23*100</f>
        <v>100</v>
      </c>
      <c r="C59" s="11"/>
      <c r="D59" s="11"/>
      <c r="E59" s="11"/>
    </row>
    <row r="60" spans="1:5" ht="15.5" x14ac:dyDescent="0.4">
      <c r="A60" s="7"/>
      <c r="B60" s="11"/>
      <c r="C60" s="11"/>
      <c r="D60" s="11"/>
      <c r="E60" s="11"/>
    </row>
    <row r="61" spans="1:5" ht="15.5" x14ac:dyDescent="0.4">
      <c r="A61" s="6" t="s">
        <v>23</v>
      </c>
      <c r="B61" s="11"/>
      <c r="C61" s="11"/>
      <c r="D61" s="11"/>
      <c r="E61" s="11"/>
    </row>
    <row r="62" spans="1:5" ht="15.5" x14ac:dyDescent="0.4">
      <c r="A62" s="7" t="s">
        <v>24</v>
      </c>
      <c r="B62" s="11">
        <f>((B17/B15)-1)*100</f>
        <v>-8.7353140895055859</v>
      </c>
      <c r="C62" s="11">
        <f t="shared" ref="C62:D62" si="9">((C17/C15)-1)*100</f>
        <v>5.5922293474160778</v>
      </c>
      <c r="D62" s="11">
        <f t="shared" si="9"/>
        <v>-71.920704235114712</v>
      </c>
      <c r="E62" s="11" t="s">
        <v>36</v>
      </c>
    </row>
    <row r="63" spans="1:5" ht="15.5" x14ac:dyDescent="0.4">
      <c r="A63" s="7" t="s">
        <v>25</v>
      </c>
      <c r="B63" s="11">
        <f t="shared" ref="B63" si="10">((B38/B37)-1)*100</f>
        <v>-3.0262030312284027</v>
      </c>
      <c r="C63" s="11">
        <f t="shared" ref="C63:E63" si="11">((C38/C37)-1)*100</f>
        <v>5.3873935225762448</v>
      </c>
      <c r="D63" s="11">
        <f t="shared" si="11"/>
        <v>-32.726739490952397</v>
      </c>
      <c r="E63" s="11">
        <f t="shared" si="11"/>
        <v>-100</v>
      </c>
    </row>
    <row r="64" spans="1:5" ht="15.5" x14ac:dyDescent="0.4">
      <c r="A64" s="7" t="s">
        <v>26</v>
      </c>
      <c r="B64" s="11">
        <f>((B40/B39)-1)*100</f>
        <v>6.2555532858308949</v>
      </c>
      <c r="C64" s="11">
        <f t="shared" ref="C64:D64" si="12">((C40/C39)-1)*100</f>
        <v>-0.19398759369486651</v>
      </c>
      <c r="D64" s="11">
        <f t="shared" si="12"/>
        <v>139.58314721402857</v>
      </c>
      <c r="E64" s="11" t="s">
        <v>36</v>
      </c>
    </row>
    <row r="65" spans="1:5" ht="15.5" x14ac:dyDescent="0.4">
      <c r="A65" s="7"/>
      <c r="B65" s="11"/>
      <c r="C65" s="11"/>
      <c r="D65" s="11"/>
      <c r="E65" s="11"/>
    </row>
    <row r="66" spans="1:5" ht="15.5" x14ac:dyDescent="0.4">
      <c r="A66" s="6" t="s">
        <v>27</v>
      </c>
      <c r="B66" s="11"/>
      <c r="C66" s="11"/>
      <c r="D66" s="11"/>
      <c r="E66" s="11"/>
    </row>
    <row r="67" spans="1:5" ht="15.5" x14ac:dyDescent="0.4">
      <c r="A67" s="7" t="s">
        <v>40</v>
      </c>
      <c r="B67" s="11">
        <f>B22/(B16*3)</f>
        <v>48447.278236450242</v>
      </c>
      <c r="C67" s="11">
        <f>C22/(C16)</f>
        <v>128801.81339774368</v>
      </c>
      <c r="D67" s="11">
        <f t="shared" ref="D67" si="13">D22/(D16*3)</f>
        <v>130927.36886154539</v>
      </c>
      <c r="E67" s="11" t="s">
        <v>36</v>
      </c>
    </row>
    <row r="68" spans="1:5" ht="15.5" x14ac:dyDescent="0.4">
      <c r="A68" s="7" t="s">
        <v>41</v>
      </c>
      <c r="B68" s="11">
        <f t="shared" ref="B68:D68" si="14">B23/(B17*3)</f>
        <v>47103.079403085649</v>
      </c>
      <c r="C68" s="11">
        <f>C23/(C17)</f>
        <v>127401.96727337679</v>
      </c>
      <c r="D68" s="11">
        <f t="shared" si="14"/>
        <v>123982.72031597137</v>
      </c>
      <c r="E68" s="11" t="s">
        <v>36</v>
      </c>
    </row>
    <row r="69" spans="1:5" ht="15.5" x14ac:dyDescent="0.4">
      <c r="A69" s="7" t="s">
        <v>28</v>
      </c>
      <c r="B69" s="11">
        <f>(B68/B67)*B51</f>
        <v>111.61088179850363</v>
      </c>
      <c r="C69" s="11">
        <f t="shared" ref="C69:D69" si="15">(C68/C67)*C51</f>
        <v>115.22699029443127</v>
      </c>
      <c r="D69" s="11">
        <f t="shared" si="15"/>
        <v>97.401903502629736</v>
      </c>
      <c r="E69" s="11" t="s">
        <v>36</v>
      </c>
    </row>
    <row r="70" spans="1:5" ht="15.5" x14ac:dyDescent="0.4">
      <c r="A70" s="7" t="s">
        <v>42</v>
      </c>
      <c r="B70" s="11">
        <f t="shared" ref="B70:D71" si="16">B22/B16</f>
        <v>145341.83470935072</v>
      </c>
      <c r="C70" s="11">
        <f>(C22/C16)*3</f>
        <v>386405.44019323104</v>
      </c>
      <c r="D70" s="11">
        <f t="shared" si="16"/>
        <v>392782.10658463615</v>
      </c>
      <c r="E70" s="11" t="s">
        <v>36</v>
      </c>
    </row>
    <row r="71" spans="1:5" ht="15.5" x14ac:dyDescent="0.4">
      <c r="A71" s="7" t="s">
        <v>43</v>
      </c>
      <c r="B71" s="11">
        <f t="shared" si="16"/>
        <v>141309.23820925696</v>
      </c>
      <c r="C71" s="11">
        <f>(C23/C17)*3</f>
        <v>382205.90182013041</v>
      </c>
      <c r="D71" s="11">
        <f t="shared" si="16"/>
        <v>371948.16094791412</v>
      </c>
      <c r="E71" s="11" t="s">
        <v>36</v>
      </c>
    </row>
    <row r="72" spans="1:5" ht="15.5" x14ac:dyDescent="0.4">
      <c r="A72" s="7"/>
      <c r="B72" s="11"/>
      <c r="C72" s="11"/>
      <c r="D72" s="11"/>
      <c r="E72" s="11"/>
    </row>
    <row r="73" spans="1:5" ht="15.5" x14ac:dyDescent="0.4">
      <c r="A73" s="6" t="s">
        <v>29</v>
      </c>
      <c r="B73" s="11"/>
      <c r="C73" s="11"/>
      <c r="D73" s="11"/>
      <c r="E73" s="11"/>
    </row>
    <row r="74" spans="1:5" ht="15.5" x14ac:dyDescent="0.4">
      <c r="A74" s="7" t="s">
        <v>30</v>
      </c>
      <c r="B74" s="11">
        <f>(B29/B28)*100</f>
        <v>102.84595675400581</v>
      </c>
      <c r="C74" s="11"/>
      <c r="D74" s="11"/>
      <c r="E74" s="11"/>
    </row>
    <row r="75" spans="1:5" ht="15.5" x14ac:dyDescent="0.4">
      <c r="A75" s="7" t="s">
        <v>31</v>
      </c>
      <c r="B75" s="11">
        <f>(B23/B29)*100</f>
        <v>110.04907052563925</v>
      </c>
      <c r="C75" s="11"/>
      <c r="D75" s="11"/>
      <c r="E75" s="11"/>
    </row>
    <row r="76" spans="1:5" ht="16" thickBot="1" x14ac:dyDescent="0.45">
      <c r="A76" s="17"/>
      <c r="B76" s="17"/>
      <c r="C76" s="17"/>
      <c r="D76" s="17"/>
      <c r="E76" s="17"/>
    </row>
    <row r="77" spans="1:5" s="4" customFormat="1" ht="16.5" customHeight="1" thickTop="1" x14ac:dyDescent="0.35">
      <c r="A77" s="34" t="s">
        <v>84</v>
      </c>
      <c r="B77" s="34"/>
      <c r="C77" s="34"/>
      <c r="D77" s="34"/>
      <c r="E77" s="34"/>
    </row>
    <row r="78" spans="1:5" ht="74.25" customHeight="1" x14ac:dyDescent="0.4">
      <c r="A78" s="28" t="s">
        <v>85</v>
      </c>
      <c r="B78" s="28"/>
      <c r="C78" s="28"/>
      <c r="D78" s="28"/>
      <c r="E78" s="28"/>
    </row>
    <row r="79" spans="1:5" x14ac:dyDescent="0.35">
      <c r="A79" s="2"/>
    </row>
  </sheetData>
  <mergeCells count="5">
    <mergeCell ref="A78:E78"/>
    <mergeCell ref="A9:A10"/>
    <mergeCell ref="B9:B10"/>
    <mergeCell ref="C9:E9"/>
    <mergeCell ref="A77:E77"/>
  </mergeCells>
  <pageMargins left="0.7" right="0.7" top="0.75" bottom="0.75" header="0.3" footer="0.3"/>
  <pageSetup orientation="portrait" r:id="rId1"/>
  <ignoredErrors>
    <ignoredError sqref="C67:C7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9:F78"/>
  <sheetViews>
    <sheetView showGridLines="0" zoomScale="80" zoomScaleNormal="80" workbookViewId="0">
      <pane ySplit="10" topLeftCell="A11" activePane="bottomLeft" state="frozen"/>
      <selection pane="bottomLeft" activeCell="A9" sqref="A9:A10"/>
    </sheetView>
  </sheetViews>
  <sheetFormatPr baseColWidth="10" defaultColWidth="11.453125" defaultRowHeight="14.5" x14ac:dyDescent="0.35"/>
  <cols>
    <col min="1" max="1" width="64.26953125" style="1" customWidth="1"/>
    <col min="2" max="5" width="24.7265625" style="1" customWidth="1"/>
    <col min="6" max="16384" width="11.453125" style="1"/>
  </cols>
  <sheetData>
    <row r="9" spans="1:5" s="4" customFormat="1" ht="15.5" x14ac:dyDescent="0.35">
      <c r="A9" s="29" t="s">
        <v>0</v>
      </c>
      <c r="B9" s="31" t="s">
        <v>1</v>
      </c>
      <c r="C9" s="33" t="s">
        <v>2</v>
      </c>
      <c r="D9" s="33"/>
      <c r="E9" s="33"/>
    </row>
    <row r="10" spans="1:5" s="3" customFormat="1" ht="47" thickBot="1" x14ac:dyDescent="0.4">
      <c r="A10" s="30"/>
      <c r="B10" s="32"/>
      <c r="C10" s="5" t="s">
        <v>39</v>
      </c>
      <c r="D10" s="5" t="s">
        <v>48</v>
      </c>
      <c r="E10" s="5" t="s">
        <v>49</v>
      </c>
    </row>
    <row r="11" spans="1:5" ht="16" thickTop="1" x14ac:dyDescent="0.4">
      <c r="A11" s="7"/>
      <c r="B11" s="7"/>
      <c r="C11" s="7"/>
      <c r="D11" s="7"/>
      <c r="E11" s="7"/>
    </row>
    <row r="12" spans="1:5" ht="15.5" x14ac:dyDescent="0.4">
      <c r="A12" s="6" t="s">
        <v>3</v>
      </c>
      <c r="B12" s="7"/>
      <c r="C12" s="7"/>
      <c r="D12" s="7"/>
      <c r="E12" s="7"/>
    </row>
    <row r="13" spans="1:5" ht="15.5" x14ac:dyDescent="0.4">
      <c r="A13" s="7"/>
      <c r="B13" s="7"/>
      <c r="C13" s="7"/>
      <c r="D13" s="7"/>
      <c r="E13" s="7"/>
    </row>
    <row r="14" spans="1:5" ht="15.5" x14ac:dyDescent="0.4">
      <c r="A14" s="6" t="s">
        <v>4</v>
      </c>
      <c r="B14" s="7"/>
      <c r="C14" s="7"/>
      <c r="D14" s="7"/>
      <c r="E14" s="7"/>
    </row>
    <row r="15" spans="1:5" ht="15.5" x14ac:dyDescent="0.4">
      <c r="A15" s="8" t="s">
        <v>54</v>
      </c>
      <c r="B15" s="25">
        <f>+SUM(C15:E15)</f>
        <v>25064</v>
      </c>
      <c r="C15" s="9">
        <v>19591</v>
      </c>
      <c r="D15" s="9">
        <v>5473</v>
      </c>
      <c r="E15" s="9">
        <v>0</v>
      </c>
    </row>
    <row r="16" spans="1:5" ht="15.5" x14ac:dyDescent="0.4">
      <c r="A16" s="8" t="s">
        <v>86</v>
      </c>
      <c r="B16" s="9">
        <f t="shared" ref="B16:B18" si="0">+SUM(C16:E16)</f>
        <v>23397</v>
      </c>
      <c r="C16" s="9">
        <v>19119</v>
      </c>
      <c r="D16" s="9">
        <v>1278</v>
      </c>
      <c r="E16" s="9">
        <v>3000</v>
      </c>
    </row>
    <row r="17" spans="1:5" ht="15.5" x14ac:dyDescent="0.4">
      <c r="A17" s="8" t="s">
        <v>87</v>
      </c>
      <c r="B17" s="9">
        <f t="shared" si="0"/>
        <v>23052</v>
      </c>
      <c r="C17" s="9">
        <v>21833</v>
      </c>
      <c r="D17" s="9">
        <v>1219</v>
      </c>
      <c r="E17" s="9">
        <v>0</v>
      </c>
    </row>
    <row r="18" spans="1:5" ht="15.5" x14ac:dyDescent="0.4">
      <c r="A18" s="8" t="s">
        <v>79</v>
      </c>
      <c r="B18" s="9">
        <f t="shared" si="0"/>
        <v>80754</v>
      </c>
      <c r="C18" s="9">
        <v>76476</v>
      </c>
      <c r="D18" s="9">
        <v>1278</v>
      </c>
      <c r="E18" s="9">
        <v>3000</v>
      </c>
    </row>
    <row r="19" spans="1:5" ht="15.5" x14ac:dyDescent="0.4">
      <c r="A19" s="7"/>
      <c r="B19" s="9"/>
      <c r="C19" s="9"/>
      <c r="D19" s="9"/>
      <c r="E19" s="9"/>
    </row>
    <row r="20" spans="1:5" ht="15.5" x14ac:dyDescent="0.4">
      <c r="A20" s="10" t="s">
        <v>5</v>
      </c>
      <c r="B20" s="9"/>
      <c r="C20" s="9"/>
      <c r="D20" s="9"/>
      <c r="E20" s="9"/>
    </row>
    <row r="21" spans="1:5" ht="15.5" x14ac:dyDescent="0.4">
      <c r="A21" s="8" t="s">
        <v>54</v>
      </c>
      <c r="B21" s="9">
        <f>SUM(C21:E21)</f>
        <v>3006458782.6499996</v>
      </c>
      <c r="C21" s="9">
        <v>2342067414.9299998</v>
      </c>
      <c r="D21" s="9">
        <v>660436500</v>
      </c>
      <c r="E21" s="9">
        <v>3954867.7199999997</v>
      </c>
    </row>
    <row r="22" spans="1:5" ht="15.5" x14ac:dyDescent="0.4">
      <c r="A22" s="8" t="s">
        <v>86</v>
      </c>
      <c r="B22" s="9">
        <f t="shared" ref="B22:B25" si="1">SUM(C22:E22)</f>
        <v>3051299888.7966266</v>
      </c>
      <c r="C22" s="9">
        <v>2462561870.3514614</v>
      </c>
      <c r="D22" s="9">
        <v>501975532.21516502</v>
      </c>
      <c r="E22" s="9">
        <v>86762486.230000004</v>
      </c>
    </row>
    <row r="23" spans="1:5" ht="15.5" x14ac:dyDescent="0.4">
      <c r="A23" s="8" t="s">
        <v>87</v>
      </c>
      <c r="B23" s="9">
        <f t="shared" si="1"/>
        <v>2547396126.4299998</v>
      </c>
      <c r="C23" s="9">
        <v>2117697369.8499999</v>
      </c>
      <c r="D23" s="9">
        <v>427813064.43000001</v>
      </c>
      <c r="E23" s="9">
        <v>1885692.1500000001</v>
      </c>
    </row>
    <row r="24" spans="1:5" ht="15.5" x14ac:dyDescent="0.4">
      <c r="A24" s="8" t="s">
        <v>79</v>
      </c>
      <c r="B24" s="9">
        <f t="shared" si="1"/>
        <v>12195627419.999996</v>
      </c>
      <c r="C24" s="9">
        <v>10671101438.189667</v>
      </c>
      <c r="D24" s="9">
        <v>1003951064.43033</v>
      </c>
      <c r="E24" s="9">
        <v>520574917.38</v>
      </c>
    </row>
    <row r="25" spans="1:5" ht="15.5" x14ac:dyDescent="0.4">
      <c r="A25" s="8" t="s">
        <v>88</v>
      </c>
      <c r="B25" s="9">
        <f t="shared" si="1"/>
        <v>2547396126.4299998</v>
      </c>
      <c r="C25" s="9">
        <f>+C23</f>
        <v>2117697369.8499999</v>
      </c>
      <c r="D25" s="9">
        <f t="shared" ref="D25:E25" si="2">+D23</f>
        <v>427813064.43000001</v>
      </c>
      <c r="E25" s="9">
        <f t="shared" si="2"/>
        <v>1885692.1500000001</v>
      </c>
    </row>
    <row r="26" spans="1:5" ht="15.5" x14ac:dyDescent="0.4">
      <c r="A26" s="7"/>
      <c r="B26" s="9"/>
      <c r="C26" s="9"/>
      <c r="D26" s="9"/>
      <c r="E26" s="9"/>
    </row>
    <row r="27" spans="1:5" ht="15.5" x14ac:dyDescent="0.4">
      <c r="A27" s="10" t="s">
        <v>6</v>
      </c>
      <c r="B27" s="9"/>
      <c r="C27" s="9"/>
      <c r="D27" s="9"/>
      <c r="E27" s="9"/>
    </row>
    <row r="28" spans="1:5" ht="15.5" x14ac:dyDescent="0.4">
      <c r="A28" s="8" t="s">
        <v>86</v>
      </c>
      <c r="B28" s="9">
        <f>B22</f>
        <v>3051299888.7966266</v>
      </c>
      <c r="C28" s="9"/>
      <c r="D28" s="9"/>
      <c r="E28" s="9"/>
    </row>
    <row r="29" spans="1:5" ht="15.5" x14ac:dyDescent="0.4">
      <c r="A29" s="8" t="s">
        <v>87</v>
      </c>
      <c r="B29" s="9">
        <v>3048906855</v>
      </c>
      <c r="C29" s="9"/>
      <c r="D29" s="9"/>
      <c r="E29" s="9"/>
    </row>
    <row r="30" spans="1:5" ht="15.5" x14ac:dyDescent="0.4">
      <c r="A30" s="7"/>
      <c r="B30" s="15"/>
      <c r="C30" s="15"/>
      <c r="D30" s="15"/>
      <c r="E30" s="15"/>
    </row>
    <row r="31" spans="1:5" ht="15.5" x14ac:dyDescent="0.4">
      <c r="A31" s="6" t="s">
        <v>7</v>
      </c>
      <c r="B31" s="15"/>
      <c r="C31" s="15"/>
      <c r="D31" s="15"/>
      <c r="E31" s="15"/>
    </row>
    <row r="32" spans="1:5" ht="15.5" x14ac:dyDescent="0.4">
      <c r="A32" s="8" t="s">
        <v>55</v>
      </c>
      <c r="B32" s="23">
        <v>1.0586</v>
      </c>
      <c r="C32" s="23">
        <v>1.0586</v>
      </c>
      <c r="D32" s="23">
        <v>1.0586</v>
      </c>
      <c r="E32" s="23">
        <v>1.0586</v>
      </c>
    </row>
    <row r="33" spans="1:5" ht="15.5" x14ac:dyDescent="0.4">
      <c r="A33" s="8" t="s">
        <v>89</v>
      </c>
      <c r="B33" s="23">
        <v>1.0788</v>
      </c>
      <c r="C33" s="23">
        <v>1.0788</v>
      </c>
      <c r="D33" s="23">
        <v>1.0788</v>
      </c>
      <c r="E33" s="23">
        <v>1.0788</v>
      </c>
    </row>
    <row r="34" spans="1:5" ht="15.5" x14ac:dyDescent="0.4">
      <c r="A34" s="8" t="s">
        <v>8</v>
      </c>
      <c r="B34" s="13" t="s">
        <v>36</v>
      </c>
      <c r="C34" s="13" t="s">
        <v>36</v>
      </c>
      <c r="D34" s="13" t="s">
        <v>36</v>
      </c>
      <c r="E34" s="13" t="s">
        <v>36</v>
      </c>
    </row>
    <row r="35" spans="1:5" ht="15.5" x14ac:dyDescent="0.4">
      <c r="A35" s="7"/>
      <c r="B35" s="15"/>
      <c r="C35" s="15"/>
      <c r="D35" s="15"/>
      <c r="E35" s="15"/>
    </row>
    <row r="36" spans="1:5" ht="15.5" x14ac:dyDescent="0.4">
      <c r="A36" s="6" t="s">
        <v>9</v>
      </c>
      <c r="B36" s="15"/>
      <c r="C36" s="15"/>
      <c r="D36" s="15"/>
      <c r="E36" s="15"/>
    </row>
    <row r="37" spans="1:5" ht="15.5" x14ac:dyDescent="0.4">
      <c r="A37" s="8" t="s">
        <v>56</v>
      </c>
      <c r="B37" s="16">
        <f t="shared" ref="B37" si="3">B21/B32</f>
        <v>2840032857.2170787</v>
      </c>
      <c r="C37" s="16">
        <f t="shared" ref="C37:E37" si="4">C21/C32</f>
        <v>2212419624.9102588</v>
      </c>
      <c r="D37" s="16">
        <f t="shared" si="4"/>
        <v>623877290.76138294</v>
      </c>
      <c r="E37" s="16">
        <f t="shared" si="4"/>
        <v>3735941.54543737</v>
      </c>
    </row>
    <row r="38" spans="1:5" ht="15.5" x14ac:dyDescent="0.4">
      <c r="A38" s="8" t="s">
        <v>90</v>
      </c>
      <c r="B38" s="16">
        <f t="shared" ref="B38" si="5">B23/B33</f>
        <v>2361323810.1872449</v>
      </c>
      <c r="C38" s="16">
        <f t="shared" ref="C38:E38" si="6">C23/C33</f>
        <v>1963012022.4786799</v>
      </c>
      <c r="D38" s="16">
        <f t="shared" si="6"/>
        <v>396563834.28809792</v>
      </c>
      <c r="E38" s="16">
        <f t="shared" si="6"/>
        <v>1747953.420467186</v>
      </c>
    </row>
    <row r="39" spans="1:5" ht="15.5" x14ac:dyDescent="0.4">
      <c r="A39" s="8" t="s">
        <v>57</v>
      </c>
      <c r="B39" s="9">
        <f>B37/B15</f>
        <v>113311.23752063034</v>
      </c>
      <c r="C39" s="9">
        <f t="shared" ref="C39:D39" si="7">C37/C15</f>
        <v>112930.40809097335</v>
      </c>
      <c r="D39" s="9">
        <f t="shared" si="7"/>
        <v>113991.83094489</v>
      </c>
      <c r="E39" s="13" t="s">
        <v>36</v>
      </c>
    </row>
    <row r="40" spans="1:5" ht="15.5" x14ac:dyDescent="0.4">
      <c r="A40" s="8" t="s">
        <v>91</v>
      </c>
      <c r="B40" s="9">
        <f t="shared" ref="B40" si="8">B38/B17</f>
        <v>102434.6612088862</v>
      </c>
      <c r="C40" s="9">
        <f t="shared" ref="C40:D40" si="9">C38/C17</f>
        <v>89910.320271088713</v>
      </c>
      <c r="D40" s="9">
        <f t="shared" si="9"/>
        <v>325318.97808703687</v>
      </c>
      <c r="E40" s="13" t="s">
        <v>36</v>
      </c>
    </row>
    <row r="41" spans="1:5" ht="15.5" x14ac:dyDescent="0.4">
      <c r="A41" s="7"/>
      <c r="B41" s="9"/>
      <c r="C41" s="9"/>
      <c r="D41" s="9"/>
      <c r="E41" s="9"/>
    </row>
    <row r="42" spans="1:5" ht="15.5" x14ac:dyDescent="0.4">
      <c r="A42" s="6" t="s">
        <v>10</v>
      </c>
      <c r="B42" s="15"/>
      <c r="C42" s="15"/>
      <c r="D42" s="15"/>
      <c r="E42" s="15"/>
    </row>
    <row r="43" spans="1:5" ht="15.5" x14ac:dyDescent="0.4">
      <c r="A43" s="7"/>
      <c r="B43" s="15"/>
      <c r="C43" s="15"/>
      <c r="D43" s="15"/>
      <c r="E43" s="15"/>
    </row>
    <row r="44" spans="1:5" ht="15.5" x14ac:dyDescent="0.4">
      <c r="A44" s="6" t="s">
        <v>11</v>
      </c>
      <c r="B44" s="15"/>
      <c r="C44" s="15"/>
      <c r="D44" s="15"/>
      <c r="E44" s="15"/>
    </row>
    <row r="45" spans="1:5" ht="15.5" x14ac:dyDescent="0.4">
      <c r="A45" s="7" t="s">
        <v>12</v>
      </c>
      <c r="B45" s="22" t="s">
        <v>35</v>
      </c>
      <c r="C45" s="22" t="s">
        <v>35</v>
      </c>
      <c r="D45" s="22" t="s">
        <v>35</v>
      </c>
      <c r="E45" s="22" t="s">
        <v>35</v>
      </c>
    </row>
    <row r="46" spans="1:5" ht="15.5" x14ac:dyDescent="0.4">
      <c r="A46" s="7" t="s">
        <v>13</v>
      </c>
      <c r="B46" s="22" t="s">
        <v>35</v>
      </c>
      <c r="C46" s="22" t="s">
        <v>35</v>
      </c>
      <c r="D46" s="22" t="s">
        <v>35</v>
      </c>
      <c r="E46" s="22" t="s">
        <v>35</v>
      </c>
    </row>
    <row r="47" spans="1:5" ht="15.5" x14ac:dyDescent="0.4">
      <c r="A47" s="7"/>
      <c r="B47" s="15"/>
      <c r="C47" s="15"/>
      <c r="D47" s="15"/>
      <c r="E47" s="15"/>
    </row>
    <row r="48" spans="1:5" ht="15.5" x14ac:dyDescent="0.4">
      <c r="A48" s="6" t="s">
        <v>14</v>
      </c>
      <c r="B48" s="15"/>
      <c r="C48" s="15"/>
      <c r="D48" s="15"/>
      <c r="E48" s="15"/>
    </row>
    <row r="49" spans="1:6" ht="15.5" x14ac:dyDescent="0.4">
      <c r="A49" s="7" t="s">
        <v>15</v>
      </c>
      <c r="B49" s="11">
        <f>B17/B16*100</f>
        <v>98.52545198102321</v>
      </c>
      <c r="C49" s="11">
        <f t="shared" ref="C49:E49" si="10">C17/C16*100</f>
        <v>114.19530310162665</v>
      </c>
      <c r="D49" s="11">
        <f t="shared" si="10"/>
        <v>95.383411580594682</v>
      </c>
      <c r="E49" s="11">
        <f t="shared" si="10"/>
        <v>0</v>
      </c>
      <c r="F49" s="24"/>
    </row>
    <row r="50" spans="1:6" ht="15.5" x14ac:dyDescent="0.4">
      <c r="A50" s="7" t="s">
        <v>16</v>
      </c>
      <c r="B50" s="11">
        <f>B23/B22*100</f>
        <v>83.485603489293325</v>
      </c>
      <c r="C50" s="11">
        <f t="shared" ref="C50:E50" si="11">C23/C22*100</f>
        <v>85.995702091649704</v>
      </c>
      <c r="D50" s="11">
        <f t="shared" si="11"/>
        <v>85.225879943212789</v>
      </c>
      <c r="E50" s="11">
        <f t="shared" si="11"/>
        <v>2.1733957058367253</v>
      </c>
      <c r="F50" s="24"/>
    </row>
    <row r="51" spans="1:6" ht="15.5" x14ac:dyDescent="0.4">
      <c r="A51" s="7" t="s">
        <v>17</v>
      </c>
      <c r="B51" s="11">
        <f>AVERAGE(B49:B50)</f>
        <v>91.005527735158267</v>
      </c>
      <c r="C51" s="11">
        <f t="shared" ref="C51:E51" si="12">AVERAGE(C49:C50)</f>
        <v>100.09550259663817</v>
      </c>
      <c r="D51" s="11">
        <f t="shared" si="12"/>
        <v>90.304645761903743</v>
      </c>
      <c r="E51" s="11">
        <f t="shared" si="12"/>
        <v>1.0866978529183626</v>
      </c>
      <c r="F51" s="24"/>
    </row>
    <row r="52" spans="1:6" ht="15.5" x14ac:dyDescent="0.4">
      <c r="A52" s="7"/>
      <c r="B52" s="11"/>
      <c r="C52" s="11"/>
      <c r="D52" s="11"/>
      <c r="E52" s="11"/>
      <c r="F52" s="24"/>
    </row>
    <row r="53" spans="1:6" ht="15.5" x14ac:dyDescent="0.4">
      <c r="A53" s="6" t="s">
        <v>18</v>
      </c>
      <c r="B53" s="11"/>
      <c r="C53" s="11"/>
      <c r="D53" s="11"/>
      <c r="E53" s="11"/>
    </row>
    <row r="54" spans="1:6" ht="15.5" x14ac:dyDescent="0.4">
      <c r="A54" s="7" t="s">
        <v>19</v>
      </c>
      <c r="B54" s="11">
        <f>B17/B18*100</f>
        <v>28.545954379968798</v>
      </c>
      <c r="C54" s="11">
        <f t="shared" ref="C54:E54" si="13">C17/C18*100</f>
        <v>28.548825775406662</v>
      </c>
      <c r="D54" s="11">
        <f t="shared" si="13"/>
        <v>95.383411580594682</v>
      </c>
      <c r="E54" s="11">
        <f t="shared" si="13"/>
        <v>0</v>
      </c>
      <c r="F54" s="24"/>
    </row>
    <row r="55" spans="1:6" ht="15.5" x14ac:dyDescent="0.4">
      <c r="A55" s="7" t="s">
        <v>20</v>
      </c>
      <c r="B55" s="11">
        <f>B23/B24*100</f>
        <v>20.887782470727533</v>
      </c>
      <c r="C55" s="11">
        <f t="shared" ref="C55:E55" si="14">C23/C24*100</f>
        <v>19.845162021149932</v>
      </c>
      <c r="D55" s="11">
        <f t="shared" si="14"/>
        <v>42.612939971606394</v>
      </c>
      <c r="E55" s="11">
        <f t="shared" si="14"/>
        <v>0.36223261763945419</v>
      </c>
      <c r="F55" s="24"/>
    </row>
    <row r="56" spans="1:6" ht="15.5" x14ac:dyDescent="0.4">
      <c r="A56" s="7" t="s">
        <v>21</v>
      </c>
      <c r="B56" s="11">
        <f>(B54+B55)/2</f>
        <v>24.716868425348167</v>
      </c>
      <c r="C56" s="11">
        <f t="shared" ref="C56:E56" si="15">(C54+C55)/2</f>
        <v>24.196993898278297</v>
      </c>
      <c r="D56" s="11">
        <f t="shared" si="15"/>
        <v>68.998175776100538</v>
      </c>
      <c r="E56" s="11">
        <f t="shared" si="15"/>
        <v>0.1811163088197271</v>
      </c>
      <c r="F56" s="24"/>
    </row>
    <row r="57" spans="1:6" ht="15.5" x14ac:dyDescent="0.4">
      <c r="A57" s="7"/>
      <c r="B57" s="11"/>
      <c r="C57" s="11"/>
      <c r="D57" s="11"/>
      <c r="E57" s="11"/>
    </row>
    <row r="58" spans="1:6" ht="15.5" x14ac:dyDescent="0.4">
      <c r="A58" s="6" t="s">
        <v>32</v>
      </c>
      <c r="B58" s="11"/>
      <c r="C58" s="11"/>
      <c r="D58" s="11"/>
      <c r="E58" s="11"/>
    </row>
    <row r="59" spans="1:6" ht="15.5" x14ac:dyDescent="0.4">
      <c r="A59" s="7" t="s">
        <v>22</v>
      </c>
      <c r="B59" s="11">
        <f t="shared" ref="B59" si="16">B25/B23*100</f>
        <v>100</v>
      </c>
      <c r="C59" s="11"/>
      <c r="D59" s="11"/>
      <c r="E59" s="11"/>
    </row>
    <row r="60" spans="1:6" ht="15.5" x14ac:dyDescent="0.4">
      <c r="A60" s="7"/>
      <c r="B60" s="11"/>
      <c r="C60" s="11"/>
      <c r="D60" s="11"/>
      <c r="E60" s="11"/>
    </row>
    <row r="61" spans="1:6" ht="15.5" x14ac:dyDescent="0.4">
      <c r="A61" s="6" t="s">
        <v>23</v>
      </c>
      <c r="B61" s="11"/>
      <c r="C61" s="11"/>
      <c r="D61" s="11"/>
      <c r="E61" s="11"/>
    </row>
    <row r="62" spans="1:6" ht="15.5" x14ac:dyDescent="0.4">
      <c r="A62" s="7" t="s">
        <v>24</v>
      </c>
      <c r="B62" s="11">
        <f>((B17/B15)-1)*100</f>
        <v>-8.0274497286945472</v>
      </c>
      <c r="C62" s="11">
        <f t="shared" ref="C62:D62" si="17">((C17/C15)-1)*100</f>
        <v>11.444030422132624</v>
      </c>
      <c r="D62" s="11">
        <f t="shared" si="17"/>
        <v>-77.727023570253976</v>
      </c>
      <c r="E62" s="13" t="s">
        <v>36</v>
      </c>
    </row>
    <row r="63" spans="1:6" ht="15.5" x14ac:dyDescent="0.4">
      <c r="A63" s="7" t="s">
        <v>25</v>
      </c>
      <c r="B63" s="11">
        <f>((B38/B37)-1)*100</f>
        <v>-16.855757348487732</v>
      </c>
      <c r="C63" s="11">
        <f t="shared" ref="C63:E63" si="18">((C38/C37)-1)*100</f>
        <v>-11.27306952186774</v>
      </c>
      <c r="D63" s="11">
        <f t="shared" si="18"/>
        <v>-36.43560357772769</v>
      </c>
      <c r="E63" s="11">
        <f t="shared" si="18"/>
        <v>-53.212506159205674</v>
      </c>
    </row>
    <row r="64" spans="1:6" ht="15.5" x14ac:dyDescent="0.4">
      <c r="A64" s="7" t="s">
        <v>26</v>
      </c>
      <c r="B64" s="11">
        <f t="shared" ref="B64" si="19">((B40/B39)-1)*100</f>
        <v>-9.5988505198029159</v>
      </c>
      <c r="C64" s="11">
        <f t="shared" ref="C64:D64" si="20">((C40/C39)-1)*100</f>
        <v>-20.384312966743501</v>
      </c>
      <c r="D64" s="11">
        <f t="shared" si="20"/>
        <v>185.38797507719144</v>
      </c>
      <c r="E64" s="13" t="s">
        <v>36</v>
      </c>
    </row>
    <row r="65" spans="1:5" ht="15.5" x14ac:dyDescent="0.4">
      <c r="A65" s="7"/>
      <c r="B65" s="11"/>
      <c r="C65" s="11"/>
      <c r="D65" s="11"/>
      <c r="E65" s="11"/>
    </row>
    <row r="66" spans="1:5" ht="15.5" x14ac:dyDescent="0.4">
      <c r="A66" s="6" t="s">
        <v>27</v>
      </c>
      <c r="B66" s="11"/>
      <c r="C66" s="11"/>
      <c r="D66" s="11"/>
      <c r="E66" s="11"/>
    </row>
    <row r="67" spans="1:5" ht="15.5" x14ac:dyDescent="0.4">
      <c r="A67" s="7" t="s">
        <v>40</v>
      </c>
      <c r="B67" s="11">
        <f>B22/(B16*3)</f>
        <v>43471.383636030638</v>
      </c>
      <c r="C67" s="11">
        <f>C22/(C16)</f>
        <v>128801.81339774368</v>
      </c>
      <c r="D67" s="11">
        <f t="shared" ref="D67" si="21">D22/(D16*3)</f>
        <v>130927.36886154539</v>
      </c>
      <c r="E67" s="11">
        <f>E22/E16</f>
        <v>28920.828743333335</v>
      </c>
    </row>
    <row r="68" spans="1:5" ht="15.5" x14ac:dyDescent="0.4">
      <c r="A68" s="7" t="s">
        <v>41</v>
      </c>
      <c r="B68" s="11">
        <f t="shared" ref="B68:D68" si="22">B23/(B17*3)</f>
        <v>36835.504170715481</v>
      </c>
      <c r="C68" s="11">
        <f>C23/(C17)</f>
        <v>96995.253508450507</v>
      </c>
      <c r="D68" s="11">
        <f t="shared" si="22"/>
        <v>116984.70452009844</v>
      </c>
      <c r="E68" s="13" t="s">
        <v>36</v>
      </c>
    </row>
    <row r="69" spans="1:5" ht="15.5" x14ac:dyDescent="0.4">
      <c r="A69" s="7" t="s">
        <v>28</v>
      </c>
      <c r="B69" s="11">
        <f>(B68/B67)*B51</f>
        <v>77.113590966268077</v>
      </c>
      <c r="C69" s="11">
        <f t="shared" ref="C69" si="23">(C68/C67)*C51</f>
        <v>75.377732605640176</v>
      </c>
      <c r="D69" s="11">
        <f t="shared" ref="D69" si="24">(D68/D67)*D51</f>
        <v>80.687959997272145</v>
      </c>
      <c r="E69" s="13" t="s">
        <v>36</v>
      </c>
    </row>
    <row r="70" spans="1:5" ht="15.5" x14ac:dyDescent="0.4">
      <c r="A70" s="7" t="s">
        <v>42</v>
      </c>
      <c r="B70" s="11">
        <f t="shared" ref="B70:E71" si="25">B22/B16</f>
        <v>130414.15090809192</v>
      </c>
      <c r="C70" s="11">
        <f>(C22/C16)*3</f>
        <v>386405.44019323104</v>
      </c>
      <c r="D70" s="11">
        <f t="shared" si="25"/>
        <v>392782.10658463615</v>
      </c>
      <c r="E70" s="11">
        <f t="shared" si="25"/>
        <v>28920.828743333335</v>
      </c>
    </row>
    <row r="71" spans="1:5" ht="15.5" x14ac:dyDescent="0.4">
      <c r="A71" s="7" t="s">
        <v>43</v>
      </c>
      <c r="B71" s="11">
        <f t="shared" si="25"/>
        <v>110506.51251214644</v>
      </c>
      <c r="C71" s="11">
        <f>(C23/C17)*3</f>
        <v>290985.76052535151</v>
      </c>
      <c r="D71" s="11">
        <f t="shared" si="25"/>
        <v>350954.11356029531</v>
      </c>
      <c r="E71" s="13" t="s">
        <v>36</v>
      </c>
    </row>
    <row r="72" spans="1:5" ht="15.5" x14ac:dyDescent="0.4">
      <c r="A72" s="7"/>
      <c r="B72" s="11"/>
      <c r="C72" s="11"/>
      <c r="D72" s="11"/>
      <c r="E72" s="11"/>
    </row>
    <row r="73" spans="1:5" ht="15.5" x14ac:dyDescent="0.4">
      <c r="A73" s="6" t="s">
        <v>29</v>
      </c>
      <c r="B73" s="11"/>
      <c r="C73" s="11"/>
      <c r="D73" s="11"/>
      <c r="E73" s="11"/>
    </row>
    <row r="74" spans="1:5" ht="15.5" x14ac:dyDescent="0.4">
      <c r="A74" s="7" t="s">
        <v>30</v>
      </c>
      <c r="B74" s="11">
        <f>(B29/B28)*100</f>
        <v>99.921573300434574</v>
      </c>
      <c r="C74" s="11"/>
      <c r="D74" s="11"/>
      <c r="E74" s="11"/>
    </row>
    <row r="75" spans="1:5" ht="15.5" x14ac:dyDescent="0.4">
      <c r="A75" s="7" t="s">
        <v>31</v>
      </c>
      <c r="B75" s="11">
        <f>(B23/B29)*100</f>
        <v>83.551129882910118</v>
      </c>
      <c r="C75" s="11"/>
      <c r="D75" s="11"/>
      <c r="E75" s="11"/>
    </row>
    <row r="76" spans="1:5" ht="16" thickBot="1" x14ac:dyDescent="0.45">
      <c r="A76" s="17"/>
      <c r="B76" s="17"/>
      <c r="C76" s="17"/>
      <c r="D76" s="17"/>
      <c r="E76" s="17"/>
    </row>
    <row r="77" spans="1:5" s="4" customFormat="1" ht="16.5" customHeight="1" thickTop="1" x14ac:dyDescent="0.35">
      <c r="A77" s="34" t="s">
        <v>84</v>
      </c>
      <c r="B77" s="34"/>
      <c r="C77" s="34"/>
      <c r="D77" s="34"/>
      <c r="E77" s="34"/>
    </row>
    <row r="78" spans="1:5" ht="74.25" customHeight="1" x14ac:dyDescent="0.4">
      <c r="A78" s="28" t="s">
        <v>92</v>
      </c>
      <c r="B78" s="28"/>
      <c r="C78" s="28"/>
      <c r="D78" s="28"/>
      <c r="E78" s="28"/>
    </row>
  </sheetData>
  <mergeCells count="5">
    <mergeCell ref="A78:E78"/>
    <mergeCell ref="A9:A10"/>
    <mergeCell ref="B9:B10"/>
    <mergeCell ref="C9:E9"/>
    <mergeCell ref="A77:E77"/>
  </mergeCells>
  <pageMargins left="0.7" right="0.7" top="0.75" bottom="0.75" header="0.3" footer="0.3"/>
  <pageSetup orientation="portrait" r:id="rId1"/>
  <ignoredErrors>
    <ignoredError sqref="C67:C7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E78"/>
  <sheetViews>
    <sheetView showGridLines="0" zoomScale="80" zoomScaleNormal="80" workbookViewId="0">
      <pane ySplit="10" topLeftCell="A11" activePane="bottomLeft" state="frozen"/>
      <selection pane="bottomLeft" activeCell="A9" sqref="A9:A10"/>
    </sheetView>
  </sheetViews>
  <sheetFormatPr baseColWidth="10" defaultColWidth="11.453125" defaultRowHeight="14.5" x14ac:dyDescent="0.35"/>
  <cols>
    <col min="1" max="1" width="64.26953125" style="1" customWidth="1"/>
    <col min="2" max="5" width="24.7265625" style="1" customWidth="1"/>
    <col min="6" max="16384" width="11.453125" style="1"/>
  </cols>
  <sheetData>
    <row r="9" spans="1:5" s="4" customFormat="1" ht="15.5" x14ac:dyDescent="0.35">
      <c r="A9" s="29" t="s">
        <v>0</v>
      </c>
      <c r="B9" s="31" t="s">
        <v>1</v>
      </c>
      <c r="C9" s="33" t="s">
        <v>2</v>
      </c>
      <c r="D9" s="33"/>
      <c r="E9" s="33"/>
    </row>
    <row r="10" spans="1:5" s="3" customFormat="1" ht="47" thickBot="1" x14ac:dyDescent="0.4">
      <c r="A10" s="30"/>
      <c r="B10" s="32"/>
      <c r="C10" s="5" t="s">
        <v>39</v>
      </c>
      <c r="D10" s="5" t="s">
        <v>48</v>
      </c>
      <c r="E10" s="5" t="s">
        <v>49</v>
      </c>
    </row>
    <row r="11" spans="1:5" ht="16" thickTop="1" x14ac:dyDescent="0.4">
      <c r="A11" s="7"/>
      <c r="B11" s="7"/>
      <c r="C11" s="7"/>
      <c r="D11" s="7"/>
      <c r="E11" s="7"/>
    </row>
    <row r="12" spans="1:5" ht="15.5" x14ac:dyDescent="0.4">
      <c r="A12" s="6" t="s">
        <v>3</v>
      </c>
      <c r="B12" s="7"/>
      <c r="C12" s="7"/>
      <c r="D12" s="7"/>
      <c r="E12" s="7"/>
    </row>
    <row r="13" spans="1:5" ht="15.5" x14ac:dyDescent="0.4">
      <c r="A13" s="7"/>
      <c r="B13" s="7"/>
      <c r="C13" s="7"/>
      <c r="D13" s="7"/>
      <c r="E13" s="7"/>
    </row>
    <row r="14" spans="1:5" ht="15.5" x14ac:dyDescent="0.4">
      <c r="A14" s="6" t="s">
        <v>4</v>
      </c>
      <c r="B14" s="7"/>
      <c r="C14" s="7"/>
      <c r="D14" s="7"/>
      <c r="E14" s="7"/>
    </row>
    <row r="15" spans="1:5" ht="15.5" x14ac:dyDescent="0.4">
      <c r="A15" s="8" t="s">
        <v>58</v>
      </c>
      <c r="B15" s="25">
        <f>+SUM(C15:E15)</f>
        <v>45940</v>
      </c>
      <c r="C15" s="9">
        <f>(+'I Trimestre'!C15+'II trimestre'!C15)</f>
        <v>40799</v>
      </c>
      <c r="D15" s="9">
        <f>(+'I Trimestre'!D15+'II trimestre'!D15)/2</f>
        <v>5141</v>
      </c>
      <c r="E15" s="9">
        <f>(+'I Trimestre'!E15+'II trimestre'!E15)/2</f>
        <v>0</v>
      </c>
    </row>
    <row r="16" spans="1:5" ht="15.5" x14ac:dyDescent="0.4">
      <c r="A16" s="8" t="s">
        <v>93</v>
      </c>
      <c r="B16" s="9">
        <f t="shared" ref="B16:B18" si="0">+SUM(C16:E16)</f>
        <v>42516</v>
      </c>
      <c r="C16" s="9">
        <f>(+'I Trimestre'!C16+'II trimestre'!C16)</f>
        <v>38238</v>
      </c>
      <c r="D16" s="9">
        <f>(+'I Trimestre'!D16+'II trimestre'!D16)/2</f>
        <v>1278</v>
      </c>
      <c r="E16" s="9">
        <f>(+'II trimestre'!E16)</f>
        <v>3000</v>
      </c>
    </row>
    <row r="17" spans="1:5" ht="15.5" x14ac:dyDescent="0.4">
      <c r="A17" s="8" t="s">
        <v>94</v>
      </c>
      <c r="B17" s="9">
        <f t="shared" si="0"/>
        <v>45511.666666666664</v>
      </c>
      <c r="C17" s="9">
        <f>(+'I Trimestre'!C17+'II trimestre'!C17)</f>
        <v>44227</v>
      </c>
      <c r="D17" s="9">
        <f>(+'I Trimestre'!D17+'II trimestre'!D17)/2</f>
        <v>1284.6666666666665</v>
      </c>
      <c r="E17" s="9">
        <f>(+'I Trimestre'!E17+'II trimestre'!E17)/2</f>
        <v>0</v>
      </c>
    </row>
    <row r="18" spans="1:5" ht="15.5" x14ac:dyDescent="0.4">
      <c r="A18" s="8" t="s">
        <v>79</v>
      </c>
      <c r="B18" s="9">
        <f t="shared" si="0"/>
        <v>80754</v>
      </c>
      <c r="C18" s="9">
        <f>+'II trimestre'!C18</f>
        <v>76476</v>
      </c>
      <c r="D18" s="9">
        <f>+'II trimestre'!D18</f>
        <v>1278</v>
      </c>
      <c r="E18" s="9">
        <f>+'II trimestre'!E18</f>
        <v>3000</v>
      </c>
    </row>
    <row r="19" spans="1:5" ht="15.5" x14ac:dyDescent="0.4">
      <c r="A19" s="7"/>
      <c r="B19" s="9"/>
      <c r="C19" s="9"/>
      <c r="D19" s="9"/>
      <c r="E19" s="9"/>
    </row>
    <row r="20" spans="1:5" ht="15.5" x14ac:dyDescent="0.4">
      <c r="A20" s="10" t="s">
        <v>5</v>
      </c>
      <c r="B20" s="9"/>
      <c r="C20" s="9"/>
      <c r="D20" s="9"/>
      <c r="E20" s="9"/>
    </row>
    <row r="21" spans="1:5" ht="15.5" x14ac:dyDescent="0.4">
      <c r="A21" s="8" t="s">
        <v>58</v>
      </c>
      <c r="B21" s="25">
        <f>SUM(C21:E21)</f>
        <v>6450290845.7399998</v>
      </c>
      <c r="C21" s="9">
        <f>+'I Trimestre'!C21+'II trimestre'!C21</f>
        <v>5036609522.0999994</v>
      </c>
      <c r="D21" s="9">
        <f>+'I Trimestre'!D21+'II trimestre'!D21</f>
        <v>1403535637.6199999</v>
      </c>
      <c r="E21" s="9">
        <f>+'I Trimestre'!E21+'II trimestre'!E21</f>
        <v>10145686.02</v>
      </c>
    </row>
    <row r="22" spans="1:5" ht="15.5" x14ac:dyDescent="0.4">
      <c r="A22" s="8" t="s">
        <v>93</v>
      </c>
      <c r="B22" s="9">
        <f t="shared" ref="B22:B25" si="1">SUM(C22:E22)</f>
        <v>6015837291.3632526</v>
      </c>
      <c r="C22" s="9">
        <f>+'I Trimestre'!C22+'II trimestre'!C22</f>
        <v>4925123740.7029228</v>
      </c>
      <c r="D22" s="9">
        <f>+'I Trimestre'!D22+'II trimestre'!D22</f>
        <v>1003951064.43033</v>
      </c>
      <c r="E22" s="9">
        <f>+'I Trimestre'!E22+'II trimestre'!E22</f>
        <v>86762486.230000004</v>
      </c>
    </row>
    <row r="23" spans="1:5" ht="15.5" x14ac:dyDescent="0.4">
      <c r="A23" s="8" t="s">
        <v>94</v>
      </c>
      <c r="B23" s="9">
        <f t="shared" si="1"/>
        <v>5902689781.5499992</v>
      </c>
      <c r="C23" s="9">
        <f>+'I Trimestre'!C23+'II trimestre'!C23</f>
        <v>4970737024.9699993</v>
      </c>
      <c r="D23" s="9">
        <f>+'I Trimestre'!D23+'II trimestre'!D23</f>
        <v>930067064.43000007</v>
      </c>
      <c r="E23" s="9">
        <f>+'I Trimestre'!E23+'II trimestre'!E23</f>
        <v>1885692.1500000001</v>
      </c>
    </row>
    <row r="24" spans="1:5" ht="15.5" x14ac:dyDescent="0.4">
      <c r="A24" s="8" t="s">
        <v>79</v>
      </c>
      <c r="B24" s="9">
        <f t="shared" si="1"/>
        <v>12195627419.999996</v>
      </c>
      <c r="C24" s="9">
        <f>+'II trimestre'!C24</f>
        <v>10671101438.189667</v>
      </c>
      <c r="D24" s="9">
        <f>+'II trimestre'!D24</f>
        <v>1003951064.43033</v>
      </c>
      <c r="E24" s="9">
        <f>+'II trimestre'!E24</f>
        <v>520574917.38</v>
      </c>
    </row>
    <row r="25" spans="1:5" ht="15.5" x14ac:dyDescent="0.4">
      <c r="A25" s="8" t="s">
        <v>95</v>
      </c>
      <c r="B25" s="9">
        <f t="shared" si="1"/>
        <v>5902689781.5499992</v>
      </c>
      <c r="C25" s="9">
        <f t="shared" ref="C25:E25" si="2">C23</f>
        <v>4970737024.9699993</v>
      </c>
      <c r="D25" s="9">
        <f t="shared" si="2"/>
        <v>930067064.43000007</v>
      </c>
      <c r="E25" s="9">
        <f t="shared" si="2"/>
        <v>1885692.1500000001</v>
      </c>
    </row>
    <row r="26" spans="1:5" ht="15.5" x14ac:dyDescent="0.4">
      <c r="A26" s="7"/>
      <c r="B26" s="9"/>
      <c r="C26" s="9"/>
      <c r="D26" s="9"/>
      <c r="E26" s="9"/>
    </row>
    <row r="27" spans="1:5" ht="15.5" x14ac:dyDescent="0.4">
      <c r="A27" s="10" t="s">
        <v>6</v>
      </c>
      <c r="B27" s="9"/>
      <c r="C27" s="9"/>
      <c r="D27" s="9"/>
      <c r="E27" s="9"/>
    </row>
    <row r="28" spans="1:5" ht="15.5" x14ac:dyDescent="0.4">
      <c r="A28" s="8" t="s">
        <v>93</v>
      </c>
      <c r="B28" s="9">
        <f>'I Trimestre'!B28+'II trimestre'!B28</f>
        <v>6015837291.3632526</v>
      </c>
      <c r="C28" s="9"/>
      <c r="D28" s="9"/>
      <c r="E28" s="9"/>
    </row>
    <row r="29" spans="1:5" ht="15.5" x14ac:dyDescent="0.4">
      <c r="A29" s="8" t="s">
        <v>94</v>
      </c>
      <c r="B29" s="9">
        <f>'I Trimestre'!B29+'II trimestre'!B29</f>
        <v>6097813710</v>
      </c>
      <c r="C29" s="9"/>
      <c r="D29" s="9"/>
      <c r="E29" s="9"/>
    </row>
    <row r="30" spans="1:5" ht="15.5" x14ac:dyDescent="0.4">
      <c r="A30" s="7"/>
      <c r="B30" s="15"/>
      <c r="C30" s="15"/>
      <c r="D30" s="15"/>
      <c r="E30" s="15"/>
    </row>
    <row r="31" spans="1:5" ht="15.5" x14ac:dyDescent="0.4">
      <c r="A31" s="6" t="s">
        <v>7</v>
      </c>
      <c r="B31" s="15"/>
      <c r="C31" s="15"/>
      <c r="D31" s="15"/>
      <c r="E31" s="15"/>
    </row>
    <row r="32" spans="1:5" ht="15.5" x14ac:dyDescent="0.4">
      <c r="A32" s="8" t="s">
        <v>59</v>
      </c>
      <c r="B32" s="23">
        <v>1.0586</v>
      </c>
      <c r="C32" s="23">
        <v>1.0586</v>
      </c>
      <c r="D32" s="23">
        <v>1.0586</v>
      </c>
      <c r="E32" s="23">
        <v>1.0586</v>
      </c>
    </row>
    <row r="33" spans="1:5" ht="15.5" x14ac:dyDescent="0.4">
      <c r="A33" s="8" t="s">
        <v>96</v>
      </c>
      <c r="B33" s="23">
        <v>1.0788</v>
      </c>
      <c r="C33" s="23">
        <v>1.0788</v>
      </c>
      <c r="D33" s="23">
        <v>1.0788</v>
      </c>
      <c r="E33" s="23">
        <v>1.0788</v>
      </c>
    </row>
    <row r="34" spans="1:5" ht="15.5" x14ac:dyDescent="0.4">
      <c r="A34" s="8" t="s">
        <v>8</v>
      </c>
      <c r="B34" s="13" t="s">
        <v>36</v>
      </c>
      <c r="C34" s="13" t="s">
        <v>36</v>
      </c>
      <c r="D34" s="13" t="s">
        <v>36</v>
      </c>
      <c r="E34" s="13" t="s">
        <v>36</v>
      </c>
    </row>
    <row r="35" spans="1:5" ht="15.5" x14ac:dyDescent="0.4">
      <c r="A35" s="7"/>
      <c r="B35" s="15"/>
      <c r="C35" s="15"/>
      <c r="D35" s="15"/>
      <c r="E35" s="15"/>
    </row>
    <row r="36" spans="1:5" ht="15.5" x14ac:dyDescent="0.4">
      <c r="A36" s="6" t="s">
        <v>9</v>
      </c>
      <c r="B36" s="15"/>
      <c r="C36" s="15"/>
      <c r="D36" s="15"/>
      <c r="E36" s="15"/>
    </row>
    <row r="37" spans="1:5" ht="15.5" x14ac:dyDescent="0.4">
      <c r="A37" s="8" t="s">
        <v>60</v>
      </c>
      <c r="B37" s="16">
        <f>B21/B32</f>
        <v>6093227702.3805027</v>
      </c>
      <c r="C37" s="16">
        <f t="shared" ref="C37:E37" si="3">C21/C32</f>
        <v>4757802306.914793</v>
      </c>
      <c r="D37" s="16">
        <f t="shared" si="3"/>
        <v>1325841335.3674664</v>
      </c>
      <c r="E37" s="16">
        <f t="shared" si="3"/>
        <v>9584060.0982429627</v>
      </c>
    </row>
    <row r="38" spans="1:5" ht="15.5" x14ac:dyDescent="0.4">
      <c r="A38" s="8" t="s">
        <v>97</v>
      </c>
      <c r="B38" s="16">
        <f>B23/B33</f>
        <v>5471532982.5268812</v>
      </c>
      <c r="C38" s="16">
        <f t="shared" ref="C38:E38" si="4">C23/C33</f>
        <v>4607653897.8216534</v>
      </c>
      <c r="D38" s="16">
        <f t="shared" si="4"/>
        <v>862131131.28476095</v>
      </c>
      <c r="E38" s="16">
        <f t="shared" si="4"/>
        <v>1747953.420467186</v>
      </c>
    </row>
    <row r="39" spans="1:5" ht="15.5" x14ac:dyDescent="0.4">
      <c r="A39" s="8" t="s">
        <v>61</v>
      </c>
      <c r="B39" s="9">
        <f>B37/B15</f>
        <v>132634.47327776454</v>
      </c>
      <c r="C39" s="9">
        <f t="shared" ref="C39:D39" si="5">C37/C15</f>
        <v>116615.65986702598</v>
      </c>
      <c r="D39" s="9">
        <f t="shared" si="5"/>
        <v>257895.61084759122</v>
      </c>
      <c r="E39" s="13" t="s">
        <v>36</v>
      </c>
    </row>
    <row r="40" spans="1:5" ht="15.5" x14ac:dyDescent="0.4">
      <c r="A40" s="8" t="s">
        <v>98</v>
      </c>
      <c r="B40" s="9">
        <f>B38/B17</f>
        <v>120222.64582400589</v>
      </c>
      <c r="C40" s="9">
        <f t="shared" ref="C40:D40" si="6">C38/C17</f>
        <v>104181.92275808111</v>
      </c>
      <c r="D40" s="9">
        <f t="shared" si="6"/>
        <v>671093.25216769148</v>
      </c>
      <c r="E40" s="13" t="s">
        <v>36</v>
      </c>
    </row>
    <row r="41" spans="1:5" ht="15.5" x14ac:dyDescent="0.4">
      <c r="A41" s="7"/>
      <c r="B41" s="15"/>
      <c r="C41" s="15"/>
      <c r="D41" s="15"/>
      <c r="E41" s="15"/>
    </row>
    <row r="42" spans="1:5" ht="15.5" x14ac:dyDescent="0.4">
      <c r="A42" s="6" t="s">
        <v>10</v>
      </c>
      <c r="B42" s="15"/>
      <c r="C42" s="15"/>
      <c r="D42" s="15"/>
      <c r="E42" s="15"/>
    </row>
    <row r="43" spans="1:5" ht="15.5" x14ac:dyDescent="0.4">
      <c r="A43" s="7"/>
      <c r="B43" s="15"/>
      <c r="C43" s="15"/>
      <c r="D43" s="15"/>
      <c r="E43" s="15"/>
    </row>
    <row r="44" spans="1:5" ht="15.5" x14ac:dyDescent="0.4">
      <c r="A44" s="6" t="s">
        <v>11</v>
      </c>
      <c r="B44" s="15"/>
      <c r="C44" s="15"/>
      <c r="D44" s="15"/>
      <c r="E44" s="15"/>
    </row>
    <row r="45" spans="1:5" ht="15.5" x14ac:dyDescent="0.4">
      <c r="A45" s="7" t="s">
        <v>12</v>
      </c>
      <c r="B45" s="22" t="s">
        <v>35</v>
      </c>
      <c r="C45" s="22" t="s">
        <v>35</v>
      </c>
      <c r="D45" s="22" t="s">
        <v>35</v>
      </c>
      <c r="E45" s="22" t="s">
        <v>35</v>
      </c>
    </row>
    <row r="46" spans="1:5" ht="15.5" x14ac:dyDescent="0.4">
      <c r="A46" s="7" t="s">
        <v>13</v>
      </c>
      <c r="B46" s="22" t="s">
        <v>35</v>
      </c>
      <c r="C46" s="22" t="s">
        <v>35</v>
      </c>
      <c r="D46" s="22" t="s">
        <v>35</v>
      </c>
      <c r="E46" s="22" t="s">
        <v>35</v>
      </c>
    </row>
    <row r="47" spans="1:5" ht="15.5" x14ac:dyDescent="0.4">
      <c r="A47" s="7"/>
      <c r="B47" s="15"/>
      <c r="C47" s="15"/>
      <c r="D47" s="15"/>
      <c r="E47" s="15"/>
    </row>
    <row r="48" spans="1:5" ht="15.5" x14ac:dyDescent="0.4">
      <c r="A48" s="6" t="s">
        <v>14</v>
      </c>
      <c r="B48" s="15"/>
      <c r="C48" s="15"/>
      <c r="D48" s="15"/>
      <c r="E48" s="15"/>
    </row>
    <row r="49" spans="1:5" ht="15.5" x14ac:dyDescent="0.4">
      <c r="A49" s="7" t="s">
        <v>15</v>
      </c>
      <c r="B49" s="11">
        <f>B17/B16*100</f>
        <v>107.04597484868441</v>
      </c>
      <c r="C49" s="11">
        <f t="shared" ref="C49:E49" si="7">C17/C16*100</f>
        <v>115.66243004341233</v>
      </c>
      <c r="D49" s="11">
        <f t="shared" si="7"/>
        <v>100.52164840897233</v>
      </c>
      <c r="E49" s="11">
        <f t="shared" si="7"/>
        <v>0</v>
      </c>
    </row>
    <row r="50" spans="1:5" ht="15.5" x14ac:dyDescent="0.4">
      <c r="A50" s="7" t="s">
        <v>16</v>
      </c>
      <c r="B50" s="11">
        <f>B23/B22*100</f>
        <v>98.119172704758896</v>
      </c>
      <c r="C50" s="11">
        <f t="shared" ref="C50:E50" si="8">C23/C22*100</f>
        <v>100.92613478703312</v>
      </c>
      <c r="D50" s="11">
        <f t="shared" si="8"/>
        <v>92.640677158676681</v>
      </c>
      <c r="E50" s="11">
        <f t="shared" si="8"/>
        <v>2.1733957058367253</v>
      </c>
    </row>
    <row r="51" spans="1:5" ht="15.5" x14ac:dyDescent="0.4">
      <c r="A51" s="7" t="s">
        <v>17</v>
      </c>
      <c r="B51" s="11">
        <f>AVERAGE(B49:B50)</f>
        <v>102.58257377672166</v>
      </c>
      <c r="C51" s="11">
        <f t="shared" ref="C51:E51" si="9">AVERAGE(C49:C50)</f>
        <v>108.29428241522272</v>
      </c>
      <c r="D51" s="11">
        <f t="shared" si="9"/>
        <v>96.58116278382451</v>
      </c>
      <c r="E51" s="11">
        <f t="shared" si="9"/>
        <v>1.0866978529183626</v>
      </c>
    </row>
    <row r="52" spans="1:5" ht="15.5" x14ac:dyDescent="0.4">
      <c r="A52" s="7"/>
      <c r="B52" s="11"/>
      <c r="C52" s="11"/>
      <c r="D52" s="11"/>
      <c r="E52" s="11"/>
    </row>
    <row r="53" spans="1:5" ht="15.5" x14ac:dyDescent="0.4">
      <c r="A53" s="6" t="s">
        <v>18</v>
      </c>
      <c r="B53" s="11"/>
      <c r="C53" s="11"/>
      <c r="D53" s="11"/>
      <c r="E53" s="11"/>
    </row>
    <row r="54" spans="1:5" ht="15.5" x14ac:dyDescent="0.4">
      <c r="A54" s="7" t="s">
        <v>19</v>
      </c>
      <c r="B54" s="11">
        <f>B17/(B18)*100</f>
        <v>56.358405362789043</v>
      </c>
      <c r="C54" s="11">
        <f t="shared" ref="C54:E54" si="10">C17/(C18)*100</f>
        <v>57.831215021706164</v>
      </c>
      <c r="D54" s="11">
        <f t="shared" si="10"/>
        <v>100.52164840897233</v>
      </c>
      <c r="E54" s="11">
        <f t="shared" si="10"/>
        <v>0</v>
      </c>
    </row>
    <row r="55" spans="1:5" ht="15.5" x14ac:dyDescent="0.4">
      <c r="A55" s="7" t="s">
        <v>20</v>
      </c>
      <c r="B55" s="11">
        <f>B23/B24*100</f>
        <v>48.400050102137357</v>
      </c>
      <c r="C55" s="11">
        <f t="shared" ref="C55:E55" si="11">C23/C24*100</f>
        <v>46.581292978630664</v>
      </c>
      <c r="D55" s="11">
        <f t="shared" si="11"/>
        <v>92.640677158676681</v>
      </c>
      <c r="E55" s="11">
        <f t="shared" si="11"/>
        <v>0.36223261763945419</v>
      </c>
    </row>
    <row r="56" spans="1:5" ht="15.5" x14ac:dyDescent="0.4">
      <c r="A56" s="7" t="s">
        <v>21</v>
      </c>
      <c r="B56" s="11">
        <f>(B54+B55)/2</f>
        <v>52.3792277324632</v>
      </c>
      <c r="C56" s="11">
        <f t="shared" ref="C56:E56" si="12">(C54+C55)/2</f>
        <v>52.206254000168414</v>
      </c>
      <c r="D56" s="11">
        <f t="shared" si="12"/>
        <v>96.58116278382451</v>
      </c>
      <c r="E56" s="11">
        <f t="shared" si="12"/>
        <v>0.1811163088197271</v>
      </c>
    </row>
    <row r="57" spans="1:5" ht="15.5" x14ac:dyDescent="0.4">
      <c r="A57" s="7"/>
      <c r="B57" s="11"/>
      <c r="C57" s="11"/>
      <c r="D57" s="11"/>
      <c r="E57" s="11"/>
    </row>
    <row r="58" spans="1:5" ht="15.5" x14ac:dyDescent="0.4">
      <c r="A58" s="6" t="s">
        <v>32</v>
      </c>
      <c r="B58" s="11"/>
      <c r="C58" s="11"/>
      <c r="D58" s="11"/>
      <c r="E58" s="11"/>
    </row>
    <row r="59" spans="1:5" ht="15.5" x14ac:dyDescent="0.4">
      <c r="A59" s="7" t="s">
        <v>22</v>
      </c>
      <c r="B59" s="11">
        <f t="shared" ref="B59" si="13">B25/B23*100</f>
        <v>100</v>
      </c>
      <c r="C59" s="11"/>
      <c r="D59" s="11"/>
      <c r="E59" s="11"/>
    </row>
    <row r="60" spans="1:5" ht="15.5" x14ac:dyDescent="0.4">
      <c r="A60" s="7"/>
      <c r="B60" s="11"/>
      <c r="C60" s="11"/>
      <c r="D60" s="11"/>
      <c r="E60" s="11"/>
    </row>
    <row r="61" spans="1:5" ht="15.5" x14ac:dyDescent="0.4">
      <c r="A61" s="6" t="s">
        <v>23</v>
      </c>
      <c r="B61" s="11"/>
      <c r="C61" s="11"/>
      <c r="D61" s="11"/>
      <c r="E61" s="11"/>
    </row>
    <row r="62" spans="1:5" ht="15.5" x14ac:dyDescent="0.4">
      <c r="A62" s="7" t="s">
        <v>24</v>
      </c>
      <c r="B62" s="11">
        <f>((B17/B15)-1)*100</f>
        <v>-0.93237556232768082</v>
      </c>
      <c r="C62" s="11">
        <f t="shared" ref="C62:D62" si="14">((C17/C15)-1)*100</f>
        <v>8.4021667197725414</v>
      </c>
      <c r="D62" s="11">
        <f t="shared" si="14"/>
        <v>-75.011346690008423</v>
      </c>
      <c r="E62" s="13" t="s">
        <v>36</v>
      </c>
    </row>
    <row r="63" spans="1:5" ht="15.5" x14ac:dyDescent="0.4">
      <c r="A63" s="7" t="s">
        <v>25</v>
      </c>
      <c r="B63" s="11">
        <f>((B38/B37)-1)*100</f>
        <v>-10.203044268487416</v>
      </c>
      <c r="C63" s="11">
        <f t="shared" ref="C63:E63" si="15">((C38/C37)-1)*100</f>
        <v>-3.1558353922129134</v>
      </c>
      <c r="D63" s="11">
        <f t="shared" si="15"/>
        <v>-34.974788589932203</v>
      </c>
      <c r="E63" s="11">
        <f t="shared" si="15"/>
        <v>-81.761869160360988</v>
      </c>
    </row>
    <row r="64" spans="1:5" ht="15.5" x14ac:dyDescent="0.4">
      <c r="A64" s="7" t="s">
        <v>26</v>
      </c>
      <c r="B64" s="11">
        <f>((B40/B39)-1)*100</f>
        <v>-9.3579196622326606</v>
      </c>
      <c r="C64" s="11">
        <f t="shared" ref="C64:D64" si="16">((C40/C39)-1)*100</f>
        <v>-10.662150454855512</v>
      </c>
      <c r="D64" s="11">
        <f t="shared" si="16"/>
        <v>160.21895059093811</v>
      </c>
      <c r="E64" s="13" t="s">
        <v>36</v>
      </c>
    </row>
    <row r="65" spans="1:5" ht="15.5" x14ac:dyDescent="0.4">
      <c r="A65" s="7"/>
      <c r="B65" s="11"/>
      <c r="C65" s="11"/>
      <c r="D65" s="11"/>
      <c r="E65" s="11"/>
    </row>
    <row r="66" spans="1:5" ht="15.5" x14ac:dyDescent="0.4">
      <c r="A66" s="6" t="s">
        <v>27</v>
      </c>
      <c r="B66" s="11"/>
      <c r="C66" s="11"/>
      <c r="D66" s="11"/>
      <c r="E66" s="11"/>
    </row>
    <row r="67" spans="1:5" ht="15.5" x14ac:dyDescent="0.4">
      <c r="A67" s="7" t="s">
        <v>40</v>
      </c>
      <c r="B67" s="11">
        <f>B22/(B16*6)</f>
        <v>23582.640619073809</v>
      </c>
      <c r="C67" s="11">
        <f>C22/C16</f>
        <v>128801.81339774368</v>
      </c>
      <c r="D67" s="11">
        <f t="shared" ref="D67" si="17">D22/(D16*6)</f>
        <v>130927.36886154539</v>
      </c>
      <c r="E67" s="11">
        <f>E22/E16</f>
        <v>28920.828743333335</v>
      </c>
    </row>
    <row r="68" spans="1:5" ht="15.5" x14ac:dyDescent="0.4">
      <c r="A68" s="7" t="s">
        <v>41</v>
      </c>
      <c r="B68" s="11">
        <f>B23/(B17*6)</f>
        <v>21616.031719156257</v>
      </c>
      <c r="C68" s="11">
        <f>C23/C17</f>
        <v>112391.4582714179</v>
      </c>
      <c r="D68" s="11">
        <f>D23/(D17*6)</f>
        <v>120662.56673975092</v>
      </c>
      <c r="E68" s="13" t="s">
        <v>36</v>
      </c>
    </row>
    <row r="69" spans="1:5" ht="15.5" x14ac:dyDescent="0.4">
      <c r="A69" s="7" t="s">
        <v>28</v>
      </c>
      <c r="B69" s="11">
        <f>(B68/B67)*B51</f>
        <v>94.0279845844248</v>
      </c>
      <c r="C69" s="11">
        <f t="shared" ref="C69:D69" si="18">(C68/C67)*C51</f>
        <v>94.496746606495108</v>
      </c>
      <c r="D69" s="11">
        <f t="shared" si="18"/>
        <v>89.009128507956945</v>
      </c>
      <c r="E69" s="13" t="s">
        <v>36</v>
      </c>
    </row>
    <row r="70" spans="1:5" ht="15.5" x14ac:dyDescent="0.4">
      <c r="A70" s="7" t="s">
        <v>44</v>
      </c>
      <c r="B70" s="11">
        <f t="shared" ref="B70:E71" si="19">B22/B16</f>
        <v>141495.84371444286</v>
      </c>
      <c r="C70" s="11">
        <f>(C22/C16)*6</f>
        <v>772810.88038646209</v>
      </c>
      <c r="D70" s="11">
        <f>D22/D16</f>
        <v>785564.21316927229</v>
      </c>
      <c r="E70" s="11">
        <f t="shared" si="19"/>
        <v>28920.828743333335</v>
      </c>
    </row>
    <row r="71" spans="1:5" ht="15.5" x14ac:dyDescent="0.4">
      <c r="A71" s="7" t="s">
        <v>45</v>
      </c>
      <c r="B71" s="11">
        <f t="shared" si="19"/>
        <v>129696.19031493756</v>
      </c>
      <c r="C71" s="11">
        <f>(C23/C17*6)</f>
        <v>674348.74962850742</v>
      </c>
      <c r="D71" s="11">
        <f>D23/D17</f>
        <v>723975.40043850557</v>
      </c>
      <c r="E71" s="13" t="s">
        <v>36</v>
      </c>
    </row>
    <row r="72" spans="1:5" ht="15.5" x14ac:dyDescent="0.4">
      <c r="A72" s="7"/>
      <c r="B72" s="11"/>
      <c r="C72" s="11"/>
      <c r="D72" s="11"/>
      <c r="E72" s="11"/>
    </row>
    <row r="73" spans="1:5" ht="15.5" x14ac:dyDescent="0.4">
      <c r="A73" s="6" t="s">
        <v>29</v>
      </c>
      <c r="B73" s="11"/>
      <c r="C73" s="11"/>
      <c r="D73" s="11"/>
      <c r="E73" s="11"/>
    </row>
    <row r="74" spans="1:5" ht="15.5" x14ac:dyDescent="0.4">
      <c r="A74" s="7" t="s">
        <v>30</v>
      </c>
      <c r="B74" s="11">
        <f>(B29/B28)*100</f>
        <v>101.36267679237999</v>
      </c>
      <c r="C74" s="11"/>
      <c r="D74" s="11"/>
      <c r="E74" s="11"/>
    </row>
    <row r="75" spans="1:5" ht="15.5" x14ac:dyDescent="0.4">
      <c r="A75" s="7" t="s">
        <v>31</v>
      </c>
      <c r="B75" s="11">
        <f>(B23/B29)*100</f>
        <v>96.800100204274671</v>
      </c>
      <c r="C75" s="11"/>
      <c r="D75" s="11"/>
      <c r="E75" s="11"/>
    </row>
    <row r="76" spans="1:5" ht="16" thickBot="1" x14ac:dyDescent="0.45">
      <c r="A76" s="17"/>
      <c r="B76" s="17"/>
      <c r="C76" s="17"/>
      <c r="D76" s="17"/>
      <c r="E76" s="17"/>
    </row>
    <row r="77" spans="1:5" s="4" customFormat="1" ht="16.5" customHeight="1" thickTop="1" x14ac:dyDescent="0.35">
      <c r="A77" s="34" t="s">
        <v>84</v>
      </c>
      <c r="B77" s="34"/>
      <c r="C77" s="34"/>
      <c r="D77" s="34"/>
      <c r="E77" s="34"/>
    </row>
    <row r="78" spans="1:5" ht="74.25" customHeight="1" x14ac:dyDescent="0.4">
      <c r="A78" s="28" t="s">
        <v>99</v>
      </c>
      <c r="B78" s="28"/>
      <c r="C78" s="28"/>
      <c r="D78" s="28"/>
      <c r="E78" s="28"/>
    </row>
  </sheetData>
  <mergeCells count="5">
    <mergeCell ref="A78:E78"/>
    <mergeCell ref="A9:A10"/>
    <mergeCell ref="B9:B10"/>
    <mergeCell ref="C9:E9"/>
    <mergeCell ref="A77:E77"/>
  </mergeCells>
  <pageMargins left="0.7" right="0.7" top="0.75" bottom="0.75" header="0.3" footer="0.3"/>
  <pageSetup orientation="portrait" horizontalDpi="300" verticalDpi="300" r:id="rId1"/>
  <ignoredErrors>
    <ignoredError sqref="C67:C71 D6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78"/>
  <sheetViews>
    <sheetView showGridLines="0" zoomScale="80" zoomScaleNormal="80" workbookViewId="0">
      <pane ySplit="10" topLeftCell="A11" activePane="bottomLeft" state="frozen"/>
      <selection pane="bottomLeft" activeCell="A9" sqref="A9:A10"/>
    </sheetView>
  </sheetViews>
  <sheetFormatPr baseColWidth="10" defaultColWidth="11.453125" defaultRowHeight="14.5" x14ac:dyDescent="0.35"/>
  <cols>
    <col min="1" max="1" width="64.26953125" style="1" customWidth="1"/>
    <col min="2" max="5" width="24.7265625" style="1" customWidth="1"/>
    <col min="6" max="16384" width="11.453125" style="1"/>
  </cols>
  <sheetData>
    <row r="9" spans="1:5" s="4" customFormat="1" ht="15.5" x14ac:dyDescent="0.35">
      <c r="A9" s="29" t="s">
        <v>0</v>
      </c>
      <c r="B9" s="31" t="s">
        <v>1</v>
      </c>
      <c r="C9" s="33" t="s">
        <v>2</v>
      </c>
      <c r="D9" s="33"/>
      <c r="E9" s="33"/>
    </row>
    <row r="10" spans="1:5" s="3" customFormat="1" ht="47" thickBot="1" x14ac:dyDescent="0.4">
      <c r="A10" s="30"/>
      <c r="B10" s="32"/>
      <c r="C10" s="5" t="s">
        <v>39</v>
      </c>
      <c r="D10" s="5" t="s">
        <v>48</v>
      </c>
      <c r="E10" s="5" t="s">
        <v>49</v>
      </c>
    </row>
    <row r="11" spans="1:5" ht="16" thickTop="1" x14ac:dyDescent="0.4">
      <c r="A11" s="7"/>
      <c r="B11" s="7"/>
      <c r="C11" s="7"/>
      <c r="D11" s="7"/>
      <c r="E11" s="7"/>
    </row>
    <row r="12" spans="1:5" ht="15.5" x14ac:dyDescent="0.4">
      <c r="A12" s="6" t="s">
        <v>3</v>
      </c>
      <c r="B12" s="7"/>
      <c r="C12" s="7"/>
      <c r="D12" s="7"/>
      <c r="E12" s="7"/>
    </row>
    <row r="13" spans="1:5" ht="15.5" x14ac:dyDescent="0.4">
      <c r="A13" s="7"/>
      <c r="B13" s="7"/>
      <c r="C13" s="7"/>
      <c r="D13" s="7"/>
      <c r="E13" s="7"/>
    </row>
    <row r="14" spans="1:5" ht="15.5" x14ac:dyDescent="0.4">
      <c r="A14" s="6" t="s">
        <v>4</v>
      </c>
      <c r="B14" s="7"/>
      <c r="C14" s="7"/>
      <c r="D14" s="7"/>
      <c r="E14" s="7"/>
    </row>
    <row r="15" spans="1:5" ht="15.5" x14ac:dyDescent="0.4">
      <c r="A15" s="8" t="s">
        <v>62</v>
      </c>
      <c r="B15" s="25">
        <f>+SUM(C15:E15)</f>
        <v>23807.333333333332</v>
      </c>
      <c r="C15" s="9">
        <v>22523</v>
      </c>
      <c r="D15" s="9">
        <v>1284.3333333333333</v>
      </c>
      <c r="E15" s="9">
        <v>0</v>
      </c>
    </row>
    <row r="16" spans="1:5" ht="15.5" x14ac:dyDescent="0.4">
      <c r="A16" s="8" t="s">
        <v>100</v>
      </c>
      <c r="B16" s="9">
        <f t="shared" ref="B16:B18" si="0">+SUM(C16:E16)</f>
        <v>22119</v>
      </c>
      <c r="C16" s="9">
        <v>19119</v>
      </c>
      <c r="D16" s="9">
        <v>0</v>
      </c>
      <c r="E16" s="9">
        <v>3000</v>
      </c>
    </row>
    <row r="17" spans="1:5" ht="15.5" x14ac:dyDescent="0.4">
      <c r="A17" s="8" t="s">
        <v>101</v>
      </c>
      <c r="B17" s="9">
        <f t="shared" si="0"/>
        <v>23549.333333333332</v>
      </c>
      <c r="C17" s="9">
        <v>23109</v>
      </c>
      <c r="D17" s="9">
        <v>0</v>
      </c>
      <c r="E17" s="9">
        <v>440.33333333333331</v>
      </c>
    </row>
    <row r="18" spans="1:5" ht="15.5" x14ac:dyDescent="0.4">
      <c r="A18" s="8" t="s">
        <v>79</v>
      </c>
      <c r="B18" s="9">
        <f t="shared" si="0"/>
        <v>80754</v>
      </c>
      <c r="C18" s="9">
        <v>76476</v>
      </c>
      <c r="D18" s="9">
        <v>1278</v>
      </c>
      <c r="E18" s="9">
        <v>3000</v>
      </c>
    </row>
    <row r="19" spans="1:5" ht="15.5" x14ac:dyDescent="0.4">
      <c r="A19" s="7"/>
      <c r="B19" s="9"/>
      <c r="C19" s="9"/>
      <c r="D19" s="9"/>
      <c r="E19" s="9"/>
    </row>
    <row r="20" spans="1:5" ht="15.5" x14ac:dyDescent="0.4">
      <c r="A20" s="10" t="s">
        <v>5</v>
      </c>
      <c r="B20" s="9"/>
      <c r="C20" s="9"/>
      <c r="D20" s="9"/>
      <c r="E20" s="9"/>
    </row>
    <row r="21" spans="1:5" ht="15.5" x14ac:dyDescent="0.4">
      <c r="A21" s="8" t="s">
        <v>62</v>
      </c>
      <c r="B21" s="25">
        <f>SUM(C21:E21)</f>
        <v>2876528949.7600002</v>
      </c>
      <c r="C21" s="9">
        <v>2153269582.3100004</v>
      </c>
      <c r="D21" s="9">
        <v>722453090.94999993</v>
      </c>
      <c r="E21" s="9">
        <v>806276.5</v>
      </c>
    </row>
    <row r="22" spans="1:5" ht="15.5" x14ac:dyDescent="0.4">
      <c r="A22" s="8" t="s">
        <v>100</v>
      </c>
      <c r="B22" s="9">
        <f t="shared" ref="B22:B25" si="1">SUM(C22:E22)</f>
        <v>2722849329.0414615</v>
      </c>
      <c r="C22" s="9">
        <v>2462561870.3514614</v>
      </c>
      <c r="D22" s="9">
        <v>0</v>
      </c>
      <c r="E22" s="9">
        <v>260287458.69000003</v>
      </c>
    </row>
    <row r="23" spans="1:5" ht="15.5" x14ac:dyDescent="0.4">
      <c r="A23" s="8" t="s">
        <v>101</v>
      </c>
      <c r="B23" s="9">
        <f t="shared" si="1"/>
        <v>2193431769.77</v>
      </c>
      <c r="C23" s="9">
        <v>2142278208.0599999</v>
      </c>
      <c r="D23" s="9">
        <v>0</v>
      </c>
      <c r="E23" s="9">
        <v>51153561.709999993</v>
      </c>
    </row>
    <row r="24" spans="1:5" ht="15.5" x14ac:dyDescent="0.4">
      <c r="A24" s="8" t="s">
        <v>79</v>
      </c>
      <c r="B24" s="9">
        <f t="shared" si="1"/>
        <v>12195627419.999996</v>
      </c>
      <c r="C24" s="9">
        <v>10671101438.189667</v>
      </c>
      <c r="D24" s="9">
        <v>1003951064.43033</v>
      </c>
      <c r="E24" s="9">
        <v>520574917.38</v>
      </c>
    </row>
    <row r="25" spans="1:5" ht="15.5" x14ac:dyDescent="0.4">
      <c r="A25" s="8" t="s">
        <v>102</v>
      </c>
      <c r="B25" s="9">
        <f t="shared" si="1"/>
        <v>2193431769.77</v>
      </c>
      <c r="C25" s="9">
        <f>+C23</f>
        <v>2142278208.0599999</v>
      </c>
      <c r="D25" s="9">
        <f t="shared" ref="D25:E25" si="2">+D23</f>
        <v>0</v>
      </c>
      <c r="E25" s="9">
        <f t="shared" si="2"/>
        <v>51153561.709999993</v>
      </c>
    </row>
    <row r="26" spans="1:5" ht="15.5" x14ac:dyDescent="0.4">
      <c r="A26" s="7"/>
      <c r="B26" s="9"/>
      <c r="C26" s="9"/>
      <c r="D26" s="9"/>
      <c r="E26" s="9"/>
    </row>
    <row r="27" spans="1:5" ht="15.5" x14ac:dyDescent="0.4">
      <c r="A27" s="10" t="s">
        <v>6</v>
      </c>
      <c r="B27" s="9"/>
      <c r="C27" s="9"/>
      <c r="D27" s="9"/>
      <c r="E27" s="9"/>
    </row>
    <row r="28" spans="1:5" ht="15.5" x14ac:dyDescent="0.4">
      <c r="A28" s="8" t="s">
        <v>100</v>
      </c>
      <c r="B28" s="9">
        <f>B22</f>
        <v>2722849329.0414615</v>
      </c>
      <c r="C28" s="9"/>
      <c r="D28" s="9"/>
      <c r="E28" s="9"/>
    </row>
    <row r="29" spans="1:5" ht="15.5" x14ac:dyDescent="0.4">
      <c r="A29" s="8" t="s">
        <v>101</v>
      </c>
      <c r="B29" s="9">
        <v>3048906855</v>
      </c>
      <c r="C29" s="9"/>
      <c r="D29" s="9"/>
      <c r="E29" s="9"/>
    </row>
    <row r="30" spans="1:5" ht="15.5" x14ac:dyDescent="0.4">
      <c r="A30" s="7"/>
      <c r="B30" s="15"/>
      <c r="C30" s="15"/>
      <c r="D30" s="15"/>
      <c r="E30" s="15"/>
    </row>
    <row r="31" spans="1:5" ht="15.5" x14ac:dyDescent="0.4">
      <c r="A31" s="6" t="s">
        <v>7</v>
      </c>
      <c r="B31" s="15"/>
      <c r="C31" s="15"/>
      <c r="D31" s="15"/>
      <c r="E31" s="15"/>
    </row>
    <row r="32" spans="1:5" ht="15.5" x14ac:dyDescent="0.4">
      <c r="A32" s="8" t="s">
        <v>63</v>
      </c>
      <c r="B32" s="12">
        <v>1.0641</v>
      </c>
      <c r="C32" s="12">
        <v>1.0641</v>
      </c>
      <c r="D32" s="12">
        <v>1.0641</v>
      </c>
      <c r="E32" s="12">
        <v>1.0641</v>
      </c>
    </row>
    <row r="33" spans="1:5" ht="15.5" x14ac:dyDescent="0.4">
      <c r="A33" s="8" t="s">
        <v>103</v>
      </c>
      <c r="B33" s="12">
        <v>1.0863</v>
      </c>
      <c r="C33" s="12">
        <v>1.0863</v>
      </c>
      <c r="D33" s="12">
        <v>1.0863</v>
      </c>
      <c r="E33" s="12">
        <v>1.0863</v>
      </c>
    </row>
    <row r="34" spans="1:5" ht="15.5" x14ac:dyDescent="0.4">
      <c r="A34" s="8" t="s">
        <v>8</v>
      </c>
      <c r="B34" s="21" t="s">
        <v>36</v>
      </c>
      <c r="C34" s="21" t="s">
        <v>36</v>
      </c>
      <c r="D34" s="21" t="s">
        <v>36</v>
      </c>
      <c r="E34" s="21" t="s">
        <v>36</v>
      </c>
    </row>
    <row r="35" spans="1:5" ht="15.5" x14ac:dyDescent="0.4">
      <c r="A35" s="7"/>
      <c r="B35" s="15"/>
      <c r="C35" s="15"/>
      <c r="D35" s="15"/>
      <c r="E35" s="15"/>
    </row>
    <row r="36" spans="1:5" ht="15.5" x14ac:dyDescent="0.4">
      <c r="A36" s="6" t="s">
        <v>9</v>
      </c>
      <c r="B36" s="15"/>
      <c r="C36" s="15"/>
      <c r="D36" s="15"/>
      <c r="E36" s="15"/>
    </row>
    <row r="37" spans="1:5" ht="15.5" x14ac:dyDescent="0.4">
      <c r="A37" s="8" t="s">
        <v>64</v>
      </c>
      <c r="B37" s="16">
        <f>B21/B32</f>
        <v>2703250587.1252704</v>
      </c>
      <c r="C37" s="16">
        <f t="shared" ref="C37:E37" si="3">C21/C32</f>
        <v>2023559423.2778878</v>
      </c>
      <c r="D37" s="16">
        <f t="shared" si="3"/>
        <v>678933456.39507556</v>
      </c>
      <c r="E37" s="16">
        <f t="shared" si="3"/>
        <v>757707.45230711391</v>
      </c>
    </row>
    <row r="38" spans="1:5" ht="15.5" x14ac:dyDescent="0.4">
      <c r="A38" s="8" t="s">
        <v>104</v>
      </c>
      <c r="B38" s="16">
        <f>B23/B33</f>
        <v>2019176810.9822333</v>
      </c>
      <c r="C38" s="16">
        <f t="shared" ref="C38:E38" si="4">C23/C33</f>
        <v>1972087092.0187793</v>
      </c>
      <c r="D38" s="16">
        <f t="shared" si="4"/>
        <v>0</v>
      </c>
      <c r="E38" s="16">
        <f t="shared" si="4"/>
        <v>47089718.963453919</v>
      </c>
    </row>
    <row r="39" spans="1:5" ht="15.5" x14ac:dyDescent="0.4">
      <c r="A39" s="8" t="s">
        <v>65</v>
      </c>
      <c r="B39" s="9">
        <f t="shared" ref="B39" si="5">B37/B15</f>
        <v>113546.97098059158</v>
      </c>
      <c r="C39" s="9">
        <f t="shared" ref="C39:D39" si="6">C37/C15</f>
        <v>89844.133697903817</v>
      </c>
      <c r="D39" s="9">
        <f t="shared" si="6"/>
        <v>528627.13967952935</v>
      </c>
      <c r="E39" s="21" t="s">
        <v>36</v>
      </c>
    </row>
    <row r="40" spans="1:5" ht="15.5" x14ac:dyDescent="0.4">
      <c r="A40" s="8" t="s">
        <v>105</v>
      </c>
      <c r="B40" s="9">
        <f>B38/B17</f>
        <v>85742.419218473282</v>
      </c>
      <c r="C40" s="9">
        <f t="shared" ref="C40:E40" si="7">C38/C17</f>
        <v>85338.486824128224</v>
      </c>
      <c r="D40" s="21" t="s">
        <v>36</v>
      </c>
      <c r="E40" s="9">
        <f t="shared" si="7"/>
        <v>106941.07258922163</v>
      </c>
    </row>
    <row r="41" spans="1:5" ht="15.5" x14ac:dyDescent="0.4">
      <c r="A41" s="7"/>
      <c r="B41" s="15"/>
      <c r="C41" s="15"/>
      <c r="D41" s="15"/>
      <c r="E41" s="15"/>
    </row>
    <row r="42" spans="1:5" ht="15.5" x14ac:dyDescent="0.4">
      <c r="A42" s="6" t="s">
        <v>10</v>
      </c>
      <c r="B42" s="15"/>
      <c r="C42" s="15"/>
      <c r="D42" s="15"/>
      <c r="E42" s="15"/>
    </row>
    <row r="43" spans="1:5" ht="15.5" x14ac:dyDescent="0.4">
      <c r="A43" s="7"/>
      <c r="B43" s="15"/>
      <c r="C43" s="15"/>
      <c r="D43" s="15"/>
      <c r="E43" s="15"/>
    </row>
    <row r="44" spans="1:5" ht="15.5" x14ac:dyDescent="0.4">
      <c r="A44" s="6" t="s">
        <v>11</v>
      </c>
      <c r="B44" s="15"/>
      <c r="C44" s="15"/>
      <c r="D44" s="15"/>
      <c r="E44" s="15"/>
    </row>
    <row r="45" spans="1:5" ht="15.5" x14ac:dyDescent="0.4">
      <c r="A45" s="7" t="s">
        <v>12</v>
      </c>
      <c r="B45" s="22" t="s">
        <v>35</v>
      </c>
      <c r="C45" s="22" t="s">
        <v>35</v>
      </c>
      <c r="D45" s="22" t="s">
        <v>35</v>
      </c>
      <c r="E45" s="22" t="s">
        <v>35</v>
      </c>
    </row>
    <row r="46" spans="1:5" ht="15.5" x14ac:dyDescent="0.4">
      <c r="A46" s="7" t="s">
        <v>13</v>
      </c>
      <c r="B46" s="22" t="s">
        <v>35</v>
      </c>
      <c r="C46" s="22" t="s">
        <v>35</v>
      </c>
      <c r="D46" s="22" t="s">
        <v>35</v>
      </c>
      <c r="E46" s="22" t="s">
        <v>35</v>
      </c>
    </row>
    <row r="47" spans="1:5" ht="15.5" x14ac:dyDescent="0.4">
      <c r="A47" s="7"/>
      <c r="B47" s="15"/>
      <c r="C47" s="15"/>
      <c r="D47" s="15"/>
      <c r="E47" s="15"/>
    </row>
    <row r="48" spans="1:5" ht="15.5" x14ac:dyDescent="0.4">
      <c r="A48" s="6" t="s">
        <v>14</v>
      </c>
      <c r="B48" s="15"/>
      <c r="C48" s="15"/>
      <c r="D48" s="15"/>
      <c r="E48" s="15"/>
    </row>
    <row r="49" spans="1:5" ht="15.5" x14ac:dyDescent="0.4">
      <c r="A49" s="7" t="s">
        <v>15</v>
      </c>
      <c r="B49" s="11">
        <f>B17/B16*100</f>
        <v>106.46653706466536</v>
      </c>
      <c r="C49" s="11">
        <f t="shared" ref="C49:E49" si="8">C17/C16*100</f>
        <v>120.86929232700454</v>
      </c>
      <c r="D49" s="21" t="s">
        <v>36</v>
      </c>
      <c r="E49" s="11">
        <f t="shared" si="8"/>
        <v>14.677777777777779</v>
      </c>
    </row>
    <row r="50" spans="1:5" ht="15.5" x14ac:dyDescent="0.4">
      <c r="A50" s="7" t="s">
        <v>16</v>
      </c>
      <c r="B50" s="11">
        <f>B23/B22*100</f>
        <v>80.556487146579087</v>
      </c>
      <c r="C50" s="11">
        <f t="shared" ref="C50:E50" si="9">C23/C22*100</f>
        <v>86.993883640139771</v>
      </c>
      <c r="D50" s="21" t="s">
        <v>36</v>
      </c>
      <c r="E50" s="11">
        <f t="shared" si="9"/>
        <v>19.652718562565635</v>
      </c>
    </row>
    <row r="51" spans="1:5" ht="15.5" x14ac:dyDescent="0.4">
      <c r="A51" s="7" t="s">
        <v>17</v>
      </c>
      <c r="B51" s="11">
        <f>AVERAGE(B49:B50)</f>
        <v>93.511512105622216</v>
      </c>
      <c r="C51" s="11">
        <f t="shared" ref="C51:E51" si="10">AVERAGE(C49:C50)</f>
        <v>103.93158798357216</v>
      </c>
      <c r="D51" s="21" t="s">
        <v>36</v>
      </c>
      <c r="E51" s="11">
        <f t="shared" si="10"/>
        <v>17.165248170171708</v>
      </c>
    </row>
    <row r="52" spans="1:5" ht="15.5" x14ac:dyDescent="0.4">
      <c r="A52" s="7"/>
      <c r="B52" s="11"/>
      <c r="C52" s="11"/>
      <c r="D52" s="11"/>
      <c r="E52" s="11"/>
    </row>
    <row r="53" spans="1:5" ht="15.5" x14ac:dyDescent="0.4">
      <c r="A53" s="6" t="s">
        <v>18</v>
      </c>
      <c r="B53" s="11"/>
      <c r="C53" s="11"/>
      <c r="D53" s="11"/>
      <c r="E53" s="11"/>
    </row>
    <row r="54" spans="1:5" ht="15.5" x14ac:dyDescent="0.4">
      <c r="A54" s="7" t="s">
        <v>19</v>
      </c>
      <c r="B54" s="11">
        <f>B17/B18*100</f>
        <v>29.161816545723223</v>
      </c>
      <c r="C54" s="11">
        <f t="shared" ref="C54:E54" si="11">C17/C18*100</f>
        <v>30.217323081751136</v>
      </c>
      <c r="D54" s="11">
        <f t="shared" si="11"/>
        <v>0</v>
      </c>
      <c r="E54" s="11">
        <f t="shared" si="11"/>
        <v>14.677777777777779</v>
      </c>
    </row>
    <row r="55" spans="1:5" ht="15.5" x14ac:dyDescent="0.4">
      <c r="A55" s="7" t="s">
        <v>20</v>
      </c>
      <c r="B55" s="11">
        <f>B23/B24*100</f>
        <v>17.985395045546586</v>
      </c>
      <c r="C55" s="11">
        <f t="shared" ref="C55:E55" si="12">C23/C24*100</f>
        <v>20.075511609263021</v>
      </c>
      <c r="D55" s="11">
        <f t="shared" si="12"/>
        <v>0</v>
      </c>
      <c r="E55" s="11">
        <f t="shared" si="12"/>
        <v>9.8263592812828193</v>
      </c>
    </row>
    <row r="56" spans="1:5" ht="15.5" x14ac:dyDescent="0.4">
      <c r="A56" s="7" t="s">
        <v>21</v>
      </c>
      <c r="B56" s="11">
        <f>(B54+B55)/2</f>
        <v>23.573605795634904</v>
      </c>
      <c r="C56" s="11">
        <f t="shared" ref="C56:E56" si="13">(C54+C55)/2</f>
        <v>25.146417345507079</v>
      </c>
      <c r="D56" s="11">
        <f t="shared" si="13"/>
        <v>0</v>
      </c>
      <c r="E56" s="11">
        <f t="shared" si="13"/>
        <v>12.252068529530298</v>
      </c>
    </row>
    <row r="57" spans="1:5" ht="15.5" x14ac:dyDescent="0.4">
      <c r="A57" s="7"/>
      <c r="B57" s="11"/>
      <c r="C57" s="11"/>
      <c r="D57" s="11"/>
      <c r="E57" s="11"/>
    </row>
    <row r="58" spans="1:5" ht="15.5" x14ac:dyDescent="0.4">
      <c r="A58" s="6" t="s">
        <v>32</v>
      </c>
      <c r="B58" s="11"/>
      <c r="C58" s="11"/>
      <c r="D58" s="11"/>
      <c r="E58" s="11"/>
    </row>
    <row r="59" spans="1:5" ht="15.5" x14ac:dyDescent="0.4">
      <c r="A59" s="7" t="s">
        <v>22</v>
      </c>
      <c r="B59" s="11">
        <f t="shared" ref="B59" si="14">B25/B23*100</f>
        <v>100</v>
      </c>
      <c r="C59" s="11"/>
      <c r="D59" s="11"/>
      <c r="E59" s="11"/>
    </row>
    <row r="60" spans="1:5" ht="15.5" x14ac:dyDescent="0.4">
      <c r="A60" s="7"/>
      <c r="B60" s="11"/>
      <c r="C60" s="11"/>
      <c r="D60" s="11"/>
      <c r="E60" s="11"/>
    </row>
    <row r="61" spans="1:5" ht="15.5" x14ac:dyDescent="0.4">
      <c r="A61" s="6" t="s">
        <v>23</v>
      </c>
      <c r="B61" s="11"/>
      <c r="C61" s="11"/>
      <c r="D61" s="11"/>
      <c r="E61" s="11"/>
    </row>
    <row r="62" spans="1:5" ht="15.5" x14ac:dyDescent="0.4">
      <c r="A62" s="7" t="s">
        <v>24</v>
      </c>
      <c r="B62" s="11">
        <f>((B17/B15)-1)*100</f>
        <v>-1.0836997003724314</v>
      </c>
      <c r="C62" s="11">
        <f t="shared" ref="C62:D62" si="15">((C17/C15)-1)*100</f>
        <v>2.6017848421613365</v>
      </c>
      <c r="D62" s="11">
        <f t="shared" si="15"/>
        <v>-100</v>
      </c>
      <c r="E62" s="21" t="s">
        <v>36</v>
      </c>
    </row>
    <row r="63" spans="1:5" ht="15.5" x14ac:dyDescent="0.4">
      <c r="A63" s="7" t="s">
        <v>25</v>
      </c>
      <c r="B63" s="11">
        <f>((B38/B37)-1)*100</f>
        <v>-25.305599836029437</v>
      </c>
      <c r="C63" s="11">
        <f t="shared" ref="C63:E63" si="16">((C38/C37)-1)*100</f>
        <v>-2.54365306335953</v>
      </c>
      <c r="D63" s="11">
        <f t="shared" si="16"/>
        <v>-100</v>
      </c>
      <c r="E63" s="11">
        <f t="shared" si="16"/>
        <v>6114.7625472169057</v>
      </c>
    </row>
    <row r="64" spans="1:5" ht="15.5" x14ac:dyDescent="0.4">
      <c r="A64" s="7" t="s">
        <v>26</v>
      </c>
      <c r="B64" s="11">
        <f t="shared" ref="B64:C64" si="17">((B40/B39)-1)*100</f>
        <v>-24.487268592018086</v>
      </c>
      <c r="C64" s="11">
        <f t="shared" si="17"/>
        <v>-5.0149594506922357</v>
      </c>
      <c r="D64" s="21" t="s">
        <v>36</v>
      </c>
      <c r="E64" s="21" t="s">
        <v>36</v>
      </c>
    </row>
    <row r="65" spans="1:5" ht="15.5" x14ac:dyDescent="0.4">
      <c r="A65" s="7"/>
      <c r="B65" s="11"/>
      <c r="C65" s="11"/>
      <c r="D65" s="11"/>
      <c r="E65" s="11"/>
    </row>
    <row r="66" spans="1:5" ht="15.5" x14ac:dyDescent="0.4">
      <c r="A66" s="6" t="s">
        <v>27</v>
      </c>
      <c r="B66" s="11"/>
      <c r="C66" s="11"/>
      <c r="D66" s="11"/>
      <c r="E66" s="11"/>
    </row>
    <row r="67" spans="1:5" ht="15.5" x14ac:dyDescent="0.4">
      <c r="A67" s="7" t="s">
        <v>40</v>
      </c>
      <c r="B67" s="11">
        <f>B22/(B16*3)</f>
        <v>41033.339798988221</v>
      </c>
      <c r="C67" s="11">
        <f>C22/(C16)</f>
        <v>128801.81339774368</v>
      </c>
      <c r="D67" s="21" t="s">
        <v>36</v>
      </c>
      <c r="E67" s="11">
        <f t="shared" ref="E67" si="18">E22/(E16*3)</f>
        <v>28920.828743333335</v>
      </c>
    </row>
    <row r="68" spans="1:5" ht="15.5" x14ac:dyDescent="0.4">
      <c r="A68" s="7" t="s">
        <v>41</v>
      </c>
      <c r="B68" s="11">
        <f t="shared" ref="B68:E68" si="19">B23/(B17*3)</f>
        <v>31047.329999009173</v>
      </c>
      <c r="C68" s="11">
        <f>C23/(C17)</f>
        <v>92703.198237050499</v>
      </c>
      <c r="D68" s="21" t="s">
        <v>36</v>
      </c>
      <c r="E68" s="11">
        <f t="shared" si="19"/>
        <v>38723.362384557149</v>
      </c>
    </row>
    <row r="69" spans="1:5" ht="15.5" x14ac:dyDescent="0.4">
      <c r="A69" s="7" t="s">
        <v>28</v>
      </c>
      <c r="B69" s="11">
        <f>(B68/B67)*B51</f>
        <v>70.754240070928418</v>
      </c>
      <c r="C69" s="11">
        <f t="shared" ref="C69" si="20">(C68/C67)*C51</f>
        <v>74.803221707601551</v>
      </c>
      <c r="D69" s="21" t="s">
        <v>36</v>
      </c>
      <c r="E69" s="11">
        <f t="shared" ref="E69" si="21">(E68/E67)*E51</f>
        <v>22.983301454237804</v>
      </c>
    </row>
    <row r="70" spans="1:5" ht="15.5" x14ac:dyDescent="0.4">
      <c r="A70" s="7" t="s">
        <v>42</v>
      </c>
      <c r="B70" s="11">
        <f t="shared" ref="B70:E71" si="22">B22/B16</f>
        <v>123100.01939696466</v>
      </c>
      <c r="C70" s="11">
        <f>(C22/C16)*3</f>
        <v>386405.44019323104</v>
      </c>
      <c r="D70" s="21" t="s">
        <v>36</v>
      </c>
      <c r="E70" s="11">
        <f t="shared" si="22"/>
        <v>86762.48623000001</v>
      </c>
    </row>
    <row r="71" spans="1:5" ht="15.5" x14ac:dyDescent="0.4">
      <c r="A71" s="7" t="s">
        <v>43</v>
      </c>
      <c r="B71" s="11">
        <f t="shared" si="22"/>
        <v>93141.989997027515</v>
      </c>
      <c r="C71" s="11">
        <f>(C23/C17)*3</f>
        <v>278109.5947111515</v>
      </c>
      <c r="D71" s="21" t="s">
        <v>36</v>
      </c>
      <c r="E71" s="11">
        <f t="shared" si="22"/>
        <v>116170.08715367145</v>
      </c>
    </row>
    <row r="72" spans="1:5" ht="15.5" x14ac:dyDescent="0.4">
      <c r="A72" s="7"/>
      <c r="B72" s="11"/>
      <c r="C72" s="11"/>
      <c r="D72" s="11"/>
      <c r="E72" s="11"/>
    </row>
    <row r="73" spans="1:5" ht="15.5" x14ac:dyDescent="0.4">
      <c r="A73" s="6" t="s">
        <v>29</v>
      </c>
      <c r="B73" s="11"/>
      <c r="C73" s="11"/>
      <c r="D73" s="11"/>
      <c r="E73" s="11"/>
    </row>
    <row r="74" spans="1:5" ht="15.5" x14ac:dyDescent="0.4">
      <c r="A74" s="7" t="s">
        <v>30</v>
      </c>
      <c r="B74" s="11">
        <f>(B29/B28)*100</f>
        <v>111.97486480360344</v>
      </c>
      <c r="C74" s="11"/>
      <c r="D74" s="11"/>
      <c r="E74" s="11"/>
    </row>
    <row r="75" spans="1:5" ht="15.5" x14ac:dyDescent="0.4">
      <c r="A75" s="7" t="s">
        <v>31</v>
      </c>
      <c r="B75" s="11">
        <f>(B23/B29)*100</f>
        <v>71.941580182186314</v>
      </c>
      <c r="C75" s="11"/>
      <c r="D75" s="11"/>
      <c r="E75" s="11"/>
    </row>
    <row r="76" spans="1:5" ht="16" thickBot="1" x14ac:dyDescent="0.45">
      <c r="A76" s="17"/>
      <c r="B76" s="17"/>
      <c r="C76" s="17"/>
      <c r="D76" s="17"/>
      <c r="E76" s="17"/>
    </row>
    <row r="77" spans="1:5" s="4" customFormat="1" ht="16.5" customHeight="1" thickTop="1" x14ac:dyDescent="0.35">
      <c r="A77" s="34" t="s">
        <v>84</v>
      </c>
      <c r="B77" s="34"/>
      <c r="C77" s="34"/>
      <c r="D77" s="34"/>
      <c r="E77" s="34"/>
    </row>
    <row r="78" spans="1:5" ht="74.25" customHeight="1" x14ac:dyDescent="0.4">
      <c r="A78" s="28" t="s">
        <v>106</v>
      </c>
      <c r="B78" s="28"/>
      <c r="C78" s="28"/>
      <c r="D78" s="28"/>
      <c r="E78" s="28"/>
    </row>
  </sheetData>
  <mergeCells count="5">
    <mergeCell ref="A9:A10"/>
    <mergeCell ref="B9:B10"/>
    <mergeCell ref="C9:E9"/>
    <mergeCell ref="A77:E77"/>
    <mergeCell ref="A78:E78"/>
  </mergeCells>
  <pageMargins left="0.7" right="0.7" top="0.75" bottom="0.75" header="0.3" footer="0.3"/>
  <pageSetup paperSize="9" orientation="portrait" r:id="rId1"/>
  <ignoredErrors>
    <ignoredError sqref="C67:C71"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7:E78"/>
  <sheetViews>
    <sheetView showGridLines="0" zoomScale="80" zoomScaleNormal="80" workbookViewId="0">
      <pane ySplit="10" topLeftCell="A11" activePane="bottomLeft" state="frozen"/>
      <selection pane="bottomLeft" activeCell="A9" sqref="A9:A10"/>
    </sheetView>
  </sheetViews>
  <sheetFormatPr baseColWidth="10" defaultColWidth="11.453125" defaultRowHeight="14.5" x14ac:dyDescent="0.35"/>
  <cols>
    <col min="1" max="1" width="64.26953125" style="1" customWidth="1"/>
    <col min="2" max="5" width="24.7265625" style="1" customWidth="1"/>
    <col min="6" max="16384" width="11.453125" style="1"/>
  </cols>
  <sheetData>
    <row r="7" spans="1:5" ht="21" customHeight="1" x14ac:dyDescent="0.35"/>
    <row r="8" spans="1:5" ht="21" customHeight="1" x14ac:dyDescent="0.35"/>
    <row r="9" spans="1:5" s="4" customFormat="1" ht="15.5" x14ac:dyDescent="0.35">
      <c r="A9" s="29" t="s">
        <v>0</v>
      </c>
      <c r="B9" s="31" t="s">
        <v>1</v>
      </c>
      <c r="C9" s="33" t="s">
        <v>2</v>
      </c>
      <c r="D9" s="33"/>
      <c r="E9" s="33"/>
    </row>
    <row r="10" spans="1:5" s="3" customFormat="1" ht="47" thickBot="1" x14ac:dyDescent="0.4">
      <c r="A10" s="30"/>
      <c r="B10" s="32"/>
      <c r="C10" s="5" t="s">
        <v>39</v>
      </c>
      <c r="D10" s="5" t="s">
        <v>48</v>
      </c>
      <c r="E10" s="5" t="s">
        <v>49</v>
      </c>
    </row>
    <row r="11" spans="1:5" ht="16" thickTop="1" x14ac:dyDescent="0.4">
      <c r="A11" s="7"/>
      <c r="B11" s="7"/>
      <c r="C11" s="7"/>
      <c r="D11" s="7"/>
      <c r="E11" s="7"/>
    </row>
    <row r="12" spans="1:5" ht="15.5" x14ac:dyDescent="0.4">
      <c r="A12" s="6" t="s">
        <v>3</v>
      </c>
      <c r="B12" s="7"/>
      <c r="C12" s="7"/>
      <c r="D12" s="7"/>
      <c r="E12" s="7"/>
    </row>
    <row r="13" spans="1:5" ht="15.5" x14ac:dyDescent="0.4">
      <c r="A13" s="7"/>
      <c r="B13" s="7"/>
      <c r="C13" s="7"/>
      <c r="D13" s="7"/>
      <c r="E13" s="7"/>
    </row>
    <row r="14" spans="1:5" ht="15.5" x14ac:dyDescent="0.4">
      <c r="A14" s="6" t="s">
        <v>4</v>
      </c>
      <c r="B14" s="7"/>
      <c r="C14" s="7"/>
      <c r="D14" s="7"/>
      <c r="E14" s="7"/>
    </row>
    <row r="15" spans="1:5" ht="15.5" x14ac:dyDescent="0.4">
      <c r="A15" s="8" t="s">
        <v>66</v>
      </c>
      <c r="B15" s="25">
        <f>+SUM(C15:E15)</f>
        <v>67177.444444444438</v>
      </c>
      <c r="C15" s="9">
        <f>(+'I Trimestre'!C15+'II trimestre'!C15+'III Trimestre'!C15)</f>
        <v>63322</v>
      </c>
      <c r="D15" s="9">
        <f>(+'I Trimestre'!D15+'II trimestre'!D15+'III Trimestre'!D15)/3</f>
        <v>3855.4444444444448</v>
      </c>
      <c r="E15" s="9">
        <f>(+'I Trimestre'!E15+'II trimestre'!E15+'III Trimestre'!E15)/3</f>
        <v>0</v>
      </c>
    </row>
    <row r="16" spans="1:5" ht="15.5" x14ac:dyDescent="0.4">
      <c r="A16" s="8" t="s">
        <v>107</v>
      </c>
      <c r="B16" s="9">
        <f t="shared" ref="B16:B18" si="0">+SUM(C16:E16)</f>
        <v>61209</v>
      </c>
      <c r="C16" s="9">
        <f>(+'I Trimestre'!C16+'II trimestre'!C16+'III Trimestre'!C16)</f>
        <v>57357</v>
      </c>
      <c r="D16" s="9">
        <f>(+'I Trimestre'!D16+'II trimestre'!D16+'III Trimestre'!D16)/3</f>
        <v>852</v>
      </c>
      <c r="E16" s="9">
        <f>(+'II trimestre'!E16+'III Trimestre'!E16)/2</f>
        <v>3000</v>
      </c>
    </row>
    <row r="17" spans="1:5" ht="15.5" x14ac:dyDescent="0.4">
      <c r="A17" s="8" t="s">
        <v>108</v>
      </c>
      <c r="B17" s="9">
        <f t="shared" si="0"/>
        <v>68339.222222222219</v>
      </c>
      <c r="C17" s="9">
        <f>(+'I Trimestre'!C17+'II trimestre'!C17+'III Trimestre'!C17)</f>
        <v>67336</v>
      </c>
      <c r="D17" s="9">
        <f>(+'I Trimestre'!D17+'II trimestre'!D17+'III Trimestre'!D17)/3</f>
        <v>856.44444444444434</v>
      </c>
      <c r="E17" s="9">
        <f>(+'I Trimestre'!E17+'II trimestre'!E17+'III Trimestre'!E17)/3</f>
        <v>146.77777777777777</v>
      </c>
    </row>
    <row r="18" spans="1:5" ht="15.5" x14ac:dyDescent="0.4">
      <c r="A18" s="8" t="s">
        <v>79</v>
      </c>
      <c r="B18" s="9">
        <f t="shared" si="0"/>
        <v>80754</v>
      </c>
      <c r="C18" s="9">
        <f>+'III Trimestre'!C18</f>
        <v>76476</v>
      </c>
      <c r="D18" s="9">
        <f>+'III Trimestre'!D18</f>
        <v>1278</v>
      </c>
      <c r="E18" s="9">
        <f>+'III Trimestre'!E18</f>
        <v>3000</v>
      </c>
    </row>
    <row r="19" spans="1:5" ht="15.5" x14ac:dyDescent="0.4">
      <c r="A19" s="7"/>
      <c r="B19" s="9"/>
      <c r="C19" s="9"/>
      <c r="D19" s="9"/>
      <c r="E19" s="9"/>
    </row>
    <row r="20" spans="1:5" ht="15.5" x14ac:dyDescent="0.4">
      <c r="A20" s="10" t="s">
        <v>5</v>
      </c>
      <c r="B20" s="9"/>
      <c r="C20" s="9"/>
      <c r="D20" s="9"/>
      <c r="E20" s="9"/>
    </row>
    <row r="21" spans="1:5" ht="15.5" x14ac:dyDescent="0.4">
      <c r="A21" s="8" t="s">
        <v>66</v>
      </c>
      <c r="B21" s="25">
        <f>SUM(C21:E21)</f>
        <v>9326819795.5</v>
      </c>
      <c r="C21" s="9">
        <f>+'I Trimestre'!C21+'II trimestre'!C21+'III Trimestre'!C21</f>
        <v>7189879104.4099998</v>
      </c>
      <c r="D21" s="9">
        <f>+'I Trimestre'!D21+'II trimestre'!D21+'III Trimestre'!D21</f>
        <v>2125988728.5699997</v>
      </c>
      <c r="E21" s="9">
        <f>+'I Trimestre'!E21+'II trimestre'!E21+'III Trimestre'!E21</f>
        <v>10951962.52</v>
      </c>
    </row>
    <row r="22" spans="1:5" ht="15.5" x14ac:dyDescent="0.4">
      <c r="A22" s="8" t="s">
        <v>107</v>
      </c>
      <c r="B22" s="9">
        <f t="shared" ref="B22:B25" si="1">SUM(C22:E22)</f>
        <v>8738686620.4047146</v>
      </c>
      <c r="C22" s="9">
        <f>+'I Trimestre'!C22+'II trimestre'!C22+'III Trimestre'!C22</f>
        <v>7387685611.0543842</v>
      </c>
      <c r="D22" s="9">
        <f>+'I Trimestre'!D22+'II trimestre'!D22+'III Trimestre'!D22</f>
        <v>1003951064.43033</v>
      </c>
      <c r="E22" s="9">
        <f>+'I Trimestre'!E22+'II trimestre'!E22+'III Trimestre'!E22</f>
        <v>347049944.92000002</v>
      </c>
    </row>
    <row r="23" spans="1:5" ht="15.5" x14ac:dyDescent="0.4">
      <c r="A23" s="8" t="s">
        <v>108</v>
      </c>
      <c r="B23" s="9">
        <f t="shared" si="1"/>
        <v>8096121551.3199987</v>
      </c>
      <c r="C23" s="9">
        <f>+'I Trimestre'!C23+'II trimestre'!C23+'III Trimestre'!C23</f>
        <v>7113015233.0299988</v>
      </c>
      <c r="D23" s="9">
        <f>+'I Trimestre'!D23+'II trimestre'!D23+'III Trimestre'!D23</f>
        <v>930067064.43000007</v>
      </c>
      <c r="E23" s="9">
        <f>+'I Trimestre'!E23+'II trimestre'!E23+'III Trimestre'!E23</f>
        <v>53039253.859999992</v>
      </c>
    </row>
    <row r="24" spans="1:5" ht="15.5" x14ac:dyDescent="0.4">
      <c r="A24" s="8" t="s">
        <v>79</v>
      </c>
      <c r="B24" s="9">
        <f t="shared" si="1"/>
        <v>12195627419.999996</v>
      </c>
      <c r="C24" s="9">
        <f>+'III Trimestre'!C24</f>
        <v>10671101438.189667</v>
      </c>
      <c r="D24" s="9">
        <f>+'III Trimestre'!D24</f>
        <v>1003951064.43033</v>
      </c>
      <c r="E24" s="9">
        <f>+'III Trimestre'!E24</f>
        <v>520574917.38</v>
      </c>
    </row>
    <row r="25" spans="1:5" ht="15.5" x14ac:dyDescent="0.4">
      <c r="A25" s="8" t="s">
        <v>109</v>
      </c>
      <c r="B25" s="9">
        <f t="shared" si="1"/>
        <v>8096121551.3199987</v>
      </c>
      <c r="C25" s="9">
        <f t="shared" ref="C25:E25" si="2">C23</f>
        <v>7113015233.0299988</v>
      </c>
      <c r="D25" s="9">
        <f t="shared" si="2"/>
        <v>930067064.43000007</v>
      </c>
      <c r="E25" s="9">
        <f t="shared" si="2"/>
        <v>53039253.859999992</v>
      </c>
    </row>
    <row r="26" spans="1:5" ht="15.5" x14ac:dyDescent="0.4">
      <c r="A26" s="7"/>
      <c r="B26" s="9"/>
      <c r="C26" s="9"/>
      <c r="D26" s="9"/>
      <c r="E26" s="9"/>
    </row>
    <row r="27" spans="1:5" ht="15.5" x14ac:dyDescent="0.4">
      <c r="A27" s="6" t="s">
        <v>6</v>
      </c>
      <c r="B27" s="9"/>
      <c r="C27" s="9"/>
      <c r="D27" s="9"/>
      <c r="E27" s="9"/>
    </row>
    <row r="28" spans="1:5" ht="15.5" x14ac:dyDescent="0.4">
      <c r="A28" s="8" t="s">
        <v>107</v>
      </c>
      <c r="B28" s="9">
        <f>'I Trimestre'!B28+'II trimestre'!B28+'III Trimestre'!B28</f>
        <v>8738686620.4047146</v>
      </c>
      <c r="C28" s="9"/>
      <c r="D28" s="9"/>
      <c r="E28" s="9"/>
    </row>
    <row r="29" spans="1:5" ht="15.5" x14ac:dyDescent="0.4">
      <c r="A29" s="8" t="s">
        <v>108</v>
      </c>
      <c r="B29" s="9">
        <f>'I Trimestre'!B29+'II trimestre'!B29+'III Trimestre'!B29</f>
        <v>9146720565</v>
      </c>
      <c r="C29" s="9"/>
      <c r="D29" s="9"/>
      <c r="E29" s="9"/>
    </row>
    <row r="30" spans="1:5" ht="15.5" x14ac:dyDescent="0.4">
      <c r="A30" s="7"/>
      <c r="B30" s="15"/>
      <c r="C30" s="15"/>
      <c r="D30" s="15"/>
      <c r="E30" s="15"/>
    </row>
    <row r="31" spans="1:5" ht="15.5" x14ac:dyDescent="0.4">
      <c r="A31" s="6" t="s">
        <v>7</v>
      </c>
      <c r="B31" s="15"/>
      <c r="C31" s="15"/>
      <c r="D31" s="15"/>
      <c r="E31" s="15"/>
    </row>
    <row r="32" spans="1:5" ht="15.5" x14ac:dyDescent="0.4">
      <c r="A32" s="8" t="s">
        <v>110</v>
      </c>
      <c r="B32" s="12">
        <v>1.0641</v>
      </c>
      <c r="C32" s="12">
        <v>1.0641</v>
      </c>
      <c r="D32" s="12">
        <v>1.0641</v>
      </c>
      <c r="E32" s="12">
        <v>1.0641</v>
      </c>
    </row>
    <row r="33" spans="1:5" ht="15.5" x14ac:dyDescent="0.4">
      <c r="A33" s="8" t="s">
        <v>111</v>
      </c>
      <c r="B33" s="12">
        <v>1.0863</v>
      </c>
      <c r="C33" s="12">
        <v>1.0863</v>
      </c>
      <c r="D33" s="12">
        <v>1.0863</v>
      </c>
      <c r="E33" s="12">
        <v>1.0863</v>
      </c>
    </row>
    <row r="34" spans="1:5" ht="15.5" x14ac:dyDescent="0.4">
      <c r="A34" s="8" t="s">
        <v>8</v>
      </c>
      <c r="B34" s="13" t="s">
        <v>36</v>
      </c>
      <c r="C34" s="13" t="s">
        <v>36</v>
      </c>
      <c r="D34" s="13" t="s">
        <v>36</v>
      </c>
      <c r="E34" s="13" t="s">
        <v>36</v>
      </c>
    </row>
    <row r="35" spans="1:5" ht="15.5" x14ac:dyDescent="0.4">
      <c r="A35" s="7"/>
      <c r="B35" s="15"/>
      <c r="C35" s="15"/>
      <c r="D35" s="15"/>
      <c r="E35" s="15"/>
    </row>
    <row r="36" spans="1:5" ht="15.5" x14ac:dyDescent="0.4">
      <c r="A36" s="6" t="s">
        <v>9</v>
      </c>
      <c r="B36" s="15"/>
      <c r="C36" s="15"/>
      <c r="D36" s="15"/>
      <c r="E36" s="15"/>
    </row>
    <row r="37" spans="1:5" ht="15.5" x14ac:dyDescent="0.4">
      <c r="A37" s="8" t="s">
        <v>67</v>
      </c>
      <c r="B37" s="16">
        <f>B21/B32</f>
        <v>8764984301.7573528</v>
      </c>
      <c r="C37" s="16">
        <f t="shared" ref="C37:E37" si="3">C21/C32</f>
        <v>6756770138.5302134</v>
      </c>
      <c r="D37" s="16">
        <f>D21/D32</f>
        <v>1997921932.6848977</v>
      </c>
      <c r="E37" s="16">
        <f t="shared" si="3"/>
        <v>10292230.54224227</v>
      </c>
    </row>
    <row r="38" spans="1:5" ht="15.5" x14ac:dyDescent="0.4">
      <c r="A38" s="8" t="s">
        <v>112</v>
      </c>
      <c r="B38" s="16">
        <f>B23/B33</f>
        <v>7452933398.9873867</v>
      </c>
      <c r="C38" s="16">
        <f t="shared" ref="C38:E38" si="4">C23/C33</f>
        <v>6547928963.4815416</v>
      </c>
      <c r="D38" s="16">
        <f>D23/D33</f>
        <v>856178831.28969896</v>
      </c>
      <c r="E38" s="16">
        <f t="shared" si="4"/>
        <v>48825604.216146544</v>
      </c>
    </row>
    <row r="39" spans="1:5" ht="15.5" x14ac:dyDescent="0.4">
      <c r="A39" s="8" t="s">
        <v>68</v>
      </c>
      <c r="B39" s="9">
        <f>B37/B15</f>
        <v>130475.10774253955</v>
      </c>
      <c r="C39" s="9">
        <f t="shared" ref="C39" si="5">C37/C15</f>
        <v>106704.93886058895</v>
      </c>
      <c r="D39" s="9">
        <f>D37/D15</f>
        <v>518207.94242381846</v>
      </c>
      <c r="E39" s="9" t="s">
        <v>36</v>
      </c>
    </row>
    <row r="40" spans="1:5" ht="15.5" x14ac:dyDescent="0.4">
      <c r="A40" s="8" t="s">
        <v>113</v>
      </c>
      <c r="B40" s="9">
        <f>B38/B17</f>
        <v>109057.9195465862</v>
      </c>
      <c r="C40" s="9">
        <f t="shared" ref="C40:E40" si="6">C38/C17</f>
        <v>97242.618561862037</v>
      </c>
      <c r="D40" s="9">
        <f>D38/D17</f>
        <v>999689.86528376897</v>
      </c>
      <c r="E40" s="9">
        <f t="shared" si="6"/>
        <v>332649.83947412483</v>
      </c>
    </row>
    <row r="41" spans="1:5" ht="15.5" x14ac:dyDescent="0.4">
      <c r="A41" s="7"/>
      <c r="B41" s="15"/>
      <c r="C41" s="15"/>
      <c r="D41" s="15"/>
      <c r="E41" s="15"/>
    </row>
    <row r="42" spans="1:5" ht="15.5" x14ac:dyDescent="0.4">
      <c r="A42" s="6" t="s">
        <v>10</v>
      </c>
      <c r="B42" s="15"/>
      <c r="C42" s="15"/>
      <c r="D42" s="15"/>
      <c r="E42" s="15"/>
    </row>
    <row r="43" spans="1:5" ht="15.5" x14ac:dyDescent="0.4">
      <c r="A43" s="7"/>
      <c r="B43" s="15"/>
      <c r="C43" s="15"/>
      <c r="D43" s="15"/>
      <c r="E43" s="15"/>
    </row>
    <row r="44" spans="1:5" ht="15.5" x14ac:dyDescent="0.4">
      <c r="A44" s="6" t="s">
        <v>11</v>
      </c>
      <c r="B44" s="15"/>
      <c r="C44" s="15"/>
      <c r="D44" s="15"/>
      <c r="E44" s="15"/>
    </row>
    <row r="45" spans="1:5" ht="15.5" x14ac:dyDescent="0.4">
      <c r="A45" s="7" t="s">
        <v>12</v>
      </c>
      <c r="B45" s="22" t="s">
        <v>35</v>
      </c>
      <c r="C45" s="22" t="s">
        <v>35</v>
      </c>
      <c r="D45" s="22" t="s">
        <v>35</v>
      </c>
      <c r="E45" s="22" t="s">
        <v>35</v>
      </c>
    </row>
    <row r="46" spans="1:5" ht="15.5" x14ac:dyDescent="0.4">
      <c r="A46" s="7" t="s">
        <v>13</v>
      </c>
      <c r="B46" s="22" t="s">
        <v>35</v>
      </c>
      <c r="C46" s="22" t="s">
        <v>35</v>
      </c>
      <c r="D46" s="22" t="s">
        <v>35</v>
      </c>
      <c r="E46" s="22" t="s">
        <v>35</v>
      </c>
    </row>
    <row r="47" spans="1:5" ht="15.5" x14ac:dyDescent="0.4">
      <c r="A47" s="7"/>
      <c r="B47" s="15"/>
      <c r="C47" s="15"/>
      <c r="D47" s="15"/>
      <c r="E47" s="15"/>
    </row>
    <row r="48" spans="1:5" ht="15.5" x14ac:dyDescent="0.4">
      <c r="A48" s="6" t="s">
        <v>14</v>
      </c>
      <c r="B48" s="15"/>
      <c r="C48" s="15"/>
      <c r="D48" s="15"/>
      <c r="E48" s="15"/>
    </row>
    <row r="49" spans="1:5" ht="15.5" x14ac:dyDescent="0.4">
      <c r="A49" s="7" t="s">
        <v>15</v>
      </c>
      <c r="B49" s="11">
        <f t="shared" ref="B49:E49" si="7">B17/B16*100</f>
        <v>111.64897682076528</v>
      </c>
      <c r="C49" s="11">
        <f t="shared" si="7"/>
        <v>117.39805080460972</v>
      </c>
      <c r="D49" s="11">
        <f t="shared" si="7"/>
        <v>100.52164840897233</v>
      </c>
      <c r="E49" s="11">
        <f t="shared" si="7"/>
        <v>4.8925925925925924</v>
      </c>
    </row>
    <row r="50" spans="1:5" ht="15.5" x14ac:dyDescent="0.4">
      <c r="A50" s="7" t="s">
        <v>16</v>
      </c>
      <c r="B50" s="11">
        <f t="shared" ref="B50:E50" si="8">B23/B22*100</f>
        <v>92.646891953027193</v>
      </c>
      <c r="C50" s="11">
        <f t="shared" si="8"/>
        <v>96.282051071401995</v>
      </c>
      <c r="D50" s="11">
        <f t="shared" si="8"/>
        <v>92.640677158676681</v>
      </c>
      <c r="E50" s="11">
        <f t="shared" si="8"/>
        <v>15.282887848383409</v>
      </c>
    </row>
    <row r="51" spans="1:5" ht="15.5" x14ac:dyDescent="0.4">
      <c r="A51" s="7" t="s">
        <v>17</v>
      </c>
      <c r="B51" s="11">
        <f t="shared" ref="B51:E51" si="9">AVERAGE(B49:B50)</f>
        <v>102.14793438689624</v>
      </c>
      <c r="C51" s="11">
        <f t="shared" si="9"/>
        <v>106.84005093800586</v>
      </c>
      <c r="D51" s="11">
        <f t="shared" si="9"/>
        <v>96.58116278382451</v>
      </c>
      <c r="E51" s="11">
        <f t="shared" si="9"/>
        <v>10.087740220488001</v>
      </c>
    </row>
    <row r="52" spans="1:5" ht="15.5" x14ac:dyDescent="0.4">
      <c r="A52" s="7"/>
      <c r="B52" s="11"/>
      <c r="C52" s="11"/>
      <c r="D52" s="11"/>
      <c r="E52" s="11"/>
    </row>
    <row r="53" spans="1:5" ht="15.5" x14ac:dyDescent="0.4">
      <c r="A53" s="6" t="s">
        <v>18</v>
      </c>
      <c r="B53" s="11"/>
      <c r="C53" s="11"/>
      <c r="D53" s="11"/>
      <c r="E53" s="11"/>
    </row>
    <row r="54" spans="1:5" ht="15.5" x14ac:dyDescent="0.4">
      <c r="A54" s="7" t="s">
        <v>19</v>
      </c>
      <c r="B54" s="11">
        <f>B17/(B18)*100</f>
        <v>84.626423734084028</v>
      </c>
      <c r="C54" s="11">
        <f t="shared" ref="C54:E54" si="10">C17/(C18)*100</f>
        <v>88.048538103457304</v>
      </c>
      <c r="D54" s="11">
        <f t="shared" si="10"/>
        <v>67.014432272648222</v>
      </c>
      <c r="E54" s="11">
        <f t="shared" si="10"/>
        <v>4.8925925925925924</v>
      </c>
    </row>
    <row r="55" spans="1:5" ht="15.5" x14ac:dyDescent="0.4">
      <c r="A55" s="7" t="s">
        <v>20</v>
      </c>
      <c r="B55" s="11">
        <f>B23/B24*100</f>
        <v>66.385445147683924</v>
      </c>
      <c r="C55" s="11">
        <f t="shared" ref="C55:E55" si="11">C23/C24*100</f>
        <v>66.656804587893674</v>
      </c>
      <c r="D55" s="11">
        <f t="shared" si="11"/>
        <v>92.640677158676681</v>
      </c>
      <c r="E55" s="11">
        <f t="shared" si="11"/>
        <v>10.188591898922272</v>
      </c>
    </row>
    <row r="56" spans="1:5" ht="15.5" x14ac:dyDescent="0.4">
      <c r="A56" s="7" t="s">
        <v>21</v>
      </c>
      <c r="B56" s="11">
        <f>(B54+B55)/2</f>
        <v>75.505934440883976</v>
      </c>
      <c r="C56" s="11">
        <f t="shared" ref="C56:E56" si="12">(C54+C55)/2</f>
        <v>77.352671345675489</v>
      </c>
      <c r="D56" s="11">
        <f t="shared" si="12"/>
        <v>79.827554715662444</v>
      </c>
      <c r="E56" s="11">
        <f t="shared" si="12"/>
        <v>7.5405922457574324</v>
      </c>
    </row>
    <row r="57" spans="1:5" ht="15.5" x14ac:dyDescent="0.4">
      <c r="A57" s="7"/>
      <c r="B57" s="11"/>
      <c r="C57" s="11"/>
      <c r="D57" s="11"/>
      <c r="E57" s="11"/>
    </row>
    <row r="58" spans="1:5" ht="15.5" x14ac:dyDescent="0.4">
      <c r="A58" s="6" t="s">
        <v>32</v>
      </c>
      <c r="B58" s="11"/>
      <c r="C58" s="11"/>
      <c r="D58" s="11"/>
      <c r="E58" s="11"/>
    </row>
    <row r="59" spans="1:5" ht="15.5" x14ac:dyDescent="0.4">
      <c r="A59" s="7" t="s">
        <v>22</v>
      </c>
      <c r="B59" s="11">
        <f>B25/B23*100</f>
        <v>100</v>
      </c>
      <c r="C59" s="11"/>
      <c r="D59" s="11"/>
      <c r="E59" s="11"/>
    </row>
    <row r="60" spans="1:5" ht="15.5" x14ac:dyDescent="0.4">
      <c r="A60" s="7"/>
      <c r="B60" s="11"/>
      <c r="C60" s="11"/>
      <c r="D60" s="11"/>
      <c r="E60" s="11"/>
    </row>
    <row r="61" spans="1:5" ht="15.5" x14ac:dyDescent="0.4">
      <c r="A61" s="6" t="s">
        <v>23</v>
      </c>
      <c r="B61" s="11"/>
      <c r="C61" s="11"/>
      <c r="D61" s="11"/>
      <c r="E61" s="11"/>
    </row>
    <row r="62" spans="1:5" ht="15.5" x14ac:dyDescent="0.4">
      <c r="A62" s="7" t="s">
        <v>24</v>
      </c>
      <c r="B62" s="11">
        <f>((B17/B15)-1)*100</f>
        <v>1.7294164542662305</v>
      </c>
      <c r="C62" s="11">
        <f t="shared" ref="C62" si="13">((C17/C15)-1)*100</f>
        <v>6.3390290894159929</v>
      </c>
      <c r="D62" s="11">
        <f>((D17/D15)-1)*100</f>
        <v>-77.786103345917752</v>
      </c>
      <c r="E62" s="9" t="s">
        <v>36</v>
      </c>
    </row>
    <row r="63" spans="1:5" ht="15.5" x14ac:dyDescent="0.4">
      <c r="A63" s="7" t="s">
        <v>25</v>
      </c>
      <c r="B63" s="11">
        <f>((B38/B37)-1)*100</f>
        <v>-14.969232774403308</v>
      </c>
      <c r="C63" s="11">
        <f t="shared" ref="C63:E63" si="14">((C38/C37)-1)*100</f>
        <v>-3.0908432692976051</v>
      </c>
      <c r="D63" s="11">
        <f>((D38/D37)-1)*100</f>
        <v>-57.146532240169812</v>
      </c>
      <c r="E63" s="11">
        <f t="shared" si="14"/>
        <v>374.39283463144591</v>
      </c>
    </row>
    <row r="64" spans="1:5" ht="15.5" x14ac:dyDescent="0.4">
      <c r="A64" s="7" t="s">
        <v>26</v>
      </c>
      <c r="B64" s="11">
        <f>((B40/B39)-1)*100</f>
        <v>-16.414769503938555</v>
      </c>
      <c r="C64" s="11">
        <f t="shared" ref="C64" si="15">((C40/C39)-1)*100</f>
        <v>-8.8677435175606334</v>
      </c>
      <c r="D64" s="11">
        <f>((D40/D39)-1)*100</f>
        <v>92.912879838913895</v>
      </c>
      <c r="E64" s="9" t="s">
        <v>36</v>
      </c>
    </row>
    <row r="65" spans="1:5" ht="15.5" x14ac:dyDescent="0.4">
      <c r="A65" s="7"/>
      <c r="B65" s="11"/>
      <c r="C65" s="11"/>
      <c r="D65" s="11"/>
      <c r="E65" s="11"/>
    </row>
    <row r="66" spans="1:5" ht="15.5" x14ac:dyDescent="0.4">
      <c r="A66" s="6" t="s">
        <v>27</v>
      </c>
      <c r="B66" s="11"/>
      <c r="C66" s="11"/>
      <c r="D66" s="11"/>
      <c r="E66" s="11"/>
    </row>
    <row r="67" spans="1:5" ht="15.5" x14ac:dyDescent="0.4">
      <c r="A67" s="7" t="s">
        <v>40</v>
      </c>
      <c r="B67" s="11">
        <f>B22/(B16*9)</f>
        <v>15863.11130789538</v>
      </c>
      <c r="C67" s="11">
        <f>C22/C16</f>
        <v>128801.81339774368</v>
      </c>
      <c r="D67" s="11">
        <f t="shared" ref="D67" si="16">D22/(D16*9)</f>
        <v>130927.36886154539</v>
      </c>
      <c r="E67" s="11">
        <f>E22/(E16*4)</f>
        <v>28920.828743333335</v>
      </c>
    </row>
    <row r="68" spans="1:5" ht="15.5" x14ac:dyDescent="0.4">
      <c r="A68" s="7" t="s">
        <v>41</v>
      </c>
      <c r="B68" s="11">
        <f>B23/(B17*9)</f>
        <v>13163.290889272956</v>
      </c>
      <c r="C68" s="11">
        <f>C23/C17</f>
        <v>105634.65654375072</v>
      </c>
      <c r="D68" s="11">
        <f t="shared" ref="D68" si="17">D23/(D17*9)</f>
        <v>120662.56673975092</v>
      </c>
      <c r="E68" s="11">
        <f>E23/(E17*4)</f>
        <v>90339.380155185456</v>
      </c>
    </row>
    <row r="69" spans="1:5" ht="15.5" x14ac:dyDescent="0.4">
      <c r="A69" s="7" t="s">
        <v>28</v>
      </c>
      <c r="B69" s="11">
        <f>(B68/B67)*B51</f>
        <v>84.762878351855719</v>
      </c>
      <c r="C69" s="11">
        <f t="shared" ref="C69:E69" si="18">(C68/C67)*C51</f>
        <v>87.623083776790892</v>
      </c>
      <c r="D69" s="11">
        <f t="shared" si="18"/>
        <v>89.009128507956945</v>
      </c>
      <c r="E69" s="11">
        <f t="shared" si="18"/>
        <v>31.510860451932668</v>
      </c>
    </row>
    <row r="70" spans="1:5" ht="15.5" x14ac:dyDescent="0.4">
      <c r="A70" s="7" t="s">
        <v>46</v>
      </c>
      <c r="B70" s="11">
        <f t="shared" ref="B70:E71" si="19">B22/B16</f>
        <v>142768.00177105842</v>
      </c>
      <c r="C70" s="11">
        <f>(C22/C16)*9</f>
        <v>1159216.3205796932</v>
      </c>
      <c r="D70" s="11">
        <f t="shared" si="19"/>
        <v>1178346.3197539086</v>
      </c>
      <c r="E70" s="11">
        <f t="shared" si="19"/>
        <v>115683.31497333334</v>
      </c>
    </row>
    <row r="71" spans="1:5" ht="15.5" x14ac:dyDescent="0.4">
      <c r="A71" s="7" t="s">
        <v>47</v>
      </c>
      <c r="B71" s="11">
        <f t="shared" si="19"/>
        <v>118469.61800345661</v>
      </c>
      <c r="C71" s="11">
        <f>(C23/C17)*9</f>
        <v>950711.90889375657</v>
      </c>
      <c r="D71" s="11">
        <f t="shared" si="19"/>
        <v>1085963.1006577583</v>
      </c>
      <c r="E71" s="11">
        <f t="shared" si="19"/>
        <v>361357.52062074182</v>
      </c>
    </row>
    <row r="72" spans="1:5" ht="15.5" x14ac:dyDescent="0.4">
      <c r="A72" s="7"/>
      <c r="B72" s="11"/>
      <c r="C72" s="11"/>
      <c r="D72" s="11"/>
      <c r="E72" s="11"/>
    </row>
    <row r="73" spans="1:5" ht="15.5" x14ac:dyDescent="0.4">
      <c r="A73" s="6" t="s">
        <v>29</v>
      </c>
      <c r="B73" s="11"/>
      <c r="C73" s="11"/>
      <c r="D73" s="11"/>
      <c r="E73" s="11"/>
    </row>
    <row r="74" spans="1:5" ht="15.5" x14ac:dyDescent="0.4">
      <c r="A74" s="7" t="s">
        <v>30</v>
      </c>
      <c r="B74" s="11">
        <f>(B29/B28)*100</f>
        <v>104.66928226539822</v>
      </c>
      <c r="C74" s="11"/>
      <c r="D74" s="11"/>
      <c r="E74" s="11"/>
    </row>
    <row r="75" spans="1:5" ht="15.5" x14ac:dyDescent="0.4">
      <c r="A75" s="7" t="s">
        <v>31</v>
      </c>
      <c r="B75" s="11">
        <f>(B23/B29)*100</f>
        <v>88.513926863578547</v>
      </c>
      <c r="C75" s="11"/>
      <c r="D75" s="11"/>
      <c r="E75" s="11"/>
    </row>
    <row r="76" spans="1:5" ht="16" thickBot="1" x14ac:dyDescent="0.45">
      <c r="A76" s="17"/>
      <c r="B76" s="17"/>
      <c r="C76" s="17"/>
      <c r="D76" s="17"/>
      <c r="E76" s="17"/>
    </row>
    <row r="77" spans="1:5" s="4" customFormat="1" ht="16.5" customHeight="1" thickTop="1" x14ac:dyDescent="0.35">
      <c r="A77" s="34" t="s">
        <v>84</v>
      </c>
      <c r="B77" s="34"/>
      <c r="C77" s="34"/>
      <c r="D77" s="34"/>
      <c r="E77" s="34"/>
    </row>
    <row r="78" spans="1:5" ht="74.25" customHeight="1" x14ac:dyDescent="0.4">
      <c r="A78" s="28" t="s">
        <v>114</v>
      </c>
      <c r="B78" s="28"/>
      <c r="C78" s="28"/>
      <c r="D78" s="28"/>
      <c r="E78" s="28"/>
    </row>
  </sheetData>
  <mergeCells count="5">
    <mergeCell ref="A78:E78"/>
    <mergeCell ref="A77:E77"/>
    <mergeCell ref="A9:A10"/>
    <mergeCell ref="B9:B10"/>
    <mergeCell ref="C9:E9"/>
  </mergeCells>
  <pageMargins left="0.7" right="0.7" top="0.75" bottom="0.75" header="0.3" footer="0.3"/>
  <ignoredErrors>
    <ignoredError sqref="C67:C71" 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9:E79"/>
  <sheetViews>
    <sheetView showGridLines="0" zoomScale="80" zoomScaleNormal="80" workbookViewId="0">
      <pane ySplit="10" topLeftCell="A11" activePane="bottomLeft" state="frozen"/>
      <selection pane="bottomLeft" activeCell="A9" sqref="A9:A10"/>
    </sheetView>
  </sheetViews>
  <sheetFormatPr baseColWidth="10" defaultColWidth="11.453125" defaultRowHeight="14.5" x14ac:dyDescent="0.35"/>
  <cols>
    <col min="1" max="1" width="64.26953125" style="1" customWidth="1"/>
    <col min="2" max="5" width="24.7265625" style="1" customWidth="1"/>
    <col min="6" max="16384" width="11.453125" style="1"/>
  </cols>
  <sheetData>
    <row r="9" spans="1:5" s="4" customFormat="1" ht="15.5" x14ac:dyDescent="0.35">
      <c r="A9" s="29" t="s">
        <v>0</v>
      </c>
      <c r="B9" s="31" t="s">
        <v>1</v>
      </c>
      <c r="C9" s="33" t="s">
        <v>2</v>
      </c>
      <c r="D9" s="33"/>
      <c r="E9" s="33"/>
    </row>
    <row r="10" spans="1:5" s="3" customFormat="1" ht="47" thickBot="1" x14ac:dyDescent="0.4">
      <c r="A10" s="30"/>
      <c r="B10" s="32"/>
      <c r="C10" s="5" t="s">
        <v>39</v>
      </c>
      <c r="D10" s="5" t="s">
        <v>48</v>
      </c>
      <c r="E10" s="5" t="s">
        <v>49</v>
      </c>
    </row>
    <row r="11" spans="1:5" ht="16" thickTop="1" x14ac:dyDescent="0.4">
      <c r="A11" s="7"/>
      <c r="B11" s="7"/>
      <c r="C11" s="7"/>
      <c r="D11" s="7"/>
      <c r="E11" s="7"/>
    </row>
    <row r="12" spans="1:5" ht="15.5" x14ac:dyDescent="0.4">
      <c r="A12" s="6" t="s">
        <v>3</v>
      </c>
      <c r="B12" s="7"/>
      <c r="C12" s="7"/>
      <c r="D12" s="7"/>
      <c r="E12" s="7"/>
    </row>
    <row r="13" spans="1:5" ht="15.5" x14ac:dyDescent="0.4">
      <c r="A13" s="7"/>
      <c r="B13" s="7"/>
      <c r="C13" s="7"/>
      <c r="D13" s="7"/>
      <c r="E13" s="7"/>
    </row>
    <row r="14" spans="1:5" ht="15.5" x14ac:dyDescent="0.4">
      <c r="A14" s="6" t="s">
        <v>4</v>
      </c>
      <c r="B14" s="7"/>
      <c r="C14" s="7"/>
      <c r="D14" s="7"/>
      <c r="E14" s="7"/>
    </row>
    <row r="15" spans="1:5" ht="15.5" x14ac:dyDescent="0.4">
      <c r="A15" s="8" t="s">
        <v>69</v>
      </c>
      <c r="B15" s="25">
        <f>+SUM(C15:E15)</f>
        <v>25178</v>
      </c>
      <c r="C15" s="9">
        <v>23249</v>
      </c>
      <c r="D15" s="9">
        <v>1929</v>
      </c>
      <c r="E15" s="9">
        <v>0</v>
      </c>
    </row>
    <row r="16" spans="1:5" ht="15.5" x14ac:dyDescent="0.4">
      <c r="A16" s="8" t="s">
        <v>115</v>
      </c>
      <c r="B16" s="9">
        <f t="shared" ref="B16:B18" si="0">+SUM(C16:E16)</f>
        <v>22119</v>
      </c>
      <c r="C16" s="9">
        <v>19119</v>
      </c>
      <c r="D16" s="9">
        <v>0</v>
      </c>
      <c r="E16" s="9">
        <v>3000</v>
      </c>
    </row>
    <row r="17" spans="1:5" ht="15.5" x14ac:dyDescent="0.4">
      <c r="A17" s="8" t="s">
        <v>116</v>
      </c>
      <c r="B17" s="9">
        <f t="shared" si="0"/>
        <v>27804.666666666668</v>
      </c>
      <c r="C17" s="9">
        <v>26483</v>
      </c>
      <c r="D17" s="9">
        <v>0</v>
      </c>
      <c r="E17" s="9">
        <v>1321.6666666666667</v>
      </c>
    </row>
    <row r="18" spans="1:5" ht="15.5" x14ac:dyDescent="0.4">
      <c r="A18" s="8" t="s">
        <v>79</v>
      </c>
      <c r="B18" s="9">
        <f t="shared" si="0"/>
        <v>80754</v>
      </c>
      <c r="C18" s="9">
        <v>76476</v>
      </c>
      <c r="D18" s="9">
        <v>1278</v>
      </c>
      <c r="E18" s="9">
        <v>3000</v>
      </c>
    </row>
    <row r="19" spans="1:5" ht="15.5" x14ac:dyDescent="0.4">
      <c r="A19" s="7"/>
      <c r="B19" s="9"/>
      <c r="C19" s="9"/>
      <c r="D19" s="9"/>
      <c r="E19" s="9"/>
    </row>
    <row r="20" spans="1:5" ht="15.5" x14ac:dyDescent="0.4">
      <c r="A20" s="10" t="s">
        <v>5</v>
      </c>
      <c r="B20" s="9"/>
      <c r="C20" s="9"/>
      <c r="D20" s="9"/>
      <c r="E20" s="9"/>
    </row>
    <row r="21" spans="1:5" ht="15.5" x14ac:dyDescent="0.4">
      <c r="A21" s="8" t="s">
        <v>69</v>
      </c>
      <c r="B21" s="25">
        <f>SUM(C21:E21)</f>
        <v>3494912739.9400001</v>
      </c>
      <c r="C21" s="9">
        <v>2784732817.79</v>
      </c>
      <c r="D21" s="9">
        <v>710179922.14999998</v>
      </c>
      <c r="E21" s="9">
        <v>0</v>
      </c>
    </row>
    <row r="22" spans="1:5" ht="15.5" x14ac:dyDescent="0.4">
      <c r="A22" s="8" t="s">
        <v>115</v>
      </c>
      <c r="B22" s="9">
        <f t="shared" ref="B22:B25" si="1">SUM(C22:E22)</f>
        <v>3456940799.5952816</v>
      </c>
      <c r="C22" s="9">
        <v>3283415827.1352816</v>
      </c>
      <c r="D22" s="9">
        <v>0</v>
      </c>
      <c r="E22" s="9">
        <v>173524972.46000001</v>
      </c>
    </row>
    <row r="23" spans="1:5" ht="15.5" x14ac:dyDescent="0.4">
      <c r="A23" s="8" t="s">
        <v>116</v>
      </c>
      <c r="B23" s="9">
        <f t="shared" si="1"/>
        <v>3078873540.8599997</v>
      </c>
      <c r="C23" s="9">
        <v>2774627039.5799999</v>
      </c>
      <c r="D23" s="9">
        <v>786000</v>
      </c>
      <c r="E23" s="9">
        <v>303460501.27999997</v>
      </c>
    </row>
    <row r="24" spans="1:5" ht="15.5" x14ac:dyDescent="0.4">
      <c r="A24" s="8" t="s">
        <v>79</v>
      </c>
      <c r="B24" s="9">
        <f t="shared" si="1"/>
        <v>12195627419.999996</v>
      </c>
      <c r="C24" s="9">
        <v>10671101438.189667</v>
      </c>
      <c r="D24" s="9">
        <v>1003951064.43033</v>
      </c>
      <c r="E24" s="9">
        <v>520574917.38</v>
      </c>
    </row>
    <row r="25" spans="1:5" ht="15.5" x14ac:dyDescent="0.4">
      <c r="A25" s="8" t="s">
        <v>117</v>
      </c>
      <c r="B25" s="9">
        <f t="shared" si="1"/>
        <v>3078873540.8599997</v>
      </c>
      <c r="C25" s="9">
        <f>+C23</f>
        <v>2774627039.5799999</v>
      </c>
      <c r="D25" s="9">
        <f t="shared" ref="D25:E25" si="2">+D23</f>
        <v>786000</v>
      </c>
      <c r="E25" s="9">
        <f t="shared" si="2"/>
        <v>303460501.27999997</v>
      </c>
    </row>
    <row r="26" spans="1:5" ht="15.5" x14ac:dyDescent="0.4">
      <c r="A26" s="7"/>
      <c r="B26" s="9"/>
      <c r="C26" s="9"/>
      <c r="D26" s="9"/>
      <c r="E26" s="9"/>
    </row>
    <row r="27" spans="1:5" ht="15.5" x14ac:dyDescent="0.4">
      <c r="A27" s="14" t="s">
        <v>6</v>
      </c>
      <c r="B27" s="9"/>
      <c r="C27" s="9"/>
      <c r="D27" s="9"/>
      <c r="E27" s="9"/>
    </row>
    <row r="28" spans="1:5" ht="15.5" x14ac:dyDescent="0.4">
      <c r="A28" s="8" t="s">
        <v>115</v>
      </c>
      <c r="B28" s="9">
        <f>B22</f>
        <v>3456940799.5952816</v>
      </c>
      <c r="C28" s="9"/>
      <c r="D28" s="9"/>
      <c r="E28" s="9"/>
    </row>
    <row r="29" spans="1:5" ht="15.5" x14ac:dyDescent="0.4">
      <c r="A29" s="8" t="s">
        <v>116</v>
      </c>
      <c r="B29" s="9">
        <v>3048906855</v>
      </c>
      <c r="C29" s="9"/>
      <c r="D29" s="9"/>
      <c r="E29" s="9"/>
    </row>
    <row r="30" spans="1:5" ht="15.5" x14ac:dyDescent="0.4">
      <c r="A30" s="7"/>
      <c r="B30" s="15"/>
      <c r="C30" s="15"/>
      <c r="D30" s="15"/>
      <c r="E30" s="15"/>
    </row>
    <row r="31" spans="1:5" ht="15.5" x14ac:dyDescent="0.4">
      <c r="A31" s="6" t="s">
        <v>7</v>
      </c>
      <c r="B31" s="15"/>
      <c r="C31" s="15"/>
      <c r="D31" s="15"/>
      <c r="E31" s="15"/>
    </row>
    <row r="32" spans="1:5" ht="15.5" x14ac:dyDescent="0.4">
      <c r="A32" s="8" t="s">
        <v>70</v>
      </c>
      <c r="B32" s="12">
        <v>1.0706</v>
      </c>
      <c r="C32" s="12">
        <v>1.0706</v>
      </c>
      <c r="D32" s="12">
        <v>1.0706</v>
      </c>
      <c r="E32" s="12">
        <v>1.0706</v>
      </c>
    </row>
    <row r="33" spans="1:5" ht="15.5" x14ac:dyDescent="0.4">
      <c r="A33" s="8" t="s">
        <v>118</v>
      </c>
      <c r="B33" s="12">
        <v>1.0863</v>
      </c>
      <c r="C33" s="12">
        <v>1.0863</v>
      </c>
      <c r="D33" s="12">
        <v>1.0863</v>
      </c>
      <c r="E33" s="12">
        <v>1.0863</v>
      </c>
    </row>
    <row r="34" spans="1:5" ht="15.5" x14ac:dyDescent="0.4">
      <c r="A34" s="8" t="s">
        <v>8</v>
      </c>
      <c r="B34" s="21" t="s">
        <v>36</v>
      </c>
      <c r="C34" s="21" t="s">
        <v>36</v>
      </c>
      <c r="D34" s="21" t="s">
        <v>36</v>
      </c>
      <c r="E34" s="21" t="s">
        <v>36</v>
      </c>
    </row>
    <row r="35" spans="1:5" ht="15.5" x14ac:dyDescent="0.4">
      <c r="A35" s="7"/>
      <c r="B35" s="15"/>
      <c r="C35" s="15"/>
      <c r="D35" s="15"/>
      <c r="E35" s="15"/>
    </row>
    <row r="36" spans="1:5" ht="15.5" x14ac:dyDescent="0.4">
      <c r="A36" s="14" t="s">
        <v>9</v>
      </c>
      <c r="B36" s="15"/>
      <c r="C36" s="15"/>
      <c r="D36" s="15"/>
      <c r="E36" s="15"/>
    </row>
    <row r="37" spans="1:5" ht="15.5" x14ac:dyDescent="0.4">
      <c r="A37" s="8" t="s">
        <v>71</v>
      </c>
      <c r="B37" s="16">
        <f>B21/B32</f>
        <v>3264443059.9103308</v>
      </c>
      <c r="C37" s="16">
        <f t="shared" ref="C37:E37" si="3">C21/C32</f>
        <v>2601095477.1062956</v>
      </c>
      <c r="D37" s="16">
        <f>D21/D32</f>
        <v>663347582.80403507</v>
      </c>
      <c r="E37" s="16">
        <f t="shared" si="3"/>
        <v>0</v>
      </c>
    </row>
    <row r="38" spans="1:5" ht="15.5" x14ac:dyDescent="0.4">
      <c r="A38" s="8" t="s">
        <v>119</v>
      </c>
      <c r="B38" s="16">
        <f>B23/B33</f>
        <v>2834275560.0294576</v>
      </c>
      <c r="C38" s="16">
        <f t="shared" ref="C38:E38" si="4">C23/C33</f>
        <v>2554199612.9798398</v>
      </c>
      <c r="D38" s="16">
        <f>D23/D33</f>
        <v>723557.02844518085</v>
      </c>
      <c r="E38" s="16">
        <f t="shared" si="4"/>
        <v>279352390.02117276</v>
      </c>
    </row>
    <row r="39" spans="1:5" ht="15.5" x14ac:dyDescent="0.4">
      <c r="A39" s="8" t="s">
        <v>72</v>
      </c>
      <c r="B39" s="9">
        <f>B37/B15</f>
        <v>129654.58177418106</v>
      </c>
      <c r="C39" s="9">
        <f t="shared" ref="C39" si="5">C37/C15</f>
        <v>111879.88632226313</v>
      </c>
      <c r="D39" s="9">
        <f>D37/D15</f>
        <v>343881.58776777348</v>
      </c>
      <c r="E39" s="9" t="s">
        <v>36</v>
      </c>
    </row>
    <row r="40" spans="1:5" ht="15.5" x14ac:dyDescent="0.4">
      <c r="A40" s="8" t="s">
        <v>120</v>
      </c>
      <c r="B40" s="9">
        <f>B38/B17</f>
        <v>101935.2468421173</v>
      </c>
      <c r="C40" s="9">
        <f t="shared" ref="C40:E40" si="6">C38/C17</f>
        <v>96446.76256390287</v>
      </c>
      <c r="D40" s="9" t="s">
        <v>36</v>
      </c>
      <c r="E40" s="9">
        <f t="shared" si="6"/>
        <v>211363.7251105973</v>
      </c>
    </row>
    <row r="41" spans="1:5" ht="15.5" x14ac:dyDescent="0.4">
      <c r="A41" s="7"/>
      <c r="B41" s="15"/>
      <c r="C41" s="15"/>
      <c r="D41" s="15"/>
      <c r="E41" s="15"/>
    </row>
    <row r="42" spans="1:5" ht="15.5" x14ac:dyDescent="0.4">
      <c r="A42" s="6" t="s">
        <v>10</v>
      </c>
      <c r="B42" s="15"/>
      <c r="C42" s="15"/>
      <c r="D42" s="15"/>
      <c r="E42" s="15"/>
    </row>
    <row r="43" spans="1:5" ht="15.5" x14ac:dyDescent="0.4">
      <c r="A43" s="7"/>
      <c r="B43" s="15"/>
      <c r="C43" s="15"/>
      <c r="D43" s="15"/>
      <c r="E43" s="15"/>
    </row>
    <row r="44" spans="1:5" ht="15.5" x14ac:dyDescent="0.4">
      <c r="A44" s="6" t="s">
        <v>11</v>
      </c>
      <c r="B44" s="15"/>
      <c r="C44" s="15"/>
      <c r="D44" s="15"/>
      <c r="E44" s="15"/>
    </row>
    <row r="45" spans="1:5" ht="15.5" x14ac:dyDescent="0.4">
      <c r="A45" s="7" t="s">
        <v>12</v>
      </c>
      <c r="B45" s="11" t="s">
        <v>35</v>
      </c>
      <c r="C45" s="11" t="s">
        <v>35</v>
      </c>
      <c r="D45" s="11" t="s">
        <v>35</v>
      </c>
      <c r="E45" s="11" t="s">
        <v>35</v>
      </c>
    </row>
    <row r="46" spans="1:5" ht="15.5" x14ac:dyDescent="0.4">
      <c r="A46" s="7" t="s">
        <v>13</v>
      </c>
      <c r="B46" s="11" t="s">
        <v>35</v>
      </c>
      <c r="C46" s="11" t="s">
        <v>35</v>
      </c>
      <c r="D46" s="11" t="s">
        <v>35</v>
      </c>
      <c r="E46" s="11" t="s">
        <v>35</v>
      </c>
    </row>
    <row r="47" spans="1:5" ht="15.5" x14ac:dyDescent="0.4">
      <c r="A47" s="7"/>
      <c r="B47" s="11"/>
      <c r="C47" s="11"/>
      <c r="D47" s="11"/>
      <c r="E47" s="11"/>
    </row>
    <row r="48" spans="1:5" ht="15.5" x14ac:dyDescent="0.4">
      <c r="A48" s="6" t="s">
        <v>14</v>
      </c>
      <c r="B48" s="11"/>
      <c r="C48" s="11"/>
      <c r="D48" s="11"/>
      <c r="E48" s="11"/>
    </row>
    <row r="49" spans="1:5" ht="15.5" x14ac:dyDescent="0.4">
      <c r="A49" s="7" t="s">
        <v>15</v>
      </c>
      <c r="B49" s="11">
        <f>B17/B16*100</f>
        <v>125.70489925704899</v>
      </c>
      <c r="C49" s="11">
        <f t="shared" ref="C49:E49" si="7">C17/C16*100</f>
        <v>138.51665882106806</v>
      </c>
      <c r="D49" s="9" t="s">
        <v>36</v>
      </c>
      <c r="E49" s="11">
        <f t="shared" si="7"/>
        <v>44.055555555555557</v>
      </c>
    </row>
    <row r="50" spans="1:5" ht="15.5" x14ac:dyDescent="0.4">
      <c r="A50" s="7" t="s">
        <v>16</v>
      </c>
      <c r="B50" s="11">
        <f>B23/B22*100</f>
        <v>89.06353100465175</v>
      </c>
      <c r="C50" s="11">
        <f t="shared" ref="C50:E50" si="8">C23/C22*100</f>
        <v>84.504284125377126</v>
      </c>
      <c r="D50" s="9" t="s">
        <v>36</v>
      </c>
      <c r="E50" s="11">
        <f t="shared" si="8"/>
        <v>174.88001696698262</v>
      </c>
    </row>
    <row r="51" spans="1:5" ht="15.5" x14ac:dyDescent="0.4">
      <c r="A51" s="7" t="s">
        <v>17</v>
      </c>
      <c r="B51" s="11">
        <f>AVERAGE(B49:B50)</f>
        <v>107.38421513085038</v>
      </c>
      <c r="C51" s="11">
        <f t="shared" ref="C51:E51" si="9">AVERAGE(C49:C50)</f>
        <v>111.51047147322259</v>
      </c>
      <c r="D51" s="9" t="s">
        <v>36</v>
      </c>
      <c r="E51" s="11">
        <f t="shared" si="9"/>
        <v>109.46778626126908</v>
      </c>
    </row>
    <row r="52" spans="1:5" ht="15.5" x14ac:dyDescent="0.4">
      <c r="A52" s="7"/>
      <c r="B52" s="11"/>
      <c r="C52" s="11"/>
      <c r="D52" s="11"/>
      <c r="E52" s="11"/>
    </row>
    <row r="53" spans="1:5" ht="15.5" x14ac:dyDescent="0.4">
      <c r="A53" s="6" t="s">
        <v>18</v>
      </c>
      <c r="B53" s="11"/>
      <c r="C53" s="11"/>
      <c r="D53" s="11"/>
      <c r="E53" s="11"/>
    </row>
    <row r="54" spans="1:5" ht="15.5" x14ac:dyDescent="0.4">
      <c r="A54" s="7" t="s">
        <v>19</v>
      </c>
      <c r="B54" s="11">
        <f>B17/B18*100</f>
        <v>34.431318159678362</v>
      </c>
      <c r="C54" s="11">
        <f t="shared" ref="C54:E54" si="10">C17/C18*100</f>
        <v>34.629164705267016</v>
      </c>
      <c r="D54" s="11">
        <f t="shared" si="10"/>
        <v>0</v>
      </c>
      <c r="E54" s="11">
        <f t="shared" si="10"/>
        <v>44.055555555555557</v>
      </c>
    </row>
    <row r="55" spans="1:5" ht="15.5" x14ac:dyDescent="0.4">
      <c r="A55" s="7" t="s">
        <v>20</v>
      </c>
      <c r="B55" s="11">
        <f>B23/B24*100</f>
        <v>25.245716639480616</v>
      </c>
      <c r="C55" s="11">
        <f t="shared" ref="C55:E55" si="11">C23/C24*100</f>
        <v>26.001318192423728</v>
      </c>
      <c r="D55" s="11">
        <f>D23/D24*100</f>
        <v>7.8290668524366613E-2</v>
      </c>
      <c r="E55" s="11">
        <f t="shared" si="11"/>
        <v>58.293338988994215</v>
      </c>
    </row>
    <row r="56" spans="1:5" ht="15.5" x14ac:dyDescent="0.4">
      <c r="A56" s="7" t="s">
        <v>21</v>
      </c>
      <c r="B56" s="11">
        <f>(B54+B55)/2</f>
        <v>29.838517399579487</v>
      </c>
      <c r="C56" s="11">
        <f t="shared" ref="C56:E56" si="12">(C54+C55)/2</f>
        <v>30.31524144884537</v>
      </c>
      <c r="D56" s="11">
        <f>(D54+D55)/2</f>
        <v>3.9145334262183307E-2</v>
      </c>
      <c r="E56" s="11">
        <f t="shared" si="12"/>
        <v>51.17444727227489</v>
      </c>
    </row>
    <row r="57" spans="1:5" ht="15.5" x14ac:dyDescent="0.4">
      <c r="A57" s="7"/>
      <c r="B57" s="11"/>
      <c r="C57" s="11"/>
      <c r="D57" s="11"/>
      <c r="E57" s="11"/>
    </row>
    <row r="58" spans="1:5" ht="15.5" x14ac:dyDescent="0.4">
      <c r="A58" s="6" t="s">
        <v>32</v>
      </c>
      <c r="B58" s="11"/>
      <c r="C58" s="11"/>
      <c r="D58" s="11"/>
      <c r="E58" s="11"/>
    </row>
    <row r="59" spans="1:5" ht="15.5" x14ac:dyDescent="0.4">
      <c r="A59" s="7" t="s">
        <v>22</v>
      </c>
      <c r="B59" s="11">
        <f t="shared" ref="B59" si="13">B25/B23*100</f>
        <v>100</v>
      </c>
      <c r="C59" s="11"/>
      <c r="D59" s="11"/>
      <c r="E59" s="11"/>
    </row>
    <row r="60" spans="1:5" ht="15.5" x14ac:dyDescent="0.4">
      <c r="A60" s="7"/>
      <c r="B60" s="11"/>
      <c r="C60" s="11"/>
      <c r="D60" s="11"/>
      <c r="E60" s="11"/>
    </row>
    <row r="61" spans="1:5" ht="15.5" x14ac:dyDescent="0.4">
      <c r="A61" s="6" t="s">
        <v>23</v>
      </c>
      <c r="B61" s="11"/>
      <c r="C61" s="11"/>
      <c r="D61" s="11"/>
      <c r="E61" s="11"/>
    </row>
    <row r="62" spans="1:5" ht="15.5" x14ac:dyDescent="0.4">
      <c r="A62" s="7" t="s">
        <v>24</v>
      </c>
      <c r="B62" s="11">
        <f>((B17/B15)-1)*100</f>
        <v>10.432388063653452</v>
      </c>
      <c r="C62" s="11">
        <f t="shared" ref="C62" si="14">((C17/C15)-1)*100</f>
        <v>13.91027571078325</v>
      </c>
      <c r="D62" s="11">
        <f t="shared" ref="D62" si="15">((D17/D15)-1)*100</f>
        <v>-100</v>
      </c>
      <c r="E62" s="9" t="s">
        <v>36</v>
      </c>
    </row>
    <row r="63" spans="1:5" ht="15.5" x14ac:dyDescent="0.4">
      <c r="A63" s="7" t="s">
        <v>25</v>
      </c>
      <c r="B63" s="11">
        <f>((B38/B37)-1)*100</f>
        <v>-13.17736263081548</v>
      </c>
      <c r="C63" s="11">
        <f t="shared" ref="C63" si="16">((C38/C37)-1)*100</f>
        <v>-1.802927441119051</v>
      </c>
      <c r="D63" s="11">
        <f t="shared" ref="D63" si="17">((D38/D37)-1)*100</f>
        <v>-99.890923394129715</v>
      </c>
      <c r="E63" s="9" t="s">
        <v>36</v>
      </c>
    </row>
    <row r="64" spans="1:5" ht="15.5" x14ac:dyDescent="0.4">
      <c r="A64" s="7" t="s">
        <v>26</v>
      </c>
      <c r="B64" s="11">
        <f t="shared" ref="B64:C64" si="18">((B40/B39)-1)*100</f>
        <v>-21.37937167569013</v>
      </c>
      <c r="C64" s="11">
        <f t="shared" si="18"/>
        <v>-13.794368465754514</v>
      </c>
      <c r="D64" s="11" t="s">
        <v>36</v>
      </c>
      <c r="E64" s="9" t="s">
        <v>36</v>
      </c>
    </row>
    <row r="65" spans="1:5" ht="15.5" x14ac:dyDescent="0.4">
      <c r="A65" s="7"/>
      <c r="B65" s="11"/>
      <c r="C65" s="11"/>
      <c r="D65" s="11"/>
      <c r="E65" s="11"/>
    </row>
    <row r="66" spans="1:5" ht="15.5" x14ac:dyDescent="0.4">
      <c r="A66" s="6" t="s">
        <v>27</v>
      </c>
      <c r="B66" s="11"/>
      <c r="C66" s="11"/>
      <c r="D66" s="11"/>
      <c r="E66" s="11"/>
    </row>
    <row r="67" spans="1:5" ht="15.5" x14ac:dyDescent="0.4">
      <c r="A67" s="7" t="s">
        <v>40</v>
      </c>
      <c r="B67" s="11">
        <f>B22/(B16*3)</f>
        <v>52096.098370861881</v>
      </c>
      <c r="C67" s="11">
        <f>C22/C16</f>
        <v>171735.75119699156</v>
      </c>
      <c r="D67" s="11" t="s">
        <v>36</v>
      </c>
      <c r="E67" s="11">
        <f>E22/(E16*2)</f>
        <v>28920.828743333335</v>
      </c>
    </row>
    <row r="68" spans="1:5" ht="15.5" x14ac:dyDescent="0.4">
      <c r="A68" s="7" t="s">
        <v>41</v>
      </c>
      <c r="B68" s="11">
        <f t="shared" ref="B68" si="19">B23/(B17*3)</f>
        <v>36910.752881530672</v>
      </c>
      <c r="C68" s="11">
        <f>C23/C17</f>
        <v>104770.11817316769</v>
      </c>
      <c r="D68" s="11" t="s">
        <v>36</v>
      </c>
      <c r="E68" s="11">
        <f>E23/(E17*3)</f>
        <v>76534.804862547287</v>
      </c>
    </row>
    <row r="69" spans="1:5" ht="15.5" x14ac:dyDescent="0.4">
      <c r="A69" s="7" t="s">
        <v>28</v>
      </c>
      <c r="B69" s="11">
        <f>(B68/B67)*B51</f>
        <v>76.08309167138826</v>
      </c>
      <c r="C69" s="11">
        <f t="shared" ref="C69:E69" si="20">(C68/C67)*C51</f>
        <v>68.028731305889181</v>
      </c>
      <c r="D69" s="11" t="s">
        <v>36</v>
      </c>
      <c r="E69" s="11">
        <f t="shared" si="20"/>
        <v>289.69071856810245</v>
      </c>
    </row>
    <row r="70" spans="1:5" ht="15.5" x14ac:dyDescent="0.4">
      <c r="A70" s="7" t="s">
        <v>42</v>
      </c>
      <c r="B70" s="11">
        <f t="shared" ref="B70:B71" si="21">B22/B16</f>
        <v>156288.29511258562</v>
      </c>
      <c r="C70" s="11">
        <f>(C22/C16)*3</f>
        <v>515207.25359097472</v>
      </c>
      <c r="D70" s="11" t="s">
        <v>36</v>
      </c>
      <c r="E70" s="11">
        <f t="shared" ref="E70" si="22">E22/E16</f>
        <v>57841.657486666671</v>
      </c>
    </row>
    <row r="71" spans="1:5" ht="15.5" x14ac:dyDescent="0.4">
      <c r="A71" s="7" t="s">
        <v>43</v>
      </c>
      <c r="B71" s="11">
        <f t="shared" si="21"/>
        <v>110732.25864459202</v>
      </c>
      <c r="C71" s="11">
        <f>(C23/C17)*3</f>
        <v>314310.35451950307</v>
      </c>
      <c r="D71" s="11" t="s">
        <v>36</v>
      </c>
      <c r="E71" s="11">
        <f>E23/E17</f>
        <v>229604.41458764183</v>
      </c>
    </row>
    <row r="72" spans="1:5" ht="15.5" x14ac:dyDescent="0.4">
      <c r="A72" s="7"/>
      <c r="B72" s="11"/>
      <c r="C72" s="11"/>
      <c r="D72" s="11"/>
      <c r="E72" s="11"/>
    </row>
    <row r="73" spans="1:5" ht="15.5" x14ac:dyDescent="0.4">
      <c r="A73" s="6" t="s">
        <v>29</v>
      </c>
      <c r="B73" s="11"/>
      <c r="C73" s="11"/>
      <c r="D73" s="11"/>
      <c r="E73" s="11"/>
    </row>
    <row r="74" spans="1:5" ht="15.5" x14ac:dyDescent="0.4">
      <c r="A74" s="7" t="s">
        <v>30</v>
      </c>
      <c r="B74" s="11">
        <f>(B29/B28)*100</f>
        <v>88.196675377170124</v>
      </c>
      <c r="C74" s="11"/>
      <c r="D74" s="11"/>
      <c r="E74" s="11"/>
    </row>
    <row r="75" spans="1:5" ht="15.5" x14ac:dyDescent="0.4">
      <c r="A75" s="7" t="s">
        <v>31</v>
      </c>
      <c r="B75" s="11">
        <f>(B23/B29)*100</f>
        <v>100.98286655792243</v>
      </c>
      <c r="C75" s="11"/>
      <c r="D75" s="11"/>
      <c r="E75" s="11"/>
    </row>
    <row r="76" spans="1:5" ht="16" thickBot="1" x14ac:dyDescent="0.45">
      <c r="A76" s="17"/>
      <c r="B76" s="17"/>
      <c r="C76" s="17"/>
      <c r="D76" s="17"/>
      <c r="E76" s="17"/>
    </row>
    <row r="77" spans="1:5" s="4" customFormat="1" ht="16.5" customHeight="1" thickTop="1" x14ac:dyDescent="0.35">
      <c r="A77" s="34" t="s">
        <v>84</v>
      </c>
      <c r="B77" s="34"/>
      <c r="C77" s="34"/>
      <c r="D77" s="34"/>
      <c r="E77" s="34"/>
    </row>
    <row r="78" spans="1:5" ht="74.25" customHeight="1" x14ac:dyDescent="0.4">
      <c r="A78" s="28" t="s">
        <v>127</v>
      </c>
      <c r="B78" s="28"/>
      <c r="C78" s="28"/>
      <c r="D78" s="28"/>
      <c r="E78" s="28"/>
    </row>
    <row r="79" spans="1:5" x14ac:dyDescent="0.35">
      <c r="A79" s="2"/>
    </row>
  </sheetData>
  <mergeCells count="5">
    <mergeCell ref="A78:E78"/>
    <mergeCell ref="A77:E77"/>
    <mergeCell ref="A9:A10"/>
    <mergeCell ref="B9:B10"/>
    <mergeCell ref="C9:E9"/>
  </mergeCells>
  <pageMargins left="0.7" right="0.7" top="0.75" bottom="0.75" header="0.3" footer="0.3"/>
  <pageSetup paperSize="9" orientation="portrait" r:id="rId1"/>
  <ignoredErrors>
    <ignoredError sqref="D65:D66" evalError="1"/>
    <ignoredError sqref="C67:C71"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9:E82"/>
  <sheetViews>
    <sheetView showGridLines="0" zoomScale="80" zoomScaleNormal="80" zoomScaleSheetLayoutView="80" workbookViewId="0">
      <pane ySplit="10" topLeftCell="A11" activePane="bottomLeft" state="frozen"/>
      <selection pane="bottomLeft" activeCell="A9" sqref="A9:A10"/>
    </sheetView>
  </sheetViews>
  <sheetFormatPr baseColWidth="10" defaultColWidth="11.453125" defaultRowHeight="14.5" x14ac:dyDescent="0.35"/>
  <cols>
    <col min="1" max="1" width="64.26953125" style="1" customWidth="1"/>
    <col min="2" max="5" width="24.7265625" style="1" customWidth="1"/>
    <col min="6" max="16384" width="11.453125" style="1"/>
  </cols>
  <sheetData>
    <row r="9" spans="1:5" s="4" customFormat="1" ht="15.5" x14ac:dyDescent="0.35">
      <c r="A9" s="29" t="s">
        <v>0</v>
      </c>
      <c r="B9" s="31" t="s">
        <v>1</v>
      </c>
      <c r="C9" s="33" t="s">
        <v>2</v>
      </c>
      <c r="D9" s="33"/>
      <c r="E9" s="33"/>
    </row>
    <row r="10" spans="1:5" s="3" customFormat="1" ht="47" thickBot="1" x14ac:dyDescent="0.4">
      <c r="A10" s="30"/>
      <c r="B10" s="32"/>
      <c r="C10" s="5" t="s">
        <v>39</v>
      </c>
      <c r="D10" s="5" t="s">
        <v>48</v>
      </c>
      <c r="E10" s="5" t="s">
        <v>49</v>
      </c>
    </row>
    <row r="11" spans="1:5" ht="16" thickTop="1" x14ac:dyDescent="0.4">
      <c r="A11" s="7"/>
      <c r="B11" s="7"/>
      <c r="C11" s="7"/>
      <c r="D11" s="7"/>
      <c r="E11" s="7"/>
    </row>
    <row r="12" spans="1:5" ht="15.5" x14ac:dyDescent="0.4">
      <c r="A12" s="6" t="s">
        <v>3</v>
      </c>
      <c r="B12" s="7"/>
      <c r="C12" s="7"/>
      <c r="D12" s="7"/>
      <c r="E12" s="7"/>
    </row>
    <row r="13" spans="1:5" ht="15.5" x14ac:dyDescent="0.4">
      <c r="A13" s="7"/>
      <c r="B13" s="7"/>
      <c r="C13" s="7"/>
      <c r="D13" s="7"/>
      <c r="E13" s="7"/>
    </row>
    <row r="14" spans="1:5" ht="15.5" x14ac:dyDescent="0.4">
      <c r="A14" s="6" t="s">
        <v>4</v>
      </c>
      <c r="B14" s="7"/>
      <c r="C14" s="7"/>
      <c r="D14" s="7"/>
      <c r="E14" s="7"/>
    </row>
    <row r="15" spans="1:5" ht="15.5" x14ac:dyDescent="0.4">
      <c r="A15" s="8" t="s">
        <v>73</v>
      </c>
      <c r="B15" s="26">
        <f t="shared" ref="B15:B17" si="0">SUM(C15:E15)</f>
        <v>89944.833333333328</v>
      </c>
      <c r="C15" s="18">
        <f>(+'I Trimestre'!C15+'II trimestre'!C15+'III Trimestre'!C15+'IV Trimestre'!C15)</f>
        <v>86571</v>
      </c>
      <c r="D15" s="18">
        <f>(+'I Trimestre'!D15+'II trimestre'!D15+'III Trimestre'!D15+'IV Trimestre'!D15)/4</f>
        <v>3373.8333333333335</v>
      </c>
      <c r="E15" s="18">
        <f>(+'I Trimestre'!E15+'II trimestre'!E15+'III Trimestre'!E15+'IV Trimestre'!E15)/4</f>
        <v>0</v>
      </c>
    </row>
    <row r="16" spans="1:5" ht="15.5" x14ac:dyDescent="0.4">
      <c r="A16" s="8" t="s">
        <v>121</v>
      </c>
      <c r="B16" s="18">
        <f>SUM(C16:E16)</f>
        <v>80754</v>
      </c>
      <c r="C16" s="18">
        <f>(+'I Trimestre'!C16+'II trimestre'!C16+'III Trimestre'!C16+'IV Trimestre'!C16)</f>
        <v>76476</v>
      </c>
      <c r="D16" s="18">
        <f>(+'I Trimestre'!D16+'II trimestre'!D16)/2</f>
        <v>1278</v>
      </c>
      <c r="E16" s="18">
        <f>(+'II trimestre'!E16+'III Trimestre'!E16+'IV Trimestre'!E16)/3</f>
        <v>3000</v>
      </c>
    </row>
    <row r="17" spans="1:5" ht="15.5" x14ac:dyDescent="0.4">
      <c r="A17" s="8" t="s">
        <v>122</v>
      </c>
      <c r="B17" s="18">
        <f t="shared" si="0"/>
        <v>95984.666666666672</v>
      </c>
      <c r="C17" s="18">
        <f>(+'I Trimestre'!C17+'II trimestre'!C17+'III Trimestre'!C17+'IV Trimestre'!C17)</f>
        <v>93819</v>
      </c>
      <c r="D17" s="18">
        <f>(+'I Trimestre'!D17+'II trimestre'!D17)/2</f>
        <v>1284.6666666666665</v>
      </c>
      <c r="E17" s="18">
        <f>(+'III Trimestre'!E17+'IV Trimestre'!E17)/2</f>
        <v>881</v>
      </c>
    </row>
    <row r="18" spans="1:5" ht="15.5" x14ac:dyDescent="0.4">
      <c r="A18" s="8" t="s">
        <v>79</v>
      </c>
      <c r="B18" s="18">
        <f>SUM(C18:E18)</f>
        <v>80754</v>
      </c>
      <c r="C18" s="18">
        <f>+'IV Trimestre'!C18</f>
        <v>76476</v>
      </c>
      <c r="D18" s="18">
        <f>+'IV Trimestre'!D18</f>
        <v>1278</v>
      </c>
      <c r="E18" s="18">
        <f>+'IV Trimestre'!E18</f>
        <v>3000</v>
      </c>
    </row>
    <row r="19" spans="1:5" ht="15.5" x14ac:dyDescent="0.4">
      <c r="A19" s="7"/>
      <c r="B19" s="18"/>
      <c r="C19" s="18"/>
      <c r="D19" s="18"/>
      <c r="E19" s="18"/>
    </row>
    <row r="20" spans="1:5" ht="15.5" x14ac:dyDescent="0.4">
      <c r="A20" s="10" t="s">
        <v>5</v>
      </c>
      <c r="B20" s="18"/>
      <c r="C20" s="18"/>
      <c r="D20" s="18"/>
      <c r="E20" s="18"/>
    </row>
    <row r="21" spans="1:5" ht="15.5" x14ac:dyDescent="0.4">
      <c r="A21" s="8" t="s">
        <v>50</v>
      </c>
      <c r="B21" s="26">
        <f>SUM(C21:E21)</f>
        <v>12821732535.440001</v>
      </c>
      <c r="C21" s="18">
        <f>+'I Trimestre'!C21+'II trimestre'!C21+'III Trimestre'!C21+'IV Trimestre'!C21</f>
        <v>9974611922.2000008</v>
      </c>
      <c r="D21" s="18">
        <f>+'I Trimestre'!D21+'II trimestre'!D21+'III Trimestre'!D21+'IV Trimestre'!D21</f>
        <v>2836168650.7199998</v>
      </c>
      <c r="E21" s="18">
        <f>+'I Trimestre'!E21+'II trimestre'!E21+'III Trimestre'!E21+'IV Trimestre'!E21</f>
        <v>10951962.52</v>
      </c>
    </row>
    <row r="22" spans="1:5" ht="15.5" x14ac:dyDescent="0.4">
      <c r="A22" s="8" t="s">
        <v>121</v>
      </c>
      <c r="B22" s="18">
        <f>SUM(C22:E22)</f>
        <v>12195627419.999996</v>
      </c>
      <c r="C22" s="18">
        <f>+'I Trimestre'!C22+'II trimestre'!C22+'III Trimestre'!C22+'IV Trimestre'!C22</f>
        <v>10671101438.189667</v>
      </c>
      <c r="D22" s="18">
        <f>+'I Trimestre'!D22+'II trimestre'!D22+'III Trimestre'!D22+'IV Trimestre'!D22</f>
        <v>1003951064.43033</v>
      </c>
      <c r="E22" s="18">
        <f>+'I Trimestre'!E22+'II trimestre'!E22+'III Trimestre'!E22+'IV Trimestre'!E22</f>
        <v>520574917.38</v>
      </c>
    </row>
    <row r="23" spans="1:5" ht="15.5" x14ac:dyDescent="0.4">
      <c r="A23" s="8" t="s">
        <v>122</v>
      </c>
      <c r="B23" s="18">
        <f>SUM(C23:E23)</f>
        <v>11174995092.179998</v>
      </c>
      <c r="C23" s="18">
        <f>+'I Trimestre'!C23+'II trimestre'!C23+'III Trimestre'!C23+'IV Trimestre'!C23</f>
        <v>9887642272.6099987</v>
      </c>
      <c r="D23" s="18">
        <f>+'I Trimestre'!D23+'II trimestre'!D23+'III Trimestre'!D23+'IV Trimestre'!D23</f>
        <v>930853064.43000007</v>
      </c>
      <c r="E23" s="18">
        <f>+'I Trimestre'!E23+'II trimestre'!E23+'III Trimestre'!E23+'IV Trimestre'!E23</f>
        <v>356499755.13999999</v>
      </c>
    </row>
    <row r="24" spans="1:5" ht="15.5" x14ac:dyDescent="0.4">
      <c r="A24" s="8" t="s">
        <v>79</v>
      </c>
      <c r="B24" s="18">
        <f>SUM(C24:E24)</f>
        <v>12195627419.999996</v>
      </c>
      <c r="C24" s="18">
        <f>+'IV Trimestre'!C24</f>
        <v>10671101438.189667</v>
      </c>
      <c r="D24" s="18">
        <f>+'IV Trimestre'!D24</f>
        <v>1003951064.43033</v>
      </c>
      <c r="E24" s="18">
        <f>+'IV Trimestre'!E24</f>
        <v>520574917.38</v>
      </c>
    </row>
    <row r="25" spans="1:5" ht="15.5" x14ac:dyDescent="0.4">
      <c r="A25" s="8" t="s">
        <v>123</v>
      </c>
      <c r="B25" s="18">
        <f>SUM(C25:E25)</f>
        <v>11174995092.179998</v>
      </c>
      <c r="C25" s="18">
        <f t="shared" ref="C25:E25" si="1">C23</f>
        <v>9887642272.6099987</v>
      </c>
      <c r="D25" s="18">
        <f t="shared" si="1"/>
        <v>930853064.43000007</v>
      </c>
      <c r="E25" s="18">
        <f t="shared" si="1"/>
        <v>356499755.13999999</v>
      </c>
    </row>
    <row r="26" spans="1:5" ht="15.5" x14ac:dyDescent="0.4">
      <c r="A26" s="6"/>
      <c r="B26" s="18"/>
      <c r="C26" s="18"/>
      <c r="D26" s="18"/>
      <c r="E26" s="18"/>
    </row>
    <row r="27" spans="1:5" ht="15.5" x14ac:dyDescent="0.4">
      <c r="A27" s="14" t="s">
        <v>6</v>
      </c>
      <c r="B27" s="18"/>
      <c r="C27" s="18"/>
      <c r="D27" s="18"/>
      <c r="E27" s="18"/>
    </row>
    <row r="28" spans="1:5" ht="15.5" x14ac:dyDescent="0.4">
      <c r="A28" s="8" t="s">
        <v>121</v>
      </c>
      <c r="B28" s="18">
        <f>+B22</f>
        <v>12195627419.999996</v>
      </c>
      <c r="C28" s="18"/>
      <c r="D28" s="18"/>
      <c r="E28" s="18"/>
    </row>
    <row r="29" spans="1:5" ht="15.5" x14ac:dyDescent="0.4">
      <c r="A29" s="8" t="s">
        <v>122</v>
      </c>
      <c r="B29" s="18">
        <f>'I Trimestre'!B29+'II trimestre'!B29+'III Trimestre'!B29+'IV Trimestre'!B29</f>
        <v>12195627420</v>
      </c>
      <c r="C29" s="18"/>
      <c r="D29" s="18"/>
      <c r="E29" s="18"/>
    </row>
    <row r="30" spans="1:5" ht="15.5" x14ac:dyDescent="0.4">
      <c r="A30" s="7"/>
      <c r="B30" s="18"/>
      <c r="C30" s="18"/>
      <c r="D30" s="18"/>
      <c r="E30" s="18"/>
    </row>
    <row r="31" spans="1:5" ht="15.5" x14ac:dyDescent="0.4">
      <c r="A31" s="6" t="s">
        <v>7</v>
      </c>
      <c r="B31" s="7"/>
      <c r="C31" s="7"/>
      <c r="D31" s="7"/>
      <c r="E31" s="7"/>
    </row>
    <row r="32" spans="1:5" ht="15.5" x14ac:dyDescent="0.4">
      <c r="A32" s="8" t="s">
        <v>74</v>
      </c>
      <c r="B32" s="12">
        <v>1.0706</v>
      </c>
      <c r="C32" s="12">
        <v>1.0706</v>
      </c>
      <c r="D32" s="12">
        <v>1.0706</v>
      </c>
      <c r="E32" s="12">
        <v>1.0706</v>
      </c>
    </row>
    <row r="33" spans="1:5" ht="15.5" x14ac:dyDescent="0.4">
      <c r="A33" s="8" t="s">
        <v>124</v>
      </c>
      <c r="B33" s="12">
        <v>1.0863</v>
      </c>
      <c r="C33" s="12">
        <v>1.0863</v>
      </c>
      <c r="D33" s="12">
        <v>1.0863</v>
      </c>
      <c r="E33" s="12">
        <v>1.0863</v>
      </c>
    </row>
    <row r="34" spans="1:5" ht="15.5" x14ac:dyDescent="0.4">
      <c r="A34" s="8" t="s">
        <v>8</v>
      </c>
      <c r="B34" s="13" t="s">
        <v>36</v>
      </c>
      <c r="C34" s="13" t="s">
        <v>36</v>
      </c>
      <c r="D34" s="13" t="s">
        <v>36</v>
      </c>
      <c r="E34" s="13" t="s">
        <v>36</v>
      </c>
    </row>
    <row r="35" spans="1:5" ht="15.5" x14ac:dyDescent="0.4">
      <c r="A35" s="7"/>
      <c r="B35" s="7"/>
      <c r="C35" s="7"/>
      <c r="D35" s="7"/>
      <c r="E35" s="7"/>
    </row>
    <row r="36" spans="1:5" ht="15.5" x14ac:dyDescent="0.4">
      <c r="A36" s="14" t="s">
        <v>9</v>
      </c>
      <c r="B36" s="7"/>
      <c r="C36" s="7"/>
      <c r="D36" s="7"/>
      <c r="E36" s="7"/>
    </row>
    <row r="37" spans="1:5" ht="15.5" x14ac:dyDescent="0.4">
      <c r="A37" s="8" t="s">
        <v>75</v>
      </c>
      <c r="B37" s="19">
        <f>B21/B32</f>
        <v>11976211970.334393</v>
      </c>
      <c r="C37" s="19">
        <f>C21/C32</f>
        <v>9316842819.1668224</v>
      </c>
      <c r="D37" s="19">
        <f>D21/D32</f>
        <v>2649139408.4812255</v>
      </c>
      <c r="E37" s="19">
        <f>E21/E32</f>
        <v>10229742.686344106</v>
      </c>
    </row>
    <row r="38" spans="1:5" ht="15.5" x14ac:dyDescent="0.4">
      <c r="A38" s="8" t="s">
        <v>125</v>
      </c>
      <c r="B38" s="19">
        <f>B23/B33</f>
        <v>10287208959.016844</v>
      </c>
      <c r="C38" s="19">
        <f>C23/C33</f>
        <v>9102128576.4613819</v>
      </c>
      <c r="D38" s="19">
        <f>D23/D33</f>
        <v>856902388.3181442</v>
      </c>
      <c r="E38" s="19">
        <f>E23/E33</f>
        <v>328177994.23731929</v>
      </c>
    </row>
    <row r="39" spans="1:5" ht="15.5" x14ac:dyDescent="0.4">
      <c r="A39" s="8" t="s">
        <v>76</v>
      </c>
      <c r="B39" s="18">
        <f>B37/B15</f>
        <v>133150.63830237862</v>
      </c>
      <c r="C39" s="18">
        <f>C37/C15</f>
        <v>107620.8293674189</v>
      </c>
      <c r="D39" s="18">
        <f>D37/D15</f>
        <v>785201.62282701931</v>
      </c>
      <c r="E39" s="9" t="s">
        <v>36</v>
      </c>
    </row>
    <row r="40" spans="1:5" ht="15.5" x14ac:dyDescent="0.4">
      <c r="A40" s="8" t="s">
        <v>126</v>
      </c>
      <c r="B40" s="18">
        <f>B38/B17</f>
        <v>107175.54497263636</v>
      </c>
      <c r="C40" s="18">
        <f>C38/C17</f>
        <v>97017.966259088047</v>
      </c>
      <c r="D40" s="18">
        <f>D38/D17</f>
        <v>667023.13569134218</v>
      </c>
      <c r="E40" s="18">
        <f>E38/E17</f>
        <v>372506.23636472109</v>
      </c>
    </row>
    <row r="41" spans="1:5" ht="15.5" x14ac:dyDescent="0.4">
      <c r="A41" s="7"/>
      <c r="B41" s="18"/>
      <c r="C41" s="18"/>
      <c r="D41" s="18"/>
      <c r="E41" s="18"/>
    </row>
    <row r="42" spans="1:5" ht="15.5" x14ac:dyDescent="0.4">
      <c r="A42" s="6" t="s">
        <v>10</v>
      </c>
      <c r="B42" s="7"/>
      <c r="C42" s="7"/>
      <c r="D42" s="7"/>
      <c r="E42" s="7"/>
    </row>
    <row r="43" spans="1:5" ht="15.5" x14ac:dyDescent="0.4">
      <c r="A43" s="7"/>
      <c r="B43" s="7"/>
      <c r="C43" s="7"/>
      <c r="D43" s="7"/>
      <c r="E43" s="7"/>
    </row>
    <row r="44" spans="1:5" ht="15.5" x14ac:dyDescent="0.4">
      <c r="A44" s="6" t="s">
        <v>11</v>
      </c>
      <c r="B44" s="7"/>
      <c r="C44" s="7"/>
      <c r="D44" s="7"/>
      <c r="E44" s="7"/>
    </row>
    <row r="45" spans="1:5" ht="15.5" x14ac:dyDescent="0.4">
      <c r="A45" s="7" t="s">
        <v>12</v>
      </c>
      <c r="B45" s="11" t="s">
        <v>35</v>
      </c>
      <c r="C45" s="11" t="s">
        <v>35</v>
      </c>
      <c r="D45" s="11" t="s">
        <v>35</v>
      </c>
      <c r="E45" s="11" t="s">
        <v>35</v>
      </c>
    </row>
    <row r="46" spans="1:5" ht="15.5" x14ac:dyDescent="0.4">
      <c r="A46" s="7" t="s">
        <v>13</v>
      </c>
      <c r="B46" s="11" t="s">
        <v>35</v>
      </c>
      <c r="C46" s="11" t="s">
        <v>35</v>
      </c>
      <c r="D46" s="11" t="s">
        <v>35</v>
      </c>
      <c r="E46" s="11" t="s">
        <v>35</v>
      </c>
    </row>
    <row r="47" spans="1:5" ht="15.5" x14ac:dyDescent="0.4">
      <c r="A47" s="7"/>
      <c r="B47" s="20"/>
      <c r="C47" s="20"/>
      <c r="D47" s="20"/>
      <c r="E47" s="20"/>
    </row>
    <row r="48" spans="1:5" ht="15.5" x14ac:dyDescent="0.4">
      <c r="A48" s="6" t="s">
        <v>14</v>
      </c>
      <c r="B48" s="20"/>
      <c r="C48" s="20"/>
      <c r="D48" s="20"/>
      <c r="E48" s="20"/>
    </row>
    <row r="49" spans="1:5" ht="15.5" x14ac:dyDescent="0.4">
      <c r="A49" s="7" t="s">
        <v>15</v>
      </c>
      <c r="B49" s="20">
        <f>B17/B16*100</f>
        <v>118.86057243810421</v>
      </c>
      <c r="C49" s="20">
        <f t="shared" ref="C49:E49" si="2">C17/C16*100</f>
        <v>122.67770280872429</v>
      </c>
      <c r="D49" s="20">
        <f t="shared" si="2"/>
        <v>100.52164840897233</v>
      </c>
      <c r="E49" s="20">
        <f t="shared" si="2"/>
        <v>29.366666666666667</v>
      </c>
    </row>
    <row r="50" spans="1:5" ht="15.5" x14ac:dyDescent="0.4">
      <c r="A50" s="7" t="s">
        <v>16</v>
      </c>
      <c r="B50" s="20">
        <f>B23/B22*100</f>
        <v>91.631161787164544</v>
      </c>
      <c r="C50" s="20">
        <f t="shared" ref="C50:E50" si="3">C23/C22*100</f>
        <v>92.658122780317413</v>
      </c>
      <c r="D50" s="20">
        <f t="shared" si="3"/>
        <v>92.718967827201041</v>
      </c>
      <c r="E50" s="20">
        <f t="shared" si="3"/>
        <v>68.481930887916491</v>
      </c>
    </row>
    <row r="51" spans="1:5" ht="15.5" x14ac:dyDescent="0.4">
      <c r="A51" s="7" t="s">
        <v>17</v>
      </c>
      <c r="B51" s="20">
        <f>AVERAGE(B49:B50)</f>
        <v>105.24586711263439</v>
      </c>
      <c r="C51" s="20">
        <f t="shared" ref="C51:E51" si="4">AVERAGE(C49:C50)</f>
        <v>107.66791279452084</v>
      </c>
      <c r="D51" s="20">
        <f t="shared" si="4"/>
        <v>96.620308118086683</v>
      </c>
      <c r="E51" s="20">
        <f t="shared" si="4"/>
        <v>48.924298777291582</v>
      </c>
    </row>
    <row r="52" spans="1:5" ht="15.5" x14ac:dyDescent="0.4">
      <c r="A52" s="7"/>
      <c r="B52" s="20"/>
      <c r="C52" s="20"/>
      <c r="D52" s="20"/>
      <c r="E52" s="20"/>
    </row>
    <row r="53" spans="1:5" ht="15.5" x14ac:dyDescent="0.4">
      <c r="A53" s="6" t="s">
        <v>18</v>
      </c>
      <c r="B53" s="20"/>
      <c r="C53" s="20"/>
      <c r="D53" s="20"/>
      <c r="E53" s="20"/>
    </row>
    <row r="54" spans="1:5" ht="15.5" x14ac:dyDescent="0.4">
      <c r="A54" s="7" t="s">
        <v>19</v>
      </c>
      <c r="B54" s="20">
        <f>B17/B18*100</f>
        <v>118.86057243810421</v>
      </c>
      <c r="C54" s="20">
        <f t="shared" ref="C54:E54" si="5">C17/C18*100</f>
        <v>122.67770280872429</v>
      </c>
      <c r="D54" s="20">
        <f t="shared" si="5"/>
        <v>100.52164840897233</v>
      </c>
      <c r="E54" s="20">
        <f t="shared" si="5"/>
        <v>29.366666666666667</v>
      </c>
    </row>
    <row r="55" spans="1:5" ht="15.5" x14ac:dyDescent="0.4">
      <c r="A55" s="7" t="s">
        <v>20</v>
      </c>
      <c r="B55" s="20">
        <f>B23/B24*100</f>
        <v>91.631161787164544</v>
      </c>
      <c r="C55" s="20">
        <f t="shared" ref="C55:E55" si="6">C23/C24*100</f>
        <v>92.658122780317413</v>
      </c>
      <c r="D55" s="20">
        <f t="shared" si="6"/>
        <v>92.718967827201041</v>
      </c>
      <c r="E55" s="20">
        <f t="shared" si="6"/>
        <v>68.481930887916491</v>
      </c>
    </row>
    <row r="56" spans="1:5" ht="15.5" x14ac:dyDescent="0.4">
      <c r="A56" s="7" t="s">
        <v>21</v>
      </c>
      <c r="B56" s="20">
        <f>(B54+B55)/2</f>
        <v>105.24586711263439</v>
      </c>
      <c r="C56" s="20">
        <f t="shared" ref="C56:E56" si="7">(C54+C55)/2</f>
        <v>107.66791279452084</v>
      </c>
      <c r="D56" s="20">
        <f t="shared" si="7"/>
        <v>96.620308118086683</v>
      </c>
      <c r="E56" s="20">
        <f t="shared" si="7"/>
        <v>48.924298777291582</v>
      </c>
    </row>
    <row r="57" spans="1:5" ht="15.5" x14ac:dyDescent="0.4">
      <c r="A57" s="7"/>
      <c r="B57" s="20"/>
      <c r="C57" s="20"/>
      <c r="D57" s="20"/>
      <c r="E57" s="20"/>
    </row>
    <row r="58" spans="1:5" ht="15.5" x14ac:dyDescent="0.4">
      <c r="A58" s="6" t="s">
        <v>32</v>
      </c>
      <c r="B58" s="20"/>
      <c r="C58" s="20"/>
      <c r="D58" s="20"/>
      <c r="E58" s="20"/>
    </row>
    <row r="59" spans="1:5" ht="15.5" x14ac:dyDescent="0.4">
      <c r="A59" s="7" t="s">
        <v>22</v>
      </c>
      <c r="B59" s="20">
        <f>B25/B23*100</f>
        <v>100</v>
      </c>
      <c r="C59" s="20"/>
      <c r="D59" s="20"/>
      <c r="E59" s="20"/>
    </row>
    <row r="60" spans="1:5" ht="15.5" x14ac:dyDescent="0.4">
      <c r="A60" s="7"/>
      <c r="B60" s="20"/>
      <c r="C60" s="20"/>
      <c r="D60" s="20"/>
      <c r="E60" s="20"/>
    </row>
    <row r="61" spans="1:5" ht="15.5" x14ac:dyDescent="0.4">
      <c r="A61" s="6" t="s">
        <v>23</v>
      </c>
      <c r="B61" s="20"/>
      <c r="C61" s="20"/>
      <c r="D61" s="20"/>
      <c r="E61" s="20"/>
    </row>
    <row r="62" spans="1:5" ht="15.5" x14ac:dyDescent="0.4">
      <c r="A62" s="7" t="s">
        <v>24</v>
      </c>
      <c r="B62" s="20">
        <f t="shared" ref="B62" si="8">((B17/B15)-1)*100</f>
        <v>6.7150419979654208</v>
      </c>
      <c r="C62" s="20">
        <f t="shared" ref="C62:D62" si="9">((C17/C15)-1)*100</f>
        <v>8.3723186748449141</v>
      </c>
      <c r="D62" s="20">
        <f t="shared" si="9"/>
        <v>-61.922639924912318</v>
      </c>
      <c r="E62" s="11" t="s">
        <v>36</v>
      </c>
    </row>
    <row r="63" spans="1:5" ht="15.5" x14ac:dyDescent="0.4">
      <c r="A63" s="7" t="s">
        <v>25</v>
      </c>
      <c r="B63" s="20">
        <f>((B38/B37)-1)*100</f>
        <v>-14.10298194037718</v>
      </c>
      <c r="C63" s="20">
        <f t="shared" ref="C63:D63" si="10">((C38/C37)-1)*100</f>
        <v>-2.3045815720291629</v>
      </c>
      <c r="D63" s="20">
        <f t="shared" si="10"/>
        <v>-67.653556261525182</v>
      </c>
      <c r="E63" s="27">
        <f>((E38/E37)-1)*100</f>
        <v>3108.0767258731817</v>
      </c>
    </row>
    <row r="64" spans="1:5" ht="15.5" x14ac:dyDescent="0.4">
      <c r="A64" s="7" t="s">
        <v>26</v>
      </c>
      <c r="B64" s="20">
        <f t="shared" ref="B64" si="11">((B40/B39)-1)*100</f>
        <v>-19.508050176037528</v>
      </c>
      <c r="C64" s="20">
        <f t="shared" ref="C64:D64" si="12">((C40/C39)-1)*100</f>
        <v>-9.852054821221035</v>
      </c>
      <c r="D64" s="20">
        <f t="shared" si="12"/>
        <v>-15.050718656208373</v>
      </c>
      <c r="E64" s="11" t="s">
        <v>36</v>
      </c>
    </row>
    <row r="65" spans="1:5" ht="15.5" x14ac:dyDescent="0.4">
      <c r="A65" s="7"/>
      <c r="B65" s="20"/>
      <c r="C65" s="20"/>
      <c r="D65" s="20"/>
      <c r="E65" s="20"/>
    </row>
    <row r="66" spans="1:5" ht="15.5" x14ac:dyDescent="0.4">
      <c r="A66" s="6" t="s">
        <v>27</v>
      </c>
      <c r="B66" s="20"/>
      <c r="C66" s="20"/>
      <c r="D66" s="20"/>
      <c r="E66" s="20"/>
    </row>
    <row r="67" spans="1:5" ht="15.5" x14ac:dyDescent="0.4">
      <c r="A67" s="7" t="s">
        <v>33</v>
      </c>
      <c r="B67" s="20">
        <f>B22/(B16*12)</f>
        <v>12585.163397478758</v>
      </c>
      <c r="C67" s="20">
        <f>C22/C16</f>
        <v>139535.29784755566</v>
      </c>
      <c r="D67" s="20">
        <f>D22/(D16*6)</f>
        <v>130927.36886154539</v>
      </c>
      <c r="E67" s="20">
        <f>E22/(E16*6)</f>
        <v>28920.828743333332</v>
      </c>
    </row>
    <row r="68" spans="1:5" ht="15.5" x14ac:dyDescent="0.4">
      <c r="A68" s="7" t="s">
        <v>34</v>
      </c>
      <c r="B68" s="20">
        <f t="shared" ref="B68" si="13">B23/(B17*12)</f>
        <v>9702.0662086479078</v>
      </c>
      <c r="C68" s="20">
        <f>C23/C17</f>
        <v>105390.61674724735</v>
      </c>
      <c r="D68" s="20">
        <f>D23/(D17*6)</f>
        <v>120764.53871691751</v>
      </c>
      <c r="E68" s="20">
        <f>E23/(E17*6)</f>
        <v>67442.254093832758</v>
      </c>
    </row>
    <row r="69" spans="1:5" ht="15.5" x14ac:dyDescent="0.4">
      <c r="A69" s="7" t="s">
        <v>28</v>
      </c>
      <c r="B69" s="20">
        <f>(B68/B67)*B51</f>
        <v>81.135408310860726</v>
      </c>
      <c r="C69" s="20">
        <f>(C68/C67)*C51</f>
        <v>81.321270734666456</v>
      </c>
      <c r="D69" s="20">
        <f>(D68/D67)*D51</f>
        <v>89.120456952788203</v>
      </c>
      <c r="E69" s="20">
        <f>(E68/E67)*E51</f>
        <v>114.08957256320974</v>
      </c>
    </row>
    <row r="70" spans="1:5" ht="15.5" x14ac:dyDescent="0.4">
      <c r="A70" s="7" t="s">
        <v>37</v>
      </c>
      <c r="B70" s="20">
        <f t="shared" ref="B70:B71" si="14">B22/B16</f>
        <v>151021.96076974511</v>
      </c>
      <c r="C70" s="20">
        <f>(C22/C16)*12</f>
        <v>1674423.5741706679</v>
      </c>
      <c r="D70" s="20">
        <f t="shared" ref="D70:E70" si="15">D22/D16</f>
        <v>785564.21316927229</v>
      </c>
      <c r="E70" s="20">
        <f t="shared" si="15"/>
        <v>173524.97245999999</v>
      </c>
    </row>
    <row r="71" spans="1:5" ht="15.5" x14ac:dyDescent="0.4">
      <c r="A71" s="7" t="s">
        <v>38</v>
      </c>
      <c r="B71" s="20">
        <f t="shared" si="14"/>
        <v>116424.79450377489</v>
      </c>
      <c r="C71" s="20">
        <f>(C23/C17)*12</f>
        <v>1264687.4009669682</v>
      </c>
      <c r="D71" s="20">
        <f t="shared" ref="D71:E71" si="16">D23/D17</f>
        <v>724587.23230150505</v>
      </c>
      <c r="E71" s="20">
        <f t="shared" si="16"/>
        <v>404653.52456299658</v>
      </c>
    </row>
    <row r="72" spans="1:5" ht="15.5" x14ac:dyDescent="0.4">
      <c r="A72" s="7"/>
      <c r="B72" s="20"/>
      <c r="C72" s="20"/>
      <c r="D72" s="20"/>
      <c r="E72" s="20"/>
    </row>
    <row r="73" spans="1:5" ht="15.5" x14ac:dyDescent="0.4">
      <c r="A73" s="6" t="s">
        <v>29</v>
      </c>
      <c r="B73" s="20"/>
      <c r="C73" s="20"/>
      <c r="D73" s="20"/>
      <c r="E73" s="20"/>
    </row>
    <row r="74" spans="1:5" ht="15.5" x14ac:dyDescent="0.4">
      <c r="A74" s="7" t="s">
        <v>30</v>
      </c>
      <c r="B74" s="20">
        <f>(B29/B28)*100</f>
        <v>100.00000000000003</v>
      </c>
      <c r="C74" s="20"/>
      <c r="D74" s="20"/>
      <c r="E74" s="20"/>
    </row>
    <row r="75" spans="1:5" ht="15.5" x14ac:dyDescent="0.4">
      <c r="A75" s="7" t="s">
        <v>31</v>
      </c>
      <c r="B75" s="20">
        <f>(B23/B29)*100</f>
        <v>91.631161787164515</v>
      </c>
      <c r="C75" s="20"/>
      <c r="D75" s="20"/>
      <c r="E75" s="20"/>
    </row>
    <row r="76" spans="1:5" ht="16" thickBot="1" x14ac:dyDescent="0.45">
      <c r="A76" s="17"/>
      <c r="B76" s="17"/>
      <c r="C76" s="17"/>
      <c r="D76" s="17"/>
      <c r="E76" s="17"/>
    </row>
    <row r="77" spans="1:5" s="4" customFormat="1" ht="20.25" customHeight="1" thickTop="1" x14ac:dyDescent="0.35">
      <c r="A77" s="34" t="s">
        <v>84</v>
      </c>
      <c r="B77" s="34"/>
      <c r="C77" s="34"/>
      <c r="D77" s="34"/>
      <c r="E77" s="34"/>
    </row>
    <row r="78" spans="1:5" ht="174" customHeight="1" x14ac:dyDescent="0.4">
      <c r="A78" s="28" t="s">
        <v>128</v>
      </c>
      <c r="B78" s="28"/>
      <c r="C78" s="28"/>
      <c r="D78" s="28"/>
      <c r="E78" s="28"/>
    </row>
    <row r="79" spans="1:5" x14ac:dyDescent="0.35">
      <c r="A79" s="2"/>
    </row>
    <row r="80" spans="1:5" x14ac:dyDescent="0.35">
      <c r="A80" s="2"/>
    </row>
    <row r="81" spans="1:1" x14ac:dyDescent="0.35">
      <c r="A81" s="2"/>
    </row>
    <row r="82" spans="1:1" x14ac:dyDescent="0.35">
      <c r="A82" s="2"/>
    </row>
  </sheetData>
  <mergeCells count="5">
    <mergeCell ref="A77:E77"/>
    <mergeCell ref="A78:E78"/>
    <mergeCell ref="A9:A10"/>
    <mergeCell ref="B9:B10"/>
    <mergeCell ref="C9:E9"/>
  </mergeCells>
  <pageMargins left="0.7" right="0.7" top="0.75" bottom="0.75" header="0.3" footer="0.3"/>
  <pageSetup scale="10" orientation="portrait" r:id="rId1"/>
  <ignoredErrors>
    <ignoredError sqref="D67:D68 C70:C7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 Trimestre</vt:lpstr>
      <vt:lpstr>II trimestre</vt:lpstr>
      <vt:lpstr>I Semestre</vt:lpstr>
      <vt:lpstr>III Trimestre</vt:lpstr>
      <vt:lpstr>III Trimestre Acumulado</vt:lpstr>
      <vt:lpstr>IV Trimestre</vt:lpstr>
      <vt:lpstr>Anual</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Astorga</dc:creator>
  <cp:lastModifiedBy>Stephanie Salas Soto</cp:lastModifiedBy>
  <dcterms:created xsi:type="dcterms:W3CDTF">2012-04-10T15:25:06Z</dcterms:created>
  <dcterms:modified xsi:type="dcterms:W3CDTF">2023-02-17T20:36:52Z</dcterms:modified>
</cp:coreProperties>
</file>