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E1675BB8384CA6D96569CEC9F6097FB064DB2DE6" xr6:coauthVersionLast="47" xr6:coauthVersionMax="47" xr10:uidLastSave="{E33C56F8-26B8-412B-B671-611BA5F3BA55}"/>
  <bookViews>
    <workbookView xWindow="-110" yWindow="-110" windowWidth="19420" windowHeight="10300" tabRatio="729" xr2:uid="{00000000-000D-0000-FFFF-FFFF00000000}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0" i="7" l="1"/>
  <c r="B31" i="7"/>
  <c r="L25" i="7"/>
  <c r="L40" i="4"/>
  <c r="L39" i="4"/>
  <c r="I51" i="4"/>
  <c r="I52" i="4"/>
  <c r="I69" i="4"/>
  <c r="I70" i="4"/>
  <c r="I72" i="4"/>
  <c r="I73" i="4"/>
  <c r="I53" i="4" l="1"/>
  <c r="I71" i="4" s="1"/>
  <c r="B23" i="4"/>
  <c r="L23" i="7" l="1"/>
  <c r="L39" i="7" s="1"/>
  <c r="L65" i="7" s="1"/>
  <c r="J23" i="7"/>
  <c r="L23" i="6" l="1"/>
  <c r="L16" i="6"/>
  <c r="K16" i="6"/>
  <c r="J16" i="6"/>
  <c r="I16" i="6"/>
  <c r="H16" i="6"/>
  <c r="G16" i="6"/>
  <c r="F16" i="6"/>
  <c r="E16" i="6"/>
  <c r="D16" i="6"/>
  <c r="C16" i="6"/>
  <c r="B16" i="6"/>
  <c r="J64" i="5"/>
  <c r="L23" i="5"/>
  <c r="J23" i="5"/>
  <c r="J39" i="5" s="1"/>
  <c r="J41" i="5" s="1"/>
  <c r="J40" i="3"/>
  <c r="J42" i="3" s="1"/>
  <c r="J39" i="3"/>
  <c r="J41" i="3" s="1"/>
  <c r="J64" i="3"/>
  <c r="B23" i="2"/>
  <c r="B23" i="3"/>
  <c r="J64" i="2"/>
  <c r="J40" i="2"/>
  <c r="J42" i="2" s="1"/>
  <c r="J66" i="2" s="1"/>
  <c r="J39" i="2"/>
  <c r="J41" i="2" s="1"/>
  <c r="J65" i="3" l="1"/>
  <c r="J65" i="2"/>
  <c r="J66" i="3"/>
  <c r="K19" i="7" l="1"/>
  <c r="G19" i="7"/>
  <c r="H19" i="7"/>
  <c r="I19" i="7"/>
  <c r="F19" i="7"/>
  <c r="E19" i="7"/>
  <c r="D19" i="7"/>
  <c r="J64" i="7" l="1"/>
  <c r="K66" i="7"/>
  <c r="K64" i="7"/>
  <c r="J64" i="4"/>
  <c r="K64" i="4"/>
  <c r="K40" i="4"/>
  <c r="K42" i="4" s="1"/>
  <c r="J40" i="4"/>
  <c r="K39" i="4"/>
  <c r="K41" i="4" s="1"/>
  <c r="J39" i="4"/>
  <c r="J41" i="4" s="1"/>
  <c r="J64" i="6"/>
  <c r="C64" i="6"/>
  <c r="C64" i="1"/>
  <c r="I64" i="7"/>
  <c r="K39" i="7"/>
  <c r="K65" i="7" s="1"/>
  <c r="J65" i="4" l="1"/>
  <c r="K66" i="4"/>
  <c r="K65" i="4"/>
  <c r="J42" i="4"/>
  <c r="J66" i="4" s="1"/>
  <c r="J24" i="7"/>
  <c r="J39" i="7"/>
  <c r="J41" i="7" s="1"/>
  <c r="C23" i="7"/>
  <c r="H25" i="7" l="1"/>
  <c r="L27" i="7"/>
  <c r="J25" i="7"/>
  <c r="J27" i="7" s="1"/>
  <c r="K17" i="7" l="1"/>
  <c r="I64" i="6" l="1"/>
  <c r="H64" i="6"/>
  <c r="G64" i="6"/>
  <c r="F64" i="6"/>
  <c r="E64" i="6"/>
  <c r="B64" i="6"/>
  <c r="G48" i="6"/>
  <c r="E48" i="6"/>
  <c r="C48" i="6"/>
  <c r="B48" i="6"/>
  <c r="E23" i="6"/>
  <c r="E39" i="6" s="1"/>
  <c r="E41" i="6" s="1"/>
  <c r="L25" i="6"/>
  <c r="L40" i="6" s="1"/>
  <c r="J25" i="6"/>
  <c r="J24" i="6"/>
  <c r="L39" i="6"/>
  <c r="K19" i="6"/>
  <c r="K17" i="6"/>
  <c r="J73" i="1"/>
  <c r="I73" i="1"/>
  <c r="H73" i="1"/>
  <c r="G73" i="1"/>
  <c r="F73" i="1"/>
  <c r="E73" i="1"/>
  <c r="C73" i="1"/>
  <c r="J72" i="1"/>
  <c r="I72" i="1"/>
  <c r="H72" i="1"/>
  <c r="G72" i="1"/>
  <c r="F72" i="1"/>
  <c r="E72" i="1"/>
  <c r="C72" i="1"/>
  <c r="J70" i="1"/>
  <c r="I70" i="1"/>
  <c r="H70" i="1"/>
  <c r="G70" i="1"/>
  <c r="F70" i="1"/>
  <c r="E70" i="1"/>
  <c r="C70" i="1"/>
  <c r="J69" i="1"/>
  <c r="I69" i="1"/>
  <c r="H69" i="1"/>
  <c r="G69" i="1"/>
  <c r="F69" i="1"/>
  <c r="E69" i="1"/>
  <c r="C69" i="1"/>
  <c r="J64" i="1"/>
  <c r="I64" i="1"/>
  <c r="H64" i="1"/>
  <c r="G64" i="1"/>
  <c r="F64" i="1"/>
  <c r="E64" i="1"/>
  <c r="B64" i="1"/>
  <c r="J57" i="1"/>
  <c r="I57" i="1"/>
  <c r="H57" i="1"/>
  <c r="G57" i="1"/>
  <c r="F57" i="1"/>
  <c r="E57" i="1"/>
  <c r="C57" i="1"/>
  <c r="J56" i="1"/>
  <c r="I56" i="1"/>
  <c r="H56" i="1"/>
  <c r="H58" i="1" s="1"/>
  <c r="G56" i="1"/>
  <c r="F56" i="1"/>
  <c r="F58" i="1" s="1"/>
  <c r="E56" i="1"/>
  <c r="E58" i="1" s="1"/>
  <c r="C56" i="1"/>
  <c r="C58" i="1" s="1"/>
  <c r="J52" i="1"/>
  <c r="I52" i="1"/>
  <c r="H52" i="1"/>
  <c r="G52" i="1"/>
  <c r="F52" i="1"/>
  <c r="E52" i="1"/>
  <c r="C52" i="1"/>
  <c r="K51" i="1"/>
  <c r="I51" i="1"/>
  <c r="I53" i="1" s="1"/>
  <c r="H51" i="1"/>
  <c r="G51" i="1"/>
  <c r="F51" i="1"/>
  <c r="F53" i="1" s="1"/>
  <c r="E51" i="1"/>
  <c r="D51" i="1"/>
  <c r="D53" i="1" s="1"/>
  <c r="G48" i="1"/>
  <c r="E48" i="1"/>
  <c r="C48" i="1"/>
  <c r="B48" i="1"/>
  <c r="G47" i="1"/>
  <c r="E47" i="1"/>
  <c r="C47" i="1"/>
  <c r="L40" i="1"/>
  <c r="J40" i="1"/>
  <c r="J42" i="1" s="1"/>
  <c r="I40" i="1"/>
  <c r="I42" i="1" s="1"/>
  <c r="H40" i="1"/>
  <c r="H42" i="1" s="1"/>
  <c r="G40" i="1"/>
  <c r="F40" i="1"/>
  <c r="F42" i="1" s="1"/>
  <c r="E40" i="1"/>
  <c r="E42" i="1" s="1"/>
  <c r="C40" i="1"/>
  <c r="C42" i="1" s="1"/>
  <c r="L39" i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C39" i="1"/>
  <c r="C41" i="1" s="1"/>
  <c r="B23" i="1"/>
  <c r="B39" i="1" s="1"/>
  <c r="B41" i="1" s="1"/>
  <c r="I64" i="5"/>
  <c r="H64" i="5"/>
  <c r="G64" i="5"/>
  <c r="F64" i="5"/>
  <c r="E64" i="5"/>
  <c r="C64" i="5"/>
  <c r="B64" i="5"/>
  <c r="G48" i="5"/>
  <c r="E48" i="5"/>
  <c r="C48" i="5"/>
  <c r="B48" i="5"/>
  <c r="L25" i="5"/>
  <c r="L39" i="5"/>
  <c r="J26" i="5"/>
  <c r="J24" i="5"/>
  <c r="J25" i="5"/>
  <c r="F23" i="5"/>
  <c r="F39" i="5" s="1"/>
  <c r="F41" i="5" s="1"/>
  <c r="G23" i="5"/>
  <c r="G39" i="5" s="1"/>
  <c r="G41" i="5" s="1"/>
  <c r="H23" i="5"/>
  <c r="H39" i="5" s="1"/>
  <c r="H41" i="5" s="1"/>
  <c r="I23" i="5"/>
  <c r="I39" i="5" s="1"/>
  <c r="I41" i="5" s="1"/>
  <c r="F24" i="5"/>
  <c r="G24" i="5"/>
  <c r="H24" i="5"/>
  <c r="I24" i="5"/>
  <c r="F25" i="5"/>
  <c r="G25" i="5"/>
  <c r="H25" i="5"/>
  <c r="H40" i="5" s="1"/>
  <c r="I25" i="5"/>
  <c r="F26" i="5"/>
  <c r="G26" i="5"/>
  <c r="H26" i="5"/>
  <c r="I26" i="5"/>
  <c r="F27" i="5"/>
  <c r="F61" i="5" s="1"/>
  <c r="G27" i="5"/>
  <c r="G61" i="5" s="1"/>
  <c r="H27" i="5"/>
  <c r="H61" i="5" s="1"/>
  <c r="I27" i="5"/>
  <c r="I61" i="5" s="1"/>
  <c r="E23" i="5"/>
  <c r="E39" i="5" s="1"/>
  <c r="E41" i="5" s="1"/>
  <c r="C23" i="5"/>
  <c r="J20" i="5"/>
  <c r="K20" i="5"/>
  <c r="J56" i="5" s="1"/>
  <c r="L20" i="5"/>
  <c r="D19" i="5"/>
  <c r="E19" i="5"/>
  <c r="F19" i="5"/>
  <c r="G19" i="5"/>
  <c r="H19" i="5"/>
  <c r="I19" i="5"/>
  <c r="K19" i="5"/>
  <c r="D17" i="5"/>
  <c r="E17" i="5"/>
  <c r="F17" i="5"/>
  <c r="G17" i="5"/>
  <c r="H17" i="5"/>
  <c r="I17" i="5"/>
  <c r="I69" i="5" s="1"/>
  <c r="K17" i="5"/>
  <c r="J16" i="5"/>
  <c r="K16" i="5"/>
  <c r="K51" i="5" s="1"/>
  <c r="L16" i="5"/>
  <c r="B16" i="5"/>
  <c r="C16" i="5"/>
  <c r="D16" i="5"/>
  <c r="D51" i="5" s="1"/>
  <c r="E16" i="5"/>
  <c r="E47" i="5" s="1"/>
  <c r="F16" i="5"/>
  <c r="F51" i="5" s="1"/>
  <c r="G16" i="5"/>
  <c r="G51" i="5" s="1"/>
  <c r="H16" i="5"/>
  <c r="H51" i="5" s="1"/>
  <c r="I16" i="5"/>
  <c r="I51" i="5" s="1"/>
  <c r="J73" i="3"/>
  <c r="I73" i="3"/>
  <c r="H73" i="3"/>
  <c r="G73" i="3"/>
  <c r="F73" i="3"/>
  <c r="E73" i="3"/>
  <c r="C73" i="3"/>
  <c r="J72" i="3"/>
  <c r="I72" i="3"/>
  <c r="H72" i="3"/>
  <c r="G72" i="3"/>
  <c r="F72" i="3"/>
  <c r="E72" i="3"/>
  <c r="C72" i="3"/>
  <c r="J70" i="3"/>
  <c r="I70" i="3"/>
  <c r="H70" i="3"/>
  <c r="G70" i="3"/>
  <c r="F70" i="3"/>
  <c r="E70" i="3"/>
  <c r="C70" i="3"/>
  <c r="J69" i="3"/>
  <c r="I69" i="3"/>
  <c r="H69" i="3"/>
  <c r="G69" i="3"/>
  <c r="F69" i="3"/>
  <c r="E69" i="3"/>
  <c r="C69" i="3"/>
  <c r="I64" i="3"/>
  <c r="H64" i="3"/>
  <c r="G64" i="3"/>
  <c r="F64" i="3"/>
  <c r="E64" i="3"/>
  <c r="C64" i="3"/>
  <c r="B64" i="3"/>
  <c r="J57" i="3"/>
  <c r="I57" i="3"/>
  <c r="H57" i="3"/>
  <c r="G57" i="3"/>
  <c r="F57" i="3"/>
  <c r="E57" i="3"/>
  <c r="C57" i="3"/>
  <c r="J56" i="3"/>
  <c r="J58" i="3" s="1"/>
  <c r="I56" i="3"/>
  <c r="H56" i="3"/>
  <c r="H58" i="3" s="1"/>
  <c r="G56" i="3"/>
  <c r="F56" i="3"/>
  <c r="F58" i="3" s="1"/>
  <c r="E56" i="3"/>
  <c r="C56" i="3"/>
  <c r="C58" i="3" s="1"/>
  <c r="J52" i="3"/>
  <c r="I52" i="3"/>
  <c r="H52" i="3"/>
  <c r="G52" i="3"/>
  <c r="F52" i="3"/>
  <c r="E52" i="3"/>
  <c r="C52" i="3"/>
  <c r="K51" i="3"/>
  <c r="K53" i="3" s="1"/>
  <c r="I51" i="3"/>
  <c r="H51" i="3"/>
  <c r="H53" i="3" s="1"/>
  <c r="G51" i="3"/>
  <c r="F51" i="3"/>
  <c r="F53" i="3" s="1"/>
  <c r="E51" i="3"/>
  <c r="D51" i="3"/>
  <c r="D53" i="3" s="1"/>
  <c r="G48" i="3"/>
  <c r="E48" i="3"/>
  <c r="C48" i="3"/>
  <c r="B48" i="3"/>
  <c r="G47" i="3"/>
  <c r="E47" i="3"/>
  <c r="C47" i="3"/>
  <c r="I40" i="3"/>
  <c r="H40" i="3"/>
  <c r="H42" i="3" s="1"/>
  <c r="G40" i="3"/>
  <c r="F40" i="3"/>
  <c r="E40" i="3"/>
  <c r="C40" i="3"/>
  <c r="C65" i="3" s="1"/>
  <c r="I39" i="3"/>
  <c r="I41" i="3" s="1"/>
  <c r="H39" i="3"/>
  <c r="H41" i="3" s="1"/>
  <c r="G39" i="3"/>
  <c r="G41" i="3" s="1"/>
  <c r="F39" i="3"/>
  <c r="F41" i="3" s="1"/>
  <c r="E39" i="3"/>
  <c r="E41" i="3" s="1"/>
  <c r="C39" i="3"/>
  <c r="C41" i="3" s="1"/>
  <c r="L27" i="3"/>
  <c r="B26" i="3"/>
  <c r="B25" i="3"/>
  <c r="B77" i="3" s="1"/>
  <c r="B24" i="3"/>
  <c r="B39" i="3"/>
  <c r="B41" i="3" s="1"/>
  <c r="B19" i="3"/>
  <c r="B17" i="3"/>
  <c r="J73" i="2"/>
  <c r="I73" i="2"/>
  <c r="H73" i="2"/>
  <c r="G73" i="2"/>
  <c r="F73" i="2"/>
  <c r="E73" i="2"/>
  <c r="C73" i="2"/>
  <c r="J72" i="2"/>
  <c r="I72" i="2"/>
  <c r="H72" i="2"/>
  <c r="G72" i="2"/>
  <c r="F72" i="2"/>
  <c r="E72" i="2"/>
  <c r="C72" i="2"/>
  <c r="J70" i="2"/>
  <c r="I70" i="2"/>
  <c r="H70" i="2"/>
  <c r="G70" i="2"/>
  <c r="F70" i="2"/>
  <c r="E70" i="2"/>
  <c r="C70" i="2"/>
  <c r="J69" i="2"/>
  <c r="I69" i="2"/>
  <c r="H69" i="2"/>
  <c r="G69" i="2"/>
  <c r="F69" i="2"/>
  <c r="E69" i="2"/>
  <c r="C69" i="2"/>
  <c r="I64" i="2"/>
  <c r="H64" i="2"/>
  <c r="G64" i="2"/>
  <c r="F64" i="2"/>
  <c r="E64" i="2"/>
  <c r="C64" i="2"/>
  <c r="B64" i="2"/>
  <c r="J57" i="2"/>
  <c r="I57" i="2"/>
  <c r="H57" i="2"/>
  <c r="G57" i="2"/>
  <c r="F57" i="2"/>
  <c r="E57" i="2"/>
  <c r="C57" i="2"/>
  <c r="J56" i="2"/>
  <c r="I56" i="2"/>
  <c r="H56" i="2"/>
  <c r="G56" i="2"/>
  <c r="F56" i="2"/>
  <c r="F58" i="2" s="1"/>
  <c r="E56" i="2"/>
  <c r="C56" i="2"/>
  <c r="J52" i="2"/>
  <c r="I52" i="2"/>
  <c r="H52" i="2"/>
  <c r="G52" i="2"/>
  <c r="F52" i="2"/>
  <c r="E52" i="2"/>
  <c r="C52" i="2"/>
  <c r="K51" i="2"/>
  <c r="I51" i="2"/>
  <c r="H51" i="2"/>
  <c r="G51" i="2"/>
  <c r="F51" i="2"/>
  <c r="F53" i="2" s="1"/>
  <c r="E51" i="2"/>
  <c r="D51" i="2"/>
  <c r="D53" i="2" s="1"/>
  <c r="G48" i="2"/>
  <c r="E48" i="2"/>
  <c r="C48" i="2"/>
  <c r="B48" i="2"/>
  <c r="G47" i="2"/>
  <c r="E47" i="2"/>
  <c r="C47" i="2"/>
  <c r="L40" i="2"/>
  <c r="I40" i="2"/>
  <c r="H40" i="2"/>
  <c r="G40" i="2"/>
  <c r="F40" i="2"/>
  <c r="E40" i="2"/>
  <c r="C40" i="2"/>
  <c r="L39" i="2"/>
  <c r="I39" i="2"/>
  <c r="I41" i="2" s="1"/>
  <c r="H39" i="2"/>
  <c r="H41" i="2" s="1"/>
  <c r="G39" i="2"/>
  <c r="G41" i="2" s="1"/>
  <c r="F39" i="2"/>
  <c r="F41" i="2" s="1"/>
  <c r="E39" i="2"/>
  <c r="E41" i="2" s="1"/>
  <c r="C39" i="2"/>
  <c r="C41" i="2" s="1"/>
  <c r="B26" i="2"/>
  <c r="L27" i="2"/>
  <c r="B25" i="2"/>
  <c r="B24" i="2"/>
  <c r="B39" i="2"/>
  <c r="B41" i="2" s="1"/>
  <c r="B19" i="2"/>
  <c r="B17" i="2"/>
  <c r="B72" i="2" s="1"/>
  <c r="H53" i="2" l="1"/>
  <c r="C39" i="5"/>
  <c r="C41" i="5" s="1"/>
  <c r="B23" i="5"/>
  <c r="E53" i="1"/>
  <c r="G58" i="1"/>
  <c r="K53" i="2"/>
  <c r="F65" i="3"/>
  <c r="G53" i="1"/>
  <c r="G71" i="1" s="1"/>
  <c r="I58" i="1"/>
  <c r="C47" i="5"/>
  <c r="H53" i="1"/>
  <c r="L65" i="6"/>
  <c r="J27" i="5"/>
  <c r="J61" i="5" s="1"/>
  <c r="J40" i="5"/>
  <c r="E66" i="1"/>
  <c r="I66" i="1"/>
  <c r="K53" i="1"/>
  <c r="J58" i="1"/>
  <c r="E65" i="1"/>
  <c r="G65" i="1"/>
  <c r="I65" i="1"/>
  <c r="G42" i="1"/>
  <c r="E71" i="1"/>
  <c r="I71" i="1"/>
  <c r="C71" i="1"/>
  <c r="F71" i="1"/>
  <c r="H71" i="1"/>
  <c r="J71" i="1"/>
  <c r="E65" i="3"/>
  <c r="G65" i="3"/>
  <c r="I65" i="3"/>
  <c r="F42" i="3"/>
  <c r="B73" i="3"/>
  <c r="B57" i="3"/>
  <c r="H65" i="3"/>
  <c r="E53" i="3"/>
  <c r="E71" i="3" s="1"/>
  <c r="G53" i="3"/>
  <c r="G71" i="3" s="1"/>
  <c r="I53" i="3"/>
  <c r="I71" i="3" s="1"/>
  <c r="E58" i="3"/>
  <c r="G58" i="3"/>
  <c r="I58" i="3"/>
  <c r="I57" i="5"/>
  <c r="B72" i="3"/>
  <c r="B40" i="3"/>
  <c r="B65" i="3" s="1"/>
  <c r="C42" i="3"/>
  <c r="B52" i="3"/>
  <c r="B70" i="3"/>
  <c r="G73" i="5"/>
  <c r="B69" i="3"/>
  <c r="G47" i="5"/>
  <c r="E51" i="5"/>
  <c r="L65" i="2"/>
  <c r="G57" i="5"/>
  <c r="E53" i="2"/>
  <c r="G53" i="2"/>
  <c r="I53" i="2"/>
  <c r="E58" i="2"/>
  <c r="G58" i="2"/>
  <c r="I58" i="2"/>
  <c r="I73" i="5"/>
  <c r="I52" i="5"/>
  <c r="I53" i="5" s="1"/>
  <c r="B39" i="5"/>
  <c r="B41" i="5" s="1"/>
  <c r="J58" i="2"/>
  <c r="G72" i="5"/>
  <c r="I72" i="5"/>
  <c r="B77" i="2"/>
  <c r="B57" i="2"/>
  <c r="B69" i="2"/>
  <c r="B70" i="2"/>
  <c r="B73" i="2"/>
  <c r="H65" i="5"/>
  <c r="J72" i="6"/>
  <c r="J69" i="6"/>
  <c r="B40" i="2"/>
  <c r="B65" i="2" s="1"/>
  <c r="E65" i="2"/>
  <c r="G65" i="2"/>
  <c r="I65" i="2"/>
  <c r="E71" i="2"/>
  <c r="G71" i="2"/>
  <c r="I71" i="2"/>
  <c r="B52" i="2"/>
  <c r="C58" i="2"/>
  <c r="H58" i="2"/>
  <c r="H73" i="5"/>
  <c r="H70" i="5"/>
  <c r="H57" i="5"/>
  <c r="H52" i="5"/>
  <c r="H53" i="5" s="1"/>
  <c r="F73" i="5"/>
  <c r="F70" i="5"/>
  <c r="F57" i="5"/>
  <c r="F52" i="5"/>
  <c r="H72" i="5"/>
  <c r="H69" i="5"/>
  <c r="F72" i="5"/>
  <c r="F69" i="5"/>
  <c r="F71" i="5" s="1"/>
  <c r="J72" i="5"/>
  <c r="J69" i="5"/>
  <c r="L40" i="5"/>
  <c r="L27" i="5"/>
  <c r="F40" i="5"/>
  <c r="F65" i="5" s="1"/>
  <c r="I70" i="5"/>
  <c r="I71" i="5" s="1"/>
  <c r="J52" i="6"/>
  <c r="C65" i="2"/>
  <c r="F65" i="2"/>
  <c r="H65" i="2"/>
  <c r="C71" i="2"/>
  <c r="F71" i="2"/>
  <c r="H71" i="2"/>
  <c r="J71" i="2"/>
  <c r="J73" i="5"/>
  <c r="J70" i="5"/>
  <c r="J57" i="5"/>
  <c r="J52" i="5"/>
  <c r="G40" i="5"/>
  <c r="G65" i="5" s="1"/>
  <c r="I40" i="5"/>
  <c r="I65" i="5" s="1"/>
  <c r="G52" i="5"/>
  <c r="G53" i="5" s="1"/>
  <c r="G69" i="5"/>
  <c r="G70" i="5"/>
  <c r="J73" i="6"/>
  <c r="F53" i="5"/>
  <c r="K53" i="5"/>
  <c r="J58" i="5"/>
  <c r="J40" i="6"/>
  <c r="J70" i="6"/>
  <c r="C66" i="1"/>
  <c r="F66" i="1"/>
  <c r="H66" i="1"/>
  <c r="J66" i="1"/>
  <c r="G66" i="1"/>
  <c r="C65" i="1"/>
  <c r="F65" i="1"/>
  <c r="H65" i="1"/>
  <c r="J65" i="1"/>
  <c r="H42" i="5"/>
  <c r="H66" i="5" s="1"/>
  <c r="G42" i="5"/>
  <c r="G66" i="5" s="1"/>
  <c r="F66" i="3"/>
  <c r="C66" i="3"/>
  <c r="H66" i="3"/>
  <c r="C71" i="3"/>
  <c r="F71" i="3"/>
  <c r="H71" i="3"/>
  <c r="J71" i="3"/>
  <c r="E42" i="3"/>
  <c r="E66" i="3" s="1"/>
  <c r="G42" i="3"/>
  <c r="G66" i="3" s="1"/>
  <c r="I42" i="3"/>
  <c r="I66" i="3" s="1"/>
  <c r="E42" i="2"/>
  <c r="E66" i="2" s="1"/>
  <c r="G42" i="2"/>
  <c r="G66" i="2" s="1"/>
  <c r="I42" i="2"/>
  <c r="I66" i="2" s="1"/>
  <c r="C42" i="2"/>
  <c r="C66" i="2" s="1"/>
  <c r="F42" i="2"/>
  <c r="F66" i="2" s="1"/>
  <c r="H42" i="2"/>
  <c r="H66" i="2" s="1"/>
  <c r="L27" i="4"/>
  <c r="J42" i="5" l="1"/>
  <c r="J66" i="5" s="1"/>
  <c r="J65" i="5"/>
  <c r="B42" i="3"/>
  <c r="B66" i="3" s="1"/>
  <c r="B42" i="2"/>
  <c r="B66" i="2" s="1"/>
  <c r="F42" i="5"/>
  <c r="F66" i="5" s="1"/>
  <c r="J71" i="5"/>
  <c r="H71" i="5"/>
  <c r="I42" i="5"/>
  <c r="I66" i="5" s="1"/>
  <c r="J42" i="6"/>
  <c r="G71" i="5"/>
  <c r="J72" i="4"/>
  <c r="J73" i="4"/>
  <c r="J70" i="4"/>
  <c r="J69" i="4"/>
  <c r="J57" i="4"/>
  <c r="J56" i="4"/>
  <c r="J52" i="4"/>
  <c r="K51" i="4"/>
  <c r="J58" i="4" l="1"/>
  <c r="K53" i="4"/>
  <c r="J71" i="4" s="1"/>
  <c r="K20" i="7"/>
  <c r="J56" i="7" s="1"/>
  <c r="G17" i="7"/>
  <c r="H17" i="7"/>
  <c r="I17" i="7"/>
  <c r="F17" i="7"/>
  <c r="E17" i="7"/>
  <c r="D17" i="7"/>
  <c r="K16" i="7"/>
  <c r="I16" i="7"/>
  <c r="J26" i="7"/>
  <c r="I24" i="7"/>
  <c r="B17" i="7" l="1"/>
  <c r="J72" i="7"/>
  <c r="J69" i="7"/>
  <c r="K51" i="7"/>
  <c r="J73" i="7"/>
  <c r="J70" i="7"/>
  <c r="J57" i="7"/>
  <c r="J58" i="7" s="1"/>
  <c r="J52" i="7"/>
  <c r="J40" i="7"/>
  <c r="J65" i="7" s="1"/>
  <c r="B25" i="4"/>
  <c r="B24" i="4"/>
  <c r="B26" i="4"/>
  <c r="B19" i="4"/>
  <c r="B17" i="4"/>
  <c r="J42" i="7" l="1"/>
  <c r="J66" i="7" s="1"/>
  <c r="K53" i="7"/>
  <c r="J71" i="7" s="1"/>
  <c r="J27" i="4"/>
  <c r="J61" i="4" s="1"/>
  <c r="B25" i="1" l="1"/>
  <c r="B77" i="1" l="1"/>
  <c r="B40" i="1"/>
  <c r="B26" i="1"/>
  <c r="B57" i="1" s="1"/>
  <c r="B24" i="1"/>
  <c r="B52" i="1" s="1"/>
  <c r="B19" i="1"/>
  <c r="B17" i="1"/>
  <c r="L27" i="1"/>
  <c r="L26" i="6"/>
  <c r="J23" i="6"/>
  <c r="J39" i="6" s="1"/>
  <c r="K20" i="6"/>
  <c r="J56" i="6" s="1"/>
  <c r="L20" i="6"/>
  <c r="L19" i="6"/>
  <c r="L17" i="6"/>
  <c r="K51" i="6"/>
  <c r="K53" i="6" s="1"/>
  <c r="J71" i="6" s="1"/>
  <c r="B65" i="1" l="1"/>
  <c r="B42" i="1"/>
  <c r="B66" i="1" s="1"/>
  <c r="B73" i="1"/>
  <c r="B70" i="1"/>
  <c r="B72" i="1"/>
  <c r="B69" i="1"/>
  <c r="J41" i="6"/>
  <c r="J66" i="6" s="1"/>
  <c r="J65" i="6"/>
  <c r="L27" i="6"/>
  <c r="E48" i="7" l="1"/>
  <c r="H73" i="4" l="1"/>
  <c r="G73" i="4"/>
  <c r="F73" i="4"/>
  <c r="E73" i="4"/>
  <c r="C73" i="4"/>
  <c r="H72" i="4"/>
  <c r="G72" i="4"/>
  <c r="F72" i="4"/>
  <c r="E72" i="4"/>
  <c r="C72" i="4"/>
  <c r="H70" i="4"/>
  <c r="G70" i="4"/>
  <c r="F70" i="4"/>
  <c r="E70" i="4"/>
  <c r="C70" i="4"/>
  <c r="H69" i="4"/>
  <c r="G69" i="4"/>
  <c r="F69" i="4"/>
  <c r="E69" i="4"/>
  <c r="C69" i="4"/>
  <c r="I64" i="4"/>
  <c r="H64" i="4"/>
  <c r="G64" i="4"/>
  <c r="F64" i="4"/>
  <c r="E64" i="4"/>
  <c r="C64" i="4"/>
  <c r="B64" i="4"/>
  <c r="I57" i="4"/>
  <c r="H57" i="4"/>
  <c r="G57" i="4"/>
  <c r="F57" i="4"/>
  <c r="E57" i="4"/>
  <c r="C57" i="4"/>
  <c r="I56" i="4"/>
  <c r="H56" i="4"/>
  <c r="G56" i="4"/>
  <c r="F56" i="4"/>
  <c r="E56" i="4"/>
  <c r="C56" i="4"/>
  <c r="C58" i="4" s="1"/>
  <c r="H52" i="4"/>
  <c r="G52" i="4"/>
  <c r="F52" i="4"/>
  <c r="E52" i="4"/>
  <c r="C52" i="4"/>
  <c r="H51" i="4"/>
  <c r="G51" i="4"/>
  <c r="F51" i="4"/>
  <c r="F53" i="4" s="1"/>
  <c r="E51" i="4"/>
  <c r="E53" i="4" s="1"/>
  <c r="D51" i="4"/>
  <c r="G48" i="4"/>
  <c r="E48" i="4"/>
  <c r="C48" i="4"/>
  <c r="B48" i="4"/>
  <c r="G47" i="4"/>
  <c r="E47" i="4"/>
  <c r="C47" i="4"/>
  <c r="I40" i="4"/>
  <c r="H40" i="4"/>
  <c r="G40" i="4"/>
  <c r="F40" i="4"/>
  <c r="E40" i="4"/>
  <c r="C40" i="4"/>
  <c r="I39" i="4"/>
  <c r="I41" i="4" s="1"/>
  <c r="H39" i="4"/>
  <c r="H41" i="4" s="1"/>
  <c r="G39" i="4"/>
  <c r="G41" i="4" s="1"/>
  <c r="F39" i="4"/>
  <c r="F41" i="4" s="1"/>
  <c r="E39" i="4"/>
  <c r="E41" i="4" s="1"/>
  <c r="C39" i="4"/>
  <c r="C41" i="4" s="1"/>
  <c r="E58" i="4" l="1"/>
  <c r="H58" i="4"/>
  <c r="H53" i="4"/>
  <c r="H71" i="4" s="1"/>
  <c r="D53" i="4"/>
  <c r="C71" i="4" s="1"/>
  <c r="C65" i="4"/>
  <c r="F58" i="4"/>
  <c r="E65" i="4"/>
  <c r="G53" i="4"/>
  <c r="G71" i="4" s="1"/>
  <c r="G58" i="4"/>
  <c r="F65" i="4"/>
  <c r="G65" i="4"/>
  <c r="E71" i="4"/>
  <c r="H65" i="4"/>
  <c r="F71" i="4"/>
  <c r="I65" i="4"/>
  <c r="I58" i="4"/>
  <c r="E42" i="4"/>
  <c r="E66" i="4" s="1"/>
  <c r="G42" i="4"/>
  <c r="G66" i="4" s="1"/>
  <c r="H42" i="4"/>
  <c r="H66" i="4" s="1"/>
  <c r="I42" i="4"/>
  <c r="I66" i="4" s="1"/>
  <c r="F42" i="4"/>
  <c r="F66" i="4" s="1"/>
  <c r="C42" i="4"/>
  <c r="C66" i="4" s="1"/>
  <c r="F24" i="7" l="1"/>
  <c r="G24" i="7"/>
  <c r="H24" i="7"/>
  <c r="E24" i="7"/>
  <c r="C24" i="7"/>
  <c r="C26" i="7"/>
  <c r="B19" i="7" l="1"/>
  <c r="B24" i="7"/>
  <c r="G72" i="7"/>
  <c r="G69" i="7"/>
  <c r="F69" i="7"/>
  <c r="F72" i="7"/>
  <c r="E72" i="7"/>
  <c r="E69" i="7"/>
  <c r="I72" i="7"/>
  <c r="I69" i="7"/>
  <c r="C72" i="7"/>
  <c r="C69" i="7"/>
  <c r="H72" i="7"/>
  <c r="H69" i="7"/>
  <c r="C19" i="7" l="1"/>
  <c r="C17" i="7"/>
  <c r="J17" i="6"/>
  <c r="J19" i="6"/>
  <c r="J20" i="6"/>
  <c r="C19" i="6"/>
  <c r="D19" i="6"/>
  <c r="E19" i="6"/>
  <c r="F19" i="6"/>
  <c r="G19" i="6"/>
  <c r="H19" i="6"/>
  <c r="I19" i="6"/>
  <c r="C17" i="6"/>
  <c r="D17" i="6"/>
  <c r="E17" i="6"/>
  <c r="F17" i="6"/>
  <c r="G17" i="6"/>
  <c r="H17" i="6"/>
  <c r="I17" i="6"/>
  <c r="B17" i="6" l="1"/>
  <c r="B69" i="7"/>
  <c r="B72" i="7"/>
  <c r="B69" i="4"/>
  <c r="B72" i="4"/>
  <c r="B19" i="5"/>
  <c r="B17" i="5"/>
  <c r="B19" i="6"/>
  <c r="C25" i="7" l="1"/>
  <c r="F23" i="7"/>
  <c r="G23" i="7"/>
  <c r="H23" i="7"/>
  <c r="I23" i="7"/>
  <c r="B20" i="7"/>
  <c r="B16" i="7"/>
  <c r="J26" i="6"/>
  <c r="J57" i="6" s="1"/>
  <c r="J58" i="6" s="1"/>
  <c r="C25" i="6"/>
  <c r="C24" i="6"/>
  <c r="C23" i="6"/>
  <c r="B20" i="6"/>
  <c r="C25" i="5"/>
  <c r="C24" i="5"/>
  <c r="B20" i="5"/>
  <c r="I27" i="4"/>
  <c r="I61" i="4" s="1"/>
  <c r="B39" i="4"/>
  <c r="B41" i="4" s="1"/>
  <c r="C72" i="5" l="1"/>
  <c r="C69" i="5"/>
  <c r="C72" i="6"/>
  <c r="C69" i="6"/>
  <c r="C73" i="5"/>
  <c r="C70" i="5"/>
  <c r="C52" i="5"/>
  <c r="D53" i="5" s="1"/>
  <c r="C40" i="5"/>
  <c r="C39" i="6"/>
  <c r="C41" i="6" s="1"/>
  <c r="C73" i="6"/>
  <c r="C70" i="6"/>
  <c r="C40" i="6"/>
  <c r="C52" i="6"/>
  <c r="B40" i="4"/>
  <c r="B57" i="4"/>
  <c r="B52" i="4"/>
  <c r="B70" i="4"/>
  <c r="B77" i="4"/>
  <c r="B73" i="4"/>
  <c r="J27" i="6"/>
  <c r="J61" i="6" s="1"/>
  <c r="C40" i="7"/>
  <c r="C42" i="7" s="1"/>
  <c r="C70" i="7"/>
  <c r="C73" i="7"/>
  <c r="J61" i="7"/>
  <c r="C65" i="5" l="1"/>
  <c r="C42" i="5"/>
  <c r="C66" i="5" s="1"/>
  <c r="C71" i="5"/>
  <c r="C65" i="6"/>
  <c r="C42" i="6"/>
  <c r="C66" i="6" s="1"/>
  <c r="B65" i="4"/>
  <c r="B42" i="4"/>
  <c r="B66" i="4" s="1"/>
  <c r="I27" i="1" l="1"/>
  <c r="I61" i="1" s="1"/>
  <c r="J27" i="1"/>
  <c r="J61" i="1" s="1"/>
  <c r="I27" i="3" l="1"/>
  <c r="I61" i="3" s="1"/>
  <c r="J27" i="3"/>
  <c r="J61" i="3" s="1"/>
  <c r="I27" i="2"/>
  <c r="I61" i="2" s="1"/>
  <c r="J27" i="2"/>
  <c r="J61" i="2" s="1"/>
  <c r="C27" i="2"/>
  <c r="C61" i="2" l="1"/>
  <c r="L61" i="7"/>
  <c r="D16" i="7" l="1"/>
  <c r="D51" i="7" s="1"/>
  <c r="E16" i="7"/>
  <c r="F16" i="7"/>
  <c r="G16" i="7"/>
  <c r="H16" i="7"/>
  <c r="C16" i="7"/>
  <c r="F51" i="6"/>
  <c r="H51" i="6"/>
  <c r="I51" i="6"/>
  <c r="G51" i="6" l="1"/>
  <c r="G47" i="6"/>
  <c r="E51" i="6"/>
  <c r="E47" i="6"/>
  <c r="C47" i="6"/>
  <c r="D51" i="6"/>
  <c r="D53" i="6" s="1"/>
  <c r="C71" i="6" s="1"/>
  <c r="I51" i="7"/>
  <c r="C26" i="6" l="1"/>
  <c r="C57" i="6" l="1"/>
  <c r="I25" i="7"/>
  <c r="H51" i="7"/>
  <c r="I39" i="7"/>
  <c r="I41" i="7" s="1"/>
  <c r="H39" i="7"/>
  <c r="H41" i="7" s="1"/>
  <c r="H64" i="7"/>
  <c r="H20" i="7"/>
  <c r="H56" i="7" s="1"/>
  <c r="C27" i="7"/>
  <c r="F25" i="7"/>
  <c r="G25" i="7"/>
  <c r="C39" i="7"/>
  <c r="C41" i="7" s="1"/>
  <c r="G39" i="7"/>
  <c r="G41" i="7" s="1"/>
  <c r="I23" i="6"/>
  <c r="I39" i="6" s="1"/>
  <c r="I41" i="6" s="1"/>
  <c r="C20" i="6"/>
  <c r="H23" i="6"/>
  <c r="H39" i="6" s="1"/>
  <c r="H41" i="6" s="1"/>
  <c r="F25" i="6"/>
  <c r="G25" i="6"/>
  <c r="H25" i="6"/>
  <c r="G23" i="6"/>
  <c r="G39" i="6" s="1"/>
  <c r="G41" i="6" s="1"/>
  <c r="I20" i="5"/>
  <c r="I56" i="5" s="1"/>
  <c r="I58" i="5" s="1"/>
  <c r="F64" i="7"/>
  <c r="G64" i="7"/>
  <c r="G48" i="7"/>
  <c r="F26" i="7"/>
  <c r="G26" i="7"/>
  <c r="H26" i="7"/>
  <c r="I26" i="7"/>
  <c r="E26" i="7"/>
  <c r="F39" i="7"/>
  <c r="F41" i="7" s="1"/>
  <c r="C20" i="7"/>
  <c r="D20" i="7"/>
  <c r="C56" i="7" s="1"/>
  <c r="E20" i="7"/>
  <c r="E56" i="7" s="1"/>
  <c r="F20" i="7"/>
  <c r="F56" i="7" s="1"/>
  <c r="G20" i="7"/>
  <c r="G56" i="7" s="1"/>
  <c r="I20" i="7"/>
  <c r="I56" i="7" s="1"/>
  <c r="E51" i="7"/>
  <c r="G47" i="7"/>
  <c r="G51" i="7"/>
  <c r="F26" i="6"/>
  <c r="G26" i="6"/>
  <c r="H26" i="6"/>
  <c r="I26" i="6"/>
  <c r="E26" i="6"/>
  <c r="I25" i="6"/>
  <c r="G24" i="6"/>
  <c r="H24" i="6"/>
  <c r="I24" i="6"/>
  <c r="D20" i="6"/>
  <c r="C56" i="6" s="1"/>
  <c r="E20" i="6"/>
  <c r="E56" i="6" s="1"/>
  <c r="F20" i="6"/>
  <c r="F56" i="6" s="1"/>
  <c r="G20" i="6"/>
  <c r="G56" i="6" s="1"/>
  <c r="H20" i="6"/>
  <c r="H56" i="6" s="1"/>
  <c r="I20" i="6"/>
  <c r="I56" i="6" s="1"/>
  <c r="E26" i="5"/>
  <c r="E24" i="5"/>
  <c r="C20" i="5"/>
  <c r="D20" i="5"/>
  <c r="C56" i="5" s="1"/>
  <c r="E20" i="5"/>
  <c r="E56" i="5" s="1"/>
  <c r="F20" i="5"/>
  <c r="F56" i="5" s="1"/>
  <c r="F58" i="5" s="1"/>
  <c r="G20" i="5"/>
  <c r="G56" i="5" s="1"/>
  <c r="G58" i="5" s="1"/>
  <c r="H20" i="5"/>
  <c r="H56" i="5" s="1"/>
  <c r="H58" i="5" s="1"/>
  <c r="B30" i="4"/>
  <c r="B76" i="4" s="1"/>
  <c r="B30" i="3"/>
  <c r="B76" i="3" s="1"/>
  <c r="F27" i="4"/>
  <c r="F61" i="4" s="1"/>
  <c r="G27" i="4"/>
  <c r="G61" i="4" s="1"/>
  <c r="H27" i="4"/>
  <c r="H61" i="4" s="1"/>
  <c r="F27" i="1"/>
  <c r="F61" i="1" s="1"/>
  <c r="G27" i="1"/>
  <c r="G61" i="1" s="1"/>
  <c r="H27" i="1"/>
  <c r="H61" i="1" s="1"/>
  <c r="F27" i="3"/>
  <c r="F61" i="3" s="1"/>
  <c r="G27" i="3"/>
  <c r="G61" i="3" s="1"/>
  <c r="H27" i="3"/>
  <c r="H61" i="3" s="1"/>
  <c r="F27" i="2"/>
  <c r="F61" i="2" s="1"/>
  <c r="G27" i="2"/>
  <c r="G61" i="2" s="1"/>
  <c r="H27" i="2"/>
  <c r="H61" i="2" s="1"/>
  <c r="F24" i="6"/>
  <c r="F23" i="6"/>
  <c r="C26" i="5"/>
  <c r="E23" i="7"/>
  <c r="B23" i="7" s="1"/>
  <c r="E27" i="4"/>
  <c r="E61" i="4" s="1"/>
  <c r="C27" i="4"/>
  <c r="E27" i="1"/>
  <c r="E61" i="1" s="1"/>
  <c r="C27" i="1"/>
  <c r="C61" i="1" s="1"/>
  <c r="C27" i="3"/>
  <c r="E27" i="2"/>
  <c r="E24" i="6"/>
  <c r="E64" i="7"/>
  <c r="C64" i="7"/>
  <c r="C48" i="7"/>
  <c r="B31" i="6"/>
  <c r="B31" i="5"/>
  <c r="C47" i="7"/>
  <c r="B26" i="6" l="1"/>
  <c r="B26" i="7"/>
  <c r="B27" i="4"/>
  <c r="C58" i="6"/>
  <c r="C61" i="3"/>
  <c r="B26" i="5"/>
  <c r="C57" i="5"/>
  <c r="C58" i="5" s="1"/>
  <c r="E72" i="5"/>
  <c r="E69" i="5"/>
  <c r="B24" i="5"/>
  <c r="I72" i="6"/>
  <c r="I69" i="6"/>
  <c r="G72" i="6"/>
  <c r="G69" i="6"/>
  <c r="G57" i="6"/>
  <c r="G58" i="6" s="1"/>
  <c r="G52" i="6"/>
  <c r="G53" i="6" s="1"/>
  <c r="G73" i="6"/>
  <c r="G70" i="6"/>
  <c r="G40" i="6"/>
  <c r="E61" i="2"/>
  <c r="B27" i="2"/>
  <c r="B61" i="2" s="1"/>
  <c r="F39" i="6"/>
  <c r="F41" i="6" s="1"/>
  <c r="B23" i="6"/>
  <c r="B39" i="6" s="1"/>
  <c r="B41" i="6" s="1"/>
  <c r="E72" i="6"/>
  <c r="E69" i="6"/>
  <c r="B24" i="6"/>
  <c r="F72" i="6"/>
  <c r="F69" i="6"/>
  <c r="H72" i="6"/>
  <c r="H69" i="6"/>
  <c r="I57" i="6"/>
  <c r="I58" i="6" s="1"/>
  <c r="I52" i="6"/>
  <c r="I53" i="6" s="1"/>
  <c r="I73" i="6"/>
  <c r="I70" i="6"/>
  <c r="I40" i="6"/>
  <c r="H73" i="6"/>
  <c r="H70" i="6"/>
  <c r="H40" i="6"/>
  <c r="H57" i="6"/>
  <c r="H58" i="6" s="1"/>
  <c r="H52" i="6"/>
  <c r="H53" i="6" s="1"/>
  <c r="F73" i="6"/>
  <c r="F70" i="6"/>
  <c r="F40" i="6"/>
  <c r="F57" i="6"/>
  <c r="F58" i="6" s="1"/>
  <c r="F52" i="6"/>
  <c r="F53" i="6" s="1"/>
  <c r="C61" i="4"/>
  <c r="B27" i="1"/>
  <c r="B61" i="1" s="1"/>
  <c r="H27" i="6"/>
  <c r="H61" i="6" s="1"/>
  <c r="G73" i="7"/>
  <c r="G70" i="7"/>
  <c r="I73" i="7"/>
  <c r="I70" i="7"/>
  <c r="F73" i="7"/>
  <c r="F70" i="7"/>
  <c r="H40" i="7"/>
  <c r="H42" i="7" s="1"/>
  <c r="H66" i="7" s="1"/>
  <c r="H73" i="7"/>
  <c r="H70" i="7"/>
  <c r="B30" i="7"/>
  <c r="C61" i="7"/>
  <c r="I40" i="7"/>
  <c r="I65" i="7" s="1"/>
  <c r="I52" i="7"/>
  <c r="I53" i="7" s="1"/>
  <c r="I57" i="7"/>
  <c r="I58" i="7" s="1"/>
  <c r="I27" i="7"/>
  <c r="I61" i="7" s="1"/>
  <c r="E39" i="7"/>
  <c r="E41" i="7" s="1"/>
  <c r="B39" i="7"/>
  <c r="B41" i="7" s="1"/>
  <c r="I27" i="6"/>
  <c r="I61" i="6" s="1"/>
  <c r="B61" i="4"/>
  <c r="B30" i="2"/>
  <c r="B76" i="2" s="1"/>
  <c r="C57" i="7"/>
  <c r="C58" i="7" s="1"/>
  <c r="C65" i="7"/>
  <c r="B30" i="1"/>
  <c r="B76" i="1" s="1"/>
  <c r="F51" i="7"/>
  <c r="C27" i="6"/>
  <c r="C61" i="6" s="1"/>
  <c r="G27" i="7"/>
  <c r="G61" i="7" s="1"/>
  <c r="G57" i="7"/>
  <c r="G58" i="7" s="1"/>
  <c r="G40" i="7"/>
  <c r="G52" i="7"/>
  <c r="G53" i="7" s="1"/>
  <c r="F27" i="7"/>
  <c r="F61" i="7" s="1"/>
  <c r="F57" i="7"/>
  <c r="F58" i="7" s="1"/>
  <c r="F40" i="7"/>
  <c r="F52" i="7"/>
  <c r="H57" i="7"/>
  <c r="H58" i="7" s="1"/>
  <c r="F27" i="6"/>
  <c r="F61" i="6" s="1"/>
  <c r="H27" i="7"/>
  <c r="H61" i="7" s="1"/>
  <c r="C52" i="7"/>
  <c r="D53" i="7" s="1"/>
  <c r="C71" i="7" s="1"/>
  <c r="E47" i="7"/>
  <c r="G27" i="6"/>
  <c r="G61" i="6" s="1"/>
  <c r="C27" i="5"/>
  <c r="H52" i="7"/>
  <c r="H53" i="7" s="1"/>
  <c r="B64" i="7"/>
  <c r="B48" i="7"/>
  <c r="H71" i="6" l="1"/>
  <c r="F65" i="6"/>
  <c r="F42" i="6"/>
  <c r="F66" i="6" s="1"/>
  <c r="I42" i="6"/>
  <c r="I66" i="6" s="1"/>
  <c r="I65" i="6"/>
  <c r="G42" i="6"/>
  <c r="G66" i="6" s="1"/>
  <c r="G65" i="6"/>
  <c r="C61" i="5"/>
  <c r="F71" i="6"/>
  <c r="H65" i="6"/>
  <c r="H42" i="6"/>
  <c r="H66" i="6" s="1"/>
  <c r="I71" i="6"/>
  <c r="B72" i="6"/>
  <c r="B69" i="6"/>
  <c r="G71" i="6"/>
  <c r="B72" i="5"/>
  <c r="B69" i="5"/>
  <c r="F53" i="7"/>
  <c r="F71" i="7" s="1"/>
  <c r="H65" i="7"/>
  <c r="I71" i="7"/>
  <c r="H71" i="7"/>
  <c r="G71" i="7"/>
  <c r="I42" i="7"/>
  <c r="I66" i="7" s="1"/>
  <c r="B30" i="5"/>
  <c r="B76" i="5" s="1"/>
  <c r="B30" i="6"/>
  <c r="B76" i="6" s="1"/>
  <c r="B76" i="7"/>
  <c r="C66" i="7"/>
  <c r="G65" i="7"/>
  <c r="G42" i="7"/>
  <c r="G66" i="7" s="1"/>
  <c r="F65" i="7"/>
  <c r="F42" i="7"/>
  <c r="F66" i="7" s="1"/>
  <c r="E27" i="3" l="1"/>
  <c r="E25" i="5"/>
  <c r="E25" i="6"/>
  <c r="E25" i="7"/>
  <c r="B25" i="7" s="1"/>
  <c r="E61" i="3" l="1"/>
  <c r="B27" i="3"/>
  <c r="B61" i="3" s="1"/>
  <c r="E57" i="5"/>
  <c r="E58" i="5" s="1"/>
  <c r="E40" i="5"/>
  <c r="E73" i="5"/>
  <c r="E70" i="5"/>
  <c r="E52" i="5"/>
  <c r="E53" i="5" s="1"/>
  <c r="B25" i="5"/>
  <c r="B25" i="6"/>
  <c r="E57" i="6"/>
  <c r="E58" i="6" s="1"/>
  <c r="E52" i="6"/>
  <c r="E53" i="6" s="1"/>
  <c r="E73" i="6"/>
  <c r="E70" i="6"/>
  <c r="E40" i="6"/>
  <c r="E73" i="7"/>
  <c r="E70" i="7"/>
  <c r="E52" i="7"/>
  <c r="E53" i="7" s="1"/>
  <c r="E57" i="7"/>
  <c r="E58" i="7" s="1"/>
  <c r="E27" i="7"/>
  <c r="B27" i="7" s="1"/>
  <c r="E27" i="5"/>
  <c r="E40" i="7"/>
  <c r="E27" i="6"/>
  <c r="E42" i="6" l="1"/>
  <c r="E66" i="6" s="1"/>
  <c r="E65" i="6"/>
  <c r="B77" i="5"/>
  <c r="B73" i="5"/>
  <c r="B70" i="5"/>
  <c r="B52" i="5"/>
  <c r="B40" i="5"/>
  <c r="B57" i="5"/>
  <c r="E65" i="5"/>
  <c r="E42" i="5"/>
  <c r="E66" i="5" s="1"/>
  <c r="B27" i="6"/>
  <c r="B61" i="6" s="1"/>
  <c r="E61" i="6"/>
  <c r="E61" i="5"/>
  <c r="B27" i="5"/>
  <c r="B61" i="5" s="1"/>
  <c r="E71" i="6"/>
  <c r="B77" i="6"/>
  <c r="B57" i="6"/>
  <c r="B52" i="6"/>
  <c r="B73" i="6"/>
  <c r="B70" i="6"/>
  <c r="B40" i="6"/>
  <c r="E71" i="5"/>
  <c r="E71" i="7"/>
  <c r="B70" i="7"/>
  <c r="B73" i="7"/>
  <c r="E61" i="7"/>
  <c r="B61" i="7"/>
  <c r="B40" i="7"/>
  <c r="B57" i="7"/>
  <c r="B77" i="7"/>
  <c r="B52" i="7"/>
  <c r="E65" i="7"/>
  <c r="E42" i="7"/>
  <c r="E66" i="7" s="1"/>
  <c r="B42" i="6" l="1"/>
  <c r="B66" i="6" s="1"/>
  <c r="B65" i="6"/>
  <c r="B65" i="5"/>
  <c r="B42" i="5"/>
  <c r="B66" i="5" s="1"/>
  <c r="B42" i="7"/>
  <c r="B66" i="7" s="1"/>
  <c r="B65" i="7"/>
</calcChain>
</file>

<file path=xl/sharedStrings.xml><?xml version="1.0" encoding="utf-8"?>
<sst xmlns="http://schemas.openxmlformats.org/spreadsheetml/2006/main" count="931" uniqueCount="136">
  <si>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</si>
  <si>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</si>
  <si>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</si>
  <si>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</si>
  <si>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</si>
  <si>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</si>
  <si>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</si>
  <si>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</si>
  <si>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</si>
  <si>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</si>
  <si>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</si>
  <si>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</si>
  <si>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</si>
  <si>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</si>
  <si>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</si>
  <si>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</si>
  <si>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</si>
  <si>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</si>
  <si>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</si>
  <si>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</si>
  <si>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</si>
  <si>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</si>
  <si>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</si>
  <si>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</si>
  <si>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</si>
  <si>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</si>
  <si>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</si>
  <si>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</si>
  <si>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</si>
  <si>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</si>
  <si>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</si>
  <si>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</si>
  <si>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</si>
  <si>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</si>
  <si>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</si>
  <si>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</si>
  <si>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</si>
  <si>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</si>
  <si>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</si>
  <si>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</si>
  <si>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</si>
  <si>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</si>
  <si>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</si>
  <si>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</si>
  <si>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</si>
  <si>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</si>
  <si>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</si>
  <si>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</si>
  <si>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</si>
  <si>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n.d</t>
  </si>
  <si>
    <t>Alternativas de Cuido</t>
  </si>
  <si>
    <t>Niños/Niñas</t>
  </si>
  <si>
    <t>Programa de Promoción y Protección Social</t>
  </si>
  <si>
    <t xml:space="preserve">Protección Familiar </t>
  </si>
  <si>
    <t xml:space="preserve">Fideicomiso e Intereses Avancemos </t>
  </si>
  <si>
    <t xml:space="preserve">    Subsidios </t>
  </si>
  <si>
    <t xml:space="preserve">n.d. </t>
  </si>
  <si>
    <t xml:space="preserve">Familias </t>
  </si>
  <si>
    <t>Programa de Protección y Promoción Social</t>
  </si>
  <si>
    <t xml:space="preserve">Productos </t>
  </si>
  <si>
    <t xml:space="preserve">Cuidado y Desarrollo Infantil </t>
  </si>
  <si>
    <t xml:space="preserve">Crecemos </t>
  </si>
  <si>
    <t xml:space="preserve">Estudiantes </t>
  </si>
  <si>
    <t xml:space="preserve">Familias diferentes 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</si>
  <si>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</si>
  <si>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</si>
  <si>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</si>
  <si>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</si>
  <si>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</si>
  <si>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</si>
  <si>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</si>
  <si>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</si>
  <si>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</si>
  <si>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</si>
  <si>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</si>
  <si>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</si>
  <si>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</si>
  <si>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</si>
  <si>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</si>
  <si>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</si>
  <si>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</si>
  <si>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</si>
  <si>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</si>
  <si>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</si>
  <si>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</si>
  <si>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</si>
  <si>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</si>
  <si>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</si>
  <si>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</si>
  <si>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</si>
  <si>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</si>
  <si>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</si>
  <si>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</si>
  <si>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</si>
  <si>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</si>
  <si>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</si>
  <si>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</si>
  <si>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</si>
  <si>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</si>
  <si>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IMAS 2020 y 2021 - Cronogramas de Metas e Inversión - Modificaciones 2021 - IPC, INEC 2020 y 2021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</si>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</sst>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rgb="FFFF0000"/>
      <name val="Palatino Linotyp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165" fontId="0" fillId="0" borderId="0" xfId="1" applyNumberFormat="1" applyFont="1"/>
    <xf numFmtId="0" fontId="0" fillId="0" borderId="0" xfId="0" applyFill="1"/>
    <xf numFmtId="0" fontId="2" fillId="0" borderId="0" xfId="0" applyFont="1" applyFill="1"/>
    <xf numFmtId="167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Alignment="1">
      <alignment horizontal="left" indent="3"/>
    </xf>
    <xf numFmtId="165" fontId="4" fillId="0" borderId="0" xfId="1" applyNumberFormat="1" applyFont="1"/>
    <xf numFmtId="165" fontId="4" fillId="0" borderId="0" xfId="1" applyNumberFormat="1" applyFont="1" applyFill="1" applyBorder="1"/>
    <xf numFmtId="165" fontId="4" fillId="0" borderId="0" xfId="4" applyNumberFormat="1" applyFont="1" applyFill="1" applyBorder="1"/>
    <xf numFmtId="165" fontId="1" fillId="0" borderId="0" xfId="1" applyNumberFormat="1" applyFont="1"/>
    <xf numFmtId="165" fontId="1" fillId="0" borderId="0" xfId="1" applyNumberFormat="1" applyFont="1" applyFill="1"/>
    <xf numFmtId="165" fontId="1" fillId="0" borderId="5" xfId="1" applyNumberFormat="1" applyFont="1" applyFill="1" applyBorder="1"/>
    <xf numFmtId="0" fontId="0" fillId="0" borderId="0" xfId="0" applyFont="1"/>
    <xf numFmtId="0" fontId="0" fillId="0" borderId="0" xfId="0" applyFont="1" applyFill="1"/>
    <xf numFmtId="165" fontId="0" fillId="0" borderId="0" xfId="1" applyNumberFormat="1" applyFont="1" applyFill="1" applyBorder="1"/>
    <xf numFmtId="167" fontId="0" fillId="0" borderId="0" xfId="0" applyNumberFormat="1" applyFont="1"/>
    <xf numFmtId="165" fontId="0" fillId="0" borderId="0" xfId="4" applyNumberFormat="1" applyFont="1" applyFill="1" applyBorder="1"/>
    <xf numFmtId="0" fontId="3" fillId="0" borderId="0" xfId="0" applyFont="1" applyFill="1"/>
    <xf numFmtId="165" fontId="0" fillId="0" borderId="0" xfId="1" applyNumberFormat="1" applyFont="1" applyFill="1" applyBorder="1" applyAlignment="1">
      <alignment horizontal="left"/>
    </xf>
    <xf numFmtId="0" fontId="1" fillId="0" borderId="0" xfId="0" applyFont="1" applyFill="1"/>
    <xf numFmtId="3" fontId="0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9" fillId="0" borderId="0" xfId="1" applyNumberFormat="1" applyFont="1" applyFill="1"/>
    <xf numFmtId="165" fontId="9" fillId="0" borderId="0" xfId="1" applyNumberFormat="1" applyFont="1"/>
    <xf numFmtId="165" fontId="8" fillId="0" borderId="0" xfId="1" applyNumberFormat="1" applyFont="1" applyFill="1"/>
    <xf numFmtId="0" fontId="8" fillId="0" borderId="0" xfId="0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left" indent="1"/>
    </xf>
    <xf numFmtId="3" fontId="10" fillId="0" borderId="0" xfId="1" applyNumberFormat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left"/>
    </xf>
    <xf numFmtId="165" fontId="10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Alignment="1">
      <alignment horizontal="right"/>
    </xf>
    <xf numFmtId="165" fontId="9" fillId="0" borderId="3" xfId="1" applyNumberFormat="1" applyFont="1" applyFill="1" applyBorder="1"/>
    <xf numFmtId="165" fontId="9" fillId="0" borderId="3" xfId="1" applyNumberFormat="1" applyFont="1" applyFill="1" applyBorder="1" applyAlignment="1">
      <alignment horizontal="right"/>
    </xf>
    <xf numFmtId="165" fontId="9" fillId="0" borderId="0" xfId="1" applyNumberFormat="1" applyFont="1" applyFill="1" applyBorder="1"/>
    <xf numFmtId="165" fontId="9" fillId="0" borderId="0" xfId="1" applyNumberFormat="1" applyFont="1" applyAlignment="1">
      <alignment horizontal="left" indent="3"/>
    </xf>
    <xf numFmtId="165" fontId="9" fillId="0" borderId="0" xfId="1" applyNumberFormat="1" applyFont="1" applyFill="1" applyAlignment="1">
      <alignment wrapText="1"/>
    </xf>
    <xf numFmtId="0" fontId="9" fillId="0" borderId="0" xfId="0" applyFont="1" applyFill="1"/>
    <xf numFmtId="164" fontId="9" fillId="0" borderId="0" xfId="1" applyFont="1" applyFill="1"/>
    <xf numFmtId="3" fontId="10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Fill="1" applyBorder="1"/>
    <xf numFmtId="4" fontId="9" fillId="0" borderId="3" xfId="1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/>
    <xf numFmtId="3" fontId="10" fillId="0" borderId="0" xfId="0" applyNumberFormat="1" applyFont="1"/>
    <xf numFmtId="165" fontId="10" fillId="0" borderId="0" xfId="1" applyNumberFormat="1" applyFont="1" applyFill="1" applyBorder="1"/>
    <xf numFmtId="165" fontId="10" fillId="0" borderId="0" xfId="1" applyNumberFormat="1" applyFont="1"/>
    <xf numFmtId="0" fontId="9" fillId="0" borderId="0" xfId="0" applyFont="1" applyFill="1" applyAlignment="1">
      <alignment wrapText="1"/>
    </xf>
    <xf numFmtId="0" fontId="10" fillId="0" borderId="0" xfId="0" applyFont="1" applyFill="1"/>
    <xf numFmtId="3" fontId="10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167" fontId="9" fillId="0" borderId="0" xfId="0" applyNumberFormat="1" applyFont="1" applyFill="1"/>
    <xf numFmtId="0" fontId="8" fillId="0" borderId="0" xfId="0" applyFont="1" applyFill="1"/>
    <xf numFmtId="3" fontId="10" fillId="0" borderId="0" xfId="0" applyNumberFormat="1" applyFont="1" applyAlignment="1">
      <alignment horizontal="right"/>
    </xf>
    <xf numFmtId="165" fontId="9" fillId="0" borderId="0" xfId="1" applyNumberFormat="1" applyFont="1" applyFill="1" applyAlignment="1">
      <alignment horizontal="right" vertical="center"/>
    </xf>
    <xf numFmtId="168" fontId="9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167" fontId="9" fillId="0" borderId="0" xfId="0" applyNumberFormat="1" applyFont="1"/>
    <xf numFmtId="0" fontId="9" fillId="0" borderId="3" xfId="0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Alignment="1">
      <alignment horizontal="left" indent="3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/>
    </xf>
    <xf numFmtId="165" fontId="9" fillId="0" borderId="0" xfId="1" applyNumberFormat="1" applyFont="1" applyFill="1" applyAlignment="1">
      <alignment horizontal="center" vertical="center"/>
    </xf>
    <xf numFmtId="3" fontId="9" fillId="0" borderId="0" xfId="1" applyNumberFormat="1" applyFont="1" applyFill="1"/>
    <xf numFmtId="3" fontId="10" fillId="0" borderId="0" xfId="1" applyNumberFormat="1" applyFont="1" applyAlignment="1">
      <alignment horizontal="center" vertical="center"/>
    </xf>
    <xf numFmtId="3" fontId="9" fillId="0" borderId="0" xfId="1" applyNumberFormat="1" applyFont="1"/>
    <xf numFmtId="3" fontId="9" fillId="0" borderId="0" xfId="0" applyNumberFormat="1" applyFont="1"/>
    <xf numFmtId="165" fontId="8" fillId="0" borderId="3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center"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right"/>
    </xf>
    <xf numFmtId="165" fontId="8" fillId="0" borderId="4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/>
    </xf>
    <xf numFmtId="3" fontId="9" fillId="0" borderId="0" xfId="1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165" fontId="9" fillId="0" borderId="0" xfId="1" applyNumberFormat="1" applyFont="1" applyAlignment="1">
      <alignment horizontal="left"/>
    </xf>
    <xf numFmtId="2" fontId="9" fillId="0" borderId="0" xfId="0" applyNumberFormat="1" applyFont="1" applyFill="1" applyAlignment="1">
      <alignment horizontal="right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center"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right"/>
    </xf>
    <xf numFmtId="165" fontId="8" fillId="0" borderId="4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 vertical="center"/>
    </xf>
    <xf numFmtId="165" fontId="8" fillId="0" borderId="4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 vertical="center"/>
    </xf>
    <xf numFmtId="0" fontId="9" fillId="0" borderId="6" xfId="0" applyFont="1" applyFill="1" applyBorder="1" applyAlignment="1">
      <alignment horizontal="left" vertical="top" wrapText="1"/>
    </xf>
    <xf numFmtId="3" fontId="9" fillId="0" borderId="0" xfId="0" applyNumberFormat="1" applyFont="1" applyFill="1" applyAlignment="1">
      <alignment horizontal="center"/>
    </xf>
    <xf numFmtId="3" fontId="9" fillId="0" borderId="0" xfId="1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/>
    </xf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 xr:uid="{00000000-0005-0000-0000-000011000000}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Cobertura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 Cobertura Programada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Asignación Familiar </c:v>
                </c:pt>
                <c:pt idx="3">
                  <c:v> Seguridad Alimentaria </c:v>
                </c:pt>
              </c:strCache>
            </c:strRef>
          </c:cat>
          <c:val>
            <c:numRef>
              <c:f>(Anual!$B$47,Anual!$C$47,Anual!$E$47,Anual!$G$47)</c:f>
              <c:numCache>
                <c:formatCode>#,##0.00</c:formatCode>
                <c:ptCount val="4"/>
                <c:pt idx="0">
                  <c:v>0</c:v>
                </c:pt>
                <c:pt idx="1">
                  <c:v>60.365740586649416</c:v>
                </c:pt>
                <c:pt idx="2">
                  <c:v>1.2468065445453065</c:v>
                </c:pt>
                <c:pt idx="3">
                  <c:v>7.7787853183026616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D0-A8A5-86DE66536A7A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 Cobertura Efectiva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Asignación Familiar </c:v>
                </c:pt>
                <c:pt idx="3">
                  <c:v> Seguridad Alimentaria </c:v>
                </c:pt>
              </c:strCache>
            </c:strRef>
          </c:cat>
          <c:val>
            <c:numRef>
              <c:f>(Anual!$B$48,Anual!$C$48,Anual!$E$48,Anual!$G$48)</c:f>
              <c:numCache>
                <c:formatCode>#,##0.00</c:formatCode>
                <c:ptCount val="4"/>
                <c:pt idx="0">
                  <c:v>64.775189428202395</c:v>
                </c:pt>
                <c:pt idx="1">
                  <c:v>91.025281366344444</c:v>
                </c:pt>
                <c:pt idx="2">
                  <c:v>1.3364950807196825</c:v>
                </c:pt>
                <c:pt idx="3">
                  <c:v>8.8411681058467106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C-4DD0-A8A5-86DE6653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3936"/>
        <c:axId val="114994328"/>
        <c:axId val="0"/>
      </c:bar3DChart>
      <c:catAx>
        <c:axId val="1149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4328"/>
        <c:crosses val="autoZero"/>
        <c:auto val="1"/>
        <c:lblAlgn val="ctr"/>
        <c:lblOffset val="100"/>
        <c:noMultiLvlLbl val="0"/>
      </c:catAx>
      <c:valAx>
        <c:axId val="114994328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3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resultado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 Índice efectividad en beneficiarios (IEB)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(Anual!$D$51,Anual!$E$51,Anual!$F$51,Anual!$G$51,Anual!$H$51,Anual!$I$51,Anual!$K$51)</c:f>
              <c:numCache>
                <c:formatCode>#,##0.00</c:formatCode>
                <c:ptCount val="7"/>
                <c:pt idx="0">
                  <c:v>150.78963743629731</c:v>
                </c:pt>
                <c:pt idx="1">
                  <c:v>107.19346049046321</c:v>
                </c:pt>
                <c:pt idx="2">
                  <c:v>191.50943396226415</c:v>
                </c:pt>
                <c:pt idx="3">
                  <c:v>113.65743807126772</c:v>
                </c:pt>
                <c:pt idx="4">
                  <c:v>133.70291563632182</c:v>
                </c:pt>
                <c:pt idx="5">
                  <c:v>116.96766064678708</c:v>
                </c:pt>
                <c:pt idx="6">
                  <c:v>290.88613495979178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8-41ED-A7CD-19270DCAF9EE}"/>
            </c:ext>
          </c:extLst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 Índice efectividad en gasto (IEG)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(Anual!$C$52,Anual!$E$52,Anual!$F$52,Anual!$G$52,Anual!$H$52,Anual!$I$52,Anual!$J$52)</c:f>
              <c:numCache>
                <c:formatCode>#,##0.00</c:formatCode>
                <c:ptCount val="7"/>
                <c:pt idx="0">
                  <c:v>99.691286086463663</c:v>
                </c:pt>
                <c:pt idx="1">
                  <c:v>97.782670139826166</c:v>
                </c:pt>
                <c:pt idx="2">
                  <c:v>108.94466307146675</c:v>
                </c:pt>
                <c:pt idx="3">
                  <c:v>99.815264646107622</c:v>
                </c:pt>
                <c:pt idx="4">
                  <c:v>98.341894272736766</c:v>
                </c:pt>
                <c:pt idx="5">
                  <c:v>99.898058042698139</c:v>
                </c:pt>
                <c:pt idx="6">
                  <c:v>99.660127692012239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8-41ED-A7CD-19270DCAF9EE}"/>
            </c:ext>
          </c:extLst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 Índice efectividad total (IET)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1.040426296242131E-2"/>
                  <c:y val="-3.0831626062386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C7-47AA-8222-0F6673CA45EE}"/>
                </c:ext>
              </c:extLst>
            </c:dLbl>
            <c:dLbl>
              <c:idx val="3"/>
              <c:layout>
                <c:manualLayout>
                  <c:x val="1.04042629624213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C7-47AA-8222-0F6673CA45EE}"/>
                </c:ext>
              </c:extLst>
            </c:dLbl>
            <c:dLbl>
              <c:idx val="5"/>
              <c:layout>
                <c:manualLayout>
                  <c:x val="6.50266435151334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C7-47AA-8222-0F6673CA4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(Anual!$D$53,Anual!$E$53,Anual!$F$53,Anual!$G$53,Anual!$H$53,Anual!$I$53,Anual!$K$53)</c:f>
              <c:numCache>
                <c:formatCode>#,##0.00</c:formatCode>
                <c:ptCount val="7"/>
                <c:pt idx="0">
                  <c:v>125.24046176138049</c:v>
                </c:pt>
                <c:pt idx="1">
                  <c:v>102.48806531514469</c:v>
                </c:pt>
                <c:pt idx="2">
                  <c:v>150.22704851686547</c:v>
                </c:pt>
                <c:pt idx="3">
                  <c:v>106.73635135868767</c:v>
                </c:pt>
                <c:pt idx="4">
                  <c:v>116.02240495452929</c:v>
                </c:pt>
                <c:pt idx="5">
                  <c:v>108.43285934474261</c:v>
                </c:pt>
                <c:pt idx="6">
                  <c:v>195.273131325902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8-41ED-A7CD-19270DCA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5112"/>
        <c:axId val="114995504"/>
        <c:axId val="0"/>
      </c:bar3DChart>
      <c:catAx>
        <c:axId val="1149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5504"/>
        <c:crosses val="autoZero"/>
        <c:auto val="1"/>
        <c:lblAlgn val="ctr"/>
        <c:lblOffset val="100"/>
        <c:noMultiLvlLbl val="0"/>
      </c:catAx>
      <c:valAx>
        <c:axId val="114995504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avance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 Índice avance beneficiarios (IAB)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(Anual!$C$56,Anual!$E$56,Anual!$F$56,Anual!$G$56,Anual!$H$56,Anual!$I$56,Anual!$J$56)</c:f>
              <c:numCache>
                <c:formatCode>#,##0.00</c:formatCode>
                <c:ptCount val="7"/>
                <c:pt idx="0">
                  <c:v>150.78963743629731</c:v>
                </c:pt>
                <c:pt idx="1">
                  <c:v>107.19346049046321</c:v>
                </c:pt>
                <c:pt idx="2">
                  <c:v>191.50943396226415</c:v>
                </c:pt>
                <c:pt idx="3">
                  <c:v>113.65743807126772</c:v>
                </c:pt>
                <c:pt idx="4">
                  <c:v>133.70291563632182</c:v>
                </c:pt>
                <c:pt idx="5">
                  <c:v>116.96766064678708</c:v>
                </c:pt>
                <c:pt idx="6">
                  <c:v>290.88613495979178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4459-B5EF-38E5794C6196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 Índice avance gasto (IAG)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(Anual!$C$57,Anual!$E$57,Anual!$F$57,Anual!$G$57,Anual!$H$57,Anual!$I$57,Anual!$J$57)</c:f>
              <c:numCache>
                <c:formatCode>#,##0.00</c:formatCode>
                <c:ptCount val="7"/>
                <c:pt idx="0">
                  <c:v>99.691286086463663</c:v>
                </c:pt>
                <c:pt idx="1">
                  <c:v>97.782670139826166</c:v>
                </c:pt>
                <c:pt idx="2">
                  <c:v>108.94466307146675</c:v>
                </c:pt>
                <c:pt idx="3">
                  <c:v>99.815264646107622</c:v>
                </c:pt>
                <c:pt idx="4">
                  <c:v>98.341894272736766</c:v>
                </c:pt>
                <c:pt idx="5">
                  <c:v>99.898058042698139</c:v>
                </c:pt>
                <c:pt idx="6">
                  <c:v>99.660127692012239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B-4459-B5EF-38E5794C6196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 Índice avance total (IAT) 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(Anual!$C$58,Anual!$E$58,Anual!$F$58,Anual!$G$58,Anual!$H$58,Anual!$I$58,Anual!$J$58)</c:f>
              <c:numCache>
                <c:formatCode>#,##0.00</c:formatCode>
                <c:ptCount val="7"/>
                <c:pt idx="0">
                  <c:v>125.24046176138049</c:v>
                </c:pt>
                <c:pt idx="1">
                  <c:v>102.48806531514469</c:v>
                </c:pt>
                <c:pt idx="2">
                  <c:v>150.22704851686547</c:v>
                </c:pt>
                <c:pt idx="3">
                  <c:v>106.73635135868767</c:v>
                </c:pt>
                <c:pt idx="4">
                  <c:v>116.02240495452929</c:v>
                </c:pt>
                <c:pt idx="5">
                  <c:v>108.43285934474261</c:v>
                </c:pt>
                <c:pt idx="6">
                  <c:v>195.273131325902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B-4459-B5EF-38E5794C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6288"/>
        <c:axId val="387613528"/>
        <c:axId val="0"/>
      </c:bar3DChart>
      <c:catAx>
        <c:axId val="114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3528"/>
        <c:crosses val="autoZero"/>
        <c:auto val="1"/>
        <c:lblAlgn val="ctr"/>
        <c:lblOffset val="100"/>
        <c:noMultiLvlLbl val="0"/>
      </c:catAx>
      <c:valAx>
        <c:axId val="387613528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expansión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 Índice de crecimiento beneficiarios (ICB)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Seguridad Alimentaria </c:v>
                </c:pt>
                <c:pt idx="3">
                  <c:v> Protección Familiar  </c:v>
                </c:pt>
                <c:pt idx="4">
                  <c:v> Asignación Familiar </c:v>
                </c:pt>
                <c:pt idx="5">
                  <c:v> Prestación Alimentaria </c:v>
                </c:pt>
                <c:pt idx="6">
                  <c:v> Alternativas de Cuido </c:v>
                </c:pt>
                <c:pt idx="7">
                  <c:v> Crecemos  </c:v>
                </c:pt>
              </c:strCache>
            </c:strRef>
          </c:cat>
          <c:val>
            <c:numRef>
              <c:f>(Anual!$B$64,Anual!$C$64,Anual!$E$64,Anual!$F$64,Anual!$G$64,Anual!$H$64,Anual!$I$64,Anual!$J$64)</c:f>
              <c:numCache>
                <c:formatCode>#,##0.00</c:formatCode>
                <c:ptCount val="8"/>
                <c:pt idx="0">
                  <c:v>-3.5491671312856687</c:v>
                </c:pt>
                <c:pt idx="1">
                  <c:v>3.5863860180726181</c:v>
                </c:pt>
                <c:pt idx="2">
                  <c:v>24.65145754119138</c:v>
                </c:pt>
                <c:pt idx="3">
                  <c:v>29.299363057324832</c:v>
                </c:pt>
                <c:pt idx="4">
                  <c:v>-8.0681452909032494</c:v>
                </c:pt>
                <c:pt idx="5">
                  <c:v>-6.048556557721529</c:v>
                </c:pt>
                <c:pt idx="6">
                  <c:v>0.38849727651393273</c:v>
                </c:pt>
                <c:pt idx="7">
                  <c:v>32.310220525869383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AE3-8828-A9F9BA43A25A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 Índice de crecimiento del gasto real (ICGR)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7"/>
              <c:layout>
                <c:manualLayout>
                  <c:x val="-1.7394640752273927E-2"/>
                  <c:y val="5.72607259728725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D3-4946-AE59-05519A53A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Seguridad Alimentaria </c:v>
                </c:pt>
                <c:pt idx="3">
                  <c:v> Protección Familiar  </c:v>
                </c:pt>
                <c:pt idx="4">
                  <c:v> Asignación Familiar </c:v>
                </c:pt>
                <c:pt idx="5">
                  <c:v> Prestación Alimentaria </c:v>
                </c:pt>
                <c:pt idx="6">
                  <c:v> Alternativas de Cuido </c:v>
                </c:pt>
                <c:pt idx="7">
                  <c:v> Crecemos  </c:v>
                </c:pt>
              </c:strCache>
            </c:strRef>
          </c:cat>
          <c:val>
            <c:numRef>
              <c:f>(Anual!$B$65:$C$65,Anual!$G$65:$H$65,Anual!$E$65,Anual!$F$65,Anual!$I$65,Anual!$J$65)</c:f>
              <c:numCache>
                <c:formatCode>#,##0.00</c:formatCode>
                <c:ptCount val="8"/>
                <c:pt idx="0">
                  <c:v>-5.650421695135166</c:v>
                </c:pt>
                <c:pt idx="1">
                  <c:v>-3.9328169166858662</c:v>
                </c:pt>
                <c:pt idx="2">
                  <c:v>-7.2167994144981096</c:v>
                </c:pt>
                <c:pt idx="3">
                  <c:v>-7.6178535751668548</c:v>
                </c:pt>
                <c:pt idx="4">
                  <c:v>13.301657678500201</c:v>
                </c:pt>
                <c:pt idx="5">
                  <c:v>27.12931629303721</c:v>
                </c:pt>
                <c:pt idx="6">
                  <c:v>-5.6939909961302053</c:v>
                </c:pt>
                <c:pt idx="7">
                  <c:v>-6.0091638486790666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AE3-8828-A9F9BA43A25A}"/>
            </c:ext>
          </c:extLst>
        </c:ser>
        <c:ser>
          <c:idx val="2"/>
          <c:order val="2"/>
          <c:tx>
            <c:strRef>
              <c:f>Anual!$A$66</c:f>
              <c:strCache>
                <c:ptCount val="1"/>
                <c:pt idx="0">
                  <c:v> Índice de crecimiento del gasto real por beneficiario (ICGRB) 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Seguridad Alimentaria </c:v>
                </c:pt>
                <c:pt idx="3">
                  <c:v> Protección Familiar  </c:v>
                </c:pt>
                <c:pt idx="4">
                  <c:v> Asignación Familiar </c:v>
                </c:pt>
                <c:pt idx="5">
                  <c:v> Prestación Alimentaria </c:v>
                </c:pt>
                <c:pt idx="6">
                  <c:v> Alternativas de Cuido </c:v>
                </c:pt>
                <c:pt idx="7">
                  <c:v> Crecemos  </c:v>
                </c:pt>
              </c:strCache>
            </c:strRef>
          </c:cat>
          <c:val>
            <c:numRef>
              <c:f>(Anual!$B$66:$C$66,Anual!$G$66:$H$66,Anual!$E$66,Anual!$F$66,Anual!$I$66,Anual!$J$66)</c:f>
              <c:numCache>
                <c:formatCode>#,##0.00</c:formatCode>
                <c:ptCount val="8"/>
                <c:pt idx="0">
                  <c:v>-2.1785758622838047</c:v>
                </c:pt>
                <c:pt idx="1">
                  <c:v>-7.258871772441811</c:v>
                </c:pt>
                <c:pt idx="2">
                  <c:v>0.92606189562809416</c:v>
                </c:pt>
                <c:pt idx="3">
                  <c:v>-1.6703277352087431</c:v>
                </c:pt>
                <c:pt idx="4">
                  <c:v>-9.1052283595966959</c:v>
                </c:pt>
                <c:pt idx="5">
                  <c:v>-1.6783120295229437</c:v>
                </c:pt>
                <c:pt idx="6">
                  <c:v>-6.0589494191653266</c:v>
                </c:pt>
                <c:pt idx="7">
                  <c:v>-28.961771979705997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7-4AE3-8828-A9F9BA43A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7448"/>
        <c:axId val="387617840"/>
        <c:axId val="0"/>
      </c:bar3DChart>
      <c:catAx>
        <c:axId val="3876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7840"/>
        <c:crosses val="autoZero"/>
        <c:auto val="1"/>
        <c:lblAlgn val="ctr"/>
        <c:lblOffset val="100"/>
        <c:noMultiLvlLbl val="0"/>
      </c:catAx>
      <c:valAx>
        <c:axId val="387617840"/>
        <c:scaling>
          <c:orientation val="minMax"/>
          <c:max val="50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7448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195099716201018E-3"/>
          <c:y val="0.93035266539853489"/>
          <c:w val="0.98124547501478188"/>
          <c:h val="6.96473346014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gasto medio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 Gasto anual programado por beneficiario (GPB)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Asignación Familiar </c:v>
                </c:pt>
                <c:pt idx="3">
                  <c:v> Prestación Alimentaria </c:v>
                </c:pt>
                <c:pt idx="4">
                  <c:v> Seguridad Alimentaria </c:v>
                </c:pt>
                <c:pt idx="5">
                  <c:v> Protección Familiar  </c:v>
                </c:pt>
                <c:pt idx="6">
                  <c:v> Alternativas de Cuido </c:v>
                </c:pt>
                <c:pt idx="7">
                  <c:v> Crecemos  </c:v>
                </c:pt>
              </c:strCache>
            </c:strRef>
          </c:cat>
          <c:val>
            <c:numRef>
              <c:f>(Anual!$B$69,Anual!$C$69,Anual!$E$69,Anual!$F$69,Anual!$G$69,Anual!$H$69,Anual!$I$69,Anual!$J$69)</c:f>
              <c:numCache>
                <c:formatCode>#,##0.00</c:formatCode>
                <c:ptCount val="8"/>
                <c:pt idx="0">
                  <c:v>556915.97783290257</c:v>
                </c:pt>
                <c:pt idx="1">
                  <c:v>420000</c:v>
                </c:pt>
                <c:pt idx="2">
                  <c:v>1200000</c:v>
                </c:pt>
                <c:pt idx="3">
                  <c:v>1615761.0117749674</c:v>
                </c:pt>
                <c:pt idx="4">
                  <c:v>900000</c:v>
                </c:pt>
                <c:pt idx="5">
                  <c:v>900000</c:v>
                </c:pt>
                <c:pt idx="6">
                  <c:v>1560000</c:v>
                </c:pt>
                <c:pt idx="7">
                  <c:v>216000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AFD-AF47-E4E269E62DE3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 Gasto anual efectivo por beneficiario (GEB)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 Programa de Promoción y Protección Social </c:v>
                </c:pt>
                <c:pt idx="1">
                  <c:v> Avancemos </c:v>
                </c:pt>
                <c:pt idx="2">
                  <c:v> Asignación Familiar </c:v>
                </c:pt>
                <c:pt idx="3">
                  <c:v> Prestación Alimentaria </c:v>
                </c:pt>
                <c:pt idx="4">
                  <c:v> Seguridad Alimentaria </c:v>
                </c:pt>
                <c:pt idx="5">
                  <c:v> Protección Familiar  </c:v>
                </c:pt>
                <c:pt idx="6">
                  <c:v> Alternativas de Cuido </c:v>
                </c:pt>
                <c:pt idx="7">
                  <c:v> Crecemos  </c:v>
                </c:pt>
              </c:strCache>
            </c:strRef>
          </c:cat>
          <c:val>
            <c:numRef>
              <c:f>(Anual!$B$70,Anual!$C$70,Anual!$E$70,Anual!$F$70,Anual!$G$70,Anual!$H$70,Anual!$I$70,Anual!$J$70)</c:f>
              <c:numCache>
                <c:formatCode>#,##0.00</c:formatCode>
                <c:ptCount val="8"/>
                <c:pt idx="0">
                  <c:v>357143.52306675649</c:v>
                </c:pt>
                <c:pt idx="1">
                  <c:v>318721.28025283624</c:v>
                </c:pt>
                <c:pt idx="2">
                  <c:v>1333665.1400871326</c:v>
                </c:pt>
                <c:pt idx="3">
                  <c:v>3255108.3870967748</c:v>
                </c:pt>
                <c:pt idx="4">
                  <c:v>970223.23328720708</c:v>
                </c:pt>
                <c:pt idx="5">
                  <c:v>884498.57851245452</c:v>
                </c:pt>
                <c:pt idx="6">
                  <c:v>1552923.1700278649</c:v>
                </c:pt>
                <c:pt idx="7">
                  <c:v>83155.018127252217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AFD-AF47-E4E269E6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618624"/>
        <c:axId val="387619016"/>
        <c:axId val="0"/>
      </c:bar3DChart>
      <c:catAx>
        <c:axId val="387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9016"/>
        <c:crosses val="autoZero"/>
        <c:auto val="1"/>
        <c:lblAlgn val="ctr"/>
        <c:lblOffset val="100"/>
        <c:noMultiLvlLbl val="0"/>
      </c:catAx>
      <c:valAx>
        <c:axId val="387619016"/>
        <c:scaling>
          <c:orientation val="minMax"/>
          <c:max val="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8624"/>
        <c:crosses val="autoZero"/>
        <c:crossBetween val="between"/>
        <c:majorUnit val="10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n-US" sz="1800"/>
              <a:t>IMAS: Índice de eficiencia (IE)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 Índice de eficiencia (IE)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 Avancemos </c:v>
                </c:pt>
                <c:pt idx="1">
                  <c:v> Asignación Familiar </c:v>
                </c:pt>
                <c:pt idx="2">
                  <c:v> Prestación Alimentaria </c:v>
                </c:pt>
                <c:pt idx="3">
                  <c:v> Seguridad Alimentaria </c:v>
                </c:pt>
                <c:pt idx="4">
                  <c:v> Protección Familiar  </c:v>
                </c:pt>
                <c:pt idx="5">
                  <c:v> Alternativas de Cuido </c:v>
                </c:pt>
                <c:pt idx="6">
                  <c:v> Crecemos  </c:v>
                </c:pt>
              </c:strCache>
            </c:strRef>
          </c:cat>
          <c:val>
            <c:numRef>
              <c:f>(Anual!$C$71,Anual!$E$71,Anual!$F$71,Anual!$G$71,Anual!$H$71,Anual!$I$71,Anual!$J$71)</c:f>
              <c:numCache>
                <c:formatCode>#,##0.00</c:formatCode>
                <c:ptCount val="7"/>
                <c:pt idx="0">
                  <c:v>95.040000742960871</c:v>
                </c:pt>
                <c:pt idx="1">
                  <c:v>113.90396665481803</c:v>
                </c:pt>
                <c:pt idx="2">
                  <c:v>302.64706353995643</c:v>
                </c:pt>
                <c:pt idx="3">
                  <c:v>115.06454213833926</c:v>
                </c:pt>
                <c:pt idx="4">
                  <c:v>114.02405806430835</c:v>
                </c:pt>
                <c:pt idx="5">
                  <c:v>107.94096132616878</c:v>
                </c:pt>
                <c:pt idx="6">
                  <c:v>75.175651736901315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C78-BA13-16109827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9800"/>
        <c:axId val="387620192"/>
        <c:axId val="0"/>
      </c:bar3DChart>
      <c:catAx>
        <c:axId val="38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20192"/>
        <c:crosses val="autoZero"/>
        <c:auto val="1"/>
        <c:lblAlgn val="ctr"/>
        <c:lblOffset val="100"/>
        <c:noMultiLvlLbl val="0"/>
      </c:catAx>
      <c:valAx>
        <c:axId val="387620192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98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IMAS: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E0C-4C8E-8B21-D791378433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053-43A9-8BEA-F1A22FF42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Anual!$A$76:$A$77</c:f>
              <c:strCache>
                <c:ptCount val="2"/>
                <c:pt idx="0">
                  <c:v> Índice de giro efectivo (IGE) </c:v>
                </c:pt>
                <c:pt idx="1">
                  <c:v> Índice de uso de recursos (IUR)  </c:v>
                </c:pt>
              </c:strCache>
            </c:strRef>
          </c:cat>
          <c:val>
            <c:numRef>
              <c:f>Anual!$B$76:$B$77</c:f>
              <c:numCache>
                <c:formatCode>#,##0.00</c:formatCode>
                <c:ptCount val="2"/>
                <c:pt idx="0">
                  <c:v>98.982879615895442</c:v>
                </c:pt>
                <c:pt idx="1">
                  <c:v>100.52166139073064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3-43A9-8BEA-F1A22FF4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038640"/>
        <c:axId val="209039952"/>
        <c:axId val="0"/>
      </c:bar3DChart>
      <c:valAx>
        <c:axId val="209039952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209038640"/>
        <c:crosses val="autoZero"/>
        <c:crossBetween val="between"/>
        <c:majorUnit val="10"/>
      </c:valAx>
      <c:catAx>
        <c:axId val="20903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039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875374" cy="44053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8875374" cy="440531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95250</xdr:rowOff>
    </xdr:from>
    <xdr:to>
      <xdr:col>11</xdr:col>
      <xdr:colOff>1238250</xdr:colOff>
      <xdr:row>7</xdr:row>
      <xdr:rowOff>202405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7626" y="1238250"/>
          <a:ext cx="17897474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   Fecha Actualización:  03-06-2021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6653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875374" cy="44053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8875374" cy="440531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6653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twoCellAnchor>
    <xdr:from>
      <xdr:col>0</xdr:col>
      <xdr:colOff>35720</xdr:colOff>
      <xdr:row>6</xdr:row>
      <xdr:rowOff>95250</xdr:rowOff>
    </xdr:from>
    <xdr:to>
      <xdr:col>12</xdr:col>
      <xdr:colOff>1</xdr:colOff>
      <xdr:row>8</xdr:row>
      <xdr:rowOff>31749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5720" y="1238250"/>
          <a:ext cx="17918906" cy="346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    Fecha Actualización:  31-08-2021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867438" cy="44053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8867438" cy="440531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95250</xdr:rowOff>
    </xdr:from>
    <xdr:to>
      <xdr:col>11</xdr:col>
      <xdr:colOff>1206500</xdr:colOff>
      <xdr:row>7</xdr:row>
      <xdr:rowOff>174625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7626" y="1238250"/>
          <a:ext cx="17856199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 Semestre 2021     Fecha Actualización:  31-08-2021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23814</xdr:colOff>
      <xdr:row>6</xdr:row>
      <xdr:rowOff>35719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68913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121406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6113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867438" cy="44053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8867438" cy="440531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6653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twoCellAnchor>
    <xdr:from>
      <xdr:col>0</xdr:col>
      <xdr:colOff>35720</xdr:colOff>
      <xdr:row>6</xdr:row>
      <xdr:rowOff>95250</xdr:rowOff>
    </xdr:from>
    <xdr:to>
      <xdr:col>12</xdr:col>
      <xdr:colOff>1</xdr:colOff>
      <xdr:row>8</xdr:row>
      <xdr:rowOff>31749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35720" y="1238250"/>
          <a:ext cx="17918906" cy="346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    Fecha Actualización:  17-12-2021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875374" cy="44053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8875374" cy="440531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6653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twoCellAnchor>
    <xdr:from>
      <xdr:col>0</xdr:col>
      <xdr:colOff>35720</xdr:colOff>
      <xdr:row>6</xdr:row>
      <xdr:rowOff>95250</xdr:rowOff>
    </xdr:from>
    <xdr:to>
      <xdr:col>12</xdr:col>
      <xdr:colOff>1</xdr:colOff>
      <xdr:row>8</xdr:row>
      <xdr:rowOff>31749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5720" y="1238250"/>
          <a:ext cx="17918906" cy="346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    Fecha Actualización:  17-12-2021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875375" cy="440531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95375"/>
          <a:ext cx="1887537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11</xdr:col>
      <xdr:colOff>1202531</xdr:colOff>
      <xdr:row>7</xdr:row>
      <xdr:rowOff>178592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0" y="1214437"/>
          <a:ext cx="179308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 2021    Fecha Actualización:  06-04-2022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20312</xdr:colOff>
      <xdr:row>14</xdr:row>
      <xdr:rowOff>178594</xdr:rowOff>
    </xdr:from>
    <xdr:to>
      <xdr:col>25</xdr:col>
      <xdr:colOff>635000</xdr:colOff>
      <xdr:row>34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13772</xdr:colOff>
      <xdr:row>34</xdr:row>
      <xdr:rowOff>182977</xdr:rowOff>
    </xdr:from>
    <xdr:to>
      <xdr:col>25</xdr:col>
      <xdr:colOff>635000</xdr:colOff>
      <xdr:row>54</xdr:row>
      <xdr:rowOff>111124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31516</xdr:colOff>
      <xdr:row>55</xdr:row>
      <xdr:rowOff>63918</xdr:rowOff>
    </xdr:from>
    <xdr:to>
      <xdr:col>25</xdr:col>
      <xdr:colOff>635000</xdr:colOff>
      <xdr:row>74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109257</xdr:colOff>
      <xdr:row>14</xdr:row>
      <xdr:rowOff>172476</xdr:rowOff>
    </xdr:from>
    <xdr:to>
      <xdr:col>40</xdr:col>
      <xdr:colOff>392906</xdr:colOff>
      <xdr:row>34</xdr:row>
      <xdr:rowOff>63500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155248</xdr:colOff>
      <xdr:row>34</xdr:row>
      <xdr:rowOff>171778</xdr:rowOff>
    </xdr:from>
    <xdr:to>
      <xdr:col>42</xdr:col>
      <xdr:colOff>158750</xdr:colOff>
      <xdr:row>57</xdr:row>
      <xdr:rowOff>111125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436799</xdr:colOff>
      <xdr:row>58</xdr:row>
      <xdr:rowOff>126719</xdr:rowOff>
    </xdr:from>
    <xdr:to>
      <xdr:col>39</xdr:col>
      <xdr:colOff>396875</xdr:colOff>
      <xdr:row>77</xdr:row>
      <xdr:rowOff>127000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543723</xdr:colOff>
      <xdr:row>76</xdr:row>
      <xdr:rowOff>23061</xdr:rowOff>
    </xdr:from>
    <xdr:to>
      <xdr:col>25</xdr:col>
      <xdr:colOff>91282</xdr:colOff>
      <xdr:row>95</xdr:row>
      <xdr:rowOff>142875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883313" cy="440531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095375"/>
          <a:ext cx="18883313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11</xdr:col>
      <xdr:colOff>1202531</xdr:colOff>
      <xdr:row>7</xdr:row>
      <xdr:rowOff>178592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0" y="1214437"/>
          <a:ext cx="179308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 2021    Fecha Actualización:  06-04-2022</a:t>
          </a:r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Tatiana/Desktop/INDICADORES%202021/III%20Trim/IMAS/Indicadores%20IMAS%20_%20III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 Semestre"/>
      <sheetName val="III Trimestre"/>
      <sheetName val="III T Acumulado"/>
    </sheetNames>
    <sheetDataSet>
      <sheetData sheetId="0" refreshError="1"/>
      <sheetData sheetId="1" refreshError="1"/>
      <sheetData sheetId="2" refreshError="1"/>
      <sheetData sheetId="3">
        <row r="16">
          <cell r="B16" t="str">
            <v>n.d</v>
          </cell>
          <cell r="C16" t="str">
            <v>n.d</v>
          </cell>
          <cell r="D16">
            <v>126956</v>
          </cell>
          <cell r="E16">
            <v>1834</v>
          </cell>
          <cell r="F16">
            <v>106</v>
          </cell>
          <cell r="G16">
            <v>7549</v>
          </cell>
          <cell r="H16">
            <v>86945</v>
          </cell>
          <cell r="I16">
            <v>21429</v>
          </cell>
          <cell r="J16" t="str">
            <v xml:space="preserve">n.d. </v>
          </cell>
          <cell r="K16">
            <v>77222</v>
          </cell>
          <cell r="L16" t="str">
            <v>n.d.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M160"/>
  <sheetViews>
    <sheetView showGridLines="0" tabSelected="1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style="10" customWidth="1"/>
    <col min="2" max="12" width="18.7265625" style="10" customWidth="1"/>
    <col min="13" max="16384" width="11.453125" style="10"/>
  </cols>
  <sheetData>
    <row r="8" spans="1:13" ht="18" customHeight="1" x14ac:dyDescent="0.35"/>
    <row r="9" spans="1:13" s="11" customFormat="1" ht="15.5" x14ac:dyDescent="0.4">
      <c r="A9" s="97" t="s">
        <v>0</v>
      </c>
      <c r="B9" s="99" t="s">
        <v>58</v>
      </c>
      <c r="C9" s="105" t="s">
        <v>59</v>
      </c>
      <c r="D9" s="105"/>
      <c r="E9" s="105"/>
      <c r="F9" s="105"/>
      <c r="G9" s="105"/>
      <c r="H9" s="105"/>
      <c r="I9" s="105"/>
      <c r="J9" s="105"/>
      <c r="K9" s="105"/>
      <c r="L9" s="105"/>
      <c r="M9" s="23"/>
    </row>
    <row r="10" spans="1:13" s="11" customFormat="1" ht="51.75" customHeight="1" thickBot="1" x14ac:dyDescent="0.45">
      <c r="A10" s="98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60</v>
      </c>
      <c r="J10" s="106" t="s">
        <v>61</v>
      </c>
      <c r="K10" s="106"/>
      <c r="L10" s="82" t="s">
        <v>54</v>
      </c>
      <c r="M10" s="23"/>
    </row>
    <row r="11" spans="1:13" ht="16" thickTop="1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5.5" x14ac:dyDescent="0.4">
      <c r="A12" s="25" t="s">
        <v>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5.5" x14ac:dyDescent="0.4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s="11" customFormat="1" ht="15.5" x14ac:dyDescent="0.4">
      <c r="A14" s="25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  <c r="M14" s="23"/>
    </row>
    <row r="15" spans="1:13" s="11" customFormat="1" ht="15.5" x14ac:dyDescent="0.4">
      <c r="A15" s="28" t="s">
        <v>64</v>
      </c>
      <c r="B15" s="83">
        <v>257873</v>
      </c>
      <c r="C15" s="83">
        <v>124556</v>
      </c>
      <c r="D15" s="83">
        <v>153199</v>
      </c>
      <c r="E15" s="83">
        <v>1218</v>
      </c>
      <c r="F15" s="83">
        <v>72</v>
      </c>
      <c r="G15" s="83">
        <v>8104</v>
      </c>
      <c r="H15" s="83">
        <v>70884</v>
      </c>
      <c r="I15" s="83">
        <v>23239</v>
      </c>
      <c r="J15" s="83">
        <v>156099</v>
      </c>
      <c r="K15" s="91">
        <v>198783</v>
      </c>
      <c r="L15" s="91" t="s">
        <v>48</v>
      </c>
      <c r="M15" s="23"/>
    </row>
    <row r="16" spans="1:13" s="11" customFormat="1" ht="15.5" x14ac:dyDescent="0.4">
      <c r="A16" s="28" t="s">
        <v>92</v>
      </c>
      <c r="B16" s="83" t="s">
        <v>49</v>
      </c>
      <c r="C16" s="83" t="s">
        <v>49</v>
      </c>
      <c r="D16" s="83">
        <v>120000</v>
      </c>
      <c r="E16" s="83">
        <v>1421</v>
      </c>
      <c r="F16" s="83">
        <v>455</v>
      </c>
      <c r="G16" s="83">
        <v>7539</v>
      </c>
      <c r="H16" s="83">
        <v>54500</v>
      </c>
      <c r="I16" s="83">
        <v>21378</v>
      </c>
      <c r="J16" s="83" t="s">
        <v>56</v>
      </c>
      <c r="K16" s="91">
        <v>76468</v>
      </c>
      <c r="L16" s="91" t="s">
        <v>48</v>
      </c>
      <c r="M16" s="23"/>
    </row>
    <row r="17" spans="1:13" s="11" customFormat="1" ht="15.5" x14ac:dyDescent="0.4">
      <c r="A17" s="28" t="s">
        <v>55</v>
      </c>
      <c r="B17" s="83">
        <f>+D17+E17+F17+G17+H17+I17+K17</f>
        <v>838781</v>
      </c>
      <c r="C17" s="83" t="s">
        <v>49</v>
      </c>
      <c r="D17" s="83">
        <v>360000</v>
      </c>
      <c r="E17" s="83">
        <v>4263</v>
      </c>
      <c r="F17" s="83">
        <v>1365</v>
      </c>
      <c r="G17" s="83">
        <v>22615</v>
      </c>
      <c r="H17" s="83">
        <v>157000</v>
      </c>
      <c r="I17" s="83">
        <v>64134</v>
      </c>
      <c r="J17" s="83" t="s">
        <v>56</v>
      </c>
      <c r="K17" s="91">
        <v>229404</v>
      </c>
      <c r="L17" s="91" t="s">
        <v>48</v>
      </c>
      <c r="M17" s="23"/>
    </row>
    <row r="18" spans="1:13" s="11" customFormat="1" ht="15.5" x14ac:dyDescent="0.4">
      <c r="A18" s="28" t="s">
        <v>93</v>
      </c>
      <c r="B18" s="83">
        <v>224636</v>
      </c>
      <c r="C18" s="83">
        <v>119170</v>
      </c>
      <c r="D18" s="83">
        <v>147873</v>
      </c>
      <c r="E18" s="83">
        <v>1124</v>
      </c>
      <c r="F18" s="83">
        <v>42</v>
      </c>
      <c r="G18" s="83">
        <v>7466</v>
      </c>
      <c r="H18" s="83">
        <v>48205</v>
      </c>
      <c r="I18" s="83">
        <v>20460</v>
      </c>
      <c r="J18" s="83">
        <v>121802</v>
      </c>
      <c r="K18" s="91">
        <v>162297</v>
      </c>
      <c r="L18" s="91" t="s">
        <v>48</v>
      </c>
      <c r="M18" s="23"/>
    </row>
    <row r="19" spans="1:13" s="11" customFormat="1" ht="15.5" x14ac:dyDescent="0.4">
      <c r="A19" s="28" t="s">
        <v>55</v>
      </c>
      <c r="B19" s="83">
        <f>+D19+E19+F19+G19+H19+I19+K19</f>
        <v>973380</v>
      </c>
      <c r="C19" s="83" t="s">
        <v>49</v>
      </c>
      <c r="D19" s="83">
        <v>315767</v>
      </c>
      <c r="E19" s="83">
        <v>1961</v>
      </c>
      <c r="F19" s="83">
        <v>62</v>
      </c>
      <c r="G19" s="83">
        <v>21873</v>
      </c>
      <c r="H19" s="83">
        <v>111220</v>
      </c>
      <c r="I19" s="83">
        <v>59398</v>
      </c>
      <c r="J19" s="83" t="s">
        <v>56</v>
      </c>
      <c r="K19" s="91">
        <v>463099</v>
      </c>
      <c r="L19" s="91" t="s">
        <v>48</v>
      </c>
      <c r="M19" s="23"/>
    </row>
    <row r="20" spans="1:13" s="11" customFormat="1" ht="15.5" x14ac:dyDescent="0.4">
      <c r="A20" s="28" t="s">
        <v>94</v>
      </c>
      <c r="B20" s="83" t="s">
        <v>49</v>
      </c>
      <c r="C20" s="83" t="s">
        <v>49</v>
      </c>
      <c r="D20" s="83">
        <v>126099</v>
      </c>
      <c r="E20" s="83">
        <v>1422</v>
      </c>
      <c r="F20" s="83">
        <v>456</v>
      </c>
      <c r="G20" s="83">
        <v>7539</v>
      </c>
      <c r="H20" s="83">
        <v>63940</v>
      </c>
      <c r="I20" s="83">
        <v>21379</v>
      </c>
      <c r="J20" s="83" t="s">
        <v>56</v>
      </c>
      <c r="K20" s="91">
        <v>76469</v>
      </c>
      <c r="L20" s="91" t="s">
        <v>48</v>
      </c>
      <c r="M20" s="23"/>
    </row>
    <row r="21" spans="1:13" s="11" customFormat="1" ht="15.5" x14ac:dyDescent="0.4">
      <c r="A21" s="23"/>
      <c r="B21" s="29"/>
      <c r="C21" s="29" t="s">
        <v>47</v>
      </c>
      <c r="D21" s="29"/>
      <c r="E21" s="29"/>
      <c r="F21" s="29"/>
      <c r="G21" s="29"/>
      <c r="H21" s="29"/>
      <c r="I21" s="29"/>
      <c r="J21" s="29"/>
      <c r="K21" s="91"/>
      <c r="L21" s="91"/>
      <c r="M21" s="23"/>
    </row>
    <row r="22" spans="1:13" s="11" customFormat="1" ht="15.5" x14ac:dyDescent="0.4">
      <c r="A22" s="30" t="s">
        <v>3</v>
      </c>
      <c r="B22" s="29"/>
      <c r="C22" s="29"/>
      <c r="D22" s="29"/>
      <c r="E22" s="29"/>
      <c r="F22" s="29"/>
      <c r="G22" s="29"/>
      <c r="H22" s="29"/>
      <c r="I22" s="29"/>
      <c r="J22" s="29"/>
      <c r="K22" s="91"/>
      <c r="L22" s="91"/>
      <c r="M22" s="23"/>
    </row>
    <row r="23" spans="1:13" s="11" customFormat="1" ht="15.5" x14ac:dyDescent="0.4">
      <c r="A23" s="28" t="s">
        <v>64</v>
      </c>
      <c r="B23" s="83">
        <f>+C23+E23+F23+G23+H23+I23+J23+L23</f>
        <v>34087965663</v>
      </c>
      <c r="C23" s="101">
        <v>10864068000</v>
      </c>
      <c r="D23" s="101"/>
      <c r="E23" s="83">
        <v>332454180</v>
      </c>
      <c r="F23" s="83">
        <v>5684000</v>
      </c>
      <c r="G23" s="83">
        <v>1787041000</v>
      </c>
      <c r="H23" s="83">
        <v>9736025011</v>
      </c>
      <c r="I23" s="83">
        <v>8159481471.999999</v>
      </c>
      <c r="J23" s="101">
        <v>2853212000</v>
      </c>
      <c r="K23" s="101"/>
      <c r="L23" s="91">
        <v>350000000</v>
      </c>
      <c r="M23" s="23"/>
    </row>
    <row r="24" spans="1:13" s="11" customFormat="1" ht="15.5" x14ac:dyDescent="0.4">
      <c r="A24" s="28" t="s">
        <v>92</v>
      </c>
      <c r="B24" s="83">
        <f>+C24+E24+F24+G24+H24+I24+J24</f>
        <v>38983272000</v>
      </c>
      <c r="C24" s="101">
        <v>12600000000</v>
      </c>
      <c r="D24" s="101"/>
      <c r="E24" s="83">
        <v>426300000</v>
      </c>
      <c r="F24" s="83">
        <v>19155000</v>
      </c>
      <c r="G24" s="83">
        <v>1696125000</v>
      </c>
      <c r="H24" s="83">
        <v>11775000000</v>
      </c>
      <c r="I24" s="83">
        <v>8337420000</v>
      </c>
      <c r="J24" s="101">
        <v>4129272000</v>
      </c>
      <c r="K24" s="101"/>
      <c r="L24" s="91" t="s">
        <v>48</v>
      </c>
      <c r="M24" s="23"/>
    </row>
    <row r="25" spans="1:13" s="11" customFormat="1" ht="15.5" x14ac:dyDescent="0.4">
      <c r="A25" s="28" t="s">
        <v>93</v>
      </c>
      <c r="B25" s="83">
        <f>+C25+E25+F25+G25+H25+I25+J25+L25</f>
        <v>32400556249</v>
      </c>
      <c r="C25" s="101">
        <v>11180990000</v>
      </c>
      <c r="D25" s="101"/>
      <c r="E25" s="83">
        <v>312855800</v>
      </c>
      <c r="F25" s="83">
        <v>19022400</v>
      </c>
      <c r="G25" s="83">
        <v>1657310000</v>
      </c>
      <c r="H25" s="83">
        <v>7909611231</v>
      </c>
      <c r="I25" s="83">
        <v>7674823818</v>
      </c>
      <c r="J25" s="101">
        <v>3295943000</v>
      </c>
      <c r="K25" s="101"/>
      <c r="L25" s="91">
        <v>350000000</v>
      </c>
      <c r="M25" s="23"/>
    </row>
    <row r="26" spans="1:13" s="11" customFormat="1" ht="15.5" x14ac:dyDescent="0.4">
      <c r="A26" s="28" t="s">
        <v>94</v>
      </c>
      <c r="B26" s="83">
        <f>+C26+E26+F26+G26+H26+I26+J26</f>
        <v>146704265000</v>
      </c>
      <c r="C26" s="101">
        <v>47267185000</v>
      </c>
      <c r="D26" s="101"/>
      <c r="E26" s="92">
        <v>1563200000</v>
      </c>
      <c r="F26" s="92">
        <v>1563120000</v>
      </c>
      <c r="G26" s="83">
        <v>6784950000</v>
      </c>
      <c r="H26" s="83">
        <v>49372500000</v>
      </c>
      <c r="I26" s="83">
        <v>25012520000</v>
      </c>
      <c r="J26" s="101">
        <v>15140790000</v>
      </c>
      <c r="K26" s="101"/>
      <c r="L26" s="91" t="s">
        <v>48</v>
      </c>
      <c r="M26" s="23"/>
    </row>
    <row r="27" spans="1:13" s="11" customFormat="1" ht="15.5" x14ac:dyDescent="0.4">
      <c r="A27" s="28" t="s">
        <v>95</v>
      </c>
      <c r="B27" s="83">
        <f>+C27+E27+F27+G27+H27+I27+J27+L27</f>
        <v>32400556249</v>
      </c>
      <c r="C27" s="101">
        <f>C25</f>
        <v>11180990000</v>
      </c>
      <c r="D27" s="101"/>
      <c r="E27" s="83">
        <f>E25</f>
        <v>312855800</v>
      </c>
      <c r="F27" s="83">
        <f t="shared" ref="F27:J27" si="0">F25</f>
        <v>19022400</v>
      </c>
      <c r="G27" s="83">
        <f t="shared" si="0"/>
        <v>1657310000</v>
      </c>
      <c r="H27" s="83">
        <f t="shared" si="0"/>
        <v>7909611231</v>
      </c>
      <c r="I27" s="83">
        <f t="shared" si="0"/>
        <v>7674823818</v>
      </c>
      <c r="J27" s="101">
        <f t="shared" si="0"/>
        <v>3295943000</v>
      </c>
      <c r="K27" s="101"/>
      <c r="L27" s="91">
        <f>+L25</f>
        <v>350000000</v>
      </c>
      <c r="M27" s="23"/>
    </row>
    <row r="28" spans="1:13" s="11" customFormat="1" ht="15.5" x14ac:dyDescent="0.4">
      <c r="A28" s="23"/>
      <c r="B28" s="29"/>
      <c r="C28" s="29"/>
      <c r="D28" s="29"/>
      <c r="E28" s="29"/>
      <c r="F28" s="29"/>
      <c r="G28" s="29"/>
      <c r="H28" s="29"/>
      <c r="I28" s="29"/>
      <c r="J28" s="29"/>
      <c r="K28" s="91"/>
      <c r="L28" s="91"/>
      <c r="M28" s="23"/>
    </row>
    <row r="29" spans="1:13" s="11" customFormat="1" ht="15.5" x14ac:dyDescent="0.4">
      <c r="A29" s="30" t="s">
        <v>4</v>
      </c>
      <c r="B29" s="29"/>
      <c r="C29" s="29"/>
      <c r="D29" s="29"/>
      <c r="E29" s="29"/>
      <c r="F29" s="29"/>
      <c r="G29" s="29"/>
      <c r="H29" s="29"/>
      <c r="I29" s="29"/>
      <c r="J29" s="29"/>
      <c r="K29" s="91"/>
      <c r="L29" s="91"/>
      <c r="M29" s="23"/>
    </row>
    <row r="30" spans="1:13" s="11" customFormat="1" ht="15.5" x14ac:dyDescent="0.4">
      <c r="A30" s="28" t="s">
        <v>92</v>
      </c>
      <c r="B30" s="83">
        <f>B24</f>
        <v>38983272000</v>
      </c>
      <c r="C30" s="83"/>
      <c r="D30" s="83"/>
      <c r="E30" s="83"/>
      <c r="F30" s="83"/>
      <c r="G30" s="83"/>
      <c r="H30" s="83"/>
      <c r="I30" s="83"/>
      <c r="J30" s="83"/>
      <c r="K30" s="91"/>
      <c r="L30" s="91"/>
      <c r="M30" s="23"/>
    </row>
    <row r="31" spans="1:13" s="11" customFormat="1" ht="15.5" x14ac:dyDescent="0.4">
      <c r="A31" s="28" t="s">
        <v>93</v>
      </c>
      <c r="B31" s="83">
        <v>38433645999.839996</v>
      </c>
      <c r="C31" s="83"/>
      <c r="D31" s="83"/>
      <c r="E31" s="83"/>
      <c r="F31" s="83"/>
      <c r="G31" s="83"/>
      <c r="H31" s="83"/>
      <c r="I31" s="83"/>
      <c r="J31" s="83"/>
      <c r="K31" s="91"/>
      <c r="L31" s="91"/>
      <c r="M31" s="23"/>
    </row>
    <row r="32" spans="1:13" s="11" customFormat="1" ht="15.5" x14ac:dyDescent="0.4">
      <c r="A32" s="23"/>
      <c r="B32" s="31"/>
      <c r="C32" s="31"/>
      <c r="D32" s="31"/>
      <c r="E32" s="31"/>
      <c r="F32" s="31"/>
      <c r="G32" s="31"/>
      <c r="H32" s="31"/>
      <c r="I32" s="31"/>
      <c r="J32" s="31"/>
      <c r="K32" s="23"/>
      <c r="L32" s="23"/>
      <c r="M32" s="23"/>
    </row>
    <row r="33" spans="1:13" s="11" customFormat="1" ht="15.5" x14ac:dyDescent="0.4">
      <c r="A33" s="25" t="s">
        <v>5</v>
      </c>
      <c r="B33" s="31"/>
      <c r="C33" s="31"/>
      <c r="D33" s="31"/>
      <c r="E33" s="31"/>
      <c r="F33" s="31"/>
      <c r="G33" s="31"/>
      <c r="H33" s="31"/>
      <c r="I33" s="31"/>
      <c r="J33" s="31"/>
      <c r="K33" s="23"/>
      <c r="L33" s="23"/>
      <c r="M33" s="23"/>
    </row>
    <row r="34" spans="1:13" s="11" customFormat="1" ht="15.5" x14ac:dyDescent="0.4">
      <c r="A34" s="28" t="s">
        <v>65</v>
      </c>
      <c r="B34" s="32">
        <v>1.0649999999999999</v>
      </c>
      <c r="C34" s="32">
        <v>1.0649999999999999</v>
      </c>
      <c r="D34" s="32">
        <v>1.0649999999999999</v>
      </c>
      <c r="E34" s="32">
        <v>1.0649999999999999</v>
      </c>
      <c r="F34" s="32">
        <v>1.0649999999999999</v>
      </c>
      <c r="G34" s="32">
        <v>1.0649999999999999</v>
      </c>
      <c r="H34" s="32">
        <v>1.0649999999999999</v>
      </c>
      <c r="I34" s="32">
        <v>1.0649999999999999</v>
      </c>
      <c r="J34" s="32">
        <v>1.0649999999999999</v>
      </c>
      <c r="K34" s="32">
        <v>1.0649999999999999</v>
      </c>
      <c r="L34" s="32">
        <v>1.0649999999999999</v>
      </c>
      <c r="M34" s="23"/>
    </row>
    <row r="35" spans="1:13" s="11" customFormat="1" ht="15.5" x14ac:dyDescent="0.4">
      <c r="A35" s="28" t="s">
        <v>96</v>
      </c>
      <c r="B35" s="32">
        <v>1.07</v>
      </c>
      <c r="C35" s="32">
        <v>1.07</v>
      </c>
      <c r="D35" s="32">
        <v>1.07</v>
      </c>
      <c r="E35" s="32">
        <v>1.07</v>
      </c>
      <c r="F35" s="32">
        <v>1.07</v>
      </c>
      <c r="G35" s="32">
        <v>1.07</v>
      </c>
      <c r="H35" s="32">
        <v>1.07</v>
      </c>
      <c r="I35" s="32">
        <v>1.07</v>
      </c>
      <c r="J35" s="32">
        <v>1.07</v>
      </c>
      <c r="K35" s="32">
        <v>1.07</v>
      </c>
      <c r="L35" s="32">
        <v>1.07</v>
      </c>
      <c r="M35" s="23"/>
    </row>
    <row r="36" spans="1:13" s="11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29"/>
      <c r="C37" s="29"/>
      <c r="D37" s="29"/>
      <c r="E37" s="29"/>
      <c r="F37" s="79"/>
      <c r="G37" s="79"/>
      <c r="H37" s="79"/>
      <c r="I37" s="79"/>
      <c r="J37" s="79"/>
      <c r="K37" s="80"/>
      <c r="L37" s="80"/>
      <c r="M37" s="24"/>
    </row>
    <row r="38" spans="1:13" s="11" customFormat="1" ht="15.5" x14ac:dyDescent="0.4">
      <c r="A38" s="25" t="s">
        <v>7</v>
      </c>
      <c r="B38" s="29"/>
      <c r="C38" s="29"/>
      <c r="D38" s="29"/>
      <c r="E38" s="29"/>
      <c r="F38" s="29"/>
      <c r="G38" s="29"/>
      <c r="H38" s="29"/>
      <c r="I38" s="29"/>
      <c r="J38" s="29"/>
      <c r="K38" s="78"/>
      <c r="L38" s="78"/>
      <c r="M38" s="23"/>
    </row>
    <row r="39" spans="1:13" s="11" customFormat="1" ht="15.5" x14ac:dyDescent="0.4">
      <c r="A39" s="23" t="s">
        <v>66</v>
      </c>
      <c r="B39" s="85">
        <f>B23/B34</f>
        <v>32007479495.774651</v>
      </c>
      <c r="C39" s="103">
        <f>C23/C34</f>
        <v>10201002816.901409</v>
      </c>
      <c r="D39" s="103"/>
      <c r="E39" s="85">
        <f>E23/E34</f>
        <v>312163549.29577464</v>
      </c>
      <c r="F39" s="85">
        <f t="shared" ref="F39:I39" si="1">F23/F34</f>
        <v>5337089.2018779349</v>
      </c>
      <c r="G39" s="85">
        <f t="shared" si="1"/>
        <v>1677972769.9530518</v>
      </c>
      <c r="H39" s="85">
        <f t="shared" si="1"/>
        <v>9141807522.0657272</v>
      </c>
      <c r="I39" s="85">
        <f t="shared" si="1"/>
        <v>7661484950.2347412</v>
      </c>
      <c r="J39" s="103">
        <f>J23/J34</f>
        <v>2679072300.4694839</v>
      </c>
      <c r="K39" s="103"/>
      <c r="L39" s="85">
        <f t="shared" ref="L39" si="2">L23/L34</f>
        <v>328638497.65258217</v>
      </c>
      <c r="M39" s="23"/>
    </row>
    <row r="40" spans="1:13" s="11" customFormat="1" ht="15.5" x14ac:dyDescent="0.4">
      <c r="A40" s="23" t="s">
        <v>97</v>
      </c>
      <c r="B40" s="85">
        <f>B25/B35</f>
        <v>30280893690.654205</v>
      </c>
      <c r="C40" s="103">
        <f>C25/C35</f>
        <v>10449523364.485981</v>
      </c>
      <c r="D40" s="103"/>
      <c r="E40" s="85">
        <f>E25/E35</f>
        <v>292388598.13084108</v>
      </c>
      <c r="F40" s="85">
        <f t="shared" ref="F40:I40" si="3">F25/F35</f>
        <v>17777943.925233644</v>
      </c>
      <c r="G40" s="85">
        <f t="shared" si="3"/>
        <v>1548887850.4672897</v>
      </c>
      <c r="H40" s="85">
        <f t="shared" si="3"/>
        <v>7392160028.971962</v>
      </c>
      <c r="I40" s="85">
        <f t="shared" si="3"/>
        <v>7172732540.1869154</v>
      </c>
      <c r="J40" s="103">
        <f>J25/J35</f>
        <v>3080320560.7476635</v>
      </c>
      <c r="K40" s="103"/>
      <c r="L40" s="85">
        <f t="shared" ref="L40" si="4">L25/L35</f>
        <v>327102803.73831773</v>
      </c>
      <c r="M40" s="23"/>
    </row>
    <row r="41" spans="1:13" s="11" customFormat="1" ht="15.5" x14ac:dyDescent="0.4">
      <c r="A41" s="23" t="s">
        <v>67</v>
      </c>
      <c r="B41" s="85">
        <f>B39/B15</f>
        <v>124121.0964148036</v>
      </c>
      <c r="C41" s="103">
        <f>C39/D15</f>
        <v>66586.614905458977</v>
      </c>
      <c r="D41" s="103"/>
      <c r="E41" s="85">
        <f>E39/E15</f>
        <v>256291.91239390365</v>
      </c>
      <c r="F41" s="85">
        <f t="shared" ref="F41:I41" si="5">F39/F15</f>
        <v>74126.238914971313</v>
      </c>
      <c r="G41" s="85">
        <f t="shared" si="5"/>
        <v>207054.88276814559</v>
      </c>
      <c r="H41" s="85">
        <f t="shared" si="5"/>
        <v>128968.56162273188</v>
      </c>
      <c r="I41" s="85">
        <f t="shared" si="5"/>
        <v>329682.2131001653</v>
      </c>
      <c r="J41" s="102">
        <f>J39/K15</f>
        <v>13477.371306748986</v>
      </c>
      <c r="K41" s="102"/>
      <c r="L41" s="85" t="s">
        <v>48</v>
      </c>
      <c r="M41" s="23"/>
    </row>
    <row r="42" spans="1:13" s="11" customFormat="1" ht="15.5" x14ac:dyDescent="0.4">
      <c r="A42" s="23" t="s">
        <v>98</v>
      </c>
      <c r="B42" s="85">
        <f>B40/B18</f>
        <v>134799.82589902868</v>
      </c>
      <c r="C42" s="103">
        <f>C40/D18</f>
        <v>70665.526258924758</v>
      </c>
      <c r="D42" s="103"/>
      <c r="E42" s="85">
        <f>E40/E18</f>
        <v>260132.20474274116</v>
      </c>
      <c r="F42" s="85">
        <f t="shared" ref="F42:I42" si="6">F40/F18</f>
        <v>423284.37917222962</v>
      </c>
      <c r="G42" s="85">
        <f t="shared" si="6"/>
        <v>207458.86022867527</v>
      </c>
      <c r="H42" s="85">
        <f t="shared" si="6"/>
        <v>153348.40844252592</v>
      </c>
      <c r="I42" s="85">
        <f t="shared" si="6"/>
        <v>350573.43793679937</v>
      </c>
      <c r="J42" s="102">
        <f>J40/K18</f>
        <v>18979.528646540992</v>
      </c>
      <c r="K42" s="102"/>
      <c r="L42" s="85" t="s">
        <v>48</v>
      </c>
      <c r="M42" s="23"/>
    </row>
    <row r="43" spans="1:13" s="11" customFormat="1" ht="15.5" x14ac:dyDescent="0.4">
      <c r="A43" s="2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23"/>
    </row>
    <row r="44" spans="1:13" s="11" customFormat="1" ht="15.5" x14ac:dyDescent="0.4">
      <c r="A44" s="25" t="s">
        <v>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3"/>
    </row>
    <row r="45" spans="1:13" s="11" customFormat="1" ht="15.5" x14ac:dyDescent="0.4">
      <c r="A45" s="2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3"/>
    </row>
    <row r="46" spans="1:13" s="11" customFormat="1" ht="15.5" x14ac:dyDescent="0.4">
      <c r="A46" s="25" t="s">
        <v>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3"/>
    </row>
    <row r="47" spans="1:13" s="11" customFormat="1" ht="15.5" x14ac:dyDescent="0.4">
      <c r="A47" s="23" t="s">
        <v>10</v>
      </c>
      <c r="B47" s="89" t="s">
        <v>56</v>
      </c>
      <c r="C47" s="107">
        <f>(D16/C36)*100</f>
        <v>57.057813829863115</v>
      </c>
      <c r="D47" s="107"/>
      <c r="E47" s="87">
        <f>(E16/E36)*100</f>
        <v>0.96551068108930804</v>
      </c>
      <c r="F47" s="87" t="s">
        <v>48</v>
      </c>
      <c r="G47" s="87">
        <f t="shared" ref="G47" si="7">(G16/G36)*100</f>
        <v>7.7684809265709047</v>
      </c>
      <c r="H47" s="89" t="s">
        <v>48</v>
      </c>
      <c r="I47" s="89" t="s">
        <v>48</v>
      </c>
      <c r="J47" s="109" t="s">
        <v>56</v>
      </c>
      <c r="K47" s="109"/>
      <c r="L47" s="87" t="s">
        <v>48</v>
      </c>
      <c r="M47" s="23"/>
    </row>
    <row r="48" spans="1:13" s="11" customFormat="1" ht="15.5" x14ac:dyDescent="0.4">
      <c r="A48" s="23" t="s">
        <v>11</v>
      </c>
      <c r="B48" s="87">
        <f>(B18/B36)*100</f>
        <v>47.254185090601588</v>
      </c>
      <c r="C48" s="107">
        <f>(D18/C36)*100</f>
        <v>70.310917537194555</v>
      </c>
      <c r="D48" s="107"/>
      <c r="E48" s="87">
        <f>(E18/E36)*100</f>
        <v>0.76371147469696155</v>
      </c>
      <c r="F48" s="87" t="s">
        <v>48</v>
      </c>
      <c r="G48" s="87">
        <f t="shared" ref="G48" si="8">(G18/G36)*100</f>
        <v>7.6932588669290851</v>
      </c>
      <c r="H48" s="89" t="s">
        <v>48</v>
      </c>
      <c r="I48" s="89" t="s">
        <v>48</v>
      </c>
      <c r="J48" s="109" t="s">
        <v>56</v>
      </c>
      <c r="K48" s="109"/>
      <c r="L48" s="87" t="s">
        <v>48</v>
      </c>
      <c r="M48" s="23"/>
    </row>
    <row r="49" spans="1:13" s="11" customFormat="1" ht="15.5" x14ac:dyDescent="0.4">
      <c r="A49" s="23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23"/>
    </row>
    <row r="50" spans="1:13" s="11" customFormat="1" ht="15.5" x14ac:dyDescent="0.4">
      <c r="A50" s="25" t="s">
        <v>12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23"/>
    </row>
    <row r="51" spans="1:13" s="11" customFormat="1" ht="15.5" x14ac:dyDescent="0.4">
      <c r="A51" s="23" t="s">
        <v>13</v>
      </c>
      <c r="B51" s="89" t="s">
        <v>56</v>
      </c>
      <c r="C51" s="89" t="s">
        <v>56</v>
      </c>
      <c r="D51" s="87">
        <f>D18/D16*100</f>
        <v>123.22750000000001</v>
      </c>
      <c r="E51" s="87">
        <f>E18/E16*100</f>
        <v>79.099225897255451</v>
      </c>
      <c r="F51" s="87">
        <f t="shared" ref="F51:I51" si="9">F18/F16*100</f>
        <v>9.2307692307692317</v>
      </c>
      <c r="G51" s="87">
        <f t="shared" si="9"/>
        <v>99.031701817217126</v>
      </c>
      <c r="H51" s="87">
        <f t="shared" si="9"/>
        <v>88.449541284403665</v>
      </c>
      <c r="I51" s="87">
        <f t="shared" si="9"/>
        <v>95.705865843390399</v>
      </c>
      <c r="J51" s="89" t="s">
        <v>56</v>
      </c>
      <c r="K51" s="87">
        <f>K18/K16*100</f>
        <v>212.24172202751478</v>
      </c>
      <c r="L51" s="87" t="s">
        <v>48</v>
      </c>
      <c r="M51" s="23"/>
    </row>
    <row r="52" spans="1:13" s="11" customFormat="1" ht="15.5" x14ac:dyDescent="0.4">
      <c r="A52" s="23" t="s">
        <v>14</v>
      </c>
      <c r="B52" s="87">
        <f>B25/B24*100</f>
        <v>83.113998868540335</v>
      </c>
      <c r="C52" s="107">
        <f>C25/C24*100</f>
        <v>88.738015873015868</v>
      </c>
      <c r="D52" s="107"/>
      <c r="E52" s="87">
        <f>E25/E24*100</f>
        <v>73.388646493079989</v>
      </c>
      <c r="F52" s="87">
        <f t="shared" ref="F52:I52" si="10">F25/F24*100</f>
        <v>99.307752545027412</v>
      </c>
      <c r="G52" s="87">
        <f t="shared" si="10"/>
        <v>97.711548382342102</v>
      </c>
      <c r="H52" s="87">
        <f t="shared" si="10"/>
        <v>67.172919159235661</v>
      </c>
      <c r="I52" s="87">
        <f t="shared" si="10"/>
        <v>92.052743150758857</v>
      </c>
      <c r="J52" s="109">
        <f>J25/J24*100</f>
        <v>79.818985041431034</v>
      </c>
      <c r="K52" s="109"/>
      <c r="L52" s="87" t="s">
        <v>48</v>
      </c>
      <c r="M52" s="23"/>
    </row>
    <row r="53" spans="1:13" s="11" customFormat="1" ht="15.5" x14ac:dyDescent="0.4">
      <c r="A53" s="23" t="s">
        <v>15</v>
      </c>
      <c r="B53" s="89" t="s">
        <v>56</v>
      </c>
      <c r="C53" s="89" t="s">
        <v>56</v>
      </c>
      <c r="D53" s="87">
        <f>AVERAGE(D51,C52)</f>
        <v>105.98275793650794</v>
      </c>
      <c r="E53" s="87">
        <f>AVERAGE(E51:E52)</f>
        <v>76.24393619516772</v>
      </c>
      <c r="F53" s="87">
        <f t="shared" ref="F53:I53" si="11">AVERAGE(F51:F52)</f>
        <v>54.269260887898319</v>
      </c>
      <c r="G53" s="87">
        <f t="shared" si="11"/>
        <v>98.371625099779607</v>
      </c>
      <c r="H53" s="87">
        <f t="shared" si="11"/>
        <v>77.81123022181967</v>
      </c>
      <c r="I53" s="87">
        <f t="shared" si="11"/>
        <v>93.879304497074628</v>
      </c>
      <c r="J53" s="89" t="s">
        <v>56</v>
      </c>
      <c r="K53" s="87">
        <f>+AVERAGE(K51,J52)</f>
        <v>146.03035353447291</v>
      </c>
      <c r="L53" s="87" t="s">
        <v>48</v>
      </c>
      <c r="M53" s="23"/>
    </row>
    <row r="54" spans="1:13" s="11" customFormat="1" ht="15.5" x14ac:dyDescent="0.4">
      <c r="A54" s="23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23"/>
    </row>
    <row r="55" spans="1:13" s="11" customFormat="1" ht="15.5" x14ac:dyDescent="0.4">
      <c r="A55" s="25" t="s">
        <v>16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23"/>
    </row>
    <row r="56" spans="1:13" s="11" customFormat="1" ht="15.5" x14ac:dyDescent="0.4">
      <c r="A56" s="23" t="s">
        <v>17</v>
      </c>
      <c r="B56" s="89" t="s">
        <v>56</v>
      </c>
      <c r="C56" s="107">
        <f>D18/D20*100</f>
        <v>117.26738514976327</v>
      </c>
      <c r="D56" s="107"/>
      <c r="E56" s="87">
        <f>E18/E20*100</f>
        <v>79.043600562587898</v>
      </c>
      <c r="F56" s="87">
        <f t="shared" ref="F56:I56" si="12">F18/F20*100</f>
        <v>9.2105263157894726</v>
      </c>
      <c r="G56" s="87">
        <f t="shared" si="12"/>
        <v>99.031701817217126</v>
      </c>
      <c r="H56" s="87">
        <f t="shared" si="12"/>
        <v>75.390991554582428</v>
      </c>
      <c r="I56" s="87">
        <f t="shared" si="12"/>
        <v>95.701389213714393</v>
      </c>
      <c r="J56" s="109">
        <f>K18/K20*100</f>
        <v>212.23894650119655</v>
      </c>
      <c r="K56" s="109"/>
      <c r="L56" s="87" t="s">
        <v>48</v>
      </c>
      <c r="M56" s="23"/>
    </row>
    <row r="57" spans="1:13" s="11" customFormat="1" ht="15.5" x14ac:dyDescent="0.4">
      <c r="A57" s="23" t="s">
        <v>18</v>
      </c>
      <c r="B57" s="87">
        <f>B25/B26*100</f>
        <v>22.085626651004318</v>
      </c>
      <c r="C57" s="107">
        <f>C25/C26*100</f>
        <v>23.654867536537243</v>
      </c>
      <c r="D57" s="107"/>
      <c r="E57" s="87">
        <f>E25/E26*100</f>
        <v>20.013805015353121</v>
      </c>
      <c r="F57" s="87">
        <f t="shared" ref="F57:I57" si="13">F25/F26*100</f>
        <v>1.216950713956702</v>
      </c>
      <c r="G57" s="87">
        <f t="shared" si="13"/>
        <v>24.426266958489009</v>
      </c>
      <c r="H57" s="87">
        <f t="shared" si="13"/>
        <v>16.020276937566457</v>
      </c>
      <c r="I57" s="87">
        <f t="shared" si="13"/>
        <v>30.683928760476753</v>
      </c>
      <c r="J57" s="109">
        <f>J25/J26*100</f>
        <v>21.768632944516106</v>
      </c>
      <c r="K57" s="109"/>
      <c r="L57" s="87" t="s">
        <v>48</v>
      </c>
      <c r="M57" s="23"/>
    </row>
    <row r="58" spans="1:13" s="11" customFormat="1" ht="15.5" x14ac:dyDescent="0.4">
      <c r="A58" s="23" t="s">
        <v>19</v>
      </c>
      <c r="B58" s="89" t="s">
        <v>56</v>
      </c>
      <c r="C58" s="107">
        <f>(C56+C57)/2</f>
        <v>70.461126343150255</v>
      </c>
      <c r="D58" s="107"/>
      <c r="E58" s="87">
        <f>(E56+E57)/2</f>
        <v>49.528702788970506</v>
      </c>
      <c r="F58" s="87">
        <f t="shared" ref="F58:I58" si="14">(F56+F57)/2</f>
        <v>5.2137385148730875</v>
      </c>
      <c r="G58" s="87">
        <f t="shared" si="14"/>
        <v>61.728984387853068</v>
      </c>
      <c r="H58" s="87">
        <f t="shared" si="14"/>
        <v>45.705634246074439</v>
      </c>
      <c r="I58" s="87">
        <f t="shared" si="14"/>
        <v>63.19265898709557</v>
      </c>
      <c r="J58" s="109">
        <f>+(J56+J57)/2</f>
        <v>117.00378972285633</v>
      </c>
      <c r="K58" s="109"/>
      <c r="L58" s="87" t="s">
        <v>48</v>
      </c>
      <c r="M58" s="23"/>
    </row>
    <row r="59" spans="1:13" s="11" customFormat="1" ht="15.5" x14ac:dyDescent="0.4">
      <c r="A59" s="23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23"/>
    </row>
    <row r="60" spans="1:13" s="11" customFormat="1" ht="15.5" x14ac:dyDescent="0.4">
      <c r="A60" s="25" t="s">
        <v>30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23"/>
    </row>
    <row r="61" spans="1:13" s="11" customFormat="1" ht="15.5" x14ac:dyDescent="0.4">
      <c r="A61" s="23" t="s">
        <v>20</v>
      </c>
      <c r="B61" s="87">
        <f>B27/B25*100</f>
        <v>100</v>
      </c>
      <c r="C61" s="107">
        <f>C27/C25*100</f>
        <v>100</v>
      </c>
      <c r="D61" s="107"/>
      <c r="E61" s="87">
        <f>E27/E25*100</f>
        <v>100</v>
      </c>
      <c r="F61" s="87">
        <f t="shared" ref="F61:I61" si="15">F27/F25*100</f>
        <v>100</v>
      </c>
      <c r="G61" s="87">
        <f t="shared" si="15"/>
        <v>100</v>
      </c>
      <c r="H61" s="87">
        <f t="shared" si="15"/>
        <v>100</v>
      </c>
      <c r="I61" s="87">
        <f t="shared" si="15"/>
        <v>100</v>
      </c>
      <c r="J61" s="107">
        <f>J27/J25*100</f>
        <v>100</v>
      </c>
      <c r="K61" s="107"/>
      <c r="L61" s="87" t="s">
        <v>48</v>
      </c>
      <c r="M61" s="23"/>
    </row>
    <row r="62" spans="1:13" s="11" customFormat="1" ht="15.5" x14ac:dyDescent="0.4">
      <c r="A62" s="23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23"/>
    </row>
    <row r="63" spans="1:13" s="11" customFormat="1" ht="15.5" x14ac:dyDescent="0.4">
      <c r="A63" s="25" t="s">
        <v>21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23"/>
    </row>
    <row r="64" spans="1:13" s="11" customFormat="1" ht="15.5" x14ac:dyDescent="0.4">
      <c r="A64" s="23" t="s">
        <v>22</v>
      </c>
      <c r="B64" s="88">
        <f>((B18/B15)-1)*100</f>
        <v>-12.888902676899095</v>
      </c>
      <c r="C64" s="108">
        <f>((D18/D15)-1)*100</f>
        <v>-3.4765239981984219</v>
      </c>
      <c r="D64" s="108"/>
      <c r="E64" s="88">
        <f>((E18/E15)-1)*100</f>
        <v>-7.7175697865353055</v>
      </c>
      <c r="F64" s="88">
        <f t="shared" ref="F64:I64" si="16">((F18/F15)-1)*100</f>
        <v>-41.666666666666664</v>
      </c>
      <c r="G64" s="88">
        <f t="shared" si="16"/>
        <v>-7.872655478775914</v>
      </c>
      <c r="H64" s="88">
        <f t="shared" si="16"/>
        <v>-31.994526268269286</v>
      </c>
      <c r="I64" s="88">
        <f t="shared" si="16"/>
        <v>-11.958345884074184</v>
      </c>
      <c r="J64" s="109">
        <f>((K18/K15)-1)*100</f>
        <v>-18.354688278172681</v>
      </c>
      <c r="K64" s="109"/>
      <c r="L64" s="87" t="s">
        <v>48</v>
      </c>
      <c r="M64" s="23"/>
    </row>
    <row r="65" spans="1:13" s="11" customFormat="1" ht="15.5" x14ac:dyDescent="0.4">
      <c r="A65" s="23" t="s">
        <v>23</v>
      </c>
      <c r="B65" s="88">
        <f>((B40/B39)-1)*100</f>
        <v>-5.3943198037457947</v>
      </c>
      <c r="C65" s="108">
        <f>((C40/C39)-1)*100</f>
        <v>2.4362364371943279</v>
      </c>
      <c r="D65" s="108"/>
      <c r="E65" s="88">
        <f>((E40/E39)-1)*100</f>
        <v>-6.334804691177065</v>
      </c>
      <c r="F65" s="88">
        <f t="shared" ref="F65:I65" si="17">((F40/F39)-1)*100</f>
        <v>233.1018698165698</v>
      </c>
      <c r="G65" s="88">
        <f t="shared" si="17"/>
        <v>-7.6929090744049304</v>
      </c>
      <c r="H65" s="88">
        <f t="shared" si="17"/>
        <v>-19.138966652607959</v>
      </c>
      <c r="I65" s="88">
        <f t="shared" si="17"/>
        <v>-6.3793430806498019</v>
      </c>
      <c r="J65" s="109">
        <f>((J40/J39)-1)*100</f>
        <v>14.977134443436423</v>
      </c>
      <c r="K65" s="109"/>
      <c r="L65" s="87">
        <f t="shared" ref="L65" si="18">((L40/L39)-1)*100</f>
        <v>-0.46728971962618493</v>
      </c>
      <c r="M65" s="23"/>
    </row>
    <row r="66" spans="1:13" s="11" customFormat="1" ht="15.5" x14ac:dyDescent="0.4">
      <c r="A66" s="23" t="s">
        <v>24</v>
      </c>
      <c r="B66" s="88">
        <f>((B42/B41)-1)*100</f>
        <v>8.603476598802807</v>
      </c>
      <c r="C66" s="108">
        <f>((C42/C41)-1)*100</f>
        <v>6.1257226535049059</v>
      </c>
      <c r="D66" s="108"/>
      <c r="E66" s="88">
        <f>((E42/E41)-1)*100</f>
        <v>1.4984055926568818</v>
      </c>
      <c r="F66" s="88">
        <f t="shared" ref="F66:I66" si="19">((F42/F41)-1)*100</f>
        <v>471.03177682840538</v>
      </c>
      <c r="G66" s="88">
        <f t="shared" si="19"/>
        <v>0.19510646410694221</v>
      </c>
      <c r="H66" s="88">
        <f t="shared" si="19"/>
        <v>18.903713054590554</v>
      </c>
      <c r="I66" s="88">
        <f t="shared" si="19"/>
        <v>6.336776449109438</v>
      </c>
      <c r="J66" s="109">
        <f>((J42/J41)-1)*100</f>
        <v>40.825152135095678</v>
      </c>
      <c r="K66" s="109"/>
      <c r="L66" s="87" t="s">
        <v>48</v>
      </c>
      <c r="M66" s="23"/>
    </row>
    <row r="67" spans="1:13" s="11" customFormat="1" ht="15.5" x14ac:dyDescent="0.4">
      <c r="A67" s="23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23"/>
    </row>
    <row r="68" spans="1:13" s="11" customFormat="1" ht="15.5" x14ac:dyDescent="0.4">
      <c r="A68" s="25" t="s">
        <v>25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23"/>
    </row>
    <row r="69" spans="1:13" s="11" customFormat="1" ht="15.5" x14ac:dyDescent="0.4">
      <c r="A69" s="23" t="s">
        <v>31</v>
      </c>
      <c r="B69" s="87">
        <f>(B24/B17)*3</f>
        <v>139428.30846192272</v>
      </c>
      <c r="C69" s="108">
        <f>(C24/D17)*3</f>
        <v>105000</v>
      </c>
      <c r="D69" s="108"/>
      <c r="E69" s="87">
        <f>(E24/E17)*3</f>
        <v>300000</v>
      </c>
      <c r="F69" s="87">
        <f t="shared" ref="F69:I69" si="20">(F24/F17)*3</f>
        <v>42098.9010989011</v>
      </c>
      <c r="G69" s="87">
        <f t="shared" si="20"/>
        <v>225000</v>
      </c>
      <c r="H69" s="87">
        <f t="shared" si="20"/>
        <v>225000</v>
      </c>
      <c r="I69" s="87">
        <f t="shared" si="20"/>
        <v>390000</v>
      </c>
      <c r="J69" s="109">
        <f>(J24/K17)*3</f>
        <v>54000</v>
      </c>
      <c r="K69" s="109"/>
      <c r="L69" s="87" t="s">
        <v>48</v>
      </c>
      <c r="M69" s="23"/>
    </row>
    <row r="70" spans="1:13" s="11" customFormat="1" ht="15.5" x14ac:dyDescent="0.4">
      <c r="A70" s="23" t="s">
        <v>32</v>
      </c>
      <c r="B70" s="87">
        <f>(B25/B19)*3</f>
        <v>99859.94035936633</v>
      </c>
      <c r="C70" s="108">
        <f>(C25/D19)*3</f>
        <v>106226.96481899628</v>
      </c>
      <c r="D70" s="108"/>
      <c r="E70" s="87">
        <f>(E25/E19)*3</f>
        <v>478616.72616012231</v>
      </c>
      <c r="F70" s="87">
        <f t="shared" ref="F70:I70" si="21">(F25/F19)*3</f>
        <v>920438.70967741928</v>
      </c>
      <c r="G70" s="87">
        <f t="shared" si="21"/>
        <v>227309.01110958715</v>
      </c>
      <c r="H70" s="87">
        <f t="shared" si="21"/>
        <v>213350.41982557095</v>
      </c>
      <c r="I70" s="87">
        <f t="shared" si="21"/>
        <v>387630.41607461532</v>
      </c>
      <c r="J70" s="109">
        <f>(J25/K19)*3</f>
        <v>21351.436733830131</v>
      </c>
      <c r="K70" s="109"/>
      <c r="L70" s="87" t="s">
        <v>48</v>
      </c>
      <c r="M70" s="23"/>
    </row>
    <row r="71" spans="1:13" s="11" customFormat="1" ht="15.5" x14ac:dyDescent="0.4">
      <c r="A71" s="23" t="s">
        <v>26</v>
      </c>
      <c r="B71" s="89" t="s">
        <v>56</v>
      </c>
      <c r="C71" s="107">
        <f>(C70/C69)*D53</f>
        <v>107.22120665468215</v>
      </c>
      <c r="D71" s="107"/>
      <c r="E71" s="87">
        <f>(E70/E69)*E53</f>
        <v>121.63874377097476</v>
      </c>
      <c r="F71" s="87">
        <f t="shared" ref="F71:I71" si="22">(F70/F69)*F53</f>
        <v>1186.5280841762456</v>
      </c>
      <c r="G71" s="87">
        <f t="shared" si="22"/>
        <v>99.381141434106411</v>
      </c>
      <c r="H71" s="87">
        <f t="shared" si="22"/>
        <v>73.782482822086138</v>
      </c>
      <c r="I71" s="87">
        <f t="shared" si="22"/>
        <v>93.308907341016777</v>
      </c>
      <c r="J71" s="109">
        <f>(J70/J69)*K53</f>
        <v>57.739960272410109</v>
      </c>
      <c r="K71" s="109"/>
      <c r="L71" s="87" t="s">
        <v>48</v>
      </c>
      <c r="M71" s="23"/>
    </row>
    <row r="72" spans="1:13" s="11" customFormat="1" ht="15.5" x14ac:dyDescent="0.4">
      <c r="A72" s="23" t="s">
        <v>33</v>
      </c>
      <c r="B72" s="87">
        <f>B24/B17</f>
        <v>46476.102820640903</v>
      </c>
      <c r="C72" s="107">
        <f>C24/D17</f>
        <v>35000</v>
      </c>
      <c r="D72" s="107"/>
      <c r="E72" s="87">
        <f>E24/E17</f>
        <v>100000</v>
      </c>
      <c r="F72" s="87">
        <f>F24/F17</f>
        <v>14032.967032967033</v>
      </c>
      <c r="G72" s="87">
        <f t="shared" ref="G72:I72" si="23">G24/G17</f>
        <v>75000</v>
      </c>
      <c r="H72" s="87">
        <f t="shared" si="23"/>
        <v>75000</v>
      </c>
      <c r="I72" s="87">
        <f t="shared" si="23"/>
        <v>130000</v>
      </c>
      <c r="J72" s="109">
        <f>J24/K17</f>
        <v>18000</v>
      </c>
      <c r="K72" s="109"/>
      <c r="L72" s="87" t="s">
        <v>48</v>
      </c>
      <c r="M72" s="23"/>
    </row>
    <row r="73" spans="1:13" s="11" customFormat="1" ht="15.5" x14ac:dyDescent="0.4">
      <c r="A73" s="23" t="s">
        <v>34</v>
      </c>
      <c r="B73" s="87">
        <f>B25/B19</f>
        <v>33286.646786455443</v>
      </c>
      <c r="C73" s="107">
        <f>C25/D19</f>
        <v>35408.988272998758</v>
      </c>
      <c r="D73" s="107"/>
      <c r="E73" s="87">
        <f>E25/E19</f>
        <v>159538.90872004078</v>
      </c>
      <c r="F73" s="87">
        <f>F25/F19</f>
        <v>306812.90322580643</v>
      </c>
      <c r="G73" s="87">
        <f t="shared" ref="G73:I73" si="24">G25/G19</f>
        <v>75769.67036986239</v>
      </c>
      <c r="H73" s="87">
        <f t="shared" si="24"/>
        <v>71116.80660852365</v>
      </c>
      <c r="I73" s="87">
        <f t="shared" si="24"/>
        <v>129210.13869153844</v>
      </c>
      <c r="J73" s="109">
        <f>J25/K19</f>
        <v>7117.1455779433772</v>
      </c>
      <c r="K73" s="109"/>
      <c r="L73" s="87" t="s">
        <v>48</v>
      </c>
      <c r="M73" s="23"/>
    </row>
    <row r="74" spans="1:13" s="11" customFormat="1" ht="15.5" x14ac:dyDescent="0.4">
      <c r="A74" s="23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23"/>
    </row>
    <row r="75" spans="1:13" s="11" customFormat="1" ht="15.5" x14ac:dyDescent="0.4">
      <c r="A75" s="25" t="s">
        <v>27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23"/>
    </row>
    <row r="76" spans="1:13" s="11" customFormat="1" ht="15.5" x14ac:dyDescent="0.4">
      <c r="A76" s="23" t="s">
        <v>28</v>
      </c>
      <c r="B76" s="87">
        <f>(B31/B30)*100</f>
        <v>98.59009782411286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23"/>
    </row>
    <row r="77" spans="1:13" s="11" customFormat="1" ht="15.5" x14ac:dyDescent="0.4">
      <c r="A77" s="23" t="s">
        <v>29</v>
      </c>
      <c r="B77" s="87">
        <f>(B25/B31)*100</f>
        <v>84.302582818020667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23"/>
    </row>
    <row r="78" spans="1:13" s="11" customFormat="1" ht="16" thickBo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</row>
    <row r="79" spans="1:13" s="11" customFormat="1" ht="16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95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ht="15.5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1:13" ht="15.5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1:13" ht="15.5" x14ac:dyDescent="0.4">
      <c r="A83" s="37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ht="15.5" x14ac:dyDescent="0.4">
      <c r="A84" s="37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 ht="15.5" x14ac:dyDescent="0.4">
      <c r="A85" s="37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ht="15.5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ht="15.5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ht="15.5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ht="15.5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ht="15.5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 spans="1:13" ht="15.5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 spans="1:13" ht="15.5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ht="15.5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ht="15.5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 ht="15.5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ht="15.5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15.5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ht="15.5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 spans="1:13" ht="15.5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5.5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58" spans="3:7" x14ac:dyDescent="0.35">
      <c r="C158" s="11"/>
      <c r="D158" s="11"/>
      <c r="E158" s="11"/>
      <c r="F158" s="11"/>
      <c r="G158" s="11"/>
    </row>
    <row r="159" spans="3:7" x14ac:dyDescent="0.35">
      <c r="C159" s="12"/>
    </row>
    <row r="160" spans="3:7" x14ac:dyDescent="0.35">
      <c r="C160" s="12"/>
    </row>
  </sheetData>
  <mergeCells count="55">
    <mergeCell ref="J64:K64"/>
    <mergeCell ref="J65:K65"/>
    <mergeCell ref="J66:K66"/>
    <mergeCell ref="J69:K69"/>
    <mergeCell ref="A79:F79"/>
    <mergeCell ref="C70:D70"/>
    <mergeCell ref="C66:D66"/>
    <mergeCell ref="C61:D61"/>
    <mergeCell ref="C52:D52"/>
    <mergeCell ref="C57:D57"/>
    <mergeCell ref="J70:K70"/>
    <mergeCell ref="J71:K71"/>
    <mergeCell ref="J72:K72"/>
    <mergeCell ref="J73:K73"/>
    <mergeCell ref="J27:K27"/>
    <mergeCell ref="J39:K39"/>
    <mergeCell ref="J40:K40"/>
    <mergeCell ref="J41:K41"/>
    <mergeCell ref="J42:K42"/>
    <mergeCell ref="J47:K47"/>
    <mergeCell ref="J48:K48"/>
    <mergeCell ref="J52:K52"/>
    <mergeCell ref="J56:K56"/>
    <mergeCell ref="J57:K57"/>
    <mergeCell ref="J58:K58"/>
    <mergeCell ref="J61:K61"/>
    <mergeCell ref="C40:D40"/>
    <mergeCell ref="C58:D58"/>
    <mergeCell ref="C64:D64"/>
    <mergeCell ref="C65:D65"/>
    <mergeCell ref="C73:D73"/>
    <mergeCell ref="C72:D72"/>
    <mergeCell ref="C69:D69"/>
    <mergeCell ref="C41:D41"/>
    <mergeCell ref="C42:D42"/>
    <mergeCell ref="C47:D47"/>
    <mergeCell ref="C56:D56"/>
    <mergeCell ref="C71:D71"/>
    <mergeCell ref="C48:D48"/>
    <mergeCell ref="A9:A10"/>
    <mergeCell ref="B9:B10"/>
    <mergeCell ref="C27:D27"/>
    <mergeCell ref="C36:D36"/>
    <mergeCell ref="C39:D39"/>
    <mergeCell ref="C10:D10"/>
    <mergeCell ref="C24:D24"/>
    <mergeCell ref="C25:D25"/>
    <mergeCell ref="C26:D26"/>
    <mergeCell ref="C23:D23"/>
    <mergeCell ref="C9:L9"/>
    <mergeCell ref="J10:K10"/>
    <mergeCell ref="J23:K23"/>
    <mergeCell ref="J24:K24"/>
    <mergeCell ref="J25:K25"/>
    <mergeCell ref="J26:K26"/>
  </mergeCells>
  <pageMargins left="0.7" right="0.7" top="0.75" bottom="0.75" header="0.3" footer="0.3"/>
  <pageSetup orientation="portrait" r:id="rId1"/>
  <ignoredErrors>
    <ignoredError sqref="B24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style="13" customWidth="1"/>
    <col min="2" max="12" width="18.7265625" style="13" customWidth="1"/>
    <col min="13" max="13" width="15.7265625" style="13" customWidth="1"/>
    <col min="14" max="16384" width="11.453125" style="13"/>
  </cols>
  <sheetData>
    <row r="1" spans="1:12" s="14" customFormat="1" x14ac:dyDescent="0.35"/>
    <row r="2" spans="1:12" s="14" customFormat="1" x14ac:dyDescent="0.35"/>
    <row r="3" spans="1:12" s="14" customFormat="1" x14ac:dyDescent="0.35"/>
    <row r="4" spans="1:12" s="14" customFormat="1" x14ac:dyDescent="0.35"/>
    <row r="5" spans="1:12" s="14" customFormat="1" x14ac:dyDescent="0.35"/>
    <row r="6" spans="1:12" s="14" customFormat="1" x14ac:dyDescent="0.35"/>
    <row r="7" spans="1:12" s="14" customFormat="1" x14ac:dyDescent="0.35"/>
    <row r="8" spans="1:12" s="14" customFormat="1" ht="17.25" customHeight="1" x14ac:dyDescent="0.35"/>
    <row r="9" spans="1:12" s="5" customFormat="1" ht="21.75" customHeight="1" x14ac:dyDescent="0.35">
      <c r="A9" s="97" t="s">
        <v>0</v>
      </c>
      <c r="B9" s="99" t="s">
        <v>58</v>
      </c>
      <c r="C9" s="105" t="s">
        <v>59</v>
      </c>
      <c r="D9" s="105"/>
      <c r="E9" s="105"/>
      <c r="F9" s="105"/>
      <c r="G9" s="105"/>
      <c r="H9" s="105"/>
      <c r="I9" s="105"/>
      <c r="J9" s="105"/>
      <c r="K9" s="105"/>
      <c r="L9" s="105"/>
    </row>
    <row r="10" spans="1:12" s="5" customFormat="1" ht="51.75" customHeight="1" thickBot="1" x14ac:dyDescent="0.4">
      <c r="A10" s="98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60</v>
      </c>
      <c r="J10" s="106" t="s">
        <v>61</v>
      </c>
      <c r="K10" s="106"/>
      <c r="L10" s="82" t="s">
        <v>54</v>
      </c>
    </row>
    <row r="11" spans="1:12" s="14" customFormat="1" ht="16" thickTop="1" x14ac:dyDescent="0.4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14" customFormat="1" ht="15.5" x14ac:dyDescent="0.4">
      <c r="A12" s="25" t="s">
        <v>2</v>
      </c>
      <c r="B12" s="39"/>
      <c r="C12" s="39"/>
      <c r="D12" s="40"/>
      <c r="E12" s="40"/>
      <c r="F12" s="39"/>
      <c r="G12" s="39"/>
      <c r="H12" s="39"/>
      <c r="I12" s="39"/>
      <c r="J12" s="39"/>
      <c r="K12" s="39"/>
      <c r="L12" s="39"/>
    </row>
    <row r="13" spans="1:12" s="14" customFormat="1" ht="15.5" x14ac:dyDescent="0.4">
      <c r="A13" s="23"/>
      <c r="B13" s="39"/>
      <c r="C13" s="39"/>
      <c r="D13" s="40"/>
      <c r="E13" s="40"/>
      <c r="F13" s="39"/>
      <c r="G13" s="39"/>
      <c r="H13" s="39"/>
      <c r="I13" s="39"/>
      <c r="J13" s="39"/>
      <c r="K13" s="39"/>
      <c r="L13" s="39"/>
    </row>
    <row r="14" spans="1:12" s="14" customFormat="1" ht="15.5" x14ac:dyDescent="0.4">
      <c r="A14" s="25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</row>
    <row r="15" spans="1:12" s="20" customFormat="1" ht="15.5" x14ac:dyDescent="0.4">
      <c r="A15" s="28" t="s">
        <v>68</v>
      </c>
      <c r="B15" s="90">
        <v>321068</v>
      </c>
      <c r="C15" s="90">
        <v>127284</v>
      </c>
      <c r="D15" s="90">
        <v>157660</v>
      </c>
      <c r="E15" s="90">
        <v>1300</v>
      </c>
      <c r="F15" s="90">
        <v>101</v>
      </c>
      <c r="G15" s="90">
        <v>8101</v>
      </c>
      <c r="H15" s="90">
        <v>137855</v>
      </c>
      <c r="I15" s="90">
        <v>21665</v>
      </c>
      <c r="J15" s="90">
        <v>153952</v>
      </c>
      <c r="K15" s="90">
        <v>197571</v>
      </c>
      <c r="L15" s="90" t="s">
        <v>48</v>
      </c>
    </row>
    <row r="16" spans="1:12" s="20" customFormat="1" ht="15.5" x14ac:dyDescent="0.4">
      <c r="A16" s="28" t="s">
        <v>100</v>
      </c>
      <c r="B16" s="91" t="s">
        <v>49</v>
      </c>
      <c r="C16" s="91" t="s">
        <v>49</v>
      </c>
      <c r="D16" s="91">
        <v>120857</v>
      </c>
      <c r="E16" s="91">
        <v>1834</v>
      </c>
      <c r="F16" s="91">
        <v>106</v>
      </c>
      <c r="G16" s="91">
        <v>7549</v>
      </c>
      <c r="H16" s="91">
        <v>86804</v>
      </c>
      <c r="I16" s="91">
        <v>21427</v>
      </c>
      <c r="J16" s="90" t="s">
        <v>56</v>
      </c>
      <c r="K16" s="90">
        <v>77222</v>
      </c>
      <c r="L16" s="90" t="s">
        <v>48</v>
      </c>
    </row>
    <row r="17" spans="1:13" s="20" customFormat="1" ht="15.5" x14ac:dyDescent="0.4">
      <c r="A17" s="28" t="s">
        <v>55</v>
      </c>
      <c r="B17" s="91">
        <f>+D17+E17+F17+G17+H17+I17+K17</f>
        <v>887404</v>
      </c>
      <c r="C17" s="91" t="s">
        <v>49</v>
      </c>
      <c r="D17" s="91">
        <v>360857</v>
      </c>
      <c r="E17" s="91">
        <v>4676</v>
      </c>
      <c r="F17" s="91">
        <v>298</v>
      </c>
      <c r="G17" s="91">
        <v>22627</v>
      </c>
      <c r="H17" s="91">
        <v>204604</v>
      </c>
      <c r="I17" s="91">
        <v>64183</v>
      </c>
      <c r="J17" s="90" t="s">
        <v>56</v>
      </c>
      <c r="K17" s="90">
        <v>230159</v>
      </c>
      <c r="L17" s="90" t="s">
        <v>48</v>
      </c>
    </row>
    <row r="18" spans="1:13" s="20" customFormat="1" ht="15.5" x14ac:dyDescent="0.4">
      <c r="A18" s="28" t="s">
        <v>101</v>
      </c>
      <c r="B18" s="90">
        <v>263007</v>
      </c>
      <c r="C18" s="90">
        <v>132142</v>
      </c>
      <c r="D18" s="90">
        <v>163962</v>
      </c>
      <c r="E18" s="90">
        <v>1536</v>
      </c>
      <c r="F18" s="90">
        <v>126</v>
      </c>
      <c r="G18" s="90">
        <v>7558</v>
      </c>
      <c r="H18" s="90">
        <v>72717</v>
      </c>
      <c r="I18" s="90">
        <v>20976</v>
      </c>
      <c r="J18" s="90">
        <v>141298</v>
      </c>
      <c r="K18" s="90">
        <v>190172</v>
      </c>
      <c r="L18" s="90" t="s">
        <v>48</v>
      </c>
    </row>
    <row r="19" spans="1:13" s="20" customFormat="1" ht="15.5" x14ac:dyDescent="0.4">
      <c r="A19" s="28" t="s">
        <v>55</v>
      </c>
      <c r="B19" s="90">
        <f>+D19+E19+F19+G19+H19+I19+K19</f>
        <v>1272847</v>
      </c>
      <c r="C19" s="90" t="s">
        <v>49</v>
      </c>
      <c r="D19" s="90">
        <v>472073</v>
      </c>
      <c r="E19" s="90">
        <v>4136</v>
      </c>
      <c r="F19" s="90">
        <v>303</v>
      </c>
      <c r="G19" s="90">
        <v>22031</v>
      </c>
      <c r="H19" s="90">
        <v>181117</v>
      </c>
      <c r="I19" s="90">
        <v>59477</v>
      </c>
      <c r="J19" s="90" t="s">
        <v>56</v>
      </c>
      <c r="K19" s="90">
        <v>533710</v>
      </c>
      <c r="L19" s="90" t="s">
        <v>48</v>
      </c>
    </row>
    <row r="20" spans="1:13" s="20" customFormat="1" ht="15.5" x14ac:dyDescent="0.4">
      <c r="A20" s="28" t="s">
        <v>94</v>
      </c>
      <c r="B20" s="91" t="s">
        <v>49</v>
      </c>
      <c r="C20" s="91" t="s">
        <v>49</v>
      </c>
      <c r="D20" s="91">
        <v>126957</v>
      </c>
      <c r="E20" s="91">
        <v>1835</v>
      </c>
      <c r="F20" s="91">
        <v>106</v>
      </c>
      <c r="G20" s="91">
        <v>7549</v>
      </c>
      <c r="H20" s="91">
        <v>86945</v>
      </c>
      <c r="I20" s="90">
        <v>21429</v>
      </c>
      <c r="J20" s="90" t="s">
        <v>56</v>
      </c>
      <c r="K20" s="90">
        <v>77223</v>
      </c>
      <c r="L20" s="90" t="s">
        <v>48</v>
      </c>
    </row>
    <row r="21" spans="1:13" s="20" customFormat="1" ht="15.5" x14ac:dyDescent="0.4">
      <c r="A21" s="2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3" s="20" customFormat="1" ht="15.5" x14ac:dyDescent="0.4">
      <c r="A22" s="30" t="s">
        <v>3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</row>
    <row r="23" spans="1:13" s="20" customFormat="1" ht="15.5" x14ac:dyDescent="0.4">
      <c r="A23" s="28" t="s">
        <v>68</v>
      </c>
      <c r="B23" s="90">
        <f>+C23+E23+F23+G23+H23+I23+J23</f>
        <v>45690877541.050003</v>
      </c>
      <c r="C23" s="111">
        <v>11863668000</v>
      </c>
      <c r="D23" s="111"/>
      <c r="E23" s="90">
        <v>394757270</v>
      </c>
      <c r="F23" s="90">
        <v>78057800</v>
      </c>
      <c r="G23" s="90">
        <v>1803016292.9999995</v>
      </c>
      <c r="H23" s="90">
        <v>20528848126.049999</v>
      </c>
      <c r="I23" s="90">
        <v>8122639052.0000038</v>
      </c>
      <c r="J23" s="111">
        <v>2899891000</v>
      </c>
      <c r="K23" s="111"/>
      <c r="L23" s="90" t="s">
        <v>49</v>
      </c>
      <c r="M23" s="21"/>
    </row>
    <row r="24" spans="1:13" s="20" customFormat="1" ht="15.5" x14ac:dyDescent="0.4">
      <c r="A24" s="28" t="s">
        <v>100</v>
      </c>
      <c r="B24" s="90">
        <f>+C24+E24+F24+G24+H24+I24+J24</f>
        <v>42719602000</v>
      </c>
      <c r="C24" s="111">
        <v>12629995000</v>
      </c>
      <c r="D24" s="111"/>
      <c r="E24" s="90">
        <v>467600000</v>
      </c>
      <c r="F24" s="90">
        <v>93030000</v>
      </c>
      <c r="G24" s="90">
        <v>1697025000</v>
      </c>
      <c r="H24" s="90">
        <v>15345300000</v>
      </c>
      <c r="I24" s="90">
        <v>8343790000</v>
      </c>
      <c r="J24" s="111">
        <v>4142862000</v>
      </c>
      <c r="K24" s="111"/>
      <c r="L24" s="90" t="s">
        <v>49</v>
      </c>
      <c r="M24" s="21"/>
    </row>
    <row r="25" spans="1:13" s="20" customFormat="1" ht="15.5" x14ac:dyDescent="0.4">
      <c r="A25" s="28" t="s">
        <v>101</v>
      </c>
      <c r="B25" s="90">
        <f>+C25+E25+F25+G25+H25+I25+J25</f>
        <v>39256971677.400002</v>
      </c>
      <c r="C25" s="111">
        <v>11625449000</v>
      </c>
      <c r="D25" s="111"/>
      <c r="E25" s="90">
        <v>438981700</v>
      </c>
      <c r="F25" s="90">
        <v>89142400</v>
      </c>
      <c r="G25" s="90">
        <v>1666658000</v>
      </c>
      <c r="H25" s="90">
        <v>13629373318.4</v>
      </c>
      <c r="I25" s="90">
        <v>7693741259</v>
      </c>
      <c r="J25" s="111">
        <v>4113626000</v>
      </c>
      <c r="K25" s="111"/>
      <c r="L25" s="90" t="s">
        <v>49</v>
      </c>
      <c r="M25" s="21"/>
    </row>
    <row r="26" spans="1:13" s="20" customFormat="1" ht="15.5" x14ac:dyDescent="0.4">
      <c r="A26" s="28" t="s">
        <v>94</v>
      </c>
      <c r="B26" s="90">
        <f>+C26+E26+F26+G26+H26+I26+J26</f>
        <v>148212142000</v>
      </c>
      <c r="C26" s="112">
        <v>47477290000</v>
      </c>
      <c r="D26" s="112"/>
      <c r="E26" s="90">
        <v>1852300000</v>
      </c>
      <c r="F26" s="90">
        <v>308745000</v>
      </c>
      <c r="G26" s="90">
        <v>6790200000</v>
      </c>
      <c r="H26" s="90">
        <v>51490125000</v>
      </c>
      <c r="I26" s="90">
        <v>25057760000</v>
      </c>
      <c r="J26" s="112">
        <v>15235722000</v>
      </c>
      <c r="K26" s="112"/>
      <c r="L26" s="90" t="s">
        <v>49</v>
      </c>
      <c r="M26" s="21"/>
    </row>
    <row r="27" spans="1:13" s="20" customFormat="1" ht="15.5" x14ac:dyDescent="0.4">
      <c r="A27" s="28" t="s">
        <v>102</v>
      </c>
      <c r="B27" s="90">
        <f>+C27+E27+F27+G27+H27+I27+J27</f>
        <v>39256971677.400002</v>
      </c>
      <c r="C27" s="111">
        <f>C25</f>
        <v>11625449000</v>
      </c>
      <c r="D27" s="111"/>
      <c r="E27" s="90">
        <f>E25</f>
        <v>438981700</v>
      </c>
      <c r="F27" s="90">
        <f t="shared" ref="F27:J27" si="0">F25</f>
        <v>89142400</v>
      </c>
      <c r="G27" s="90">
        <f t="shared" si="0"/>
        <v>1666658000</v>
      </c>
      <c r="H27" s="90">
        <f t="shared" si="0"/>
        <v>13629373318.4</v>
      </c>
      <c r="I27" s="90">
        <f t="shared" si="0"/>
        <v>7693741259</v>
      </c>
      <c r="J27" s="111">
        <f t="shared" si="0"/>
        <v>4113626000</v>
      </c>
      <c r="K27" s="111"/>
      <c r="L27" s="91" t="str">
        <f>+L25</f>
        <v>n.d</v>
      </c>
      <c r="M27" s="22"/>
    </row>
    <row r="28" spans="1:13" s="14" customFormat="1" ht="15.5" x14ac:dyDescent="0.4">
      <c r="A28" s="23"/>
      <c r="B28" s="41"/>
      <c r="C28" s="41"/>
      <c r="D28" s="41"/>
      <c r="E28" s="41"/>
      <c r="F28" s="41"/>
      <c r="G28" s="41"/>
      <c r="H28" s="41"/>
      <c r="I28" s="41"/>
      <c r="J28" s="41"/>
      <c r="K28" s="90"/>
      <c r="L28" s="90"/>
    </row>
    <row r="29" spans="1:13" s="14" customFormat="1" ht="15.5" x14ac:dyDescent="0.4">
      <c r="A29" s="30" t="s">
        <v>4</v>
      </c>
      <c r="B29" s="41"/>
      <c r="C29" s="41"/>
      <c r="D29" s="41"/>
      <c r="E29" s="41"/>
      <c r="F29" s="41"/>
      <c r="G29" s="41"/>
      <c r="H29" s="41"/>
      <c r="I29" s="41"/>
      <c r="J29" s="41"/>
      <c r="K29" s="90"/>
      <c r="L29" s="90"/>
    </row>
    <row r="30" spans="1:13" s="20" customFormat="1" ht="15.5" x14ac:dyDescent="0.4">
      <c r="A30" s="28" t="s">
        <v>100</v>
      </c>
      <c r="B30" s="90">
        <f>B24</f>
        <v>42719602000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3" s="20" customFormat="1" ht="15.5" x14ac:dyDescent="0.4">
      <c r="A31" s="28" t="s">
        <v>101</v>
      </c>
      <c r="B31" s="90">
        <v>39983223000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3" s="20" customFormat="1" ht="15.5" x14ac:dyDescent="0.4">
      <c r="A32" s="23"/>
      <c r="B32" s="42"/>
      <c r="C32" s="42"/>
      <c r="D32" s="42"/>
      <c r="E32" s="42"/>
      <c r="F32" s="42"/>
      <c r="G32" s="42"/>
      <c r="H32" s="42"/>
      <c r="I32" s="42"/>
      <c r="J32" s="42"/>
      <c r="K32" s="39"/>
      <c r="L32" s="39"/>
    </row>
    <row r="33" spans="1:13" s="14" customFormat="1" ht="15.5" x14ac:dyDescent="0.4">
      <c r="A33" s="25" t="s">
        <v>5</v>
      </c>
      <c r="B33" s="43"/>
      <c r="C33" s="43"/>
      <c r="D33" s="43"/>
      <c r="E33" s="43"/>
      <c r="F33" s="43"/>
      <c r="G33" s="43"/>
      <c r="H33" s="43"/>
      <c r="I33" s="43"/>
      <c r="J33" s="43"/>
      <c r="K33" s="39"/>
      <c r="L33" s="39"/>
    </row>
    <row r="34" spans="1:13" s="14" customFormat="1" ht="15.5" x14ac:dyDescent="0.4">
      <c r="A34" s="28" t="s">
        <v>69</v>
      </c>
      <c r="B34" s="96">
        <v>1.0586</v>
      </c>
      <c r="C34" s="96">
        <v>1.0586</v>
      </c>
      <c r="D34" s="96">
        <v>1.0586</v>
      </c>
      <c r="E34" s="96">
        <v>1.0586</v>
      </c>
      <c r="F34" s="96">
        <v>1.0586</v>
      </c>
      <c r="G34" s="96">
        <v>1.0586</v>
      </c>
      <c r="H34" s="96">
        <v>1.0586</v>
      </c>
      <c r="I34" s="96">
        <v>1.0586</v>
      </c>
      <c r="J34" s="96">
        <v>1.0586</v>
      </c>
      <c r="K34" s="96">
        <v>1.0586</v>
      </c>
      <c r="L34" s="96">
        <v>1.0586</v>
      </c>
    </row>
    <row r="35" spans="1:13" s="14" customFormat="1" ht="15.5" x14ac:dyDescent="0.4">
      <c r="A35" s="28" t="s">
        <v>103</v>
      </c>
      <c r="B35" s="96">
        <v>1.0788</v>
      </c>
      <c r="C35" s="96">
        <v>1.0788</v>
      </c>
      <c r="D35" s="96">
        <v>1.0788</v>
      </c>
      <c r="E35" s="96">
        <v>1.0788</v>
      </c>
      <c r="F35" s="96">
        <v>1.0788</v>
      </c>
      <c r="G35" s="96">
        <v>1.0788</v>
      </c>
      <c r="H35" s="96">
        <v>1.0788</v>
      </c>
      <c r="I35" s="96">
        <v>1.0788</v>
      </c>
      <c r="J35" s="96">
        <v>1.0788</v>
      </c>
      <c r="K35" s="96">
        <v>1.0788</v>
      </c>
      <c r="L35" s="96">
        <v>1.0788</v>
      </c>
    </row>
    <row r="36" spans="1:13" s="11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45"/>
      <c r="C37" s="45"/>
      <c r="D37" s="45"/>
      <c r="E37" s="45"/>
      <c r="F37" s="46"/>
      <c r="G37" s="46"/>
      <c r="H37" s="46"/>
      <c r="I37" s="46"/>
      <c r="J37" s="46"/>
      <c r="K37" s="81"/>
      <c r="L37" s="81"/>
    </row>
    <row r="38" spans="1:13" s="14" customFormat="1" ht="15.5" x14ac:dyDescent="0.4">
      <c r="A38" s="25" t="s">
        <v>7</v>
      </c>
      <c r="B38" s="45"/>
      <c r="C38" s="45"/>
      <c r="D38" s="45"/>
      <c r="E38" s="45"/>
      <c r="F38" s="45"/>
      <c r="G38" s="45"/>
      <c r="H38" s="45"/>
      <c r="I38" s="45"/>
      <c r="J38" s="45"/>
      <c r="K38" s="51"/>
      <c r="L38" s="51"/>
    </row>
    <row r="39" spans="1:13" s="20" customFormat="1" ht="15.5" x14ac:dyDescent="0.4">
      <c r="A39" s="23" t="s">
        <v>70</v>
      </c>
      <c r="B39" s="85">
        <f>B23/B34</f>
        <v>43161607350.321182</v>
      </c>
      <c r="C39" s="103">
        <f>C23/C34</f>
        <v>11206941243.151333</v>
      </c>
      <c r="D39" s="103"/>
      <c r="E39" s="85">
        <f>E23/E34</f>
        <v>372905034.95182317</v>
      </c>
      <c r="F39" s="85">
        <f t="shared" ref="F39:I39" si="1">F23/F34</f>
        <v>73736822.218023807</v>
      </c>
      <c r="G39" s="85">
        <f t="shared" si="1"/>
        <v>1703208287.3606646</v>
      </c>
      <c r="H39" s="85">
        <f t="shared" si="1"/>
        <v>19392450525.269222</v>
      </c>
      <c r="I39" s="85">
        <f t="shared" si="1"/>
        <v>7673001182.694128</v>
      </c>
      <c r="J39" s="103">
        <f>J23/J34</f>
        <v>2739364254.6759872</v>
      </c>
      <c r="K39" s="103"/>
      <c r="L39" s="85" t="s">
        <v>48</v>
      </c>
    </row>
    <row r="40" spans="1:13" s="20" customFormat="1" ht="15.5" x14ac:dyDescent="0.4">
      <c r="A40" s="23" t="s">
        <v>104</v>
      </c>
      <c r="B40" s="85">
        <f>B25/B35</f>
        <v>36389480605.672974</v>
      </c>
      <c r="C40" s="103">
        <f>C25/C35</f>
        <v>10776278272.154245</v>
      </c>
      <c r="D40" s="103"/>
      <c r="E40" s="85">
        <f>E25/E35</f>
        <v>406916666.66666669</v>
      </c>
      <c r="F40" s="85">
        <f t="shared" ref="F40:I40" si="2">F25/F35</f>
        <v>82631071.560993701</v>
      </c>
      <c r="G40" s="85">
        <f t="shared" si="2"/>
        <v>1544918427.8828328</v>
      </c>
      <c r="H40" s="85">
        <f t="shared" si="2"/>
        <v>12633827695.958471</v>
      </c>
      <c r="I40" s="85">
        <f t="shared" si="2"/>
        <v>7131758675.3800516</v>
      </c>
      <c r="J40" s="103">
        <f>J25/J35</f>
        <v>3813149796.0697069</v>
      </c>
      <c r="K40" s="103"/>
      <c r="L40" s="85" t="s">
        <v>48</v>
      </c>
    </row>
    <row r="41" spans="1:13" s="20" customFormat="1" ht="15.5" x14ac:dyDescent="0.4">
      <c r="A41" s="23" t="s">
        <v>71</v>
      </c>
      <c r="B41" s="85">
        <f>B39/B15</f>
        <v>134431.35831138943</v>
      </c>
      <c r="C41" s="103">
        <f>C39/D15</f>
        <v>71082.97122384455</v>
      </c>
      <c r="D41" s="103"/>
      <c r="E41" s="85">
        <f>E39/E15</f>
        <v>286850.02688601782</v>
      </c>
      <c r="F41" s="85">
        <f t="shared" ref="F41:I41" si="3">F39/F15</f>
        <v>730067.54671310703</v>
      </c>
      <c r="G41" s="85">
        <f t="shared" si="3"/>
        <v>210246.67168999687</v>
      </c>
      <c r="H41" s="85">
        <f t="shared" si="3"/>
        <v>140672.81219592487</v>
      </c>
      <c r="I41" s="85">
        <f t="shared" si="3"/>
        <v>354165.75964431703</v>
      </c>
      <c r="J41" s="103">
        <f>J39/K15</f>
        <v>13865.214301066388</v>
      </c>
      <c r="K41" s="103"/>
      <c r="L41" s="85" t="s">
        <v>48</v>
      </c>
    </row>
    <row r="42" spans="1:13" s="20" customFormat="1" ht="15.5" x14ac:dyDescent="0.4">
      <c r="A42" s="23" t="s">
        <v>105</v>
      </c>
      <c r="B42" s="85">
        <f>B40/B18</f>
        <v>138359.36155947551</v>
      </c>
      <c r="C42" s="103">
        <f>C40/D18</f>
        <v>65724.242642528421</v>
      </c>
      <c r="D42" s="103"/>
      <c r="E42" s="85">
        <f>E40/E18</f>
        <v>264919.70486111112</v>
      </c>
      <c r="F42" s="85">
        <f t="shared" ref="F42:I42" si="4">F40/F18</f>
        <v>655802.15524598176</v>
      </c>
      <c r="G42" s="85">
        <f t="shared" si="4"/>
        <v>204408.3656897106</v>
      </c>
      <c r="H42" s="85">
        <f t="shared" si="4"/>
        <v>173739.67154803514</v>
      </c>
      <c r="I42" s="85">
        <f t="shared" si="4"/>
        <v>339996.12296815653</v>
      </c>
      <c r="J42" s="103">
        <f>J40/K18</f>
        <v>20051.057968942361</v>
      </c>
      <c r="K42" s="103"/>
      <c r="L42" s="85" t="s">
        <v>48</v>
      </c>
    </row>
    <row r="43" spans="1:13" s="20" customFormat="1" ht="15.5" x14ac:dyDescent="0.4">
      <c r="A43" s="23"/>
      <c r="B43" s="33"/>
      <c r="C43" s="33"/>
      <c r="D43" s="33"/>
      <c r="E43" s="33"/>
      <c r="F43" s="33"/>
      <c r="G43" s="33"/>
      <c r="H43" s="33"/>
      <c r="I43" s="33"/>
      <c r="J43" s="33"/>
      <c r="K43" s="23"/>
      <c r="L43" s="23"/>
    </row>
    <row r="44" spans="1:13" s="20" customFormat="1" ht="15.5" x14ac:dyDescent="0.4">
      <c r="A44" s="25" t="s">
        <v>8</v>
      </c>
      <c r="B44" s="33"/>
      <c r="C44" s="33"/>
      <c r="D44" s="33"/>
      <c r="E44" s="33"/>
      <c r="F44" s="33"/>
      <c r="G44" s="33"/>
      <c r="H44" s="33"/>
      <c r="I44" s="33"/>
      <c r="J44" s="33"/>
      <c r="K44" s="23"/>
      <c r="L44" s="23"/>
    </row>
    <row r="45" spans="1:13" s="20" customFormat="1" ht="15.5" x14ac:dyDescent="0.4">
      <c r="A45" s="23"/>
      <c r="B45" s="33"/>
      <c r="C45" s="33"/>
      <c r="D45" s="33"/>
      <c r="E45" s="33"/>
      <c r="F45" s="33"/>
      <c r="G45" s="33"/>
      <c r="H45" s="33"/>
      <c r="I45" s="33"/>
      <c r="J45" s="33"/>
      <c r="K45" s="23"/>
      <c r="L45" s="23"/>
    </row>
    <row r="46" spans="1:13" s="20" customFormat="1" ht="15.5" x14ac:dyDescent="0.4">
      <c r="A46" s="25" t="s">
        <v>9</v>
      </c>
      <c r="B46" s="33"/>
      <c r="C46" s="33"/>
      <c r="D46" s="33"/>
      <c r="E46" s="33"/>
      <c r="F46" s="33"/>
      <c r="G46" s="33"/>
      <c r="H46" s="33"/>
      <c r="I46" s="33"/>
      <c r="J46" s="33"/>
      <c r="K46" s="23"/>
      <c r="L46" s="23"/>
    </row>
    <row r="47" spans="1:13" s="20" customFormat="1" ht="15.5" x14ac:dyDescent="0.4">
      <c r="A47" s="23" t="s">
        <v>10</v>
      </c>
      <c r="B47" s="89" t="s">
        <v>56</v>
      </c>
      <c r="C47" s="107">
        <f>(D16/C36)*100</f>
        <v>57.46530171696471</v>
      </c>
      <c r="D47" s="107"/>
      <c r="E47" s="87">
        <f>(E16/E36)*100</f>
        <v>1.2461270859379248</v>
      </c>
      <c r="F47" s="87" t="s">
        <v>48</v>
      </c>
      <c r="G47" s="87">
        <f t="shared" ref="G47" si="5">(G16/G36)*100</f>
        <v>7.7787853183026616</v>
      </c>
      <c r="H47" s="89" t="s">
        <v>48</v>
      </c>
      <c r="I47" s="89" t="s">
        <v>48</v>
      </c>
      <c r="J47" s="107" t="s">
        <v>56</v>
      </c>
      <c r="K47" s="107"/>
      <c r="L47" s="87" t="s">
        <v>48</v>
      </c>
    </row>
    <row r="48" spans="1:13" s="20" customFormat="1" ht="15.5" x14ac:dyDescent="0.4">
      <c r="A48" s="23" t="s">
        <v>11</v>
      </c>
      <c r="B48" s="87">
        <f>(B18/B36)*100</f>
        <v>55.325866994265617</v>
      </c>
      <c r="C48" s="107">
        <f>(D18/C36)*100</f>
        <v>77.960943926433458</v>
      </c>
      <c r="D48" s="107"/>
      <c r="E48" s="87">
        <f>(E18/E36)*100</f>
        <v>1.0436484209381964</v>
      </c>
      <c r="F48" s="87" t="s">
        <v>48</v>
      </c>
      <c r="G48" s="87">
        <f t="shared" ref="G48" si="6">(G18/G36)*100</f>
        <v>7.7880592708612415</v>
      </c>
      <c r="H48" s="89" t="s">
        <v>48</v>
      </c>
      <c r="I48" s="89" t="s">
        <v>48</v>
      </c>
      <c r="J48" s="107" t="s">
        <v>56</v>
      </c>
      <c r="K48" s="107"/>
      <c r="L48" s="87" t="s">
        <v>48</v>
      </c>
    </row>
    <row r="49" spans="1:12" s="20" customFormat="1" ht="15.5" x14ac:dyDescent="0.4">
      <c r="A49" s="23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s="20" customFormat="1" ht="15.5" x14ac:dyDescent="0.4">
      <c r="A50" s="25" t="s">
        <v>12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s="20" customFormat="1" ht="15.5" x14ac:dyDescent="0.4">
      <c r="A51" s="23" t="s">
        <v>13</v>
      </c>
      <c r="B51" s="89" t="s">
        <v>56</v>
      </c>
      <c r="C51" s="89" t="s">
        <v>56</v>
      </c>
      <c r="D51" s="87">
        <f>D18/D16*100</f>
        <v>135.66611780864989</v>
      </c>
      <c r="E51" s="87">
        <f>E18/E16*100</f>
        <v>83.751363140676119</v>
      </c>
      <c r="F51" s="87">
        <f t="shared" ref="F51:I51" si="7">F18/F16*100</f>
        <v>118.86792452830188</v>
      </c>
      <c r="G51" s="87">
        <f t="shared" si="7"/>
        <v>100.11922108888594</v>
      </c>
      <c r="H51" s="87">
        <f t="shared" si="7"/>
        <v>83.771485185014512</v>
      </c>
      <c r="I51" s="87">
        <f t="shared" si="7"/>
        <v>97.895178979791851</v>
      </c>
      <c r="J51" s="89" t="s">
        <v>56</v>
      </c>
      <c r="K51" s="87">
        <f>K18/K16*100</f>
        <v>246.26660796146177</v>
      </c>
      <c r="L51" s="87" t="s">
        <v>48</v>
      </c>
    </row>
    <row r="52" spans="1:12" s="20" customFormat="1" ht="15.5" x14ac:dyDescent="0.4">
      <c r="A52" s="23" t="s">
        <v>14</v>
      </c>
      <c r="B52" s="87">
        <f>B25/B24*100</f>
        <v>91.894516426908666</v>
      </c>
      <c r="C52" s="107">
        <f>C25/C24*100</f>
        <v>92.046346811697077</v>
      </c>
      <c r="D52" s="107"/>
      <c r="E52" s="87">
        <f>E25/E24*100</f>
        <v>93.879747647562013</v>
      </c>
      <c r="F52" s="87">
        <f t="shared" ref="F52:I52" si="8">F25/F24*100</f>
        <v>95.821132967859839</v>
      </c>
      <c r="G52" s="87">
        <f t="shared" si="8"/>
        <v>98.210574387531125</v>
      </c>
      <c r="H52" s="87">
        <f t="shared" si="8"/>
        <v>88.817900714876856</v>
      </c>
      <c r="I52" s="87">
        <f t="shared" si="8"/>
        <v>92.209191015114229</v>
      </c>
      <c r="J52" s="107">
        <f>J25/J24*100</f>
        <v>99.29430427564327</v>
      </c>
      <c r="K52" s="107"/>
      <c r="L52" s="87" t="s">
        <v>48</v>
      </c>
    </row>
    <row r="53" spans="1:12" s="20" customFormat="1" ht="15.5" x14ac:dyDescent="0.4">
      <c r="A53" s="23" t="s">
        <v>15</v>
      </c>
      <c r="B53" s="89" t="s">
        <v>56</v>
      </c>
      <c r="C53" s="89" t="s">
        <v>56</v>
      </c>
      <c r="D53" s="87">
        <f>AVERAGE(D51,C52)</f>
        <v>113.85623231017348</v>
      </c>
      <c r="E53" s="87">
        <f>AVERAGE(E51:E52)</f>
        <v>88.815555394119059</v>
      </c>
      <c r="F53" s="87">
        <f t="shared" ref="F53:I53" si="9">AVERAGE(F51:F52)</f>
        <v>107.34452874808086</v>
      </c>
      <c r="G53" s="87">
        <f t="shared" si="9"/>
        <v>99.164897738208538</v>
      </c>
      <c r="H53" s="87">
        <f t="shared" si="9"/>
        <v>86.294692949945684</v>
      </c>
      <c r="I53" s="87">
        <f t="shared" si="9"/>
        <v>95.05218499745304</v>
      </c>
      <c r="J53" s="89" t="s">
        <v>56</v>
      </c>
      <c r="K53" s="87">
        <f>+AVERAGE(K51,J52)</f>
        <v>172.78045611855254</v>
      </c>
      <c r="L53" s="87" t="s">
        <v>48</v>
      </c>
    </row>
    <row r="54" spans="1:12" s="20" customFormat="1" ht="15.5" x14ac:dyDescent="0.4">
      <c r="A54" s="23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s="20" customFormat="1" ht="15.5" x14ac:dyDescent="0.4">
      <c r="A55" s="25" t="s">
        <v>16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s="20" customFormat="1" ht="15.5" x14ac:dyDescent="0.4">
      <c r="A56" s="23" t="s">
        <v>17</v>
      </c>
      <c r="B56" s="89" t="s">
        <v>56</v>
      </c>
      <c r="C56" s="107">
        <f>D18/D20*100</f>
        <v>129.14766416975826</v>
      </c>
      <c r="D56" s="107"/>
      <c r="E56" s="87">
        <f>E18/E20*100</f>
        <v>83.705722070844686</v>
      </c>
      <c r="F56" s="87">
        <f t="shared" ref="F56:I56" si="10">F18/F20*100</f>
        <v>118.86792452830188</v>
      </c>
      <c r="G56" s="87">
        <f t="shared" si="10"/>
        <v>100.11922108888594</v>
      </c>
      <c r="H56" s="87">
        <f t="shared" si="10"/>
        <v>83.635631721203069</v>
      </c>
      <c r="I56" s="87">
        <f t="shared" si="10"/>
        <v>97.886042279154424</v>
      </c>
      <c r="J56" s="107">
        <f>K18/K20*100</f>
        <v>246.26341892959354</v>
      </c>
      <c r="K56" s="107"/>
      <c r="L56" s="87" t="s">
        <v>48</v>
      </c>
    </row>
    <row r="57" spans="1:12" s="20" customFormat="1" ht="15.5" x14ac:dyDescent="0.4">
      <c r="A57" s="23" t="s">
        <v>18</v>
      </c>
      <c r="B57" s="87">
        <f>B25/B26*100</f>
        <v>26.487014591152729</v>
      </c>
      <c r="C57" s="107">
        <f>C25/C26*100</f>
        <v>24.4863365200499</v>
      </c>
      <c r="D57" s="107"/>
      <c r="E57" s="87">
        <f>E25/E26*100</f>
        <v>23.699276575068833</v>
      </c>
      <c r="F57" s="87">
        <f t="shared" ref="F57:I57" si="11">F25/F26*100</f>
        <v>28.872499959513515</v>
      </c>
      <c r="G57" s="87">
        <f t="shared" si="11"/>
        <v>24.54505021943389</v>
      </c>
      <c r="H57" s="87">
        <f t="shared" si="11"/>
        <v>26.469878094877412</v>
      </c>
      <c r="I57" s="87">
        <f t="shared" si="11"/>
        <v>30.704026453282335</v>
      </c>
      <c r="J57" s="107">
        <f>J25/J26*100</f>
        <v>26.999875686889009</v>
      </c>
      <c r="K57" s="107"/>
      <c r="L57" s="87" t="s">
        <v>48</v>
      </c>
    </row>
    <row r="58" spans="1:12" s="20" customFormat="1" ht="15.5" x14ac:dyDescent="0.4">
      <c r="A58" s="23" t="s">
        <v>19</v>
      </c>
      <c r="B58" s="89" t="s">
        <v>56</v>
      </c>
      <c r="C58" s="107">
        <f>(C56+C57)/2</f>
        <v>76.817000344904073</v>
      </c>
      <c r="D58" s="107"/>
      <c r="E58" s="87">
        <f>(E56+E57)/2</f>
        <v>53.702499322956761</v>
      </c>
      <c r="F58" s="87">
        <f t="shared" ref="F58:I58" si="12">(F56+F57)/2</f>
        <v>73.870212243907702</v>
      </c>
      <c r="G58" s="87">
        <f t="shared" si="12"/>
        <v>62.332135654159913</v>
      </c>
      <c r="H58" s="87">
        <f t="shared" si="12"/>
        <v>55.052754908040242</v>
      </c>
      <c r="I58" s="87">
        <f t="shared" si="12"/>
        <v>64.295034366218374</v>
      </c>
      <c r="J58" s="107">
        <f>+(J56+J57)/2</f>
        <v>136.63164730824127</v>
      </c>
      <c r="K58" s="107"/>
      <c r="L58" s="87" t="s">
        <v>48</v>
      </c>
    </row>
    <row r="59" spans="1:12" s="20" customFormat="1" ht="15.5" x14ac:dyDescent="0.4">
      <c r="A59" s="23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1:12" s="20" customFormat="1" ht="15.5" x14ac:dyDescent="0.4">
      <c r="A60" s="25" t="s">
        <v>30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1:12" s="20" customFormat="1" ht="15.5" x14ac:dyDescent="0.4">
      <c r="A61" s="23" t="s">
        <v>20</v>
      </c>
      <c r="B61" s="87">
        <f>B27/B25*100</f>
        <v>100</v>
      </c>
      <c r="C61" s="107">
        <f>C27/C25*100</f>
        <v>100</v>
      </c>
      <c r="D61" s="107"/>
      <c r="E61" s="87">
        <f>E27/E25*100</f>
        <v>100</v>
      </c>
      <c r="F61" s="87">
        <f t="shared" ref="F61:I61" si="13">F27/F25*100</f>
        <v>100</v>
      </c>
      <c r="G61" s="87">
        <f t="shared" si="13"/>
        <v>100</v>
      </c>
      <c r="H61" s="87">
        <f t="shared" si="13"/>
        <v>100</v>
      </c>
      <c r="I61" s="87">
        <f t="shared" si="13"/>
        <v>100</v>
      </c>
      <c r="J61" s="107">
        <f>J27/J25*100</f>
        <v>100</v>
      </c>
      <c r="K61" s="107"/>
      <c r="L61" s="87" t="s">
        <v>48</v>
      </c>
    </row>
    <row r="62" spans="1:12" s="20" customFormat="1" ht="15.5" x14ac:dyDescent="0.4">
      <c r="A62" s="23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2" s="20" customFormat="1" ht="15.5" x14ac:dyDescent="0.4">
      <c r="A63" s="25" t="s">
        <v>21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2" s="20" customFormat="1" ht="15.5" x14ac:dyDescent="0.4">
      <c r="A64" s="23" t="s">
        <v>22</v>
      </c>
      <c r="B64" s="88">
        <f>((B18/B15)-1)*100</f>
        <v>-18.083708124135701</v>
      </c>
      <c r="C64" s="108">
        <f>((D18/D15)-1)*100</f>
        <v>3.9972091843206936</v>
      </c>
      <c r="D64" s="108"/>
      <c r="E64" s="88">
        <f>((E18/E15)-1)*100</f>
        <v>18.153846153846164</v>
      </c>
      <c r="F64" s="88">
        <f t="shared" ref="F64:I64" si="14">((F18/F15)-1)*100</f>
        <v>24.752475247524753</v>
      </c>
      <c r="G64" s="88">
        <f t="shared" si="14"/>
        <v>-6.7028761881249181</v>
      </c>
      <c r="H64" s="88">
        <f t="shared" si="14"/>
        <v>-47.251097167313482</v>
      </c>
      <c r="I64" s="88">
        <f t="shared" si="14"/>
        <v>-3.1802446342026336</v>
      </c>
      <c r="J64" s="108">
        <f>((K18/K15)-1)*100</f>
        <v>-3.74498281630401</v>
      </c>
      <c r="K64" s="108"/>
      <c r="L64" s="87" t="s">
        <v>48</v>
      </c>
    </row>
    <row r="65" spans="1:13" s="20" customFormat="1" ht="15.5" x14ac:dyDescent="0.4">
      <c r="A65" s="23" t="s">
        <v>23</v>
      </c>
      <c r="B65" s="88">
        <f>((B40/B39)-1)*100</f>
        <v>-15.690163458654915</v>
      </c>
      <c r="C65" s="108">
        <f>((C40/C39)-1)*100</f>
        <v>-3.8428234935225514</v>
      </c>
      <c r="D65" s="108"/>
      <c r="E65" s="88">
        <f>((E40/E39)-1)*100</f>
        <v>9.1207220409983414</v>
      </c>
      <c r="F65" s="88">
        <f t="shared" ref="F65:I65" si="15">((F40/F39)-1)*100</f>
        <v>12.062154396444601</v>
      </c>
      <c r="G65" s="88">
        <f t="shared" si="15"/>
        <v>-9.2936290089993605</v>
      </c>
      <c r="H65" s="88">
        <f t="shared" si="15"/>
        <v>-34.851824530911998</v>
      </c>
      <c r="I65" s="88">
        <f t="shared" si="15"/>
        <v>-7.0538566908448841</v>
      </c>
      <c r="J65" s="108">
        <f>((J40/J39)-1)*100</f>
        <v>39.198348286862903</v>
      </c>
      <c r="K65" s="108"/>
      <c r="L65" s="87" t="s">
        <v>48</v>
      </c>
    </row>
    <row r="66" spans="1:13" s="20" customFormat="1" ht="15.5" x14ac:dyDescent="0.4">
      <c r="A66" s="23" t="s">
        <v>24</v>
      </c>
      <c r="B66" s="88">
        <f>((B42/B41)-1)*100</f>
        <v>2.921939715127686</v>
      </c>
      <c r="C66" s="108">
        <f>((C42/C41)-1)*100</f>
        <v>-7.5386952585889677</v>
      </c>
      <c r="D66" s="108"/>
      <c r="E66" s="88">
        <f>((E42/E41)-1)*100</f>
        <v>-7.6452222309258744</v>
      </c>
      <c r="F66" s="88">
        <f t="shared" ref="F66:I66" si="16">((F42/F41)-1)*100</f>
        <v>-10.172400047294417</v>
      </c>
      <c r="G66" s="88">
        <f t="shared" si="16"/>
        <v>-2.7768839113394894</v>
      </c>
      <c r="H66" s="88">
        <f t="shared" si="16"/>
        <v>23.506219031191144</v>
      </c>
      <c r="I66" s="88">
        <f t="shared" si="16"/>
        <v>-4.0008488371069078</v>
      </c>
      <c r="J66" s="108">
        <f>((J42/J41)-1)*100</f>
        <v>44.61412231760611</v>
      </c>
      <c r="K66" s="108"/>
      <c r="L66" s="87" t="s">
        <v>48</v>
      </c>
    </row>
    <row r="67" spans="1:13" s="20" customFormat="1" ht="15.5" x14ac:dyDescent="0.4">
      <c r="A67" s="23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3" s="20" customFormat="1" ht="15.5" x14ac:dyDescent="0.4">
      <c r="A68" s="25" t="s">
        <v>25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3" s="20" customFormat="1" ht="15.5" x14ac:dyDescent="0.4">
      <c r="A69" s="23" t="s">
        <v>31</v>
      </c>
      <c r="B69" s="87">
        <f>(B24/B17)*3</f>
        <v>144419.91021000582</v>
      </c>
      <c r="C69" s="108">
        <f>(C24/D17)*3</f>
        <v>105000</v>
      </c>
      <c r="D69" s="108"/>
      <c r="E69" s="87">
        <f>(E24/E17)*3</f>
        <v>300000</v>
      </c>
      <c r="F69" s="87">
        <f t="shared" ref="F69:I69" si="17">(F24/F17)*3</f>
        <v>936543.62416107371</v>
      </c>
      <c r="G69" s="87">
        <f t="shared" si="17"/>
        <v>225000</v>
      </c>
      <c r="H69" s="87">
        <f t="shared" si="17"/>
        <v>225000</v>
      </c>
      <c r="I69" s="87">
        <f t="shared" si="17"/>
        <v>390000</v>
      </c>
      <c r="J69" s="108">
        <f>(J24/K17)*3</f>
        <v>54000</v>
      </c>
      <c r="K69" s="108"/>
      <c r="L69" s="87" t="s">
        <v>48</v>
      </c>
    </row>
    <row r="70" spans="1:13" s="20" customFormat="1" ht="15.5" x14ac:dyDescent="0.4">
      <c r="A70" s="23" t="s">
        <v>32</v>
      </c>
      <c r="B70" s="87">
        <f>(B25/B19)*3</f>
        <v>92525.586368353775</v>
      </c>
      <c r="C70" s="108">
        <f>(C25/D19)*3</f>
        <v>73879.139455126642</v>
      </c>
      <c r="D70" s="108"/>
      <c r="E70" s="87">
        <f>(E25/E19)*3</f>
        <v>318410.3239845261</v>
      </c>
      <c r="F70" s="87">
        <f t="shared" ref="F70:I70" si="18">(F25/F19)*3</f>
        <v>882598.01980198023</v>
      </c>
      <c r="G70" s="87">
        <f t="shared" si="18"/>
        <v>226951.74980709</v>
      </c>
      <c r="H70" s="87">
        <f t="shared" si="18"/>
        <v>225755.28501024202</v>
      </c>
      <c r="I70" s="87">
        <f t="shared" si="18"/>
        <v>388069.73749516619</v>
      </c>
      <c r="J70" s="108">
        <f>(J25/K19)*3</f>
        <v>23122.815761368533</v>
      </c>
      <c r="K70" s="108"/>
      <c r="L70" s="87" t="s">
        <v>48</v>
      </c>
    </row>
    <row r="71" spans="1:13" s="20" customFormat="1" ht="15.5" x14ac:dyDescent="0.4">
      <c r="A71" s="23" t="s">
        <v>26</v>
      </c>
      <c r="B71" s="89" t="s">
        <v>56</v>
      </c>
      <c r="C71" s="107">
        <f>(C70/C69)*D53</f>
        <v>80.110480615986688</v>
      </c>
      <c r="D71" s="107"/>
      <c r="E71" s="87">
        <f>(E70/E69)*E53</f>
        <v>94.265965893023591</v>
      </c>
      <c r="F71" s="87">
        <f t="shared" ref="F71:I71" si="19">(F70/F69)*F53</f>
        <v>101.16140462170128</v>
      </c>
      <c r="G71" s="87">
        <f t="shared" si="19"/>
        <v>100.02509804945586</v>
      </c>
      <c r="H71" s="87">
        <f t="shared" si="19"/>
        <v>86.584368896828039</v>
      </c>
      <c r="I71" s="87">
        <f t="shared" si="19"/>
        <v>94.581734564880961</v>
      </c>
      <c r="J71" s="107">
        <f>(J70/J69)*K53</f>
        <v>73.984641740639091</v>
      </c>
      <c r="K71" s="107"/>
      <c r="L71" s="87" t="s">
        <v>48</v>
      </c>
    </row>
    <row r="72" spans="1:13" s="20" customFormat="1" ht="15.5" x14ac:dyDescent="0.4">
      <c r="A72" s="23" t="s">
        <v>33</v>
      </c>
      <c r="B72" s="87">
        <f>B24/B17</f>
        <v>48139.970070001938</v>
      </c>
      <c r="C72" s="107">
        <f>C24/D17</f>
        <v>35000</v>
      </c>
      <c r="D72" s="107"/>
      <c r="E72" s="87">
        <f>E24/E17</f>
        <v>100000</v>
      </c>
      <c r="F72" s="87">
        <f>F24/F17</f>
        <v>312181.20805369125</v>
      </c>
      <c r="G72" s="87">
        <f t="shared" ref="G72:I72" si="20">G24/G17</f>
        <v>75000</v>
      </c>
      <c r="H72" s="87">
        <f t="shared" si="20"/>
        <v>75000</v>
      </c>
      <c r="I72" s="87">
        <f t="shared" si="20"/>
        <v>130000</v>
      </c>
      <c r="J72" s="107">
        <f>J24/K17</f>
        <v>18000</v>
      </c>
      <c r="K72" s="107"/>
      <c r="L72" s="87" t="s">
        <v>48</v>
      </c>
    </row>
    <row r="73" spans="1:13" s="20" customFormat="1" ht="15.5" x14ac:dyDescent="0.4">
      <c r="A73" s="23" t="s">
        <v>34</v>
      </c>
      <c r="B73" s="87">
        <f>B25/B19</f>
        <v>30841.862122784594</v>
      </c>
      <c r="C73" s="107">
        <f>C25/D19</f>
        <v>24626.379818375546</v>
      </c>
      <c r="D73" s="107"/>
      <c r="E73" s="87">
        <f>E25/E19</f>
        <v>106136.77466150871</v>
      </c>
      <c r="F73" s="87">
        <f>F25/F19</f>
        <v>294199.33993399341</v>
      </c>
      <c r="G73" s="87">
        <f t="shared" ref="G73:I73" si="21">G25/G19</f>
        <v>75650.583269030001</v>
      </c>
      <c r="H73" s="87">
        <f t="shared" si="21"/>
        <v>75251.761670080668</v>
      </c>
      <c r="I73" s="87">
        <f t="shared" si="21"/>
        <v>129356.5791650554</v>
      </c>
      <c r="J73" s="107">
        <f>J25/K19</f>
        <v>7707.6052537895112</v>
      </c>
      <c r="K73" s="107"/>
      <c r="L73" s="87" t="s">
        <v>48</v>
      </c>
    </row>
    <row r="74" spans="1:13" s="20" customFormat="1" ht="15.5" x14ac:dyDescent="0.4">
      <c r="A74" s="23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3" s="20" customFormat="1" ht="15.5" x14ac:dyDescent="0.4">
      <c r="A75" s="25" t="s">
        <v>27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1:13" s="20" customFormat="1" ht="15.5" x14ac:dyDescent="0.4">
      <c r="A76" s="23" t="s">
        <v>28</v>
      </c>
      <c r="B76" s="87">
        <f>(B31/B30)*100</f>
        <v>93.594558769531616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1:13" s="20" customFormat="1" ht="15.5" x14ac:dyDescent="0.4">
      <c r="A77" s="23" t="s">
        <v>29</v>
      </c>
      <c r="B77" s="87">
        <f>(B25/B31)*100</f>
        <v>98.18360985406305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3" s="14" customFormat="1" ht="16" thickBot="1" x14ac:dyDescent="0.45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3" s="11" customFormat="1" ht="16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36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 ht="15.5" x14ac:dyDescent="0.4">
      <c r="A81" s="24"/>
      <c r="B81" s="24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spans="1:12" x14ac:dyDescent="0.35">
      <c r="A82" s="1"/>
      <c r="B82" s="16"/>
      <c r="C82" s="16"/>
      <c r="D82" s="16"/>
      <c r="E82" s="16"/>
    </row>
    <row r="83" spans="1:12" x14ac:dyDescent="0.35">
      <c r="A83" s="1"/>
    </row>
    <row r="84" spans="1:12" x14ac:dyDescent="0.35">
      <c r="A84" s="15"/>
    </row>
    <row r="85" spans="1:12" x14ac:dyDescent="0.35">
      <c r="A85" s="1"/>
    </row>
    <row r="86" spans="1:12" x14ac:dyDescent="0.35">
      <c r="A86" s="1"/>
    </row>
    <row r="87" spans="1:12" x14ac:dyDescent="0.35">
      <c r="A87" s="1"/>
    </row>
    <row r="88" spans="1:12" x14ac:dyDescent="0.35">
      <c r="A88" s="1"/>
    </row>
    <row r="89" spans="1:12" x14ac:dyDescent="0.35">
      <c r="A89" s="6"/>
    </row>
    <row r="90" spans="1:12" x14ac:dyDescent="0.35">
      <c r="A90" s="6"/>
    </row>
    <row r="91" spans="1:12" x14ac:dyDescent="0.35">
      <c r="A91" s="1"/>
    </row>
    <row r="92" spans="1:12" x14ac:dyDescent="0.35">
      <c r="A92" s="1"/>
    </row>
    <row r="93" spans="1:12" x14ac:dyDescent="0.35">
      <c r="A93" s="1"/>
    </row>
    <row r="94" spans="1:12" x14ac:dyDescent="0.35">
      <c r="A94" s="17"/>
    </row>
  </sheetData>
  <mergeCells count="55">
    <mergeCell ref="J61:K61"/>
    <mergeCell ref="J71:K71"/>
    <mergeCell ref="J72:K72"/>
    <mergeCell ref="J73:K73"/>
    <mergeCell ref="J64:K64"/>
    <mergeCell ref="J65:K65"/>
    <mergeCell ref="J66:K66"/>
    <mergeCell ref="J69:K69"/>
    <mergeCell ref="J70:K70"/>
    <mergeCell ref="J48:K48"/>
    <mergeCell ref="J52:K52"/>
    <mergeCell ref="J56:K56"/>
    <mergeCell ref="J57:K57"/>
    <mergeCell ref="J58:K58"/>
    <mergeCell ref="J39:K39"/>
    <mergeCell ref="J40:K40"/>
    <mergeCell ref="J41:K41"/>
    <mergeCell ref="J42:K42"/>
    <mergeCell ref="J47:K47"/>
    <mergeCell ref="A79:F79"/>
    <mergeCell ref="C39:D39"/>
    <mergeCell ref="C40:D40"/>
    <mergeCell ref="C41:D41"/>
    <mergeCell ref="C42:D42"/>
    <mergeCell ref="C61:D61"/>
    <mergeCell ref="C36:D36"/>
    <mergeCell ref="C26:D26"/>
    <mergeCell ref="C24:D24"/>
    <mergeCell ref="B9:B10"/>
    <mergeCell ref="C10:D10"/>
    <mergeCell ref="C23:D23"/>
    <mergeCell ref="C25:D25"/>
    <mergeCell ref="C9:L9"/>
    <mergeCell ref="J10:K10"/>
    <mergeCell ref="J23:K23"/>
    <mergeCell ref="J24:K24"/>
    <mergeCell ref="J25:K25"/>
    <mergeCell ref="J26:K26"/>
    <mergeCell ref="J27:K27"/>
    <mergeCell ref="A9:A10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27:D27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5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26953125" customWidth="1"/>
    <col min="2" max="12" width="18.7265625" customWidth="1"/>
  </cols>
  <sheetData>
    <row r="1" spans="1:12" s="14" customFormat="1" x14ac:dyDescent="0.35"/>
    <row r="2" spans="1:12" s="14" customFormat="1" x14ac:dyDescent="0.35"/>
    <row r="3" spans="1:12" s="14" customFormat="1" x14ac:dyDescent="0.35"/>
    <row r="4" spans="1:12" s="14" customFormat="1" x14ac:dyDescent="0.35"/>
    <row r="5" spans="1:12" s="14" customFormat="1" x14ac:dyDescent="0.35"/>
    <row r="6" spans="1:12" s="14" customFormat="1" x14ac:dyDescent="0.35"/>
    <row r="7" spans="1:12" s="14" customFormat="1" x14ac:dyDescent="0.35"/>
    <row r="8" spans="1:12" s="14" customFormat="1" ht="19.5" customHeight="1" x14ac:dyDescent="0.35"/>
    <row r="9" spans="1:12" s="5" customFormat="1" ht="15.5" x14ac:dyDescent="0.35">
      <c r="A9" s="97" t="s">
        <v>0</v>
      </c>
      <c r="B9" s="99" t="s">
        <v>58</v>
      </c>
      <c r="C9" s="105" t="s">
        <v>59</v>
      </c>
      <c r="D9" s="105"/>
      <c r="E9" s="105"/>
      <c r="F9" s="105"/>
      <c r="G9" s="105"/>
      <c r="H9" s="105"/>
      <c r="I9" s="105"/>
      <c r="J9" s="105"/>
      <c r="K9" s="105"/>
      <c r="L9" s="105"/>
    </row>
    <row r="10" spans="1:12" s="5" customFormat="1" ht="51.75" customHeight="1" thickBot="1" x14ac:dyDescent="0.4">
      <c r="A10" s="98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60</v>
      </c>
      <c r="J10" s="106" t="s">
        <v>61</v>
      </c>
      <c r="K10" s="106"/>
      <c r="L10" s="82" t="s">
        <v>54</v>
      </c>
    </row>
    <row r="11" spans="1:12" s="14" customFormat="1" ht="16" thickTop="1" x14ac:dyDescent="0.4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14" customFormat="1" ht="15.5" x14ac:dyDescent="0.4">
      <c r="A12" s="25" t="s">
        <v>2</v>
      </c>
      <c r="B12" s="39"/>
      <c r="C12" s="39"/>
      <c r="D12" s="40"/>
      <c r="E12" s="40"/>
      <c r="F12" s="39"/>
      <c r="G12" s="39"/>
      <c r="H12" s="39"/>
      <c r="I12" s="39"/>
      <c r="J12" s="39"/>
      <c r="K12" s="39"/>
      <c r="L12" s="39"/>
    </row>
    <row r="13" spans="1:12" s="14" customFormat="1" ht="15.5" x14ac:dyDescent="0.4">
      <c r="A13" s="23"/>
      <c r="B13" s="39"/>
      <c r="C13" s="39"/>
      <c r="D13" s="40"/>
      <c r="E13" s="40"/>
      <c r="F13" s="39"/>
      <c r="G13" s="39"/>
      <c r="H13" s="39"/>
      <c r="I13" s="39"/>
      <c r="J13" s="39"/>
      <c r="K13" s="39"/>
      <c r="L13" s="39"/>
    </row>
    <row r="14" spans="1:12" s="14" customFormat="1" ht="15.5" x14ac:dyDescent="0.4">
      <c r="A14" s="25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</row>
    <row r="15" spans="1:12" s="14" customFormat="1" ht="15.5" x14ac:dyDescent="0.4">
      <c r="A15" s="28" t="s">
        <v>72</v>
      </c>
      <c r="B15" s="92">
        <v>327025</v>
      </c>
      <c r="C15" s="92">
        <v>131272</v>
      </c>
      <c r="D15" s="92">
        <v>163430</v>
      </c>
      <c r="E15" s="92">
        <v>1354</v>
      </c>
      <c r="F15" s="92">
        <v>101</v>
      </c>
      <c r="G15" s="92">
        <v>8344</v>
      </c>
      <c r="H15" s="92">
        <v>141559</v>
      </c>
      <c r="I15" s="92">
        <v>23993</v>
      </c>
      <c r="J15" s="92">
        <v>150393</v>
      </c>
      <c r="K15" s="90">
        <v>206517</v>
      </c>
      <c r="L15" s="92" t="s">
        <v>48</v>
      </c>
    </row>
    <row r="16" spans="1:12" s="14" customFormat="1" ht="15.5" x14ac:dyDescent="0.4">
      <c r="A16" s="28" t="s">
        <v>106</v>
      </c>
      <c r="B16" s="92" t="str">
        <f>'II Trimestre'!B16</f>
        <v>n.d</v>
      </c>
      <c r="C16" s="92" t="str">
        <f>'II Trimestre'!C16</f>
        <v>n.d</v>
      </c>
      <c r="D16" s="92">
        <f>'II Trimestre'!D16</f>
        <v>120857</v>
      </c>
      <c r="E16" s="92">
        <f>'II Trimestre'!E16</f>
        <v>1834</v>
      </c>
      <c r="F16" s="92">
        <f>'II Trimestre'!F16</f>
        <v>106</v>
      </c>
      <c r="G16" s="92">
        <f>'II Trimestre'!G16</f>
        <v>7549</v>
      </c>
      <c r="H16" s="92">
        <f>'II Trimestre'!H16</f>
        <v>86804</v>
      </c>
      <c r="I16" s="92">
        <f>'II Trimestre'!I16</f>
        <v>21427</v>
      </c>
      <c r="J16" s="92" t="str">
        <f>'II Trimestre'!J16</f>
        <v xml:space="preserve">n.d. </v>
      </c>
      <c r="K16" s="92">
        <f>'II Trimestre'!K16</f>
        <v>77222</v>
      </c>
      <c r="L16" s="92" t="str">
        <f>'II Trimestre'!L16</f>
        <v>n.d.</v>
      </c>
    </row>
    <row r="17" spans="1:12" s="14" customFormat="1" ht="15.5" x14ac:dyDescent="0.4">
      <c r="A17" s="28" t="s">
        <v>55</v>
      </c>
      <c r="B17" s="92">
        <f>+'I Trimestre'!B17+'II Trimestre'!B17</f>
        <v>1726185</v>
      </c>
      <c r="C17" s="92" t="s">
        <v>48</v>
      </c>
      <c r="D17" s="92">
        <f>+'I Trimestre'!D17+'II Trimestre'!D17</f>
        <v>720857</v>
      </c>
      <c r="E17" s="92">
        <f>+'I Trimestre'!E17+'II Trimestre'!E17</f>
        <v>8939</v>
      </c>
      <c r="F17" s="92">
        <f>+'I Trimestre'!F17+'II Trimestre'!F17</f>
        <v>1663</v>
      </c>
      <c r="G17" s="92">
        <f>+'I Trimestre'!G17+'II Trimestre'!G17</f>
        <v>45242</v>
      </c>
      <c r="H17" s="92">
        <f>+'I Trimestre'!H17+'II Trimestre'!H17</f>
        <v>361604</v>
      </c>
      <c r="I17" s="92">
        <f>+'I Trimestre'!I17+'II Trimestre'!I17</f>
        <v>128317</v>
      </c>
      <c r="J17" s="92" t="s">
        <v>48</v>
      </c>
      <c r="K17" s="92">
        <f>+'I Trimestre'!K17+'II Trimestre'!K17</f>
        <v>459563</v>
      </c>
      <c r="L17" s="92" t="s">
        <v>48</v>
      </c>
    </row>
    <row r="18" spans="1:12" s="14" customFormat="1" ht="15.5" x14ac:dyDescent="0.4">
      <c r="A18" s="28" t="s">
        <v>107</v>
      </c>
      <c r="B18" s="92">
        <v>266353</v>
      </c>
      <c r="C18" s="92">
        <v>134692</v>
      </c>
      <c r="D18" s="92">
        <v>167762</v>
      </c>
      <c r="E18" s="92">
        <v>1545</v>
      </c>
      <c r="F18" s="92">
        <v>127</v>
      </c>
      <c r="G18" s="92">
        <v>7744</v>
      </c>
      <c r="H18" s="92">
        <v>73661</v>
      </c>
      <c r="I18" s="92">
        <v>22104</v>
      </c>
      <c r="J18" s="92">
        <v>142957</v>
      </c>
      <c r="K18" s="90">
        <v>192741</v>
      </c>
      <c r="L18" s="92" t="s">
        <v>48</v>
      </c>
    </row>
    <row r="19" spans="1:12" s="14" customFormat="1" ht="15.5" x14ac:dyDescent="0.4">
      <c r="A19" s="28" t="s">
        <v>55</v>
      </c>
      <c r="B19" s="92">
        <f>+'I Trimestre'!B19+'II Trimestre'!B19</f>
        <v>2246227</v>
      </c>
      <c r="C19" s="92" t="s">
        <v>48</v>
      </c>
      <c r="D19" s="92">
        <f>+'I Trimestre'!D19+'II Trimestre'!D19</f>
        <v>787840</v>
      </c>
      <c r="E19" s="92">
        <f>+'I Trimestre'!E19+'II Trimestre'!E19</f>
        <v>6097</v>
      </c>
      <c r="F19" s="92">
        <f>+'I Trimestre'!F19+'II Trimestre'!F19</f>
        <v>365</v>
      </c>
      <c r="G19" s="92">
        <f>+'I Trimestre'!G19+'II Trimestre'!G19</f>
        <v>43904</v>
      </c>
      <c r="H19" s="92">
        <f>+'I Trimestre'!H19+'II Trimestre'!H19</f>
        <v>292337</v>
      </c>
      <c r="I19" s="92">
        <f>+'I Trimestre'!I19+'II Trimestre'!I19</f>
        <v>118875</v>
      </c>
      <c r="J19" s="92" t="s">
        <v>48</v>
      </c>
      <c r="K19" s="92">
        <f>+'I Trimestre'!K19+'II Trimestre'!K19</f>
        <v>996809</v>
      </c>
      <c r="L19" s="92" t="s">
        <v>48</v>
      </c>
    </row>
    <row r="20" spans="1:12" s="14" customFormat="1" ht="15.5" x14ac:dyDescent="0.4">
      <c r="A20" s="28" t="s">
        <v>94</v>
      </c>
      <c r="B20" s="92" t="str">
        <f>'II Trimestre'!B20</f>
        <v>n.d</v>
      </c>
      <c r="C20" s="92" t="str">
        <f>'II Trimestre'!C20</f>
        <v>n.d</v>
      </c>
      <c r="D20" s="92">
        <f>'II Trimestre'!D20</f>
        <v>126957</v>
      </c>
      <c r="E20" s="92">
        <f>'II Trimestre'!E20</f>
        <v>1835</v>
      </c>
      <c r="F20" s="92">
        <f>'II Trimestre'!F20</f>
        <v>106</v>
      </c>
      <c r="G20" s="92">
        <f>'II Trimestre'!G20</f>
        <v>7549</v>
      </c>
      <c r="H20" s="92">
        <f>'II Trimestre'!H20</f>
        <v>86945</v>
      </c>
      <c r="I20" s="92">
        <f>'II Trimestre'!I20</f>
        <v>21429</v>
      </c>
      <c r="J20" s="92" t="str">
        <f>'II Trimestre'!J20</f>
        <v xml:space="preserve">n.d. </v>
      </c>
      <c r="K20" s="92">
        <f>'II Trimestre'!K20</f>
        <v>77223</v>
      </c>
      <c r="L20" s="92" t="str">
        <f>'II Trimestre'!L20</f>
        <v>n.d.</v>
      </c>
    </row>
    <row r="21" spans="1:12" s="2" customFormat="1" ht="15.5" x14ac:dyDescent="0.4">
      <c r="A21" s="23"/>
      <c r="B21" s="50"/>
      <c r="C21" s="50"/>
      <c r="D21" s="50"/>
      <c r="E21" s="50"/>
      <c r="F21" s="50"/>
      <c r="G21" s="50"/>
      <c r="H21" s="50"/>
      <c r="I21" s="50"/>
      <c r="J21" s="50"/>
      <c r="K21" s="90"/>
      <c r="L21" s="90"/>
    </row>
    <row r="22" spans="1:12" s="14" customFormat="1" ht="15.5" x14ac:dyDescent="0.4">
      <c r="A22" s="30" t="s">
        <v>3</v>
      </c>
      <c r="B22" s="92"/>
      <c r="C22" s="92"/>
      <c r="D22" s="92"/>
      <c r="E22" s="92"/>
      <c r="F22" s="92"/>
      <c r="G22" s="92"/>
      <c r="H22" s="92"/>
      <c r="I22" s="92"/>
      <c r="J22" s="92"/>
      <c r="K22" s="90"/>
      <c r="L22" s="90"/>
    </row>
    <row r="23" spans="1:12" s="14" customFormat="1" ht="15.5" x14ac:dyDescent="0.4">
      <c r="A23" s="28" t="s">
        <v>72</v>
      </c>
      <c r="B23" s="92">
        <f>+C23+E23+F23+G23+H23+I23+J23+L23</f>
        <v>79778843204.050003</v>
      </c>
      <c r="C23" s="113">
        <f>'I Trimestre'!C23:D23+'II Trimestre'!C23:D23</f>
        <v>22727736000</v>
      </c>
      <c r="D23" s="113"/>
      <c r="E23" s="92">
        <f>'I Trimestre'!E23+'II Trimestre'!E23</f>
        <v>727211450</v>
      </c>
      <c r="F23" s="92">
        <f>'I Trimestre'!F23+'II Trimestre'!F23</f>
        <v>83741800</v>
      </c>
      <c r="G23" s="92">
        <f>'I Trimestre'!G23+'II Trimestre'!G23</f>
        <v>3590057292.9999995</v>
      </c>
      <c r="H23" s="92">
        <f>'I Trimestre'!H23+'II Trimestre'!H23</f>
        <v>30264873137.049999</v>
      </c>
      <c r="I23" s="92">
        <f>'I Trimestre'!I23+'II Trimestre'!I23</f>
        <v>16282120524.000004</v>
      </c>
      <c r="J23" s="113">
        <f>+'I Trimestre'!J23:K23+'II Trimestre'!J23:K23</f>
        <v>5753103000</v>
      </c>
      <c r="K23" s="113"/>
      <c r="L23" s="90">
        <f>+'I Trimestre'!L23</f>
        <v>350000000</v>
      </c>
    </row>
    <row r="24" spans="1:12" s="14" customFormat="1" ht="15.5" x14ac:dyDescent="0.4">
      <c r="A24" s="28" t="s">
        <v>106</v>
      </c>
      <c r="B24" s="92">
        <f>+C24+E24+F24+G24+H24+I24+J24</f>
        <v>81702874000</v>
      </c>
      <c r="C24" s="113">
        <f>'I Trimestre'!C24:D24+'II Trimestre'!C24:D24</f>
        <v>25229995000</v>
      </c>
      <c r="D24" s="113"/>
      <c r="E24" s="92">
        <f>'I Trimestre'!E24+'II Trimestre'!E24</f>
        <v>893900000</v>
      </c>
      <c r="F24" s="92">
        <f>'I Trimestre'!F24+'II Trimestre'!F24</f>
        <v>112185000</v>
      </c>
      <c r="G24" s="92">
        <f>'I Trimestre'!G24+'II Trimestre'!G24</f>
        <v>3393150000</v>
      </c>
      <c r="H24" s="92">
        <f>'I Trimestre'!H24+'II Trimestre'!H24</f>
        <v>27120300000</v>
      </c>
      <c r="I24" s="92">
        <f>'I Trimestre'!I24+'II Trimestre'!I24</f>
        <v>16681210000</v>
      </c>
      <c r="J24" s="113">
        <f>+'I Trimestre'!J24:K24+'II Trimestre'!J24:K24</f>
        <v>8272134000</v>
      </c>
      <c r="K24" s="113"/>
      <c r="L24" s="90" t="s">
        <v>48</v>
      </c>
    </row>
    <row r="25" spans="1:12" s="14" customFormat="1" ht="15.5" x14ac:dyDescent="0.4">
      <c r="A25" s="28" t="s">
        <v>107</v>
      </c>
      <c r="B25" s="92">
        <f>+C25+E25+F25+G25+H25+I25+J25+L25</f>
        <v>71657527926.399994</v>
      </c>
      <c r="C25" s="113">
        <f>'I Trimestre'!C25:D25+'II Trimestre'!C25:D25</f>
        <v>22806439000</v>
      </c>
      <c r="D25" s="113"/>
      <c r="E25" s="92">
        <f>'I Trimestre'!E25+'II Trimestre'!E25</f>
        <v>751837500</v>
      </c>
      <c r="F25" s="92">
        <f>'I Trimestre'!F25+'II Trimestre'!F25</f>
        <v>108164800</v>
      </c>
      <c r="G25" s="92">
        <f>'I Trimestre'!G25+'II Trimestre'!G25</f>
        <v>3323968000</v>
      </c>
      <c r="H25" s="92">
        <f>'I Trimestre'!H25+'II Trimestre'!H25</f>
        <v>21538984549.400002</v>
      </c>
      <c r="I25" s="92">
        <f>'I Trimestre'!I25+'II Trimestre'!I25</f>
        <v>15368565077</v>
      </c>
      <c r="J25" s="113">
        <f>+'I Trimestre'!J25:K25+'II Trimestre'!J25:K25</f>
        <v>7409569000</v>
      </c>
      <c r="K25" s="113"/>
      <c r="L25" s="90">
        <f>+'I Trimestre'!L25</f>
        <v>350000000</v>
      </c>
    </row>
    <row r="26" spans="1:12" s="14" customFormat="1" ht="15.5" x14ac:dyDescent="0.4">
      <c r="A26" s="28" t="s">
        <v>94</v>
      </c>
      <c r="B26" s="92">
        <f>+C26+E26+F26+G26+H26+I26+J26</f>
        <v>148212142000</v>
      </c>
      <c r="C26" s="113">
        <f>+'II Trimestre'!C26</f>
        <v>47477290000</v>
      </c>
      <c r="D26" s="113"/>
      <c r="E26" s="92">
        <f>'II Trimestre'!E26</f>
        <v>1852300000</v>
      </c>
      <c r="F26" s="92">
        <f>'II Trimestre'!F26</f>
        <v>308745000</v>
      </c>
      <c r="G26" s="92">
        <f>'II Trimestre'!G26</f>
        <v>6790200000</v>
      </c>
      <c r="H26" s="92">
        <f>'II Trimestre'!H26</f>
        <v>51490125000</v>
      </c>
      <c r="I26" s="92">
        <f>'II Trimestre'!I26</f>
        <v>25057760000</v>
      </c>
      <c r="J26" s="113">
        <f>+'II Trimestre'!J26:K26</f>
        <v>15235722000</v>
      </c>
      <c r="K26" s="113"/>
      <c r="L26" s="90" t="s">
        <v>48</v>
      </c>
    </row>
    <row r="27" spans="1:12" s="14" customFormat="1" ht="15.5" x14ac:dyDescent="0.4">
      <c r="A27" s="28" t="s">
        <v>108</v>
      </c>
      <c r="B27" s="92">
        <f>+C27+E27+F27+G27+H27+I27+J27+L27</f>
        <v>71657527926.399994</v>
      </c>
      <c r="C27" s="113">
        <f>C25</f>
        <v>22806439000</v>
      </c>
      <c r="D27" s="113"/>
      <c r="E27" s="92">
        <f>E25</f>
        <v>751837500</v>
      </c>
      <c r="F27" s="92">
        <f t="shared" ref="F27:I27" si="0">F25</f>
        <v>108164800</v>
      </c>
      <c r="G27" s="92">
        <f t="shared" si="0"/>
        <v>3323968000</v>
      </c>
      <c r="H27" s="92">
        <f t="shared" si="0"/>
        <v>21538984549.400002</v>
      </c>
      <c r="I27" s="92">
        <f t="shared" si="0"/>
        <v>15368565077</v>
      </c>
      <c r="J27" s="113">
        <f>J25</f>
        <v>7409569000</v>
      </c>
      <c r="K27" s="113"/>
      <c r="L27" s="90">
        <f>+L25</f>
        <v>350000000</v>
      </c>
    </row>
    <row r="28" spans="1:12" s="14" customFormat="1" ht="15.5" x14ac:dyDescent="0.4">
      <c r="A28" s="23"/>
      <c r="B28" s="50"/>
      <c r="C28" s="50"/>
      <c r="D28" s="50"/>
      <c r="E28" s="50"/>
      <c r="F28" s="50"/>
      <c r="G28" s="50"/>
      <c r="H28" s="50"/>
      <c r="I28" s="50"/>
      <c r="J28" s="50"/>
      <c r="K28" s="90"/>
      <c r="L28" s="90"/>
    </row>
    <row r="29" spans="1:12" s="14" customFormat="1" ht="15.5" x14ac:dyDescent="0.4">
      <c r="A29" s="30" t="s">
        <v>4</v>
      </c>
      <c r="B29" s="50"/>
      <c r="C29" s="50"/>
      <c r="D29" s="50"/>
      <c r="E29" s="50"/>
      <c r="F29" s="50"/>
      <c r="G29" s="50"/>
      <c r="H29" s="50"/>
      <c r="I29" s="50"/>
      <c r="J29" s="50"/>
      <c r="K29" s="90"/>
      <c r="L29" s="90"/>
    </row>
    <row r="30" spans="1:12" s="14" customFormat="1" ht="15.5" x14ac:dyDescent="0.4">
      <c r="A30" s="28" t="s">
        <v>106</v>
      </c>
      <c r="B30" s="92">
        <f>'I Trimestre'!B30+'II Trimestre'!B30</f>
        <v>81702874000</v>
      </c>
      <c r="C30" s="92"/>
      <c r="D30" s="92"/>
      <c r="E30" s="92"/>
      <c r="F30" s="92"/>
      <c r="G30" s="92"/>
      <c r="H30" s="92"/>
      <c r="I30" s="92"/>
      <c r="J30" s="92"/>
      <c r="K30" s="90"/>
      <c r="L30" s="90"/>
    </row>
    <row r="31" spans="1:12" s="14" customFormat="1" ht="15.5" x14ac:dyDescent="0.4">
      <c r="A31" s="28" t="s">
        <v>107</v>
      </c>
      <c r="B31" s="92">
        <f>'I Trimestre'!B31+'II Trimestre'!B31</f>
        <v>78416868999.839996</v>
      </c>
      <c r="C31" s="92"/>
      <c r="D31" s="92"/>
      <c r="E31" s="92"/>
      <c r="F31" s="92"/>
      <c r="G31" s="92"/>
      <c r="H31" s="92"/>
      <c r="I31" s="92"/>
      <c r="J31" s="92"/>
      <c r="K31" s="90"/>
      <c r="L31" s="90"/>
    </row>
    <row r="32" spans="1:12" s="2" customFormat="1" ht="15.5" x14ac:dyDescent="0.4">
      <c r="A32" s="23"/>
      <c r="B32" s="52"/>
      <c r="C32" s="52"/>
      <c r="D32" s="52"/>
      <c r="E32" s="52"/>
      <c r="F32" s="52"/>
      <c r="G32" s="52"/>
      <c r="H32" s="52"/>
      <c r="I32" s="52"/>
      <c r="J32" s="52"/>
      <c r="K32" s="39"/>
      <c r="L32" s="39"/>
    </row>
    <row r="33" spans="1:13" s="2" customFormat="1" ht="15.5" x14ac:dyDescent="0.4">
      <c r="A33" s="25" t="s">
        <v>5</v>
      </c>
      <c r="B33" s="52"/>
      <c r="C33" s="52"/>
      <c r="D33" s="52"/>
      <c r="E33" s="52"/>
      <c r="F33" s="52"/>
      <c r="G33" s="52"/>
      <c r="H33" s="52"/>
      <c r="I33" s="52"/>
      <c r="J33" s="52"/>
      <c r="K33" s="39"/>
      <c r="L33" s="39"/>
    </row>
    <row r="34" spans="1:13" s="2" customFormat="1" ht="15.5" x14ac:dyDescent="0.4">
      <c r="A34" s="28" t="s">
        <v>73</v>
      </c>
      <c r="B34" s="96">
        <v>1.0586</v>
      </c>
      <c r="C34" s="96">
        <v>1.0586</v>
      </c>
      <c r="D34" s="96">
        <v>1.0586</v>
      </c>
      <c r="E34" s="96">
        <v>1.0586</v>
      </c>
      <c r="F34" s="96">
        <v>1.0586</v>
      </c>
      <c r="G34" s="96">
        <v>1.0586</v>
      </c>
      <c r="H34" s="96">
        <v>1.0586</v>
      </c>
      <c r="I34" s="96">
        <v>1.0586</v>
      </c>
      <c r="J34" s="96">
        <v>1.0586</v>
      </c>
      <c r="K34" s="96">
        <v>1.0586</v>
      </c>
      <c r="L34" s="96">
        <v>1.0586</v>
      </c>
    </row>
    <row r="35" spans="1:13" s="2" customFormat="1" ht="15.5" x14ac:dyDescent="0.4">
      <c r="A35" s="28" t="s">
        <v>109</v>
      </c>
      <c r="B35" s="96">
        <v>1.0788</v>
      </c>
      <c r="C35" s="96">
        <v>1.0788</v>
      </c>
      <c r="D35" s="96">
        <v>1.0788</v>
      </c>
      <c r="E35" s="96">
        <v>1.0788</v>
      </c>
      <c r="F35" s="96">
        <v>1.0788</v>
      </c>
      <c r="G35" s="96">
        <v>1.0788</v>
      </c>
      <c r="H35" s="96">
        <v>1.0788</v>
      </c>
      <c r="I35" s="96">
        <v>1.0788</v>
      </c>
      <c r="J35" s="96">
        <v>1.0788</v>
      </c>
      <c r="K35" s="96">
        <v>1.0788</v>
      </c>
      <c r="L35" s="96">
        <v>1.0788</v>
      </c>
    </row>
    <row r="36" spans="1:13" s="11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53"/>
      <c r="C37" s="53"/>
      <c r="D37" s="53"/>
      <c r="E37" s="53"/>
      <c r="F37" s="54"/>
      <c r="G37" s="54"/>
      <c r="H37" s="54"/>
      <c r="I37" s="54"/>
      <c r="J37" s="54"/>
      <c r="K37" s="81"/>
      <c r="L37" s="81"/>
    </row>
    <row r="38" spans="1:13" s="2" customFormat="1" ht="15.5" x14ac:dyDescent="0.4">
      <c r="A38" s="25" t="s">
        <v>7</v>
      </c>
      <c r="B38" s="53"/>
      <c r="C38" s="53"/>
      <c r="D38" s="53"/>
      <c r="E38" s="53"/>
      <c r="F38" s="53"/>
      <c r="G38" s="53"/>
      <c r="H38" s="53"/>
      <c r="I38" s="53"/>
      <c r="J38" s="53"/>
      <c r="K38" s="51"/>
      <c r="L38" s="51"/>
    </row>
    <row r="39" spans="1:13" s="14" customFormat="1" ht="15.5" x14ac:dyDescent="0.4">
      <c r="A39" s="23" t="s">
        <v>74</v>
      </c>
      <c r="B39" s="85">
        <f>B23/B34</f>
        <v>75362595129.46344</v>
      </c>
      <c r="C39" s="103">
        <f>C23/C34</f>
        <v>21469616474.589081</v>
      </c>
      <c r="D39" s="103"/>
      <c r="E39" s="85">
        <f>E23/E34</f>
        <v>686955837.89911199</v>
      </c>
      <c r="F39" s="85">
        <f t="shared" ref="F39:I39" si="1">F23/F34</f>
        <v>79106177.970904976</v>
      </c>
      <c r="G39" s="85">
        <f t="shared" si="1"/>
        <v>3391325612.1292267</v>
      </c>
      <c r="H39" s="85">
        <f t="shared" si="1"/>
        <v>28589526862.884941</v>
      </c>
      <c r="I39" s="85">
        <f t="shared" si="1"/>
        <v>15380805331.570002</v>
      </c>
      <c r="J39" s="103">
        <f>J23/J34</f>
        <v>5434633478.1787271</v>
      </c>
      <c r="K39" s="103"/>
      <c r="L39" s="85">
        <f>L23/L34</f>
        <v>330625354.24145097</v>
      </c>
    </row>
    <row r="40" spans="1:13" s="14" customFormat="1" ht="15.5" x14ac:dyDescent="0.4">
      <c r="A40" s="23" t="s">
        <v>110</v>
      </c>
      <c r="B40" s="85">
        <f>B25/B35</f>
        <v>66423366635.520943</v>
      </c>
      <c r="C40" s="103">
        <f>C25/C35</f>
        <v>21140562662.217278</v>
      </c>
      <c r="D40" s="103"/>
      <c r="E40" s="85">
        <f>E25/E35</f>
        <v>696920189.0989989</v>
      </c>
      <c r="F40" s="85">
        <f t="shared" ref="F40:L40" si="2">F25/F35</f>
        <v>100263997.03374119</v>
      </c>
      <c r="G40" s="85">
        <f t="shared" si="2"/>
        <v>3081171672.2284021</v>
      </c>
      <c r="H40" s="85">
        <f t="shared" si="2"/>
        <v>19965688310.53022</v>
      </c>
      <c r="I40" s="85">
        <f t="shared" si="2"/>
        <v>14245981717.64924</v>
      </c>
      <c r="J40" s="103">
        <f>J25/J35</f>
        <v>6868343529.8479795</v>
      </c>
      <c r="K40" s="103"/>
      <c r="L40" s="85">
        <f t="shared" si="2"/>
        <v>324434556.91509086</v>
      </c>
    </row>
    <row r="41" spans="1:13" s="14" customFormat="1" ht="15.5" x14ac:dyDescent="0.4">
      <c r="A41" s="23" t="s">
        <v>75</v>
      </c>
      <c r="B41" s="85">
        <f>B39/B15</f>
        <v>230449.03334443373</v>
      </c>
      <c r="C41" s="103">
        <f>C39/D15</f>
        <v>131368.88254658924</v>
      </c>
      <c r="D41" s="103"/>
      <c r="E41" s="85">
        <f>E39/E15</f>
        <v>507352.90834498667</v>
      </c>
      <c r="F41" s="85">
        <f t="shared" ref="F41:I41" si="3">F39/F15</f>
        <v>783229.48486044526</v>
      </c>
      <c r="G41" s="85">
        <f t="shared" si="3"/>
        <v>406438.83175086608</v>
      </c>
      <c r="H41" s="85">
        <f t="shared" si="3"/>
        <v>201961.91597061962</v>
      </c>
      <c r="I41" s="85">
        <f t="shared" si="3"/>
        <v>641053.86285875051</v>
      </c>
      <c r="J41" s="103">
        <f>J39/K15</f>
        <v>26315.671243426579</v>
      </c>
      <c r="K41" s="103"/>
      <c r="L41" s="85" t="s">
        <v>48</v>
      </c>
    </row>
    <row r="42" spans="1:13" s="14" customFormat="1" ht="15.5" x14ac:dyDescent="0.4">
      <c r="A42" s="23" t="s">
        <v>111</v>
      </c>
      <c r="B42" s="85">
        <f>B40/B18</f>
        <v>249380.95923650547</v>
      </c>
      <c r="C42" s="103">
        <f>C40/D18</f>
        <v>126015.20405227214</v>
      </c>
      <c r="D42" s="103"/>
      <c r="E42" s="85">
        <f>E40/E18</f>
        <v>451081.02854304138</v>
      </c>
      <c r="F42" s="85">
        <f t="shared" ref="F42:I42" si="4">F40/F18</f>
        <v>789480.29160426138</v>
      </c>
      <c r="G42" s="85">
        <f t="shared" si="4"/>
        <v>397878.5733766015</v>
      </c>
      <c r="H42" s="85">
        <f t="shared" si="4"/>
        <v>271048.29299806169</v>
      </c>
      <c r="I42" s="85">
        <f t="shared" si="4"/>
        <v>644497.90615496016</v>
      </c>
      <c r="J42" s="103">
        <f>J40/K18</f>
        <v>35635.093362844331</v>
      </c>
      <c r="K42" s="103"/>
      <c r="L42" s="85" t="s">
        <v>48</v>
      </c>
    </row>
    <row r="43" spans="1:13" s="14" customFormat="1" ht="15.5" x14ac:dyDescent="0.4">
      <c r="A43" s="2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3" s="14" customFormat="1" ht="15.5" x14ac:dyDescent="0.4">
      <c r="A44" s="25" t="s">
        <v>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3" s="14" customFormat="1" ht="15.5" x14ac:dyDescent="0.4">
      <c r="A45" s="2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3" s="14" customFormat="1" ht="15.5" x14ac:dyDescent="0.4">
      <c r="A46" s="25" t="s">
        <v>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3" s="14" customFormat="1" ht="15.5" x14ac:dyDescent="0.4">
      <c r="A47" s="23" t="s">
        <v>10</v>
      </c>
      <c r="B47" s="89" t="s">
        <v>56</v>
      </c>
      <c r="C47" s="107">
        <f>(D16/C36)*100</f>
        <v>57.46530171696471</v>
      </c>
      <c r="D47" s="107"/>
      <c r="E47" s="87">
        <f>(E16/E36)*100</f>
        <v>1.2461270859379248</v>
      </c>
      <c r="F47" s="87" t="s">
        <v>48</v>
      </c>
      <c r="G47" s="87">
        <f t="shared" ref="G47" si="5">(G16/G36)*100</f>
        <v>7.7787853183026616</v>
      </c>
      <c r="H47" s="89" t="s">
        <v>48</v>
      </c>
      <c r="I47" s="89" t="s">
        <v>48</v>
      </c>
      <c r="J47" s="107" t="s">
        <v>56</v>
      </c>
      <c r="K47" s="107"/>
      <c r="L47" s="87" t="s">
        <v>48</v>
      </c>
    </row>
    <row r="48" spans="1:13" s="14" customFormat="1" ht="15.5" x14ac:dyDescent="0.4">
      <c r="A48" s="23" t="s">
        <v>11</v>
      </c>
      <c r="B48" s="87">
        <f>(B18/B36)*100</f>
        <v>56.029727921780136</v>
      </c>
      <c r="C48" s="107">
        <f>(D18/C36)*100</f>
        <v>79.767774697712454</v>
      </c>
      <c r="D48" s="107"/>
      <c r="E48" s="87">
        <f>(E18/E36)*100</f>
        <v>1.0497635484046313</v>
      </c>
      <c r="F48" s="87" t="s">
        <v>48</v>
      </c>
      <c r="G48" s="87">
        <f t="shared" ref="G48" si="6">(G18/G36)*100</f>
        <v>7.9797209570719039</v>
      </c>
      <c r="H48" s="89" t="s">
        <v>48</v>
      </c>
      <c r="I48" s="89" t="s">
        <v>48</v>
      </c>
      <c r="J48" s="107" t="s">
        <v>56</v>
      </c>
      <c r="K48" s="107"/>
      <c r="L48" s="87" t="s">
        <v>48</v>
      </c>
    </row>
    <row r="49" spans="1:12" s="14" customFormat="1" ht="15.5" x14ac:dyDescent="0.4">
      <c r="A49" s="23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</row>
    <row r="50" spans="1:12" s="14" customFormat="1" ht="15.5" x14ac:dyDescent="0.4">
      <c r="A50" s="25" t="s">
        <v>12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</row>
    <row r="51" spans="1:12" s="14" customFormat="1" ht="15.5" x14ac:dyDescent="0.4">
      <c r="A51" s="23" t="s">
        <v>13</v>
      </c>
      <c r="B51" s="89" t="s">
        <v>56</v>
      </c>
      <c r="C51" s="89" t="s">
        <v>56</v>
      </c>
      <c r="D51" s="87">
        <f>D18/D16*100</f>
        <v>138.81032956303733</v>
      </c>
      <c r="E51" s="87">
        <f>E18/E16*100</f>
        <v>84.24209378407852</v>
      </c>
      <c r="F51" s="87">
        <f t="shared" ref="F51:I51" si="7">F18/F16*100</f>
        <v>119.81132075471699</v>
      </c>
      <c r="G51" s="87">
        <f t="shared" si="7"/>
        <v>102.58312359252881</v>
      </c>
      <c r="H51" s="87">
        <f t="shared" si="7"/>
        <v>84.858992673148705</v>
      </c>
      <c r="I51" s="87">
        <f t="shared" si="7"/>
        <v>103.15956503476922</v>
      </c>
      <c r="J51" s="89" t="s">
        <v>56</v>
      </c>
      <c r="K51" s="87">
        <f>K18/K16*100</f>
        <v>249.59338012483491</v>
      </c>
      <c r="L51" s="87" t="s">
        <v>48</v>
      </c>
    </row>
    <row r="52" spans="1:12" s="14" customFormat="1" ht="15.5" x14ac:dyDescent="0.4">
      <c r="A52" s="23" t="s">
        <v>14</v>
      </c>
      <c r="B52" s="87">
        <f>B25/B24*100</f>
        <v>87.705027275295109</v>
      </c>
      <c r="C52" s="107">
        <f>C25/C24*100</f>
        <v>90.394147917984128</v>
      </c>
      <c r="D52" s="107"/>
      <c r="E52" s="87">
        <f>E25/E24*100</f>
        <v>84.107562367155168</v>
      </c>
      <c r="F52" s="87">
        <f t="shared" ref="F52:I52" si="8">F25/F24*100</f>
        <v>96.416454962784684</v>
      </c>
      <c r="G52" s="87">
        <f t="shared" si="8"/>
        <v>97.961127565831163</v>
      </c>
      <c r="H52" s="87">
        <f t="shared" si="8"/>
        <v>79.420155932640867</v>
      </c>
      <c r="I52" s="87">
        <f t="shared" si="8"/>
        <v>92.130996954057892</v>
      </c>
      <c r="J52" s="107">
        <f>J25/J24*100</f>
        <v>89.572642319382155</v>
      </c>
      <c r="K52" s="107"/>
      <c r="L52" s="87" t="s">
        <v>48</v>
      </c>
    </row>
    <row r="53" spans="1:12" s="14" customFormat="1" ht="15.5" x14ac:dyDescent="0.4">
      <c r="A53" s="23" t="s">
        <v>15</v>
      </c>
      <c r="B53" s="89" t="s">
        <v>56</v>
      </c>
      <c r="C53" s="89" t="s">
        <v>56</v>
      </c>
      <c r="D53" s="87">
        <f>AVERAGE(D51,C52)</f>
        <v>114.60223874051073</v>
      </c>
      <c r="E53" s="87">
        <f>AVERAGE(E51:E52)</f>
        <v>84.174828075616844</v>
      </c>
      <c r="F53" s="87">
        <f t="shared" ref="F53:I53" si="9">AVERAGE(F51:F52)</f>
        <v>108.11388785875084</v>
      </c>
      <c r="G53" s="87">
        <f t="shared" si="9"/>
        <v>100.27212557917998</v>
      </c>
      <c r="H53" s="87">
        <f t="shared" si="9"/>
        <v>82.139574302894786</v>
      </c>
      <c r="I53" s="87">
        <f t="shared" si="9"/>
        <v>97.645280994413554</v>
      </c>
      <c r="J53" s="89" t="s">
        <v>56</v>
      </c>
      <c r="K53" s="87">
        <f>+AVERAGE(K51,J52)</f>
        <v>169.58301122210852</v>
      </c>
      <c r="L53" s="87" t="s">
        <v>48</v>
      </c>
    </row>
    <row r="54" spans="1:12" s="14" customFormat="1" ht="15.5" x14ac:dyDescent="0.4">
      <c r="A54" s="23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</row>
    <row r="55" spans="1:12" s="14" customFormat="1" ht="15.5" x14ac:dyDescent="0.4">
      <c r="A55" s="25" t="s">
        <v>16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2" s="14" customFormat="1" ht="15.5" x14ac:dyDescent="0.4">
      <c r="A56" s="23" t="s">
        <v>17</v>
      </c>
      <c r="B56" s="89" t="s">
        <v>56</v>
      </c>
      <c r="C56" s="107">
        <f>D18/D20*100</f>
        <v>132.14080357916461</v>
      </c>
      <c r="D56" s="107"/>
      <c r="E56" s="87">
        <f>E18/E20*100</f>
        <v>84.196185286103542</v>
      </c>
      <c r="F56" s="87">
        <f t="shared" ref="F56:I56" si="10">F18/F20*100</f>
        <v>119.81132075471699</v>
      </c>
      <c r="G56" s="87">
        <f t="shared" si="10"/>
        <v>102.58312359252881</v>
      </c>
      <c r="H56" s="87">
        <f t="shared" si="10"/>
        <v>84.721375582264642</v>
      </c>
      <c r="I56" s="87">
        <f t="shared" si="10"/>
        <v>103.14993700125999</v>
      </c>
      <c r="J56" s="107">
        <f>K18/K20*100</f>
        <v>249.59014801289769</v>
      </c>
      <c r="K56" s="107"/>
      <c r="L56" s="87" t="s">
        <v>48</v>
      </c>
    </row>
    <row r="57" spans="1:12" s="14" customFormat="1" ht="15.5" x14ac:dyDescent="0.4">
      <c r="A57" s="23" t="s">
        <v>18</v>
      </c>
      <c r="B57" s="87">
        <f>B25/B26*100</f>
        <v>48.34794704363695</v>
      </c>
      <c r="C57" s="107">
        <f>C25/C26*100</f>
        <v>48.036522303610838</v>
      </c>
      <c r="D57" s="107"/>
      <c r="E57" s="87">
        <f>E25/E26*100</f>
        <v>40.589402364627759</v>
      </c>
      <c r="F57" s="87">
        <f t="shared" ref="F57:I57" si="11">F25/F26*100</f>
        <v>35.033700950622681</v>
      </c>
      <c r="G57" s="87">
        <f t="shared" si="11"/>
        <v>48.952431445318254</v>
      </c>
      <c r="H57" s="87">
        <f t="shared" si="11"/>
        <v>41.83129201842101</v>
      </c>
      <c r="I57" s="87">
        <f t="shared" si="11"/>
        <v>61.332557566997217</v>
      </c>
      <c r="J57" s="107">
        <f>J25/J26*100</f>
        <v>48.632870828176046</v>
      </c>
      <c r="K57" s="107"/>
      <c r="L57" s="87" t="s">
        <v>48</v>
      </c>
    </row>
    <row r="58" spans="1:12" s="14" customFormat="1" ht="15.5" x14ac:dyDescent="0.4">
      <c r="A58" s="23" t="s">
        <v>19</v>
      </c>
      <c r="B58" s="89" t="s">
        <v>56</v>
      </c>
      <c r="C58" s="107">
        <f>(C56+C57)/2</f>
        <v>90.088662941387724</v>
      </c>
      <c r="D58" s="107"/>
      <c r="E58" s="87">
        <f>(E56+E57)/2</f>
        <v>62.392793825365651</v>
      </c>
      <c r="F58" s="87">
        <f t="shared" ref="F58:I58" si="12">(F56+F57)/2</f>
        <v>77.422510852669831</v>
      </c>
      <c r="G58" s="87">
        <f t="shared" si="12"/>
        <v>75.767777518923538</v>
      </c>
      <c r="H58" s="87">
        <f t="shared" si="12"/>
        <v>63.276333800342826</v>
      </c>
      <c r="I58" s="87">
        <f t="shared" si="12"/>
        <v>82.241247284128605</v>
      </c>
      <c r="J58" s="107">
        <f>+(J56+J57)/2</f>
        <v>149.11150942053686</v>
      </c>
      <c r="K58" s="107"/>
      <c r="L58" s="87" t="s">
        <v>48</v>
      </c>
    </row>
    <row r="59" spans="1:12" s="14" customFormat="1" ht="15.5" x14ac:dyDescent="0.4">
      <c r="A59" s="23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</row>
    <row r="60" spans="1:12" s="14" customFormat="1" ht="15.5" x14ac:dyDescent="0.4">
      <c r="A60" s="25" t="s">
        <v>30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</row>
    <row r="61" spans="1:12" s="14" customFormat="1" ht="15.5" x14ac:dyDescent="0.4">
      <c r="A61" s="23" t="s">
        <v>20</v>
      </c>
      <c r="B61" s="87">
        <f>B27/B25*100</f>
        <v>100</v>
      </c>
      <c r="C61" s="107">
        <f>C27/C25*100</f>
        <v>100</v>
      </c>
      <c r="D61" s="107"/>
      <c r="E61" s="87">
        <f>E27/E25*100</f>
        <v>100</v>
      </c>
      <c r="F61" s="87">
        <f t="shared" ref="F61:I61" si="13">F27/F25*100</f>
        <v>100</v>
      </c>
      <c r="G61" s="87">
        <f t="shared" si="13"/>
        <v>100</v>
      </c>
      <c r="H61" s="87">
        <f t="shared" si="13"/>
        <v>100</v>
      </c>
      <c r="I61" s="87">
        <f t="shared" si="13"/>
        <v>100</v>
      </c>
      <c r="J61" s="107">
        <f>J27/J25*100</f>
        <v>100</v>
      </c>
      <c r="K61" s="107"/>
      <c r="L61" s="87" t="s">
        <v>48</v>
      </c>
    </row>
    <row r="62" spans="1:12" s="14" customFormat="1" ht="15.5" x14ac:dyDescent="0.4">
      <c r="A62" s="23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</row>
    <row r="63" spans="1:12" s="14" customFormat="1" ht="15.5" x14ac:dyDescent="0.4">
      <c r="A63" s="25" t="s">
        <v>21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</row>
    <row r="64" spans="1:12" s="14" customFormat="1" ht="15.5" x14ac:dyDescent="0.4">
      <c r="A64" s="23" t="s">
        <v>22</v>
      </c>
      <c r="B64" s="88">
        <f>((B18/B15)-1)*100</f>
        <v>-18.552710037458908</v>
      </c>
      <c r="C64" s="108">
        <f>((D18/D15)-1)*100</f>
        <v>2.6506761304533999</v>
      </c>
      <c r="D64" s="108"/>
      <c r="E64" s="88">
        <f>((E18/E15)-1)*100</f>
        <v>14.106351550960117</v>
      </c>
      <c r="F64" s="88">
        <f t="shared" ref="F64:I64" si="14">((F18/F15)-1)*100</f>
        <v>25.742574257425744</v>
      </c>
      <c r="G64" s="88">
        <f t="shared" si="14"/>
        <v>-7.1907957813998058</v>
      </c>
      <c r="H64" s="88">
        <f t="shared" si="14"/>
        <v>-47.96445298426805</v>
      </c>
      <c r="I64" s="88">
        <f t="shared" si="14"/>
        <v>-7.8731296628183234</v>
      </c>
      <c r="J64" s="108">
        <f>((K18/K15)-1)*100</f>
        <v>-6.6706372840976798</v>
      </c>
      <c r="K64" s="108"/>
      <c r="L64" s="87" t="s">
        <v>48</v>
      </c>
    </row>
    <row r="65" spans="1:13" s="14" customFormat="1" ht="15.5" x14ac:dyDescent="0.4">
      <c r="A65" s="23" t="s">
        <v>23</v>
      </c>
      <c r="B65" s="88">
        <f>((B40/B39)-1)*100</f>
        <v>-11.86162509211105</v>
      </c>
      <c r="C65" s="108">
        <f>((C40/C39)-1)*100</f>
        <v>-1.5326487679053979</v>
      </c>
      <c r="D65" s="108"/>
      <c r="E65" s="88">
        <f>((E40/E39)-1)*100</f>
        <v>1.4505082641644629</v>
      </c>
      <c r="F65" s="88">
        <f t="shared" ref="F65:I65" si="15">((F40/F39)-1)*100</f>
        <v>26.746102018249452</v>
      </c>
      <c r="G65" s="88">
        <f t="shared" si="15"/>
        <v>-9.1455075499546563</v>
      </c>
      <c r="H65" s="88">
        <f t="shared" si="15"/>
        <v>-30.164327635481889</v>
      </c>
      <c r="I65" s="88">
        <f t="shared" si="15"/>
        <v>-7.3781807223804456</v>
      </c>
      <c r="J65" s="108">
        <f>((J40/J39)-1)*100</f>
        <v>26.380988845446886</v>
      </c>
      <c r="K65" s="108"/>
      <c r="L65" s="87" t="s">
        <v>48</v>
      </c>
    </row>
    <row r="66" spans="1:13" s="14" customFormat="1" ht="15.5" x14ac:dyDescent="0.4">
      <c r="A66" s="23" t="s">
        <v>24</v>
      </c>
      <c r="B66" s="88">
        <f>((B42/B41)-1)*100</f>
        <v>8.2152333716998918</v>
      </c>
      <c r="C66" s="108">
        <f>((C42/C41)-1)*100</f>
        <v>-4.075301845106627</v>
      </c>
      <c r="D66" s="108"/>
      <c r="E66" s="88">
        <f>((E42/E41)-1)*100</f>
        <v>-11.091269780143232</v>
      </c>
      <c r="F66" s="88">
        <f t="shared" ref="F66:I66" si="16">((F42/F41)-1)*100</f>
        <v>0.79808113262358482</v>
      </c>
      <c r="G66" s="88">
        <f t="shared" si="16"/>
        <v>-2.1061615440110648</v>
      </c>
      <c r="H66" s="88">
        <f t="shared" si="16"/>
        <v>34.207626074161638</v>
      </c>
      <c r="I66" s="88">
        <f t="shared" si="16"/>
        <v>0.53724710133578046</v>
      </c>
      <c r="J66" s="108">
        <f>((J42/J41)-1)*100</f>
        <v>35.413963159863002</v>
      </c>
      <c r="K66" s="108"/>
      <c r="L66" s="87" t="s">
        <v>48</v>
      </c>
    </row>
    <row r="67" spans="1:13" s="14" customFormat="1" ht="15.5" x14ac:dyDescent="0.4">
      <c r="A67" s="23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1:13" s="14" customFormat="1" ht="15.5" x14ac:dyDescent="0.4">
      <c r="A68" s="25" t="s">
        <v>25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1:13" s="14" customFormat="1" ht="15.5" x14ac:dyDescent="0.4">
      <c r="A69" s="23" t="s">
        <v>35</v>
      </c>
      <c r="B69" s="87">
        <f>(B24/B17)*6</f>
        <v>283988.82159212366</v>
      </c>
      <c r="C69" s="108">
        <f>(C24/D17)*6</f>
        <v>210000</v>
      </c>
      <c r="D69" s="108"/>
      <c r="E69" s="87">
        <f>(E24/E17)*6</f>
        <v>600000</v>
      </c>
      <c r="F69" s="87">
        <f>(F24/F17)*6</f>
        <v>404756.46422128682</v>
      </c>
      <c r="G69" s="87">
        <f>(G24/G17)*6</f>
        <v>450000</v>
      </c>
      <c r="H69" s="87">
        <f>(H24/H17)*6</f>
        <v>450000</v>
      </c>
      <c r="I69" s="87">
        <f>(I24/I17)*6</f>
        <v>780000</v>
      </c>
      <c r="J69" s="108">
        <f>(J24/K17)*6</f>
        <v>108000</v>
      </c>
      <c r="K69" s="108"/>
      <c r="L69" s="87" t="s">
        <v>48</v>
      </c>
    </row>
    <row r="70" spans="1:13" s="14" customFormat="1" ht="15.5" x14ac:dyDescent="0.4">
      <c r="A70" s="23" t="s">
        <v>36</v>
      </c>
      <c r="B70" s="87">
        <f>(B25/B19)*6</f>
        <v>191407.71060021981</v>
      </c>
      <c r="C70" s="108">
        <f>(C25/D19)*6</f>
        <v>173688.35550365556</v>
      </c>
      <c r="D70" s="108"/>
      <c r="E70" s="87">
        <f>(E25/E19)*6</f>
        <v>739876.16860751179</v>
      </c>
      <c r="F70" s="87">
        <f>(F25/F19)*6</f>
        <v>1778051.506849315</v>
      </c>
      <c r="G70" s="87">
        <f>(G25/G19)*6</f>
        <v>454259.47521865892</v>
      </c>
      <c r="H70" s="87">
        <f>(H25/H19)*6</f>
        <v>442071.67514341325</v>
      </c>
      <c r="I70" s="87">
        <f>(I25/I19)*6</f>
        <v>775700.44552681386</v>
      </c>
      <c r="J70" s="108">
        <f>(J25/K19)*6</f>
        <v>44599.731743995086</v>
      </c>
      <c r="K70" s="108"/>
      <c r="L70" s="87" t="s">
        <v>48</v>
      </c>
    </row>
    <row r="71" spans="1:13" s="14" customFormat="1" ht="15.5" x14ac:dyDescent="0.4">
      <c r="A71" s="23" t="s">
        <v>26</v>
      </c>
      <c r="B71" s="89" t="s">
        <v>56</v>
      </c>
      <c r="C71" s="107">
        <f>(C70/C69)*D53</f>
        <v>94.78606849465065</v>
      </c>
      <c r="D71" s="107"/>
      <c r="E71" s="87">
        <f>(E70/E69)*E53</f>
        <v>103.79824881630569</v>
      </c>
      <c r="F71" s="87">
        <f t="shared" ref="F71:I71" si="17">(F70/F69)*F53</f>
        <v>474.93265262217886</v>
      </c>
      <c r="G71" s="87">
        <f t="shared" si="17"/>
        <v>101.22125143257281</v>
      </c>
      <c r="H71" s="87">
        <f t="shared" si="17"/>
        <v>80.6923982392168</v>
      </c>
      <c r="I71" s="87">
        <f t="shared" si="17"/>
        <v>97.107035860201961</v>
      </c>
      <c r="J71" s="107">
        <f>(J70/J69)*K53</f>
        <v>70.031081563379146</v>
      </c>
      <c r="K71" s="107"/>
      <c r="L71" s="87" t="s">
        <v>48</v>
      </c>
    </row>
    <row r="72" spans="1:13" s="14" customFormat="1" ht="15.5" x14ac:dyDescent="0.4">
      <c r="A72" s="23" t="s">
        <v>33</v>
      </c>
      <c r="B72" s="87">
        <f>B24/B17</f>
        <v>47331.470265353943</v>
      </c>
      <c r="C72" s="107">
        <f>C24/D17</f>
        <v>35000</v>
      </c>
      <c r="D72" s="107"/>
      <c r="E72" s="87">
        <f>E24/E17</f>
        <v>100000</v>
      </c>
      <c r="F72" s="87">
        <f>F24/F17</f>
        <v>67459.410703547808</v>
      </c>
      <c r="G72" s="87">
        <f t="shared" ref="G72:I72" si="18">G24/G17</f>
        <v>75000</v>
      </c>
      <c r="H72" s="87">
        <f t="shared" si="18"/>
        <v>75000</v>
      </c>
      <c r="I72" s="87">
        <f t="shared" si="18"/>
        <v>130000</v>
      </c>
      <c r="J72" s="107">
        <f>J24/K17</f>
        <v>18000</v>
      </c>
      <c r="K72" s="107"/>
      <c r="L72" s="87" t="s">
        <v>48</v>
      </c>
    </row>
    <row r="73" spans="1:13" s="14" customFormat="1" ht="15.5" x14ac:dyDescent="0.4">
      <c r="A73" s="23" t="s">
        <v>34</v>
      </c>
      <c r="B73" s="87">
        <f>B25/B19</f>
        <v>31901.285100036635</v>
      </c>
      <c r="C73" s="107">
        <f>C25/D19</f>
        <v>28948.059250609262</v>
      </c>
      <c r="D73" s="107"/>
      <c r="E73" s="87">
        <f>E25/E19</f>
        <v>123312.69476791864</v>
      </c>
      <c r="F73" s="87">
        <f>F25/F19</f>
        <v>296341.91780821915</v>
      </c>
      <c r="G73" s="87">
        <f t="shared" ref="G73:I73" si="19">G25/G19</f>
        <v>75709.912536443153</v>
      </c>
      <c r="H73" s="87">
        <f t="shared" si="19"/>
        <v>73678.612523902208</v>
      </c>
      <c r="I73" s="87">
        <f t="shared" si="19"/>
        <v>129283.40758780231</v>
      </c>
      <c r="J73" s="107">
        <f>J25/K19</f>
        <v>7433.2886239991813</v>
      </c>
      <c r="K73" s="107"/>
      <c r="L73" s="87" t="s">
        <v>48</v>
      </c>
    </row>
    <row r="74" spans="1:13" s="14" customFormat="1" ht="15.5" x14ac:dyDescent="0.4">
      <c r="A74" s="23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</row>
    <row r="75" spans="1:13" s="14" customFormat="1" ht="15.5" x14ac:dyDescent="0.4">
      <c r="A75" s="25" t="s">
        <v>27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</row>
    <row r="76" spans="1:13" s="14" customFormat="1" ht="15.5" x14ac:dyDescent="0.4">
      <c r="A76" s="23" t="s">
        <v>28</v>
      </c>
      <c r="B76" s="87">
        <f>(B31/B30)*100</f>
        <v>95.978103536284408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</row>
    <row r="77" spans="1:13" s="14" customFormat="1" ht="15.5" x14ac:dyDescent="0.4">
      <c r="A77" s="23" t="s">
        <v>29</v>
      </c>
      <c r="B77" s="87">
        <f>(B25/B31)*100</f>
        <v>91.380246164312169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1:13" s="2" customFormat="1" ht="16" thickBot="1" x14ac:dyDescent="0.45">
      <c r="A78" s="48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3" s="11" customFormat="1" ht="16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55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 ht="15.5" x14ac:dyDescent="0.4">
      <c r="A81" s="24"/>
      <c r="B81" s="56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spans="1:12" x14ac:dyDescent="0.35">
      <c r="A82" s="1"/>
      <c r="B82" s="4"/>
      <c r="C82" s="4"/>
      <c r="D82" s="4"/>
      <c r="E82" s="4"/>
    </row>
    <row r="83" spans="1:12" x14ac:dyDescent="0.35">
      <c r="A83" s="1"/>
    </row>
    <row r="84" spans="1:12" x14ac:dyDescent="0.35">
      <c r="A84" s="8"/>
    </row>
    <row r="85" spans="1:12" x14ac:dyDescent="0.35">
      <c r="A85" s="7"/>
    </row>
    <row r="86" spans="1:12" x14ac:dyDescent="0.35">
      <c r="A86" s="1"/>
    </row>
    <row r="87" spans="1:12" x14ac:dyDescent="0.35">
      <c r="A87" s="1"/>
    </row>
    <row r="88" spans="1:12" x14ac:dyDescent="0.35">
      <c r="A88" s="1"/>
    </row>
    <row r="89" spans="1:12" x14ac:dyDescent="0.35">
      <c r="A89" s="6"/>
    </row>
    <row r="90" spans="1:12" x14ac:dyDescent="0.35">
      <c r="A90" s="6"/>
    </row>
    <row r="91" spans="1:12" x14ac:dyDescent="0.35">
      <c r="A91" s="1"/>
    </row>
    <row r="92" spans="1:12" x14ac:dyDescent="0.35">
      <c r="A92" s="1"/>
    </row>
    <row r="93" spans="1:12" x14ac:dyDescent="0.35">
      <c r="A93" s="1"/>
    </row>
    <row r="95" spans="1:12" x14ac:dyDescent="0.35">
      <c r="A95" s="9"/>
    </row>
  </sheetData>
  <mergeCells count="55">
    <mergeCell ref="J70:K70"/>
    <mergeCell ref="J71:K71"/>
    <mergeCell ref="J72:K72"/>
    <mergeCell ref="J73:K73"/>
    <mergeCell ref="J61:K61"/>
    <mergeCell ref="J64:K64"/>
    <mergeCell ref="J65:K65"/>
    <mergeCell ref="J66:K66"/>
    <mergeCell ref="J69:K69"/>
    <mergeCell ref="J48:K48"/>
    <mergeCell ref="J52:K52"/>
    <mergeCell ref="J56:K56"/>
    <mergeCell ref="J57:K57"/>
    <mergeCell ref="J58:K58"/>
    <mergeCell ref="J39:K39"/>
    <mergeCell ref="J40:K40"/>
    <mergeCell ref="J41:K41"/>
    <mergeCell ref="J42:K42"/>
    <mergeCell ref="J47:K47"/>
    <mergeCell ref="A79:F79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61:D61"/>
    <mergeCell ref="C27:D27"/>
    <mergeCell ref="A9:A10"/>
    <mergeCell ref="C26:D26"/>
    <mergeCell ref="B9:B10"/>
    <mergeCell ref="C23:D23"/>
    <mergeCell ref="C24:D24"/>
    <mergeCell ref="C25:D25"/>
    <mergeCell ref="C10:D10"/>
    <mergeCell ref="C9:L9"/>
    <mergeCell ref="J10:K10"/>
    <mergeCell ref="J23:K23"/>
    <mergeCell ref="J24:K24"/>
    <mergeCell ref="J25:K25"/>
    <mergeCell ref="J26:K26"/>
    <mergeCell ref="J27:K27"/>
    <mergeCell ref="C39:D39"/>
    <mergeCell ref="C40:D40"/>
    <mergeCell ref="C41:D41"/>
    <mergeCell ref="C42:D42"/>
    <mergeCell ref="C36:D36"/>
  </mergeCells>
  <pageMargins left="0.7" right="0.7" top="0.75" bottom="0.75" header="0.3" footer="0.3"/>
  <pageSetup orientation="portrait" horizontalDpi="4294967292" verticalDpi="4294967292" r:id="rId1"/>
  <ignoredErrors>
    <ignoredError sqref="C24:D25 C23 J24:K28 J23" formulaRange="1"/>
    <ignoredError sqref="B24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style="14" customWidth="1"/>
    <col min="2" max="12" width="18.7265625" style="14" customWidth="1"/>
    <col min="13" max="16384" width="11.453125" style="14"/>
  </cols>
  <sheetData>
    <row r="8" spans="1:12" ht="17.25" customHeight="1" x14ac:dyDescent="0.35"/>
    <row r="9" spans="1:12" s="5" customFormat="1" ht="21.75" customHeight="1" x14ac:dyDescent="0.35">
      <c r="A9" s="97" t="s">
        <v>0</v>
      </c>
      <c r="B9" s="99" t="s">
        <v>58</v>
      </c>
      <c r="C9" s="105" t="s">
        <v>59</v>
      </c>
      <c r="D9" s="105"/>
      <c r="E9" s="105"/>
      <c r="F9" s="105"/>
      <c r="G9" s="105"/>
      <c r="H9" s="105"/>
      <c r="I9" s="105"/>
      <c r="J9" s="105"/>
      <c r="K9" s="105"/>
      <c r="L9" s="105"/>
    </row>
    <row r="10" spans="1:12" s="5" customFormat="1" ht="51.75" customHeight="1" thickBot="1" x14ac:dyDescent="0.4">
      <c r="A10" s="98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60</v>
      </c>
      <c r="J10" s="106" t="s">
        <v>61</v>
      </c>
      <c r="K10" s="106"/>
      <c r="L10" s="82" t="s">
        <v>54</v>
      </c>
    </row>
    <row r="11" spans="1:12" ht="16" thickTop="1" x14ac:dyDescent="0.4">
      <c r="A11" s="39"/>
      <c r="B11" s="39"/>
      <c r="C11" s="39"/>
      <c r="D11" s="39"/>
      <c r="E11" s="57"/>
      <c r="F11" s="39"/>
      <c r="G11" s="39"/>
      <c r="H11" s="39"/>
      <c r="I11" s="39"/>
      <c r="J11" s="39"/>
      <c r="K11" s="39"/>
      <c r="L11" s="39"/>
    </row>
    <row r="12" spans="1:12" ht="15.5" x14ac:dyDescent="0.4">
      <c r="A12" s="25" t="s">
        <v>2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15.5" x14ac:dyDescent="0.4">
      <c r="A13" s="23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2" ht="15.5" x14ac:dyDescent="0.4">
      <c r="A14" s="25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</row>
    <row r="15" spans="1:12" ht="15.5" x14ac:dyDescent="0.4">
      <c r="A15" s="28" t="s">
        <v>76</v>
      </c>
      <c r="B15" s="92">
        <v>272190</v>
      </c>
      <c r="C15" s="92">
        <v>126866</v>
      </c>
      <c r="D15" s="92">
        <v>157436</v>
      </c>
      <c r="E15" s="92">
        <v>1338</v>
      </c>
      <c r="F15" s="92">
        <v>111</v>
      </c>
      <c r="G15" s="92">
        <v>8106</v>
      </c>
      <c r="H15" s="92">
        <v>61080</v>
      </c>
      <c r="I15" s="92">
        <v>21598</v>
      </c>
      <c r="J15" s="92">
        <v>155561</v>
      </c>
      <c r="K15" s="92">
        <v>202507</v>
      </c>
      <c r="L15" s="90" t="s">
        <v>48</v>
      </c>
    </row>
    <row r="16" spans="1:12" ht="15.5" x14ac:dyDescent="0.4">
      <c r="A16" s="28" t="s">
        <v>112</v>
      </c>
      <c r="B16" s="83" t="s">
        <v>49</v>
      </c>
      <c r="C16" s="83" t="s">
        <v>49</v>
      </c>
      <c r="D16" s="92">
        <v>126956</v>
      </c>
      <c r="E16" s="92">
        <v>1834</v>
      </c>
      <c r="F16" s="92">
        <v>106</v>
      </c>
      <c r="G16" s="92">
        <v>7549</v>
      </c>
      <c r="H16" s="92">
        <v>86945</v>
      </c>
      <c r="I16" s="92">
        <v>21429</v>
      </c>
      <c r="J16" s="92" t="s">
        <v>56</v>
      </c>
      <c r="K16" s="92">
        <v>77222</v>
      </c>
      <c r="L16" s="90" t="s">
        <v>48</v>
      </c>
    </row>
    <row r="17" spans="1:13" ht="15.5" x14ac:dyDescent="0.4">
      <c r="A17" s="28" t="s">
        <v>55</v>
      </c>
      <c r="B17" s="83">
        <f>+SUM(D17+E17+F17+G17+H17+I17+K17)</f>
        <v>899716</v>
      </c>
      <c r="C17" s="83" t="s">
        <v>49</v>
      </c>
      <c r="D17" s="92">
        <v>380866</v>
      </c>
      <c r="E17" s="92">
        <v>5502</v>
      </c>
      <c r="F17" s="92">
        <v>315</v>
      </c>
      <c r="G17" s="92">
        <v>22647</v>
      </c>
      <c r="H17" s="92">
        <v>194435</v>
      </c>
      <c r="I17" s="92">
        <v>64285</v>
      </c>
      <c r="J17" s="92" t="s">
        <v>56</v>
      </c>
      <c r="K17" s="92">
        <v>231666</v>
      </c>
      <c r="L17" s="90" t="s">
        <v>48</v>
      </c>
    </row>
    <row r="18" spans="1:13" ht="15.5" x14ac:dyDescent="0.4">
      <c r="A18" s="28" t="s">
        <v>113</v>
      </c>
      <c r="B18" s="92">
        <v>279782</v>
      </c>
      <c r="C18" s="92">
        <v>132890</v>
      </c>
      <c r="D18" s="92">
        <v>165931</v>
      </c>
      <c r="E18" s="92">
        <v>1775</v>
      </c>
      <c r="F18" s="92">
        <v>150</v>
      </c>
      <c r="G18" s="92">
        <v>7841</v>
      </c>
      <c r="H18" s="92">
        <v>89142</v>
      </c>
      <c r="I18" s="92">
        <v>22642</v>
      </c>
      <c r="J18" s="92">
        <v>147692</v>
      </c>
      <c r="K18" s="92">
        <v>202895</v>
      </c>
      <c r="L18" s="90" t="s">
        <v>48</v>
      </c>
    </row>
    <row r="19" spans="1:13" ht="15.5" x14ac:dyDescent="0.4">
      <c r="A19" s="28" t="s">
        <v>55</v>
      </c>
      <c r="B19" s="83">
        <f>+SUM(D19,E19,F19,G19,H19,I19+K19)</f>
        <v>1337709</v>
      </c>
      <c r="C19" s="92" t="s">
        <v>49</v>
      </c>
      <c r="D19" s="92">
        <v>476269</v>
      </c>
      <c r="E19" s="92">
        <v>4983</v>
      </c>
      <c r="F19" s="92">
        <v>374</v>
      </c>
      <c r="G19" s="92">
        <v>16677</v>
      </c>
      <c r="H19" s="92">
        <v>201988</v>
      </c>
      <c r="I19" s="92">
        <v>63890</v>
      </c>
      <c r="J19" s="92" t="s">
        <v>56</v>
      </c>
      <c r="K19" s="92">
        <v>573528</v>
      </c>
      <c r="L19" s="90" t="s">
        <v>48</v>
      </c>
    </row>
    <row r="20" spans="1:13" ht="15.5" x14ac:dyDescent="0.4">
      <c r="A20" s="28" t="s">
        <v>94</v>
      </c>
      <c r="B20" s="92" t="s">
        <v>49</v>
      </c>
      <c r="C20" s="92" t="s">
        <v>49</v>
      </c>
      <c r="D20" s="92">
        <v>126957</v>
      </c>
      <c r="E20" s="92">
        <v>1835</v>
      </c>
      <c r="F20" s="92">
        <v>106</v>
      </c>
      <c r="G20" s="92">
        <v>7549</v>
      </c>
      <c r="H20" s="92">
        <v>86945</v>
      </c>
      <c r="I20" s="92">
        <v>21429</v>
      </c>
      <c r="J20" s="92" t="s">
        <v>56</v>
      </c>
      <c r="K20" s="92">
        <v>77223</v>
      </c>
      <c r="L20" s="90" t="s">
        <v>48</v>
      </c>
    </row>
    <row r="21" spans="1:13" ht="15.5" x14ac:dyDescent="0.4">
      <c r="A21" s="23"/>
      <c r="B21" s="50"/>
      <c r="C21" s="50"/>
      <c r="D21" s="50"/>
      <c r="E21" s="50"/>
      <c r="F21" s="50"/>
      <c r="G21" s="50"/>
      <c r="H21" s="50"/>
      <c r="I21" s="50"/>
      <c r="J21" s="50"/>
      <c r="K21" s="53"/>
      <c r="L21" s="53"/>
      <c r="M21" s="18"/>
    </row>
    <row r="22" spans="1:13" ht="15.5" x14ac:dyDescent="0.4">
      <c r="A22" s="30" t="s">
        <v>3</v>
      </c>
      <c r="B22" s="50"/>
      <c r="C22" s="50"/>
      <c r="D22" s="50"/>
      <c r="E22" s="50"/>
      <c r="F22" s="50"/>
      <c r="G22" s="50"/>
      <c r="H22" s="50"/>
      <c r="I22" s="50"/>
      <c r="J22" s="50"/>
      <c r="K22" s="53"/>
      <c r="L22" s="53"/>
      <c r="M22" s="18"/>
    </row>
    <row r="23" spans="1:13" ht="15.5" x14ac:dyDescent="0.4">
      <c r="A23" s="28" t="s">
        <v>76</v>
      </c>
      <c r="B23" s="92">
        <f>SUM(C23+E23+F23+G23+H23+I23+J23)</f>
        <v>38546731569</v>
      </c>
      <c r="C23" s="113">
        <v>12896893000</v>
      </c>
      <c r="D23" s="113"/>
      <c r="E23" s="92">
        <v>395896770</v>
      </c>
      <c r="F23" s="92">
        <v>75527700</v>
      </c>
      <c r="G23" s="92">
        <v>1786963000.0000005</v>
      </c>
      <c r="H23" s="92">
        <v>10797290153</v>
      </c>
      <c r="I23" s="92">
        <v>8088214946.000001</v>
      </c>
      <c r="J23" s="113">
        <v>4505946000</v>
      </c>
      <c r="K23" s="113"/>
      <c r="L23" s="92">
        <v>0</v>
      </c>
    </row>
    <row r="24" spans="1:13" ht="15.5" x14ac:dyDescent="0.4">
      <c r="A24" s="28" t="s">
        <v>112</v>
      </c>
      <c r="B24" s="92">
        <f>SUM(C24+E24+F24+G24+H24+I24+J24)</f>
        <v>42786978000</v>
      </c>
      <c r="C24" s="113">
        <v>13330310000</v>
      </c>
      <c r="D24" s="113"/>
      <c r="E24" s="92">
        <v>550200000</v>
      </c>
      <c r="F24" s="92">
        <v>98280000</v>
      </c>
      <c r="G24" s="92">
        <v>1698525000</v>
      </c>
      <c r="H24" s="92">
        <v>14582625000</v>
      </c>
      <c r="I24" s="92">
        <v>8357050000</v>
      </c>
      <c r="J24" s="113">
        <v>4169988000</v>
      </c>
      <c r="K24" s="113"/>
      <c r="L24" s="90" t="s">
        <v>48</v>
      </c>
    </row>
    <row r="25" spans="1:13" ht="15.5" x14ac:dyDescent="0.4">
      <c r="A25" s="28" t="s">
        <v>113</v>
      </c>
      <c r="B25" s="92">
        <f>SUM(C25+E25+F25+G25+H25+I25+J25+L25)</f>
        <v>42221234315</v>
      </c>
      <c r="C25" s="113">
        <v>12140200000</v>
      </c>
      <c r="D25" s="113"/>
      <c r="E25" s="92">
        <v>512828200</v>
      </c>
      <c r="F25" s="92">
        <v>101678500</v>
      </c>
      <c r="G25" s="92">
        <v>1710775000</v>
      </c>
      <c r="H25" s="92">
        <v>15622268827</v>
      </c>
      <c r="I25" s="92">
        <v>8280208788</v>
      </c>
      <c r="J25" s="113">
        <v>3853275000</v>
      </c>
      <c r="K25" s="113"/>
      <c r="L25" s="92">
        <v>0</v>
      </c>
    </row>
    <row r="26" spans="1:13" ht="15.5" x14ac:dyDescent="0.4">
      <c r="A26" s="28" t="s">
        <v>94</v>
      </c>
      <c r="B26" s="92">
        <f>SUM(C26+E26+F26+G26+H26+I26+J26)</f>
        <v>148212142000</v>
      </c>
      <c r="C26" s="101">
        <v>47477290000</v>
      </c>
      <c r="D26" s="101"/>
      <c r="E26" s="92">
        <v>1852300000</v>
      </c>
      <c r="F26" s="92">
        <v>308745000</v>
      </c>
      <c r="G26" s="92">
        <v>6790200000</v>
      </c>
      <c r="H26" s="92">
        <v>51490125000</v>
      </c>
      <c r="I26" s="92">
        <v>25057760000</v>
      </c>
      <c r="J26" s="113">
        <v>15235722000</v>
      </c>
      <c r="K26" s="113"/>
      <c r="L26" s="90" t="s">
        <v>48</v>
      </c>
    </row>
    <row r="27" spans="1:13" ht="15.5" x14ac:dyDescent="0.4">
      <c r="A27" s="28" t="s">
        <v>114</v>
      </c>
      <c r="B27" s="92">
        <f>SUM(C27+E27+F27+G27+H27+I27+J27+L27)</f>
        <v>42221234315</v>
      </c>
      <c r="C27" s="113">
        <f>C25</f>
        <v>12140200000</v>
      </c>
      <c r="D27" s="113"/>
      <c r="E27" s="92">
        <f>E25</f>
        <v>512828200</v>
      </c>
      <c r="F27" s="92">
        <f t="shared" ref="F27:L27" si="0">F25</f>
        <v>101678500</v>
      </c>
      <c r="G27" s="92">
        <f t="shared" si="0"/>
        <v>1710775000</v>
      </c>
      <c r="H27" s="92">
        <f t="shared" si="0"/>
        <v>15622268827</v>
      </c>
      <c r="I27" s="92">
        <f t="shared" si="0"/>
        <v>8280208788</v>
      </c>
      <c r="J27" s="113">
        <f t="shared" si="0"/>
        <v>3853275000</v>
      </c>
      <c r="K27" s="113"/>
      <c r="L27" s="92">
        <f t="shared" si="0"/>
        <v>0</v>
      </c>
    </row>
    <row r="28" spans="1:13" ht="15.5" x14ac:dyDescent="0.4">
      <c r="A28" s="23"/>
      <c r="B28" s="50"/>
      <c r="C28" s="50"/>
      <c r="D28" s="50"/>
      <c r="E28" s="50"/>
      <c r="F28" s="50"/>
      <c r="G28" s="29"/>
      <c r="H28" s="50"/>
      <c r="I28" s="50"/>
      <c r="J28" s="50"/>
      <c r="K28" s="53"/>
      <c r="L28" s="50"/>
      <c r="M28" s="18"/>
    </row>
    <row r="29" spans="1:13" ht="15.5" x14ac:dyDescent="0.4">
      <c r="A29" s="30" t="s">
        <v>4</v>
      </c>
      <c r="B29" s="50"/>
      <c r="C29" s="50"/>
      <c r="D29" s="50"/>
      <c r="E29" s="50"/>
      <c r="F29" s="50"/>
      <c r="G29" s="50"/>
      <c r="H29" s="50"/>
      <c r="I29" s="50"/>
      <c r="J29" s="50"/>
      <c r="K29" s="53"/>
      <c r="L29" s="53"/>
      <c r="M29" s="18"/>
    </row>
    <row r="30" spans="1:13" ht="15.5" x14ac:dyDescent="0.4">
      <c r="A30" s="28" t="s">
        <v>112</v>
      </c>
      <c r="B30" s="90">
        <f>B24</f>
        <v>42786978000</v>
      </c>
      <c r="C30" s="92"/>
      <c r="D30" s="92"/>
      <c r="E30" s="92"/>
      <c r="F30" s="92"/>
      <c r="G30" s="92"/>
      <c r="H30" s="92"/>
      <c r="I30" s="92"/>
      <c r="J30" s="92"/>
      <c r="K30" s="51"/>
      <c r="L30" s="92"/>
    </row>
    <row r="31" spans="1:13" ht="15.5" x14ac:dyDescent="0.4">
      <c r="A31" s="28" t="s">
        <v>113</v>
      </c>
      <c r="B31" s="90">
        <v>42008564375</v>
      </c>
      <c r="C31" s="83"/>
      <c r="D31" s="92"/>
      <c r="E31" s="92"/>
      <c r="F31" s="92"/>
      <c r="G31" s="92"/>
      <c r="H31" s="92"/>
      <c r="I31" s="92"/>
      <c r="J31" s="92"/>
      <c r="K31" s="51"/>
      <c r="L31" s="51"/>
    </row>
    <row r="32" spans="1:13" ht="15.5" x14ac:dyDescent="0.4">
      <c r="A32" s="23"/>
      <c r="B32" s="52"/>
      <c r="C32" s="52"/>
      <c r="D32" s="52"/>
      <c r="E32" s="52"/>
      <c r="F32" s="52"/>
      <c r="G32" s="52"/>
      <c r="H32" s="52"/>
      <c r="I32" s="52"/>
      <c r="J32" s="52"/>
      <c r="K32" s="58"/>
      <c r="L32" s="58"/>
      <c r="M32" s="18"/>
    </row>
    <row r="33" spans="1:13" ht="15.5" x14ac:dyDescent="0.4">
      <c r="A33" s="25" t="s">
        <v>5</v>
      </c>
      <c r="B33" s="52"/>
      <c r="C33" s="52"/>
      <c r="D33" s="52"/>
      <c r="E33" s="52"/>
      <c r="F33" s="52"/>
      <c r="G33" s="52"/>
      <c r="H33" s="52"/>
      <c r="I33" s="52"/>
      <c r="J33" s="52"/>
      <c r="K33" s="58"/>
      <c r="L33" s="58"/>
      <c r="M33" s="18"/>
    </row>
    <row r="34" spans="1:13" ht="15.5" x14ac:dyDescent="0.4">
      <c r="A34" s="28" t="s">
        <v>77</v>
      </c>
      <c r="B34" s="96">
        <v>1.0641</v>
      </c>
      <c r="C34" s="96">
        <v>1.0641</v>
      </c>
      <c r="D34" s="96">
        <v>1.0641</v>
      </c>
      <c r="E34" s="96">
        <v>1.0641</v>
      </c>
      <c r="F34" s="96">
        <v>1.0641</v>
      </c>
      <c r="G34" s="96">
        <v>1.0641</v>
      </c>
      <c r="H34" s="96">
        <v>1.0641</v>
      </c>
      <c r="I34" s="96">
        <v>1.0641</v>
      </c>
      <c r="J34" s="96">
        <v>1.0641</v>
      </c>
      <c r="K34" s="96">
        <v>1.0641</v>
      </c>
      <c r="L34" s="96">
        <v>1.0641</v>
      </c>
      <c r="M34" s="18"/>
    </row>
    <row r="35" spans="1:13" ht="15.5" x14ac:dyDescent="0.4">
      <c r="A35" s="28" t="s">
        <v>115</v>
      </c>
      <c r="B35" s="96">
        <v>1.0863</v>
      </c>
      <c r="C35" s="96">
        <v>1.0863</v>
      </c>
      <c r="D35" s="96">
        <v>1.0863</v>
      </c>
      <c r="E35" s="96">
        <v>1.0863</v>
      </c>
      <c r="F35" s="96">
        <v>1.0863</v>
      </c>
      <c r="G35" s="96">
        <v>1.0863</v>
      </c>
      <c r="H35" s="96">
        <v>1.0863</v>
      </c>
      <c r="I35" s="96">
        <v>1.0863</v>
      </c>
      <c r="J35" s="96">
        <v>1.0863</v>
      </c>
      <c r="K35" s="96">
        <v>1.0863</v>
      </c>
      <c r="L35" s="96">
        <v>1.0863</v>
      </c>
      <c r="M35" s="18"/>
    </row>
    <row r="36" spans="1:13" s="11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18"/>
    </row>
    <row r="38" spans="1:13" ht="15.5" x14ac:dyDescent="0.4">
      <c r="A38" s="25" t="s">
        <v>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ht="15.5" x14ac:dyDescent="0.4">
      <c r="A39" s="23" t="s">
        <v>78</v>
      </c>
      <c r="B39" s="94">
        <f>B23/B34</f>
        <v>36224726594.305046</v>
      </c>
      <c r="C39" s="115">
        <f>C23/C34</f>
        <v>12120000939.761301</v>
      </c>
      <c r="D39" s="115"/>
      <c r="E39" s="94">
        <f>E23/E34</f>
        <v>372048463.49027348</v>
      </c>
      <c r="F39" s="94">
        <f t="shared" ref="F39:I39" si="1">F23/F34</f>
        <v>70978009.585565269</v>
      </c>
      <c r="G39" s="94">
        <f t="shared" si="1"/>
        <v>1679318673.0570438</v>
      </c>
      <c r="H39" s="94">
        <f t="shared" si="1"/>
        <v>10146875437.458885</v>
      </c>
      <c r="I39" s="94">
        <f t="shared" si="1"/>
        <v>7600991397.4250546</v>
      </c>
      <c r="J39" s="115">
        <f>J23/J34</f>
        <v>4234513673.5269241</v>
      </c>
      <c r="K39" s="115"/>
      <c r="L39" s="94">
        <f t="shared" ref="L39" si="2">L23/L34</f>
        <v>0</v>
      </c>
    </row>
    <row r="40" spans="1:13" ht="15.5" x14ac:dyDescent="0.4">
      <c r="A40" s="23" t="s">
        <v>116</v>
      </c>
      <c r="B40" s="94">
        <f>B25/B35</f>
        <v>38867011244.591728</v>
      </c>
      <c r="C40" s="115">
        <f>C25/C35</f>
        <v>11175734143.422626</v>
      </c>
      <c r="D40" s="115"/>
      <c r="E40" s="94">
        <f>E25/E35</f>
        <v>472087084.59909785</v>
      </c>
      <c r="F40" s="94">
        <f t="shared" ref="F40:J40" si="3">F25/F35</f>
        <v>93600754.855932981</v>
      </c>
      <c r="G40" s="94">
        <f t="shared" si="3"/>
        <v>1574864217.9876645</v>
      </c>
      <c r="H40" s="94">
        <f t="shared" si="3"/>
        <v>14381173549.663996</v>
      </c>
      <c r="I40" s="94">
        <f t="shared" si="3"/>
        <v>7622396012.1513395</v>
      </c>
      <c r="J40" s="115">
        <f t="shared" si="3"/>
        <v>3547155481.9110742</v>
      </c>
      <c r="K40" s="115"/>
      <c r="L40" s="94">
        <f t="shared" ref="L40" si="4">L25/L35</f>
        <v>0</v>
      </c>
    </row>
    <row r="41" spans="1:13" ht="15.5" x14ac:dyDescent="0.4">
      <c r="A41" s="23" t="s">
        <v>79</v>
      </c>
      <c r="B41" s="94">
        <f>B39/B15</f>
        <v>133086.17728169679</v>
      </c>
      <c r="C41" s="115">
        <f>C39/D15</f>
        <v>76983.669171989255</v>
      </c>
      <c r="D41" s="115"/>
      <c r="E41" s="94">
        <f>E39/E15</f>
        <v>278063.12667434488</v>
      </c>
      <c r="F41" s="94">
        <f t="shared" ref="F41:I41" si="5">F39/F15</f>
        <v>639441.52779788536</v>
      </c>
      <c r="G41" s="94">
        <f t="shared" si="5"/>
        <v>207169.83383383221</v>
      </c>
      <c r="H41" s="94">
        <f t="shared" si="5"/>
        <v>166124.35228321684</v>
      </c>
      <c r="I41" s="94">
        <f t="shared" si="5"/>
        <v>351930.33602301392</v>
      </c>
      <c r="J41" s="115">
        <f>J39/K15</f>
        <v>20910.455804129851</v>
      </c>
      <c r="K41" s="115"/>
      <c r="L41" s="94" t="s">
        <v>48</v>
      </c>
    </row>
    <row r="42" spans="1:13" ht="15.5" x14ac:dyDescent="0.4">
      <c r="A42" s="23" t="s">
        <v>117</v>
      </c>
      <c r="B42" s="94">
        <f>B40/B18</f>
        <v>138918.91274131904</v>
      </c>
      <c r="C42" s="115">
        <f>C40/D18</f>
        <v>67351.695243339855</v>
      </c>
      <c r="D42" s="115"/>
      <c r="E42" s="94">
        <f>E40/E18</f>
        <v>265964.55470371712</v>
      </c>
      <c r="F42" s="94">
        <f t="shared" ref="F42:I42" si="6">F40/F18</f>
        <v>624005.03237288655</v>
      </c>
      <c r="G42" s="94">
        <f t="shared" si="6"/>
        <v>200849.91939646276</v>
      </c>
      <c r="H42" s="94">
        <f t="shared" si="6"/>
        <v>161328.81862269185</v>
      </c>
      <c r="I42" s="94">
        <f t="shared" si="6"/>
        <v>336648.52981853811</v>
      </c>
      <c r="J42" s="115">
        <f>J40/K18</f>
        <v>17482.715108361834</v>
      </c>
      <c r="K42" s="115"/>
      <c r="L42" s="94" t="s">
        <v>48</v>
      </c>
    </row>
    <row r="43" spans="1:13" ht="15.5" x14ac:dyDescent="0.4">
      <c r="A43" s="23"/>
      <c r="B43" s="61"/>
      <c r="C43" s="61"/>
      <c r="D43" s="61"/>
      <c r="E43" s="61"/>
      <c r="F43" s="61"/>
      <c r="G43" s="61"/>
      <c r="H43" s="61"/>
      <c r="I43" s="61"/>
      <c r="J43" s="61"/>
      <c r="K43" s="39"/>
      <c r="L43" s="39"/>
    </row>
    <row r="44" spans="1:13" ht="15.5" x14ac:dyDescent="0.4">
      <c r="A44" s="25" t="s">
        <v>8</v>
      </c>
      <c r="B44" s="61"/>
      <c r="C44" s="61"/>
      <c r="D44" s="61"/>
      <c r="E44" s="61"/>
      <c r="F44" s="61"/>
      <c r="G44" s="61"/>
      <c r="H44" s="61"/>
      <c r="I44" s="61"/>
      <c r="J44" s="61"/>
      <c r="K44" s="39"/>
      <c r="L44" s="39"/>
    </row>
    <row r="45" spans="1:13" ht="15.5" x14ac:dyDescent="0.4">
      <c r="A45" s="23"/>
      <c r="B45" s="61"/>
      <c r="C45" s="61"/>
      <c r="D45" s="61"/>
      <c r="E45" s="61"/>
      <c r="F45" s="61"/>
      <c r="G45" s="61"/>
      <c r="H45" s="61"/>
      <c r="I45" s="61"/>
      <c r="J45" s="61"/>
      <c r="K45" s="39"/>
      <c r="L45" s="39"/>
    </row>
    <row r="46" spans="1:13" ht="15.5" x14ac:dyDescent="0.4">
      <c r="A46" s="25" t="s">
        <v>9</v>
      </c>
      <c r="B46" s="61"/>
      <c r="C46" s="61"/>
      <c r="D46" s="61"/>
      <c r="E46" s="61"/>
      <c r="F46" s="61"/>
      <c r="G46" s="61"/>
      <c r="H46" s="61"/>
      <c r="I46" s="61"/>
      <c r="J46" s="61"/>
      <c r="K46" s="39"/>
      <c r="L46" s="39"/>
    </row>
    <row r="47" spans="1:13" ht="15.5" x14ac:dyDescent="0.4">
      <c r="A47" s="23" t="s">
        <v>10</v>
      </c>
      <c r="B47" s="89" t="s">
        <v>56</v>
      </c>
      <c r="C47" s="114">
        <f>(D16/C36)*100</f>
        <v>60.365265104867504</v>
      </c>
      <c r="D47" s="114"/>
      <c r="E47" s="93">
        <f>(E16/E36)*100</f>
        <v>1.2461270859379248</v>
      </c>
      <c r="F47" s="93" t="s">
        <v>48</v>
      </c>
      <c r="G47" s="93">
        <f t="shared" ref="G47" si="7">(G16/G36)*100</f>
        <v>7.7787853183026616</v>
      </c>
      <c r="H47" s="93" t="s">
        <v>48</v>
      </c>
      <c r="I47" s="93" t="s">
        <v>48</v>
      </c>
      <c r="J47" s="114" t="s">
        <v>56</v>
      </c>
      <c r="K47" s="114"/>
      <c r="L47" s="93" t="s">
        <v>48</v>
      </c>
    </row>
    <row r="48" spans="1:13" ht="15.5" x14ac:dyDescent="0.4">
      <c r="A48" s="23" t="s">
        <v>11</v>
      </c>
      <c r="B48" s="89">
        <f>(B18/B36)*100</f>
        <v>58.854637782985328</v>
      </c>
      <c r="C48" s="114">
        <f>(D18/C36)*100</f>
        <v>78.897167555025121</v>
      </c>
      <c r="D48" s="114"/>
      <c r="E48" s="93">
        <f>(E18/E36)*100</f>
        <v>1.206039028102408</v>
      </c>
      <c r="F48" s="93" t="s">
        <v>48</v>
      </c>
      <c r="G48" s="93">
        <f t="shared" ref="G48" si="8">(G18/G36)*100</f>
        <v>8.0796735568699383</v>
      </c>
      <c r="H48" s="93" t="s">
        <v>48</v>
      </c>
      <c r="I48" s="93" t="s">
        <v>48</v>
      </c>
      <c r="J48" s="114" t="s">
        <v>56</v>
      </c>
      <c r="K48" s="114"/>
      <c r="L48" s="93" t="s">
        <v>48</v>
      </c>
    </row>
    <row r="49" spans="1:12" ht="15.5" x14ac:dyDescent="0.4">
      <c r="A49" s="23"/>
      <c r="B49" s="93"/>
      <c r="C49" s="93"/>
      <c r="D49" s="93"/>
      <c r="E49" s="93"/>
      <c r="F49" s="93"/>
      <c r="G49" s="93"/>
      <c r="H49" s="93"/>
      <c r="I49" s="93"/>
      <c r="J49" s="93"/>
      <c r="K49" s="88"/>
      <c r="L49" s="88"/>
    </row>
    <row r="50" spans="1:12" ht="15.5" x14ac:dyDescent="0.4">
      <c r="A50" s="25" t="s">
        <v>12</v>
      </c>
      <c r="B50" s="93"/>
      <c r="C50" s="93"/>
      <c r="D50" s="93"/>
      <c r="E50" s="93"/>
      <c r="F50" s="93"/>
      <c r="G50" s="93"/>
      <c r="H50" s="93"/>
      <c r="I50" s="93"/>
      <c r="J50" s="93"/>
      <c r="K50" s="88"/>
      <c r="L50" s="88"/>
    </row>
    <row r="51" spans="1:12" ht="15.5" x14ac:dyDescent="0.4">
      <c r="A51" s="23" t="s">
        <v>13</v>
      </c>
      <c r="B51" s="89" t="s">
        <v>56</v>
      </c>
      <c r="C51" s="89" t="s">
        <v>56</v>
      </c>
      <c r="D51" s="93">
        <f>D18/D16*100</f>
        <v>130.69961246416082</v>
      </c>
      <c r="E51" s="93">
        <f>E18/E16*100</f>
        <v>96.782988004362053</v>
      </c>
      <c r="F51" s="93">
        <f t="shared" ref="F51:I51" si="9">F18/F16*100</f>
        <v>141.50943396226415</v>
      </c>
      <c r="G51" s="93">
        <f t="shared" si="9"/>
        <v>103.86806199496621</v>
      </c>
      <c r="H51" s="93">
        <f t="shared" si="9"/>
        <v>102.52688481223761</v>
      </c>
      <c r="I51" s="93">
        <f t="shared" si="9"/>
        <v>105.66055345559755</v>
      </c>
      <c r="J51" s="93" t="s">
        <v>56</v>
      </c>
      <c r="K51" s="93">
        <f>K18/K16*100</f>
        <v>262.7424827121805</v>
      </c>
      <c r="L51" s="93" t="s">
        <v>48</v>
      </c>
    </row>
    <row r="52" spans="1:12" ht="15.5" x14ac:dyDescent="0.4">
      <c r="A52" s="23" t="s">
        <v>14</v>
      </c>
      <c r="B52" s="93">
        <f>B25/B24*100</f>
        <v>98.6777666676997</v>
      </c>
      <c r="C52" s="114">
        <f>C25/C24*100</f>
        <v>91.072150610150842</v>
      </c>
      <c r="D52" s="114"/>
      <c r="E52" s="93">
        <f>E25/E24*100</f>
        <v>93.207597237368233</v>
      </c>
      <c r="F52" s="93">
        <f t="shared" ref="F52:I52" si="10">F25/F24*100</f>
        <v>103.45797720797721</v>
      </c>
      <c r="G52" s="93">
        <f t="shared" si="10"/>
        <v>100.72121399449523</v>
      </c>
      <c r="H52" s="93">
        <f t="shared" si="10"/>
        <v>107.12933252415118</v>
      </c>
      <c r="I52" s="93">
        <f t="shared" si="10"/>
        <v>99.080522289563902</v>
      </c>
      <c r="J52" s="114">
        <f>J25/J24*100</f>
        <v>92.404942172495467</v>
      </c>
      <c r="K52" s="114"/>
      <c r="L52" s="93" t="s">
        <v>48</v>
      </c>
    </row>
    <row r="53" spans="1:12" ht="15.5" x14ac:dyDescent="0.4">
      <c r="A53" s="23" t="s">
        <v>15</v>
      </c>
      <c r="B53" s="89" t="s">
        <v>56</v>
      </c>
      <c r="C53" s="89" t="s">
        <v>56</v>
      </c>
      <c r="D53" s="93">
        <f>AVERAGE(D51,C52)</f>
        <v>110.88588153715583</v>
      </c>
      <c r="E53" s="93">
        <f>AVERAGE(E51:E52)</f>
        <v>94.995292620865143</v>
      </c>
      <c r="F53" s="93">
        <f t="shared" ref="F53:I53" si="11">AVERAGE(F51:F52)</f>
        <v>122.48370558512067</v>
      </c>
      <c r="G53" s="93">
        <f t="shared" si="11"/>
        <v>102.29463799473072</v>
      </c>
      <c r="H53" s="93">
        <f t="shared" si="11"/>
        <v>104.8281086681944</v>
      </c>
      <c r="I53" s="93">
        <f t="shared" si="11"/>
        <v>102.37053787258073</v>
      </c>
      <c r="J53" s="93" t="s">
        <v>56</v>
      </c>
      <c r="K53" s="93">
        <f>+AVERAGE(K51,J52)</f>
        <v>177.57371244233798</v>
      </c>
      <c r="L53" s="93" t="s">
        <v>48</v>
      </c>
    </row>
    <row r="54" spans="1:12" ht="15.5" x14ac:dyDescent="0.4">
      <c r="A54" s="23"/>
      <c r="B54" s="93"/>
      <c r="C54" s="93"/>
      <c r="D54" s="93"/>
      <c r="E54" s="93"/>
      <c r="F54" s="93"/>
      <c r="G54" s="93"/>
      <c r="H54" s="93"/>
      <c r="I54" s="93"/>
      <c r="J54" s="93"/>
      <c r="K54" s="88"/>
      <c r="L54" s="88"/>
    </row>
    <row r="55" spans="1:12" ht="15.5" x14ac:dyDescent="0.4">
      <c r="A55" s="25" t="s">
        <v>16</v>
      </c>
      <c r="B55" s="93"/>
      <c r="C55" s="93"/>
      <c r="D55" s="93"/>
      <c r="E55" s="93"/>
      <c r="F55" s="93"/>
      <c r="G55" s="93"/>
      <c r="H55" s="93"/>
      <c r="I55" s="93"/>
      <c r="J55" s="93"/>
      <c r="K55" s="88"/>
      <c r="L55" s="88"/>
    </row>
    <row r="56" spans="1:12" ht="15.5" x14ac:dyDescent="0.4">
      <c r="A56" s="23" t="s">
        <v>17</v>
      </c>
      <c r="B56" s="89" t="s">
        <v>56</v>
      </c>
      <c r="C56" s="114">
        <f>D18/D20*100</f>
        <v>130.69858298479014</v>
      </c>
      <c r="D56" s="114"/>
      <c r="E56" s="93">
        <f>E18/E20*100</f>
        <v>96.730245231607626</v>
      </c>
      <c r="F56" s="93">
        <f t="shared" ref="F56:I56" si="12">F18/F20*100</f>
        <v>141.50943396226415</v>
      </c>
      <c r="G56" s="93">
        <f t="shared" si="12"/>
        <v>103.86806199496621</v>
      </c>
      <c r="H56" s="93">
        <f t="shared" si="12"/>
        <v>102.52688481223761</v>
      </c>
      <c r="I56" s="93">
        <f t="shared" si="12"/>
        <v>105.66055345559755</v>
      </c>
      <c r="J56" s="114">
        <f>K18/K20*100</f>
        <v>262.73908032580965</v>
      </c>
      <c r="K56" s="114"/>
      <c r="L56" s="93" t="s">
        <v>48</v>
      </c>
    </row>
    <row r="57" spans="1:12" ht="15.5" x14ac:dyDescent="0.4">
      <c r="A57" s="23" t="s">
        <v>18</v>
      </c>
      <c r="B57" s="93">
        <f>B25/B26*100</f>
        <v>28.487027948762794</v>
      </c>
      <c r="C57" s="114">
        <f>C25/C26*100</f>
        <v>25.570541199803102</v>
      </c>
      <c r="D57" s="114"/>
      <c r="E57" s="93">
        <f>E25/E26*100</f>
        <v>27.686022782486635</v>
      </c>
      <c r="F57" s="93">
        <f t="shared" ref="F57:I57" si="13">F25/F26*100</f>
        <v>32.932841017668302</v>
      </c>
      <c r="G57" s="93">
        <f t="shared" si="13"/>
        <v>25.194765986274337</v>
      </c>
      <c r="H57" s="93">
        <f t="shared" si="13"/>
        <v>30.34032025946723</v>
      </c>
      <c r="I57" s="93">
        <f t="shared" si="13"/>
        <v>33.044489164234953</v>
      </c>
      <c r="J57" s="114">
        <f>J25/J26*100</f>
        <v>25.29105611142025</v>
      </c>
      <c r="K57" s="114"/>
      <c r="L57" s="93" t="s">
        <v>48</v>
      </c>
    </row>
    <row r="58" spans="1:12" ht="15.5" x14ac:dyDescent="0.4">
      <c r="A58" s="23" t="s">
        <v>19</v>
      </c>
      <c r="B58" s="89" t="s">
        <v>56</v>
      </c>
      <c r="C58" s="114">
        <f>(C56+C57)/2</f>
        <v>78.134562092296619</v>
      </c>
      <c r="D58" s="114"/>
      <c r="E58" s="93">
        <f>(E56+E57)/2</f>
        <v>62.208134007047128</v>
      </c>
      <c r="F58" s="93">
        <f t="shared" ref="F58:I58" si="14">(F56+F57)/2</f>
        <v>87.221137489966225</v>
      </c>
      <c r="G58" s="93">
        <f t="shared" si="14"/>
        <v>64.53141399062028</v>
      </c>
      <c r="H58" s="93">
        <f t="shared" si="14"/>
        <v>66.433602535852415</v>
      </c>
      <c r="I58" s="93">
        <f t="shared" si="14"/>
        <v>69.352521309916256</v>
      </c>
      <c r="J58" s="114">
        <f>+(J56+J57)/2</f>
        <v>144.01506821861494</v>
      </c>
      <c r="K58" s="114"/>
      <c r="L58" s="93" t="s">
        <v>48</v>
      </c>
    </row>
    <row r="59" spans="1:12" ht="15.5" x14ac:dyDescent="0.4">
      <c r="A59" s="23"/>
      <c r="B59" s="93"/>
      <c r="C59" s="93"/>
      <c r="D59" s="93"/>
      <c r="E59" s="93"/>
      <c r="F59" s="93"/>
      <c r="G59" s="93"/>
      <c r="H59" s="93"/>
      <c r="I59" s="93"/>
      <c r="J59" s="93"/>
      <c r="K59" s="88"/>
      <c r="L59" s="88"/>
    </row>
    <row r="60" spans="1:12" ht="15.5" x14ac:dyDescent="0.4">
      <c r="A60" s="25" t="s">
        <v>30</v>
      </c>
      <c r="B60" s="93"/>
      <c r="C60" s="93"/>
      <c r="D60" s="93"/>
      <c r="E60" s="93"/>
      <c r="F60" s="93"/>
      <c r="G60" s="93"/>
      <c r="H60" s="93"/>
      <c r="I60" s="93"/>
      <c r="J60" s="93"/>
      <c r="K60" s="88"/>
      <c r="L60" s="88"/>
    </row>
    <row r="61" spans="1:12" ht="15.5" x14ac:dyDescent="0.4">
      <c r="A61" s="23" t="s">
        <v>20</v>
      </c>
      <c r="B61" s="93">
        <f>B27/B25*100</f>
        <v>100</v>
      </c>
      <c r="C61" s="114">
        <f>C27/C25*100</f>
        <v>100</v>
      </c>
      <c r="D61" s="114"/>
      <c r="E61" s="93">
        <f>E27/E25*100</f>
        <v>100</v>
      </c>
      <c r="F61" s="93">
        <f t="shared" ref="F61:I61" si="15">F27/F25*100</f>
        <v>100</v>
      </c>
      <c r="G61" s="93">
        <f t="shared" si="15"/>
        <v>100</v>
      </c>
      <c r="H61" s="93">
        <f t="shared" si="15"/>
        <v>100</v>
      </c>
      <c r="I61" s="93">
        <f t="shared" si="15"/>
        <v>100</v>
      </c>
      <c r="J61" s="114">
        <f>J27/J25*100</f>
        <v>100</v>
      </c>
      <c r="K61" s="114"/>
      <c r="L61" s="93" t="s">
        <v>48</v>
      </c>
    </row>
    <row r="62" spans="1:12" ht="15.5" x14ac:dyDescent="0.4">
      <c r="A62" s="23"/>
      <c r="B62" s="93"/>
      <c r="C62" s="93"/>
      <c r="D62" s="93"/>
      <c r="E62" s="93"/>
      <c r="F62" s="93"/>
      <c r="G62" s="93"/>
      <c r="H62" s="93"/>
      <c r="I62" s="93"/>
      <c r="J62" s="93"/>
      <c r="K62" s="88"/>
      <c r="L62" s="88"/>
    </row>
    <row r="63" spans="1:12" ht="15.5" x14ac:dyDescent="0.4">
      <c r="A63" s="25" t="s">
        <v>21</v>
      </c>
      <c r="B63" s="93"/>
      <c r="C63" s="93"/>
      <c r="D63" s="93"/>
      <c r="E63" s="93"/>
      <c r="F63" s="93"/>
      <c r="G63" s="93"/>
      <c r="H63" s="93"/>
      <c r="I63" s="93"/>
      <c r="J63" s="93"/>
      <c r="K63" s="88"/>
      <c r="L63" s="88"/>
    </row>
    <row r="64" spans="1:12" ht="15.5" x14ac:dyDescent="0.4">
      <c r="A64" s="23" t="s">
        <v>22</v>
      </c>
      <c r="B64" s="93">
        <f>((B18/B15)-1)*100</f>
        <v>2.7892281127153806</v>
      </c>
      <c r="C64" s="114">
        <f>((D18/D15)-1)*100</f>
        <v>5.3958433903300351</v>
      </c>
      <c r="D64" s="114"/>
      <c r="E64" s="93">
        <f>((E18/E15)-1)*100</f>
        <v>32.66068759342302</v>
      </c>
      <c r="F64" s="93">
        <f t="shared" ref="F64:I64" si="16">((F18/F15)-1)*100</f>
        <v>35.13513513513513</v>
      </c>
      <c r="G64" s="93">
        <f t="shared" si="16"/>
        <v>-3.2691833209967935</v>
      </c>
      <c r="H64" s="93">
        <f t="shared" si="16"/>
        <v>45.943025540275052</v>
      </c>
      <c r="I64" s="93">
        <f t="shared" si="16"/>
        <v>4.8337809056394176</v>
      </c>
      <c r="J64" s="114">
        <f>((K18/K15)-1)*100</f>
        <v>0.19159831511996739</v>
      </c>
      <c r="K64" s="114"/>
      <c r="L64" s="93" t="s">
        <v>48</v>
      </c>
    </row>
    <row r="65" spans="1:13" ht="15.5" x14ac:dyDescent="0.4">
      <c r="A65" s="23" t="s">
        <v>23</v>
      </c>
      <c r="B65" s="93">
        <f>((B40/B39)-1)*100</f>
        <v>7.2941465642478498</v>
      </c>
      <c r="C65" s="114">
        <f>((C40/C39)-1)*100</f>
        <v>-7.7909795637133961</v>
      </c>
      <c r="D65" s="114"/>
      <c r="E65" s="93">
        <f>((E40/E39)-1)*100</f>
        <v>26.88859945028095</v>
      </c>
      <c r="F65" s="93">
        <f t="shared" ref="F65:I65" si="17">((F40/F39)-1)*100</f>
        <v>31.872893312252693</v>
      </c>
      <c r="G65" s="93">
        <f t="shared" si="17"/>
        <v>-6.2200496394903881</v>
      </c>
      <c r="H65" s="93">
        <f t="shared" si="17"/>
        <v>41.730068909424986</v>
      </c>
      <c r="I65" s="93">
        <f t="shared" si="17"/>
        <v>0.28160293318495455</v>
      </c>
      <c r="J65" s="114">
        <f>((J40/J39)-1)*100</f>
        <v>-16.232281782747194</v>
      </c>
      <c r="K65" s="114"/>
      <c r="L65" s="93" t="s">
        <v>48</v>
      </c>
    </row>
    <row r="66" spans="1:13" ht="15.5" x14ac:dyDescent="0.4">
      <c r="A66" s="23" t="s">
        <v>24</v>
      </c>
      <c r="B66" s="93">
        <f>((B42/B41)-1)*100</f>
        <v>4.3826756307504322</v>
      </c>
      <c r="C66" s="114">
        <f>((C42/C41)-1)*100</f>
        <v>-12.511710642331952</v>
      </c>
      <c r="D66" s="114"/>
      <c r="E66" s="93">
        <f>((E42/E41)-1)*100</f>
        <v>-4.3510163017037033</v>
      </c>
      <c r="F66" s="93">
        <f t="shared" ref="F66:I66" si="18">((F42/F41)-1)*100</f>
        <v>-2.4140589489330067</v>
      </c>
      <c r="G66" s="93">
        <f t="shared" si="18"/>
        <v>-3.050595890538077</v>
      </c>
      <c r="H66" s="93">
        <f t="shared" si="18"/>
        <v>-2.8867132329577605</v>
      </c>
      <c r="I66" s="93">
        <f t="shared" si="18"/>
        <v>-4.3422815938994441</v>
      </c>
      <c r="J66" s="114">
        <f>((J42/J41)-1)*100</f>
        <v>-16.392472396948101</v>
      </c>
      <c r="K66" s="114"/>
      <c r="L66" s="93" t="s">
        <v>48</v>
      </c>
    </row>
    <row r="67" spans="1:13" ht="15.5" x14ac:dyDescent="0.4">
      <c r="A67" s="23"/>
      <c r="B67" s="93"/>
      <c r="C67" s="93"/>
      <c r="D67" s="93"/>
      <c r="E67" s="93"/>
      <c r="F67" s="93"/>
      <c r="G67" s="93"/>
      <c r="H67" s="93"/>
      <c r="I67" s="93"/>
      <c r="J67" s="93"/>
      <c r="K67" s="88"/>
      <c r="L67" s="88"/>
    </row>
    <row r="68" spans="1:13" ht="15.5" x14ac:dyDescent="0.4">
      <c r="A68" s="25" t="s">
        <v>25</v>
      </c>
      <c r="B68" s="93"/>
      <c r="C68" s="93"/>
      <c r="D68" s="93"/>
      <c r="E68" s="93"/>
      <c r="F68" s="93"/>
      <c r="G68" s="93"/>
      <c r="H68" s="93"/>
      <c r="I68" s="93"/>
      <c r="J68" s="93"/>
      <c r="K68" s="88"/>
      <c r="L68" s="88"/>
    </row>
    <row r="69" spans="1:13" ht="15.5" x14ac:dyDescent="0.4">
      <c r="A69" s="23" t="s">
        <v>31</v>
      </c>
      <c r="B69" s="93">
        <f>(B24/B17)*3</f>
        <v>142668.27976828243</v>
      </c>
      <c r="C69" s="114">
        <f>(C24/D17)*3</f>
        <v>105000</v>
      </c>
      <c r="D69" s="114"/>
      <c r="E69" s="93">
        <f>(E24/E17)*3</f>
        <v>300000</v>
      </c>
      <c r="F69" s="93">
        <f t="shared" ref="F69:I69" si="19">(F24/F17)*3</f>
        <v>936000</v>
      </c>
      <c r="G69" s="93">
        <f t="shared" si="19"/>
        <v>225000</v>
      </c>
      <c r="H69" s="93">
        <f t="shared" si="19"/>
        <v>225000</v>
      </c>
      <c r="I69" s="93">
        <f t="shared" si="19"/>
        <v>390000</v>
      </c>
      <c r="J69" s="114">
        <f>(J24/K17)*3</f>
        <v>54000</v>
      </c>
      <c r="K69" s="114"/>
      <c r="L69" s="93" t="s">
        <v>48</v>
      </c>
    </row>
    <row r="70" spans="1:13" ht="15.5" x14ac:dyDescent="0.4">
      <c r="A70" s="23" t="s">
        <v>32</v>
      </c>
      <c r="B70" s="93">
        <f>(B25/B19)*3</f>
        <v>94687.038021722212</v>
      </c>
      <c r="C70" s="114">
        <f>(C25/D19)*3</f>
        <v>76470.64998981668</v>
      </c>
      <c r="D70" s="114"/>
      <c r="E70" s="93">
        <f>(E25/E19)*3</f>
        <v>308746.65863937384</v>
      </c>
      <c r="F70" s="93">
        <f t="shared" ref="F70:I70" si="20">(F25/F19)*3</f>
        <v>815602.9411764706</v>
      </c>
      <c r="G70" s="93">
        <f t="shared" si="20"/>
        <v>307748.69580859866</v>
      </c>
      <c r="H70" s="93">
        <f t="shared" si="20"/>
        <v>232027.67729271046</v>
      </c>
      <c r="I70" s="93">
        <f t="shared" si="20"/>
        <v>388803.04216622323</v>
      </c>
      <c r="J70" s="114">
        <f>(J25/K19)*3</f>
        <v>20155.641921580114</v>
      </c>
      <c r="K70" s="114"/>
      <c r="L70" s="93" t="s">
        <v>48</v>
      </c>
    </row>
    <row r="71" spans="1:13" ht="15.5" x14ac:dyDescent="0.4">
      <c r="A71" s="23" t="s">
        <v>26</v>
      </c>
      <c r="B71" s="89" t="s">
        <v>56</v>
      </c>
      <c r="C71" s="114">
        <f>(C70/C69)*D53</f>
        <v>80.757289865143989</v>
      </c>
      <c r="D71" s="114"/>
      <c r="E71" s="93">
        <f>(E70/E69)*E53</f>
        <v>97.76493061053894</v>
      </c>
      <c r="F71" s="93">
        <f t="shared" ref="F71:I71" si="21">(F70/F69)*F53</f>
        <v>106.72870782202705</v>
      </c>
      <c r="G71" s="93">
        <f t="shared" si="21"/>
        <v>139.91573969373823</v>
      </c>
      <c r="H71" s="93">
        <f t="shared" si="21"/>
        <v>108.10232253008441</v>
      </c>
      <c r="I71" s="93">
        <f t="shared" si="21"/>
        <v>102.05635013603066</v>
      </c>
      <c r="J71" s="114">
        <f>(J70/J69)*K53</f>
        <v>66.279854864322218</v>
      </c>
      <c r="K71" s="114"/>
      <c r="L71" s="93" t="s">
        <v>48</v>
      </c>
    </row>
    <row r="72" spans="1:13" ht="15.5" x14ac:dyDescent="0.4">
      <c r="A72" s="23" t="s">
        <v>33</v>
      </c>
      <c r="B72" s="93">
        <f>B24/B17</f>
        <v>47556.093256094144</v>
      </c>
      <c r="C72" s="114">
        <f>C24/D17</f>
        <v>35000</v>
      </c>
      <c r="D72" s="114"/>
      <c r="E72" s="93">
        <f>E24/E17</f>
        <v>100000</v>
      </c>
      <c r="F72" s="93">
        <f>F24/F17</f>
        <v>312000</v>
      </c>
      <c r="G72" s="93">
        <f t="shared" ref="G72:I72" si="22">G24/G17</f>
        <v>75000</v>
      </c>
      <c r="H72" s="93">
        <f t="shared" si="22"/>
        <v>75000</v>
      </c>
      <c r="I72" s="93">
        <f t="shared" si="22"/>
        <v>130000</v>
      </c>
      <c r="J72" s="114">
        <f>J24/K17</f>
        <v>18000</v>
      </c>
      <c r="K72" s="114"/>
      <c r="L72" s="93" t="s">
        <v>48</v>
      </c>
    </row>
    <row r="73" spans="1:13" ht="15.5" x14ac:dyDescent="0.4">
      <c r="A73" s="23" t="s">
        <v>34</v>
      </c>
      <c r="B73" s="93">
        <f>B25/B19</f>
        <v>31562.346007240736</v>
      </c>
      <c r="C73" s="114">
        <f>C25/D19</f>
        <v>25490.216663272226</v>
      </c>
      <c r="D73" s="114"/>
      <c r="E73" s="93">
        <f>E25/E19</f>
        <v>102915.55287979128</v>
      </c>
      <c r="F73" s="93">
        <f>F25/F19</f>
        <v>271867.64705882355</v>
      </c>
      <c r="G73" s="93">
        <f t="shared" ref="G73:I73" si="23">G25/G19</f>
        <v>102582.89860286622</v>
      </c>
      <c r="H73" s="93">
        <f t="shared" si="23"/>
        <v>77342.559097570149</v>
      </c>
      <c r="I73" s="93">
        <f t="shared" si="23"/>
        <v>129601.01405540774</v>
      </c>
      <c r="J73" s="114">
        <f>J25/K19</f>
        <v>6718.5473071933711</v>
      </c>
      <c r="K73" s="114"/>
      <c r="L73" s="93" t="s">
        <v>48</v>
      </c>
    </row>
    <row r="74" spans="1:13" ht="15.5" x14ac:dyDescent="0.4">
      <c r="A74" s="23"/>
      <c r="B74" s="93"/>
      <c r="C74" s="93"/>
      <c r="D74" s="93"/>
      <c r="E74" s="93"/>
      <c r="F74" s="93"/>
      <c r="G74" s="93"/>
      <c r="H74" s="93"/>
      <c r="I74" s="93"/>
      <c r="J74" s="93"/>
      <c r="K74" s="88"/>
      <c r="L74" s="88"/>
    </row>
    <row r="75" spans="1:13" ht="15.5" x14ac:dyDescent="0.4">
      <c r="A75" s="25" t="s">
        <v>27</v>
      </c>
      <c r="B75" s="93"/>
      <c r="C75" s="93"/>
      <c r="D75" s="93"/>
      <c r="E75" s="93"/>
      <c r="F75" s="93"/>
      <c r="G75" s="93"/>
      <c r="H75" s="93"/>
      <c r="I75" s="93"/>
      <c r="J75" s="93"/>
      <c r="K75" s="88"/>
      <c r="L75" s="88"/>
    </row>
    <row r="76" spans="1:13" ht="15.5" x14ac:dyDescent="0.4">
      <c r="A76" s="23" t="s">
        <v>28</v>
      </c>
      <c r="B76" s="93">
        <f>(B31/B30)*100</f>
        <v>98.180723057842499</v>
      </c>
      <c r="C76" s="93"/>
      <c r="D76" s="93"/>
      <c r="E76" s="93"/>
      <c r="F76" s="93"/>
      <c r="G76" s="93"/>
      <c r="H76" s="93"/>
      <c r="I76" s="93"/>
      <c r="J76" s="93"/>
      <c r="K76" s="88"/>
      <c r="L76" s="88"/>
    </row>
    <row r="77" spans="1:13" ht="15.5" x14ac:dyDescent="0.4">
      <c r="A77" s="23" t="s">
        <v>29</v>
      </c>
      <c r="B77" s="93">
        <f>(B25/B31)*100</f>
        <v>100.50625376792586</v>
      </c>
      <c r="C77" s="93"/>
      <c r="D77" s="93"/>
      <c r="E77" s="93"/>
      <c r="F77" s="93"/>
      <c r="G77" s="93"/>
      <c r="H77" s="93"/>
      <c r="I77" s="93"/>
      <c r="J77" s="93"/>
      <c r="K77" s="88"/>
      <c r="L77" s="88"/>
    </row>
    <row r="78" spans="1:13" ht="16" thickBot="1" x14ac:dyDescent="0.45">
      <c r="A78" s="48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</row>
    <row r="79" spans="1:13" s="5" customFormat="1" ht="16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23"/>
      <c r="B80" s="63"/>
      <c r="C80" s="63"/>
      <c r="D80" s="63"/>
      <c r="E80" s="63"/>
      <c r="F80" s="39"/>
      <c r="G80" s="39"/>
      <c r="H80" s="39"/>
      <c r="I80" s="39"/>
      <c r="J80" s="39"/>
      <c r="K80" s="39"/>
      <c r="L80" s="39"/>
    </row>
    <row r="81" spans="1:1" x14ac:dyDescent="0.35">
      <c r="A81" s="19"/>
    </row>
    <row r="82" spans="1:1" x14ac:dyDescent="0.35">
      <c r="A82" s="15"/>
    </row>
    <row r="83" spans="1:1" x14ac:dyDescent="0.35">
      <c r="A83" s="5"/>
    </row>
    <row r="84" spans="1:1" x14ac:dyDescent="0.35">
      <c r="A84" s="5"/>
    </row>
    <row r="85" spans="1:1" x14ac:dyDescent="0.35">
      <c r="A85" s="5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6"/>
    </row>
    <row r="90" spans="1:1" x14ac:dyDescent="0.35">
      <c r="A90" s="6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7"/>
    </row>
  </sheetData>
  <mergeCells count="55">
    <mergeCell ref="A79:F79"/>
    <mergeCell ref="J23:K23"/>
    <mergeCell ref="J24:K24"/>
    <mergeCell ref="J25:K25"/>
    <mergeCell ref="J26:K26"/>
    <mergeCell ref="J27:K27"/>
    <mergeCell ref="C39:D39"/>
    <mergeCell ref="C40:D40"/>
    <mergeCell ref="C41:D41"/>
    <mergeCell ref="C42:D42"/>
    <mergeCell ref="C27:D27"/>
    <mergeCell ref="C36:D36"/>
    <mergeCell ref="C26:D26"/>
    <mergeCell ref="C24:D24"/>
    <mergeCell ref="C72:D72"/>
    <mergeCell ref="C73:D73"/>
    <mergeCell ref="B9:B10"/>
    <mergeCell ref="C23:D23"/>
    <mergeCell ref="C25:D25"/>
    <mergeCell ref="C10:D10"/>
    <mergeCell ref="A9:A10"/>
    <mergeCell ref="C9:L9"/>
    <mergeCell ref="J10:K10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61:D61"/>
    <mergeCell ref="J40:K40"/>
    <mergeCell ref="J39:K39"/>
    <mergeCell ref="J41:K41"/>
    <mergeCell ref="J42:K42"/>
    <mergeCell ref="J69:K69"/>
    <mergeCell ref="J61:K61"/>
    <mergeCell ref="J58:K58"/>
    <mergeCell ref="J57:K57"/>
    <mergeCell ref="J56:K56"/>
    <mergeCell ref="J48:K48"/>
    <mergeCell ref="J47:K47"/>
    <mergeCell ref="J52:K52"/>
    <mergeCell ref="J70:K70"/>
    <mergeCell ref="J71:K71"/>
    <mergeCell ref="J72:K72"/>
    <mergeCell ref="J73:K73"/>
    <mergeCell ref="J64:K64"/>
    <mergeCell ref="J65:K65"/>
    <mergeCell ref="J66:K66"/>
  </mergeCells>
  <pageMargins left="0.7" right="0.7" top="0.75" bottom="0.75" header="0.3" footer="0.3"/>
  <pageSetup paperSize="9" orientation="portrait" r:id="rId1"/>
  <ignoredErrors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customWidth="1"/>
    <col min="2" max="12" width="18.7265625" customWidth="1"/>
  </cols>
  <sheetData>
    <row r="1" spans="1:13" s="14" customFormat="1" x14ac:dyDescent="0.35"/>
    <row r="2" spans="1:13" s="14" customFormat="1" x14ac:dyDescent="0.35"/>
    <row r="3" spans="1:13" s="14" customFormat="1" x14ac:dyDescent="0.35"/>
    <row r="4" spans="1:13" s="14" customFormat="1" x14ac:dyDescent="0.35"/>
    <row r="5" spans="1:13" s="14" customFormat="1" x14ac:dyDescent="0.35"/>
    <row r="6" spans="1:13" s="14" customFormat="1" x14ac:dyDescent="0.35"/>
    <row r="7" spans="1:13" s="14" customFormat="1" x14ac:dyDescent="0.35"/>
    <row r="8" spans="1:13" s="14" customFormat="1" ht="17.25" customHeight="1" x14ac:dyDescent="0.35"/>
    <row r="9" spans="1:13" s="5" customFormat="1" ht="21.75" customHeight="1" x14ac:dyDescent="0.35">
      <c r="A9" s="97" t="s">
        <v>0</v>
      </c>
      <c r="B9" s="99" t="s">
        <v>58</v>
      </c>
      <c r="C9" s="105" t="s">
        <v>59</v>
      </c>
      <c r="D9" s="105"/>
      <c r="E9" s="105"/>
      <c r="F9" s="105"/>
      <c r="G9" s="105"/>
      <c r="H9" s="105"/>
      <c r="I9" s="105"/>
      <c r="J9" s="105"/>
      <c r="K9" s="105"/>
      <c r="L9" s="105"/>
    </row>
    <row r="10" spans="1:13" s="5" customFormat="1" ht="51.75" customHeight="1" thickBot="1" x14ac:dyDescent="0.4">
      <c r="A10" s="98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60</v>
      </c>
      <c r="J10" s="106" t="s">
        <v>61</v>
      </c>
      <c r="K10" s="106"/>
      <c r="L10" s="82" t="s">
        <v>54</v>
      </c>
    </row>
    <row r="11" spans="1:13" s="14" customFormat="1" ht="16" thickTop="1" x14ac:dyDescent="0.4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3" s="14" customFormat="1" ht="15.5" x14ac:dyDescent="0.4">
      <c r="A12" s="25" t="s">
        <v>2</v>
      </c>
      <c r="B12" s="39"/>
      <c r="C12" s="39"/>
      <c r="D12" s="40"/>
      <c r="E12" s="40"/>
      <c r="F12" s="39"/>
      <c r="G12" s="39"/>
      <c r="H12" s="39"/>
      <c r="I12" s="39"/>
      <c r="J12" s="39"/>
      <c r="K12" s="39"/>
      <c r="L12" s="39"/>
      <c r="M12" s="39"/>
    </row>
    <row r="13" spans="1:13" s="14" customFormat="1" ht="15.5" x14ac:dyDescent="0.4">
      <c r="A13" s="23"/>
      <c r="B13" s="39"/>
      <c r="C13" s="39"/>
      <c r="D13" s="40"/>
      <c r="E13" s="40"/>
      <c r="F13" s="39"/>
      <c r="G13" s="39"/>
      <c r="H13" s="39"/>
      <c r="I13" s="39"/>
      <c r="J13" s="39"/>
      <c r="K13" s="39"/>
      <c r="L13" s="39"/>
      <c r="M13" s="39"/>
    </row>
    <row r="14" spans="1:13" s="14" customFormat="1" ht="15.5" x14ac:dyDescent="0.4">
      <c r="A14" s="25" t="s">
        <v>41</v>
      </c>
      <c r="B14" s="26" t="s">
        <v>57</v>
      </c>
      <c r="C14" s="26" t="s">
        <v>42</v>
      </c>
      <c r="D14" s="26" t="s">
        <v>43</v>
      </c>
      <c r="E14" s="26" t="s">
        <v>42</v>
      </c>
      <c r="F14" s="26" t="s">
        <v>42</v>
      </c>
      <c r="G14" s="26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  <c r="M14" s="39"/>
    </row>
    <row r="15" spans="1:13" s="14" customFormat="1" ht="15.5" x14ac:dyDescent="0.4">
      <c r="A15" s="28" t="s">
        <v>80</v>
      </c>
      <c r="B15" s="92">
        <v>313492</v>
      </c>
      <c r="C15" s="92">
        <v>137169</v>
      </c>
      <c r="D15" s="92">
        <v>172308</v>
      </c>
      <c r="E15" s="92">
        <v>1413</v>
      </c>
      <c r="F15" s="92">
        <v>117</v>
      </c>
      <c r="G15" s="92">
        <v>8603</v>
      </c>
      <c r="H15" s="92">
        <v>111195</v>
      </c>
      <c r="I15" s="92">
        <v>24832</v>
      </c>
      <c r="J15" s="92">
        <v>163569</v>
      </c>
      <c r="K15" s="92">
        <v>215846</v>
      </c>
      <c r="L15" s="90" t="s">
        <v>48</v>
      </c>
      <c r="M15" s="39"/>
    </row>
    <row r="16" spans="1:13" s="14" customFormat="1" ht="15.5" x14ac:dyDescent="0.4">
      <c r="A16" s="28" t="s">
        <v>118</v>
      </c>
      <c r="B16" s="92" t="str">
        <f>'[1]III Trimestre'!B16</f>
        <v>n.d</v>
      </c>
      <c r="C16" s="92" t="str">
        <f>'[1]III Trimestre'!C16</f>
        <v>n.d</v>
      </c>
      <c r="D16" s="92">
        <f>'[1]III Trimestre'!D16</f>
        <v>126956</v>
      </c>
      <c r="E16" s="92">
        <f>'[1]III Trimestre'!E16</f>
        <v>1834</v>
      </c>
      <c r="F16" s="92">
        <f>'[1]III Trimestre'!F16</f>
        <v>106</v>
      </c>
      <c r="G16" s="92">
        <f>'[1]III Trimestre'!G16</f>
        <v>7549</v>
      </c>
      <c r="H16" s="92">
        <f>'[1]III Trimestre'!H16</f>
        <v>86945</v>
      </c>
      <c r="I16" s="92">
        <f>'[1]III Trimestre'!I16</f>
        <v>21429</v>
      </c>
      <c r="J16" s="92" t="str">
        <f>'[1]III Trimestre'!J16</f>
        <v xml:space="preserve">n.d. </v>
      </c>
      <c r="K16" s="92">
        <f>'[1]III Trimestre'!K16</f>
        <v>77222</v>
      </c>
      <c r="L16" s="92" t="str">
        <f>'[1]III Trimestre'!L16</f>
        <v>n.d.</v>
      </c>
      <c r="M16" s="39"/>
    </row>
    <row r="17" spans="1:13" s="14" customFormat="1" ht="15.5" x14ac:dyDescent="0.4">
      <c r="A17" s="28" t="s">
        <v>55</v>
      </c>
      <c r="B17" s="92">
        <f>+'I Trimestre'!B17+'II Trimestre'!B17+'III Trimestre'!B17</f>
        <v>2625901</v>
      </c>
      <c r="C17" s="92" t="str">
        <f>'III Trimestre'!C17</f>
        <v>n.d</v>
      </c>
      <c r="D17" s="92">
        <f>+'I Trimestre'!D17+'II Trimestre'!D17+'III Trimestre'!D17</f>
        <v>1101723</v>
      </c>
      <c r="E17" s="92">
        <f>+'I Trimestre'!E17+'II Trimestre'!E17+'III Trimestre'!E17</f>
        <v>14441</v>
      </c>
      <c r="F17" s="92">
        <f>+'I Trimestre'!F17+'II Trimestre'!F17+'III Trimestre'!F17</f>
        <v>1978</v>
      </c>
      <c r="G17" s="92">
        <f>+'I Trimestre'!G17+'II Trimestre'!G17+'III Trimestre'!G17</f>
        <v>67889</v>
      </c>
      <c r="H17" s="92">
        <f>+'I Trimestre'!H17+'II Trimestre'!H17+'III Trimestre'!H17</f>
        <v>556039</v>
      </c>
      <c r="I17" s="92">
        <f>+'I Trimestre'!I17+'II Trimestre'!I17+'III Trimestre'!I17</f>
        <v>192602</v>
      </c>
      <c r="J17" s="92" t="str">
        <f>'III Trimestre'!J17</f>
        <v xml:space="preserve">n.d. </v>
      </c>
      <c r="K17" s="92">
        <f>+'I Trimestre'!K17+'II Trimestre'!K17+'III Trimestre'!K17</f>
        <v>691229</v>
      </c>
      <c r="L17" s="92" t="str">
        <f>'III Trimestre'!L17</f>
        <v>n.d.</v>
      </c>
      <c r="M17" s="39"/>
    </row>
    <row r="18" spans="1:13" s="14" customFormat="1" ht="15.5" x14ac:dyDescent="0.4">
      <c r="A18" s="28" t="s">
        <v>119</v>
      </c>
      <c r="B18" s="92">
        <v>296218</v>
      </c>
      <c r="C18" s="92">
        <v>139170</v>
      </c>
      <c r="D18" s="92">
        <v>174458</v>
      </c>
      <c r="E18" s="92">
        <v>1803</v>
      </c>
      <c r="F18" s="92">
        <v>155</v>
      </c>
      <c r="G18" s="92">
        <v>8197</v>
      </c>
      <c r="H18" s="92">
        <v>106475</v>
      </c>
      <c r="I18" s="92">
        <v>24638</v>
      </c>
      <c r="J18" s="92">
        <v>152020</v>
      </c>
      <c r="K18" s="92">
        <v>209346</v>
      </c>
      <c r="L18" s="90" t="s">
        <v>48</v>
      </c>
      <c r="M18" s="39"/>
    </row>
    <row r="19" spans="1:13" s="14" customFormat="1" ht="15.5" x14ac:dyDescent="0.4">
      <c r="A19" s="28" t="s">
        <v>55</v>
      </c>
      <c r="B19" s="92">
        <f>+'I Trimestre'!B19+'II Trimestre'!B19+'III Trimestre'!B19</f>
        <v>3583936</v>
      </c>
      <c r="C19" s="92" t="str">
        <f>'III Trimestre'!C19</f>
        <v>n.d</v>
      </c>
      <c r="D19" s="92">
        <f>+'I Trimestre'!D19+'II Trimestre'!D19+'III Trimestre'!D19</f>
        <v>1264109</v>
      </c>
      <c r="E19" s="92">
        <f>+'I Trimestre'!E19+'II Trimestre'!E19+'III Trimestre'!E19</f>
        <v>11080</v>
      </c>
      <c r="F19" s="92">
        <f>+'I Trimestre'!F19+'II Trimestre'!F19+'III Trimestre'!F19</f>
        <v>739</v>
      </c>
      <c r="G19" s="92">
        <f>+'I Trimestre'!G19+'II Trimestre'!G19+'III Trimestre'!G19</f>
        <v>60581</v>
      </c>
      <c r="H19" s="92">
        <f>+'I Trimestre'!H19+'II Trimestre'!H19+'III Trimestre'!H19</f>
        <v>494325</v>
      </c>
      <c r="I19" s="92">
        <f>+'I Trimestre'!I19+'II Trimestre'!I19+'III Trimestre'!I19</f>
        <v>182765</v>
      </c>
      <c r="J19" s="92" t="str">
        <f>'III Trimestre'!J19</f>
        <v xml:space="preserve">n.d. </v>
      </c>
      <c r="K19" s="92">
        <f>+'I Trimestre'!K19+'II Trimestre'!K19+'III Trimestre'!K19</f>
        <v>1570337</v>
      </c>
      <c r="L19" s="92" t="str">
        <f>'III Trimestre'!L19</f>
        <v>n.d.</v>
      </c>
      <c r="M19" s="39"/>
    </row>
    <row r="20" spans="1:13" s="14" customFormat="1" ht="15.5" x14ac:dyDescent="0.4">
      <c r="A20" s="28" t="s">
        <v>94</v>
      </c>
      <c r="B20" s="92" t="str">
        <f>'III Trimestre'!B20</f>
        <v>n.d</v>
      </c>
      <c r="C20" s="92" t="str">
        <f>'III Trimestre'!C20</f>
        <v>n.d</v>
      </c>
      <c r="D20" s="92">
        <f>'III Trimestre'!D20</f>
        <v>126957</v>
      </c>
      <c r="E20" s="92">
        <f>'III Trimestre'!E20</f>
        <v>1835</v>
      </c>
      <c r="F20" s="92">
        <f>'III Trimestre'!F20</f>
        <v>106</v>
      </c>
      <c r="G20" s="92">
        <f>'III Trimestre'!G20</f>
        <v>7549</v>
      </c>
      <c r="H20" s="92">
        <f>'III Trimestre'!H20</f>
        <v>86945</v>
      </c>
      <c r="I20" s="92">
        <f>'III Trimestre'!I20</f>
        <v>21429</v>
      </c>
      <c r="J20" s="92" t="str">
        <f>'III Trimestre'!J20</f>
        <v xml:space="preserve">n.d. </v>
      </c>
      <c r="K20" s="92">
        <f>'III Trimestre'!K20</f>
        <v>77223</v>
      </c>
      <c r="L20" s="92" t="str">
        <f>'III Trimestre'!L20</f>
        <v>n.d.</v>
      </c>
      <c r="M20" s="39"/>
    </row>
    <row r="21" spans="1:13" s="14" customFormat="1" ht="15.5" x14ac:dyDescent="0.4">
      <c r="A21" s="23"/>
      <c r="B21" s="92"/>
      <c r="C21" s="92"/>
      <c r="D21" s="92"/>
      <c r="E21" s="92"/>
      <c r="F21" s="92"/>
      <c r="G21" s="92"/>
      <c r="H21" s="92"/>
      <c r="I21" s="92"/>
      <c r="J21" s="92"/>
      <c r="K21" s="51"/>
      <c r="L21" s="51"/>
      <c r="M21" s="39"/>
    </row>
    <row r="22" spans="1:13" s="14" customFormat="1" ht="15.5" x14ac:dyDescent="0.4">
      <c r="A22" s="30" t="s">
        <v>3</v>
      </c>
      <c r="B22" s="92"/>
      <c r="C22" s="92"/>
      <c r="D22" s="92"/>
      <c r="E22" s="92"/>
      <c r="F22" s="92"/>
      <c r="G22" s="92"/>
      <c r="H22" s="92"/>
      <c r="I22" s="92"/>
      <c r="J22" s="92"/>
      <c r="K22" s="51"/>
      <c r="L22" s="51"/>
      <c r="M22" s="39"/>
    </row>
    <row r="23" spans="1:13" s="14" customFormat="1" ht="15.5" x14ac:dyDescent="0.4">
      <c r="A23" s="28" t="s">
        <v>80</v>
      </c>
      <c r="B23" s="92">
        <f>+C23+E23+F23+G23+H23+I23+J23+L23</f>
        <v>112572471773.05</v>
      </c>
      <c r="C23" s="113">
        <f>'I Trimestre'!C23:D23+'II Trimestre'!C23:D23+'III Trimestre'!C23:D23</f>
        <v>35624629000</v>
      </c>
      <c r="D23" s="113"/>
      <c r="E23" s="92">
        <f>'I Trimestre'!E23+'II Trimestre'!E23+'III Trimestre'!E23</f>
        <v>1123108220</v>
      </c>
      <c r="F23" s="92">
        <f>'I Trimestre'!F23+'II Trimestre'!F23+'III Trimestre'!F23</f>
        <v>159269500</v>
      </c>
      <c r="G23" s="92">
        <f>'I Trimestre'!G23+'II Trimestre'!G23+'III Trimestre'!G23</f>
        <v>5377020293</v>
      </c>
      <c r="H23" s="92">
        <f>'I Trimestre'!H23+'II Trimestre'!H23+'III Trimestre'!H23</f>
        <v>41062163290.050003</v>
      </c>
      <c r="I23" s="92">
        <f>'I Trimestre'!I23+'II Trimestre'!I23+'III Trimestre'!I23</f>
        <v>24370335470.000004</v>
      </c>
      <c r="J23" s="113">
        <f>'III Trimestre'!J23</f>
        <v>4505946000</v>
      </c>
      <c r="K23" s="113"/>
      <c r="L23" s="92">
        <f>+'I Trimestre'!L23</f>
        <v>350000000</v>
      </c>
      <c r="M23" s="39"/>
    </row>
    <row r="24" spans="1:13" s="14" customFormat="1" ht="15.5" x14ac:dyDescent="0.4">
      <c r="A24" s="28" t="s">
        <v>118</v>
      </c>
      <c r="B24" s="92">
        <f>+C24+E24+F24+G24+H24+I24+J24</f>
        <v>124489852000</v>
      </c>
      <c r="C24" s="113">
        <f>'I Trimestre'!C24:D24+'II Trimestre'!C24:D24+'III Trimestre'!C24:D24</f>
        <v>38560305000</v>
      </c>
      <c r="D24" s="113"/>
      <c r="E24" s="92">
        <f>'I Trimestre'!E24+'II Trimestre'!E24+'III Trimestre'!E24</f>
        <v>1444100000</v>
      </c>
      <c r="F24" s="92">
        <f>'I Trimestre'!F24+'II Trimestre'!F24+'III Trimestre'!F24</f>
        <v>210465000</v>
      </c>
      <c r="G24" s="92">
        <f>'I Trimestre'!G24+'II Trimestre'!G24+'III Trimestre'!G24</f>
        <v>5091675000</v>
      </c>
      <c r="H24" s="92">
        <f>'I Trimestre'!H24+'II Trimestre'!H24+'III Trimestre'!H24</f>
        <v>41702925000</v>
      </c>
      <c r="I24" s="92">
        <f>'I Trimestre'!I24+'II Trimestre'!I24+'III Trimestre'!I24</f>
        <v>25038260000</v>
      </c>
      <c r="J24" s="113">
        <f>+'I Trimestre'!J24:K24+'II Trimestre'!J24:K24+'III Trimestre'!J24:K24</f>
        <v>12442122000</v>
      </c>
      <c r="K24" s="113"/>
      <c r="L24" s="92" t="s">
        <v>48</v>
      </c>
      <c r="M24" s="39"/>
    </row>
    <row r="25" spans="1:13" s="14" customFormat="1" ht="15.5" x14ac:dyDescent="0.4">
      <c r="A25" s="28" t="s">
        <v>119</v>
      </c>
      <c r="B25" s="92">
        <f>+C25+E25+F25+G25+H25+I25+J25+L25</f>
        <v>113878762241.39999</v>
      </c>
      <c r="C25" s="113">
        <f>'I Trimestre'!C25:D25+'II Trimestre'!C25:D25+'III Trimestre'!C25:D25</f>
        <v>34946639000</v>
      </c>
      <c r="D25" s="113"/>
      <c r="E25" s="92">
        <f>'I Trimestre'!E25+'II Trimestre'!E25+'III Trimestre'!E25</f>
        <v>1264665700</v>
      </c>
      <c r="F25" s="92">
        <f>'I Trimestre'!F25+'II Trimestre'!F25+'III Trimestre'!F25</f>
        <v>209843300</v>
      </c>
      <c r="G25" s="92">
        <f>'I Trimestre'!G25+'II Trimestre'!G25+'III Trimestre'!G25</f>
        <v>5034743000</v>
      </c>
      <c r="H25" s="92">
        <f>'I Trimestre'!H25+'II Trimestre'!H25+'III Trimestre'!H25</f>
        <v>37161253376.400002</v>
      </c>
      <c r="I25" s="92">
        <f>'I Trimestre'!I25+'II Trimestre'!I25+'III Trimestre'!I25</f>
        <v>23648773865</v>
      </c>
      <c r="J25" s="113">
        <f>+'I Trimestre'!J25:K25+'II Trimestre'!J25:K25+'III Trimestre'!J25:K25</f>
        <v>11262844000</v>
      </c>
      <c r="K25" s="113"/>
      <c r="L25" s="92">
        <f>+'I Trimestre'!L25+'III Trimestre'!L25</f>
        <v>350000000</v>
      </c>
      <c r="M25" s="39"/>
    </row>
    <row r="26" spans="1:13" s="14" customFormat="1" ht="15.5" x14ac:dyDescent="0.4">
      <c r="A26" s="28" t="s">
        <v>94</v>
      </c>
      <c r="B26" s="92">
        <f>+C26+E26+F26+G26+H26+I26+J26</f>
        <v>148212142000</v>
      </c>
      <c r="C26" s="113">
        <f>'III Trimestre'!C26</f>
        <v>47477290000</v>
      </c>
      <c r="D26" s="113"/>
      <c r="E26" s="92">
        <f>'III Trimestre'!E26</f>
        <v>1852300000</v>
      </c>
      <c r="F26" s="92">
        <f>'III Trimestre'!F26</f>
        <v>308745000</v>
      </c>
      <c r="G26" s="92">
        <f>'III Trimestre'!G26</f>
        <v>6790200000</v>
      </c>
      <c r="H26" s="92">
        <f>'III Trimestre'!H26</f>
        <v>51490125000</v>
      </c>
      <c r="I26" s="92">
        <f>'III Trimestre'!I26</f>
        <v>25057760000</v>
      </c>
      <c r="J26" s="113">
        <f>'III Trimestre'!J26</f>
        <v>15235722000</v>
      </c>
      <c r="K26" s="113"/>
      <c r="L26" s="92" t="str">
        <f>'III Trimestre'!L26</f>
        <v>n.d.</v>
      </c>
      <c r="M26" s="39"/>
    </row>
    <row r="27" spans="1:13" s="14" customFormat="1" ht="15.5" x14ac:dyDescent="0.4">
      <c r="A27" s="28" t="s">
        <v>120</v>
      </c>
      <c r="B27" s="92">
        <f>+C27+E27+F27+G27+H27+I27+J27+L27</f>
        <v>113878762241.39999</v>
      </c>
      <c r="C27" s="113">
        <f>C25</f>
        <v>34946639000</v>
      </c>
      <c r="D27" s="113"/>
      <c r="E27" s="92">
        <f t="shared" ref="E27:J27" si="0">E25</f>
        <v>1264665700</v>
      </c>
      <c r="F27" s="92">
        <f t="shared" si="0"/>
        <v>209843300</v>
      </c>
      <c r="G27" s="92">
        <f t="shared" si="0"/>
        <v>5034743000</v>
      </c>
      <c r="H27" s="92">
        <f t="shared" si="0"/>
        <v>37161253376.400002</v>
      </c>
      <c r="I27" s="92">
        <f t="shared" si="0"/>
        <v>23648773865</v>
      </c>
      <c r="J27" s="113">
        <f t="shared" si="0"/>
        <v>11262844000</v>
      </c>
      <c r="K27" s="113"/>
      <c r="L27" s="92">
        <f t="shared" ref="L27" si="1">L25</f>
        <v>350000000</v>
      </c>
      <c r="M27" s="39"/>
    </row>
    <row r="28" spans="1:13" s="14" customFormat="1" ht="15.5" x14ac:dyDescent="0.4">
      <c r="A28" s="23"/>
      <c r="B28" s="92"/>
      <c r="C28" s="92"/>
      <c r="D28" s="92"/>
      <c r="E28" s="92"/>
      <c r="F28" s="92"/>
      <c r="G28" s="92"/>
      <c r="H28" s="92"/>
      <c r="I28" s="92"/>
      <c r="J28" s="92"/>
      <c r="K28" s="51"/>
      <c r="L28" s="51"/>
      <c r="M28" s="39"/>
    </row>
    <row r="29" spans="1:13" s="14" customFormat="1" ht="15.5" x14ac:dyDescent="0.4">
      <c r="A29" s="30" t="s">
        <v>4</v>
      </c>
      <c r="B29" s="92"/>
      <c r="C29" s="92"/>
      <c r="D29" s="92"/>
      <c r="E29" s="92"/>
      <c r="F29" s="92"/>
      <c r="G29" s="92"/>
      <c r="H29" s="92"/>
      <c r="I29" s="92"/>
      <c r="J29" s="92"/>
      <c r="K29" s="51"/>
      <c r="L29" s="51"/>
      <c r="M29" s="39"/>
    </row>
    <row r="30" spans="1:13" s="14" customFormat="1" ht="15.5" x14ac:dyDescent="0.4">
      <c r="A30" s="28" t="s">
        <v>118</v>
      </c>
      <c r="B30" s="92">
        <f>'I Trimestre'!B30+'II Trimestre'!B30+'III Trimestre'!B30</f>
        <v>124489852000</v>
      </c>
      <c r="C30" s="92"/>
      <c r="D30" s="92"/>
      <c r="E30" s="92"/>
      <c r="F30" s="92"/>
      <c r="G30" s="92"/>
      <c r="H30" s="92"/>
      <c r="I30" s="92"/>
      <c r="J30" s="92"/>
      <c r="K30" s="51"/>
      <c r="L30" s="51"/>
      <c r="M30" s="39"/>
    </row>
    <row r="31" spans="1:13" s="14" customFormat="1" ht="15.5" x14ac:dyDescent="0.4">
      <c r="A31" s="28" t="s">
        <v>119</v>
      </c>
      <c r="B31" s="92">
        <f>'I Trimestre'!B31+'II Trimestre'!B31+'III Trimestre'!B31</f>
        <v>120425433374.84</v>
      </c>
      <c r="C31" s="92"/>
      <c r="D31" s="92"/>
      <c r="E31" s="92"/>
      <c r="F31" s="92"/>
      <c r="G31" s="92"/>
      <c r="H31" s="92"/>
      <c r="I31" s="92"/>
      <c r="J31" s="92"/>
      <c r="K31" s="51"/>
      <c r="L31" s="51"/>
      <c r="M31" s="39"/>
    </row>
    <row r="32" spans="1:13" s="2" customFormat="1" ht="15.5" x14ac:dyDescent="0.4">
      <c r="A32" s="23"/>
      <c r="B32" s="52"/>
      <c r="C32" s="52"/>
      <c r="D32" s="52"/>
      <c r="E32" s="52"/>
      <c r="F32" s="52"/>
      <c r="G32" s="52"/>
      <c r="H32" s="52"/>
      <c r="I32" s="52"/>
      <c r="J32" s="52"/>
      <c r="K32" s="58"/>
      <c r="L32" s="58"/>
      <c r="M32" s="39"/>
    </row>
    <row r="33" spans="1:13" s="2" customFormat="1" ht="15.5" x14ac:dyDescent="0.4">
      <c r="A33" s="25" t="s">
        <v>5</v>
      </c>
      <c r="B33" s="52"/>
      <c r="C33" s="52"/>
      <c r="D33" s="52"/>
      <c r="E33" s="52"/>
      <c r="F33" s="52"/>
      <c r="G33" s="52"/>
      <c r="H33" s="52"/>
      <c r="I33" s="52"/>
      <c r="J33" s="52"/>
      <c r="K33" s="58"/>
      <c r="L33" s="58"/>
      <c r="M33" s="39"/>
    </row>
    <row r="34" spans="1:13" s="2" customFormat="1" ht="15.5" x14ac:dyDescent="0.4">
      <c r="A34" s="28" t="s">
        <v>81</v>
      </c>
      <c r="B34" s="96">
        <v>1.0641</v>
      </c>
      <c r="C34" s="96">
        <v>1.0641</v>
      </c>
      <c r="D34" s="96">
        <v>1.0641</v>
      </c>
      <c r="E34" s="96">
        <v>1.0641</v>
      </c>
      <c r="F34" s="96">
        <v>1.0641</v>
      </c>
      <c r="G34" s="96">
        <v>1.0641</v>
      </c>
      <c r="H34" s="96">
        <v>1.0641</v>
      </c>
      <c r="I34" s="96">
        <v>1.0641</v>
      </c>
      <c r="J34" s="96">
        <v>1.0641</v>
      </c>
      <c r="K34" s="96">
        <v>1.0641</v>
      </c>
      <c r="L34" s="96">
        <v>1.0641</v>
      </c>
      <c r="M34" s="39"/>
    </row>
    <row r="35" spans="1:13" s="2" customFormat="1" ht="15.5" x14ac:dyDescent="0.4">
      <c r="A35" s="28" t="s">
        <v>121</v>
      </c>
      <c r="B35" s="96">
        <v>1.0863</v>
      </c>
      <c r="C35" s="96">
        <v>1.0863</v>
      </c>
      <c r="D35" s="96">
        <v>1.0863</v>
      </c>
      <c r="E35" s="96">
        <v>1.0863</v>
      </c>
      <c r="F35" s="96">
        <v>1.0863</v>
      </c>
      <c r="G35" s="96">
        <v>1.0863</v>
      </c>
      <c r="H35" s="96">
        <v>1.0863</v>
      </c>
      <c r="I35" s="96">
        <v>1.0863</v>
      </c>
      <c r="J35" s="96">
        <v>1.0863</v>
      </c>
      <c r="K35" s="96">
        <v>1.0863</v>
      </c>
      <c r="L35" s="96">
        <v>1.0863</v>
      </c>
      <c r="M35" s="39"/>
    </row>
    <row r="36" spans="1:13" s="11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59"/>
      <c r="C37" s="59"/>
      <c r="D37" s="59"/>
      <c r="E37" s="59"/>
      <c r="F37" s="65"/>
      <c r="G37" s="65"/>
      <c r="H37" s="65"/>
      <c r="I37" s="65"/>
      <c r="J37" s="65"/>
      <c r="K37" s="65"/>
      <c r="L37" s="65"/>
      <c r="M37" s="47"/>
    </row>
    <row r="38" spans="1:13" s="2" customFormat="1" ht="15.5" x14ac:dyDescent="0.4">
      <c r="A38" s="25" t="s">
        <v>7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39"/>
    </row>
    <row r="39" spans="1:13" s="14" customFormat="1" ht="15.5" x14ac:dyDescent="0.4">
      <c r="A39" s="23" t="s">
        <v>82</v>
      </c>
      <c r="B39" s="94">
        <f>B23/B34</f>
        <v>105791252488.53491</v>
      </c>
      <c r="C39" s="115">
        <f>C23/C34</f>
        <v>33478647683.488392</v>
      </c>
      <c r="D39" s="115"/>
      <c r="E39" s="94">
        <f>E23/E34</f>
        <v>1055453641.5750399</v>
      </c>
      <c r="F39" s="94">
        <f t="shared" ref="F39:I39" si="2">F23/F34</f>
        <v>149675312.47063246</v>
      </c>
      <c r="G39" s="94">
        <f t="shared" si="2"/>
        <v>5053115584.0616484</v>
      </c>
      <c r="H39" s="94">
        <f t="shared" si="2"/>
        <v>38588631980.124046</v>
      </c>
      <c r="I39" s="94">
        <f t="shared" si="2"/>
        <v>22902298158.067852</v>
      </c>
      <c r="J39" s="115">
        <f>J23/J34</f>
        <v>4234513673.5269241</v>
      </c>
      <c r="K39" s="115"/>
      <c r="L39" s="94">
        <f t="shared" ref="L39" si="3">L23/L34</f>
        <v>328916455.22037399</v>
      </c>
      <c r="M39" s="60"/>
    </row>
    <row r="40" spans="1:13" s="14" customFormat="1" ht="15.5" x14ac:dyDescent="0.4">
      <c r="A40" s="23" t="s">
        <v>122</v>
      </c>
      <c r="B40" s="94">
        <f>B25/B35</f>
        <v>104831779657.00082</v>
      </c>
      <c r="C40" s="115">
        <f>C25/C35</f>
        <v>32170338764.613827</v>
      </c>
      <c r="D40" s="115"/>
      <c r="E40" s="94">
        <f>E25/E35</f>
        <v>1164195618.1533647</v>
      </c>
      <c r="F40" s="94">
        <f t="shared" ref="F40:I40" si="4">F25/F35</f>
        <v>193172512.19736719</v>
      </c>
      <c r="G40" s="94">
        <f t="shared" si="4"/>
        <v>4634762956.825923</v>
      </c>
      <c r="H40" s="94">
        <f t="shared" si="4"/>
        <v>34209015351.560341</v>
      </c>
      <c r="I40" s="94">
        <f t="shared" si="4"/>
        <v>21770021048.513302</v>
      </c>
      <c r="J40" s="115">
        <f>J25/J35</f>
        <v>10368078799.594955</v>
      </c>
      <c r="K40" s="115"/>
      <c r="L40" s="94">
        <f t="shared" ref="L40" si="5">L25/L35</f>
        <v>322194605.54174721</v>
      </c>
      <c r="M40" s="60"/>
    </row>
    <row r="41" spans="1:13" s="14" customFormat="1" ht="15.5" x14ac:dyDescent="0.4">
      <c r="A41" s="23" t="s">
        <v>83</v>
      </c>
      <c r="B41" s="94">
        <f>B39/B15</f>
        <v>337460.77248712856</v>
      </c>
      <c r="C41" s="115">
        <f>C39/D15</f>
        <v>194295.37620707334</v>
      </c>
      <c r="D41" s="115"/>
      <c r="E41" s="94">
        <f>E39/E15</f>
        <v>746959.40663484775</v>
      </c>
      <c r="F41" s="94">
        <f t="shared" ref="F41:I41" si="6">F39/F15</f>
        <v>1279276.1749626705</v>
      </c>
      <c r="G41" s="94">
        <f t="shared" si="6"/>
        <v>587366.68418710318</v>
      </c>
      <c r="H41" s="94">
        <f t="shared" si="6"/>
        <v>347035.67588582262</v>
      </c>
      <c r="I41" s="94">
        <f t="shared" si="6"/>
        <v>922289.71319538704</v>
      </c>
      <c r="J41" s="102">
        <f>J39/K15</f>
        <v>19618.217032175366</v>
      </c>
      <c r="K41" s="102"/>
      <c r="L41" s="84" t="s">
        <v>48</v>
      </c>
      <c r="M41" s="66"/>
    </row>
    <row r="42" spans="1:13" s="14" customFormat="1" ht="15.5" x14ac:dyDescent="0.4">
      <c r="A42" s="23" t="s">
        <v>123</v>
      </c>
      <c r="B42" s="94">
        <f>B40/B18</f>
        <v>353900.77462207165</v>
      </c>
      <c r="C42" s="115">
        <f>C40/D18</f>
        <v>184401.62540332819</v>
      </c>
      <c r="D42" s="115"/>
      <c r="E42" s="94">
        <f>E40/E18</f>
        <v>645699.17812166642</v>
      </c>
      <c r="F42" s="94">
        <f t="shared" ref="F42:I42" si="7">F40/F18</f>
        <v>1246274.2722410785</v>
      </c>
      <c r="G42" s="94">
        <f t="shared" si="7"/>
        <v>565421.85638964537</v>
      </c>
      <c r="H42" s="94">
        <f t="shared" si="7"/>
        <v>321286.83119568293</v>
      </c>
      <c r="I42" s="94">
        <f t="shared" si="7"/>
        <v>883595.30191222101</v>
      </c>
      <c r="J42" s="102">
        <f>J40/K18</f>
        <v>49526.042052845318</v>
      </c>
      <c r="K42" s="102"/>
      <c r="L42" s="84" t="s">
        <v>48</v>
      </c>
      <c r="M42" s="66"/>
    </row>
    <row r="43" spans="1:13" s="14" customFormat="1" ht="15.5" x14ac:dyDescent="0.4">
      <c r="A43" s="23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s="14" customFormat="1" ht="15.5" x14ac:dyDescent="0.4">
      <c r="A44" s="25" t="s">
        <v>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</row>
    <row r="45" spans="1:13" s="14" customFormat="1" ht="15.5" x14ac:dyDescent="0.4">
      <c r="A45" s="23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</row>
    <row r="46" spans="1:13" s="14" customFormat="1" ht="15.5" x14ac:dyDescent="0.4">
      <c r="A46" s="25" t="s">
        <v>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3" s="14" customFormat="1" ht="15.5" x14ac:dyDescent="0.4">
      <c r="A47" s="23" t="s">
        <v>10</v>
      </c>
      <c r="B47" s="89" t="s">
        <v>56</v>
      </c>
      <c r="C47" s="114">
        <f>D16/C36*100</f>
        <v>60.365265104867504</v>
      </c>
      <c r="D47" s="114"/>
      <c r="E47" s="93">
        <f>E16/E36*100</f>
        <v>1.2461270859379248</v>
      </c>
      <c r="F47" s="89" t="s">
        <v>48</v>
      </c>
      <c r="G47" s="93">
        <f t="shared" ref="G47" si="8">G16/G36*100</f>
        <v>7.7787853183026616</v>
      </c>
      <c r="H47" s="89" t="s">
        <v>56</v>
      </c>
      <c r="I47" s="89" t="s">
        <v>56</v>
      </c>
      <c r="J47" s="109" t="s">
        <v>56</v>
      </c>
      <c r="K47" s="109"/>
      <c r="L47" s="89" t="s">
        <v>56</v>
      </c>
      <c r="M47" s="66"/>
    </row>
    <row r="48" spans="1:13" s="14" customFormat="1" ht="15.5" x14ac:dyDescent="0.4">
      <c r="A48" s="23" t="s">
        <v>11</v>
      </c>
      <c r="B48" s="89">
        <f>(B18/B36)*100</f>
        <v>62.312096899730321</v>
      </c>
      <c r="C48" s="109">
        <f>(D18/C36)*100</f>
        <v>82.951600709418813</v>
      </c>
      <c r="D48" s="109"/>
      <c r="E48" s="93">
        <f>E18/E36*100</f>
        <v>1.2250638691090938</v>
      </c>
      <c r="F48" s="89" t="s">
        <v>48</v>
      </c>
      <c r="G48" s="93">
        <f t="shared" ref="G48" si="9">G18/G36*100</f>
        <v>8.4465099025204555</v>
      </c>
      <c r="H48" s="89" t="s">
        <v>56</v>
      </c>
      <c r="I48" s="89" t="s">
        <v>56</v>
      </c>
      <c r="J48" s="109" t="s">
        <v>56</v>
      </c>
      <c r="K48" s="109"/>
      <c r="L48" s="89" t="s">
        <v>56</v>
      </c>
      <c r="M48" s="66"/>
    </row>
    <row r="49" spans="1:13" s="14" customFormat="1" ht="15.5" x14ac:dyDescent="0.4">
      <c r="A49" s="2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61"/>
    </row>
    <row r="50" spans="1:13" s="14" customFormat="1" ht="15.5" x14ac:dyDescent="0.4">
      <c r="A50" s="25" t="s">
        <v>12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61"/>
    </row>
    <row r="51" spans="1:13" s="14" customFormat="1" ht="15.5" x14ac:dyDescent="0.4">
      <c r="A51" s="23" t="s">
        <v>13</v>
      </c>
      <c r="B51" s="89" t="s">
        <v>56</v>
      </c>
      <c r="C51" s="89" t="s">
        <v>56</v>
      </c>
      <c r="D51" s="88">
        <f>D18/D16*100</f>
        <v>137.41611266895617</v>
      </c>
      <c r="E51" s="93">
        <f>E18/E16*100</f>
        <v>98.309705561613953</v>
      </c>
      <c r="F51" s="93">
        <f t="shared" ref="F51:I51" si="10">F18/F16*100</f>
        <v>146.22641509433961</v>
      </c>
      <c r="G51" s="93">
        <f t="shared" si="10"/>
        <v>108.58391839978805</v>
      </c>
      <c r="H51" s="93">
        <f t="shared" si="10"/>
        <v>122.46247627810685</v>
      </c>
      <c r="I51" s="93">
        <f t="shared" si="10"/>
        <v>114.97503383265668</v>
      </c>
      <c r="J51" s="89" t="s">
        <v>56</v>
      </c>
      <c r="K51" s="89">
        <f>K18/K16*100</f>
        <v>271.09631970163946</v>
      </c>
      <c r="L51" s="89" t="s">
        <v>56</v>
      </c>
      <c r="M51" s="66"/>
    </row>
    <row r="52" spans="1:13" s="14" customFormat="1" ht="15.5" x14ac:dyDescent="0.4">
      <c r="A52" s="23" t="s">
        <v>14</v>
      </c>
      <c r="B52" s="93">
        <f>B25/B24*100</f>
        <v>91.47634157473334</v>
      </c>
      <c r="C52" s="108">
        <f>C25/C24*100</f>
        <v>90.628533669533994</v>
      </c>
      <c r="D52" s="108"/>
      <c r="E52" s="93">
        <f>E25/E24*100</f>
        <v>87.574662419500044</v>
      </c>
      <c r="F52" s="93">
        <f t="shared" ref="F52:I52" si="11">F25/F24*100</f>
        <v>99.704606466633408</v>
      </c>
      <c r="G52" s="93">
        <f t="shared" si="11"/>
        <v>98.881861077150447</v>
      </c>
      <c r="H52" s="93">
        <f t="shared" si="11"/>
        <v>89.10946504687621</v>
      </c>
      <c r="I52" s="93">
        <f t="shared" si="11"/>
        <v>94.450548340819211</v>
      </c>
      <c r="J52" s="109">
        <f>J25/J24*100</f>
        <v>90.521890076306917</v>
      </c>
      <c r="K52" s="109"/>
      <c r="L52" s="89" t="s">
        <v>56</v>
      </c>
      <c r="M52" s="66"/>
    </row>
    <row r="53" spans="1:13" s="14" customFormat="1" ht="15.5" x14ac:dyDescent="0.4">
      <c r="A53" s="23" t="s">
        <v>15</v>
      </c>
      <c r="B53" s="89" t="s">
        <v>56</v>
      </c>
      <c r="C53" s="89" t="s">
        <v>56</v>
      </c>
      <c r="D53" s="88">
        <f>AVERAGE(D51,C52)</f>
        <v>114.02232316924508</v>
      </c>
      <c r="E53" s="93">
        <f>AVERAGE(E51:E52)</f>
        <v>92.942183990556998</v>
      </c>
      <c r="F53" s="93">
        <f t="shared" ref="F53:I53" si="12">AVERAGE(F51:F52)</f>
        <v>122.96551078048651</v>
      </c>
      <c r="G53" s="93">
        <f t="shared" si="12"/>
        <v>103.73288973846925</v>
      </c>
      <c r="H53" s="93">
        <f t="shared" si="12"/>
        <v>105.78597066249154</v>
      </c>
      <c r="I53" s="93">
        <f t="shared" si="12"/>
        <v>104.71279108673795</v>
      </c>
      <c r="J53" s="89" t="s">
        <v>56</v>
      </c>
      <c r="K53" s="89">
        <f>AVERAGE(K51,J52)</f>
        <v>180.8091048889732</v>
      </c>
      <c r="L53" s="89" t="s">
        <v>56</v>
      </c>
      <c r="M53" s="66"/>
    </row>
    <row r="54" spans="1:13" s="14" customFormat="1" ht="15.5" x14ac:dyDescent="0.4">
      <c r="A54" s="2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61"/>
    </row>
    <row r="55" spans="1:13" s="14" customFormat="1" ht="15.5" x14ac:dyDescent="0.4">
      <c r="A55" s="25" t="s">
        <v>16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61"/>
    </row>
    <row r="56" spans="1:13" s="14" customFormat="1" ht="15.5" x14ac:dyDescent="0.4">
      <c r="A56" s="23" t="s">
        <v>17</v>
      </c>
      <c r="B56" s="89" t="s">
        <v>56</v>
      </c>
      <c r="C56" s="114">
        <f>D18/D20*100</f>
        <v>137.41503028584481</v>
      </c>
      <c r="D56" s="114"/>
      <c r="E56" s="93">
        <f>E18/E20*100</f>
        <v>98.256130790190738</v>
      </c>
      <c r="F56" s="93">
        <f t="shared" ref="F56:I56" si="13">F18/F20*100</f>
        <v>146.22641509433961</v>
      </c>
      <c r="G56" s="93">
        <f t="shared" si="13"/>
        <v>108.58391839978805</v>
      </c>
      <c r="H56" s="93">
        <f t="shared" si="13"/>
        <v>122.46247627810685</v>
      </c>
      <c r="I56" s="93">
        <f t="shared" si="13"/>
        <v>114.97503383265668</v>
      </c>
      <c r="J56" s="109">
        <f>K18/K20*100</f>
        <v>271.09280913717419</v>
      </c>
      <c r="K56" s="109"/>
      <c r="L56" s="89" t="s">
        <v>56</v>
      </c>
      <c r="M56" s="66"/>
    </row>
    <row r="57" spans="1:13" s="14" customFormat="1" ht="15.5" x14ac:dyDescent="0.4">
      <c r="A57" s="23" t="s">
        <v>18</v>
      </c>
      <c r="B57" s="93">
        <f>B25/B26*100</f>
        <v>76.834974992399736</v>
      </c>
      <c r="C57" s="114">
        <f>C25/C26*100</f>
        <v>73.607063503413954</v>
      </c>
      <c r="D57" s="114"/>
      <c r="E57" s="93">
        <f>E25/E26*100</f>
        <v>68.275425147114404</v>
      </c>
      <c r="F57" s="93">
        <f t="shared" ref="F57:I57" si="14">F25/F26*100</f>
        <v>67.966541968290983</v>
      </c>
      <c r="G57" s="93">
        <f t="shared" si="14"/>
        <v>74.147197431592588</v>
      </c>
      <c r="H57" s="93">
        <f t="shared" si="14"/>
        <v>72.171612277888244</v>
      </c>
      <c r="I57" s="93">
        <f t="shared" si="14"/>
        <v>94.377046731232156</v>
      </c>
      <c r="J57" s="109">
        <f>J25/J26*100</f>
        <v>73.923926939596299</v>
      </c>
      <c r="K57" s="109"/>
      <c r="L57" s="89" t="s">
        <v>56</v>
      </c>
      <c r="M57" s="66"/>
    </row>
    <row r="58" spans="1:13" s="14" customFormat="1" ht="15.5" x14ac:dyDescent="0.4">
      <c r="A58" s="23" t="s">
        <v>19</v>
      </c>
      <c r="B58" s="89" t="s">
        <v>56</v>
      </c>
      <c r="C58" s="114">
        <f>+(C56+C57)/2</f>
        <v>105.51104689462937</v>
      </c>
      <c r="D58" s="114"/>
      <c r="E58" s="93">
        <f>(E56+E57)/2</f>
        <v>83.265777968652571</v>
      </c>
      <c r="F58" s="93">
        <f t="shared" ref="F58:I58" si="15">(F56+F57)/2</f>
        <v>107.0964785313153</v>
      </c>
      <c r="G58" s="93">
        <f t="shared" si="15"/>
        <v>91.365557915690317</v>
      </c>
      <c r="H58" s="93">
        <f t="shared" si="15"/>
        <v>97.317044277997553</v>
      </c>
      <c r="I58" s="93">
        <f t="shared" si="15"/>
        <v>104.67604028194441</v>
      </c>
      <c r="J58" s="109">
        <f>+(J56+J57)/2</f>
        <v>172.50836803838524</v>
      </c>
      <c r="K58" s="109"/>
      <c r="L58" s="89" t="s">
        <v>56</v>
      </c>
      <c r="M58" s="66"/>
    </row>
    <row r="59" spans="1:13" s="14" customFormat="1" ht="15.5" x14ac:dyDescent="0.4">
      <c r="A59" s="2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61"/>
    </row>
    <row r="60" spans="1:13" s="14" customFormat="1" ht="15.5" x14ac:dyDescent="0.4">
      <c r="A60" s="25" t="s">
        <v>30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61"/>
    </row>
    <row r="61" spans="1:13" s="14" customFormat="1" ht="15.5" x14ac:dyDescent="0.4">
      <c r="A61" s="23" t="s">
        <v>20</v>
      </c>
      <c r="B61" s="93">
        <f>B27/B25*100</f>
        <v>100</v>
      </c>
      <c r="C61" s="114">
        <f>C27/C25*100</f>
        <v>100</v>
      </c>
      <c r="D61" s="114"/>
      <c r="E61" s="93">
        <f>E27/E25*100</f>
        <v>100</v>
      </c>
      <c r="F61" s="93">
        <f t="shared" ref="F61:J61" si="16">F27/F25*100</f>
        <v>100</v>
      </c>
      <c r="G61" s="93">
        <f t="shared" si="16"/>
        <v>100</v>
      </c>
      <c r="H61" s="93">
        <f t="shared" si="16"/>
        <v>100</v>
      </c>
      <c r="I61" s="93">
        <f t="shared" si="16"/>
        <v>100</v>
      </c>
      <c r="J61" s="114">
        <f t="shared" si="16"/>
        <v>100</v>
      </c>
      <c r="K61" s="114"/>
      <c r="L61" s="93" t="s">
        <v>56</v>
      </c>
      <c r="M61" s="67"/>
    </row>
    <row r="62" spans="1:13" s="14" customFormat="1" ht="15.5" x14ac:dyDescent="0.4">
      <c r="A62" s="2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61"/>
    </row>
    <row r="63" spans="1:13" s="14" customFormat="1" ht="15.5" x14ac:dyDescent="0.4">
      <c r="A63" s="25" t="s">
        <v>21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61"/>
    </row>
    <row r="64" spans="1:13" s="14" customFormat="1" ht="15.5" x14ac:dyDescent="0.4">
      <c r="A64" s="23" t="s">
        <v>22</v>
      </c>
      <c r="B64" s="93">
        <f>((B18/B15)-1)*100</f>
        <v>-5.5101884577596909</v>
      </c>
      <c r="C64" s="114">
        <f>((D18/D15)-1)*100</f>
        <v>1.2477656289899386</v>
      </c>
      <c r="D64" s="114"/>
      <c r="E64" s="93">
        <f>((E18/E15)-1)*100</f>
        <v>27.600849256900204</v>
      </c>
      <c r="F64" s="93">
        <f t="shared" ref="F64:I64" si="17">((F18/F15)-1)*100</f>
        <v>32.478632478632477</v>
      </c>
      <c r="G64" s="93">
        <f t="shared" si="17"/>
        <v>-4.7192839707078882</v>
      </c>
      <c r="H64" s="93">
        <f t="shared" si="17"/>
        <v>-4.2447951796393717</v>
      </c>
      <c r="I64" s="93">
        <f t="shared" si="17"/>
        <v>-0.78125</v>
      </c>
      <c r="J64" s="114">
        <f>((K18/K15)-1)*100</f>
        <v>-3.0114062804036168</v>
      </c>
      <c r="K64" s="114"/>
      <c r="L64" s="93" t="s">
        <v>56</v>
      </c>
      <c r="M64" s="66"/>
    </row>
    <row r="65" spans="1:13" s="14" customFormat="1" ht="15.5" x14ac:dyDescent="0.4">
      <c r="A65" s="23" t="s">
        <v>23</v>
      </c>
      <c r="B65" s="93">
        <f>((B40/B39)-1)*100</f>
        <v>-0.90694911815896173</v>
      </c>
      <c r="C65" s="114">
        <f>((C40/C39)-1)*100</f>
        <v>-3.9078905792237828</v>
      </c>
      <c r="D65" s="114"/>
      <c r="E65" s="93">
        <f>((E40/E39)-1)*100</f>
        <v>10.302866207941697</v>
      </c>
      <c r="F65" s="93">
        <f t="shared" ref="F65:I65" si="18">((F40/F39)-1)*100</f>
        <v>29.061038195774103</v>
      </c>
      <c r="G65" s="93">
        <f t="shared" si="18"/>
        <v>-8.2791026699503547</v>
      </c>
      <c r="H65" s="93">
        <f t="shared" si="18"/>
        <v>-11.349499590499935</v>
      </c>
      <c r="I65" s="93">
        <f t="shared" si="18"/>
        <v>-4.9439453706338181</v>
      </c>
      <c r="J65" s="114">
        <f>((J40/J39)-1)*100</f>
        <v>144.8469788730045</v>
      </c>
      <c r="K65" s="114"/>
      <c r="L65" s="93">
        <f t="shared" ref="L65" si="19">((L40/L39)-1)*100</f>
        <v>-2.0436343551505032</v>
      </c>
      <c r="M65" s="68"/>
    </row>
    <row r="66" spans="1:13" s="14" customFormat="1" ht="15.5" x14ac:dyDescent="0.4">
      <c r="A66" s="23" t="s">
        <v>24</v>
      </c>
      <c r="B66" s="93">
        <f>((B42/B41)-1)*100</f>
        <v>4.8716779771996066</v>
      </c>
      <c r="C66" s="114">
        <f>((C42/C41)-1)*100</f>
        <v>-5.0921185037366641</v>
      </c>
      <c r="D66" s="114"/>
      <c r="E66" s="93">
        <f>((E42/E41)-1)*100</f>
        <v>-13.556322822062338</v>
      </c>
      <c r="F66" s="93">
        <f t="shared" ref="F66:I66" si="20">((F42/F41)-1)*100</f>
        <v>-2.5797324586737447</v>
      </c>
      <c r="G66" s="93">
        <f t="shared" si="20"/>
        <v>-3.7361376442092142</v>
      </c>
      <c r="H66" s="93">
        <f t="shared" si="20"/>
        <v>-7.419653505195023</v>
      </c>
      <c r="I66" s="93">
        <f t="shared" si="20"/>
        <v>-4.1954724995364456</v>
      </c>
      <c r="J66" s="114">
        <f>((J42/J41)-1)*100</f>
        <v>152.4492514871196</v>
      </c>
      <c r="K66" s="114"/>
      <c r="L66" s="93" t="s">
        <v>56</v>
      </c>
      <c r="M66" s="66"/>
    </row>
    <row r="67" spans="1:13" s="14" customFormat="1" ht="15.5" x14ac:dyDescent="0.4">
      <c r="A67" s="2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61"/>
    </row>
    <row r="68" spans="1:13" s="14" customFormat="1" ht="15.5" x14ac:dyDescent="0.4">
      <c r="A68" s="25" t="s">
        <v>25</v>
      </c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61"/>
    </row>
    <row r="69" spans="1:13" s="14" customFormat="1" ht="15.5" x14ac:dyDescent="0.4">
      <c r="A69" s="23" t="s">
        <v>37</v>
      </c>
      <c r="B69" s="93">
        <f>(B24/B17)*9</f>
        <v>426675.89829167206</v>
      </c>
      <c r="C69" s="114">
        <f>(C24/D17)*9</f>
        <v>315000</v>
      </c>
      <c r="D69" s="114"/>
      <c r="E69" s="93">
        <f>(E24/E17*9)</f>
        <v>900000</v>
      </c>
      <c r="F69" s="93">
        <f t="shared" ref="F69:I69" si="21">(F24/F17*9)</f>
        <v>957626.39029322541</v>
      </c>
      <c r="G69" s="93">
        <f t="shared" si="21"/>
        <v>675000</v>
      </c>
      <c r="H69" s="93">
        <f t="shared" si="21"/>
        <v>675000</v>
      </c>
      <c r="I69" s="93">
        <f t="shared" si="21"/>
        <v>1170000</v>
      </c>
      <c r="J69" s="114">
        <f>(J24/K17)*3</f>
        <v>54000</v>
      </c>
      <c r="K69" s="114"/>
      <c r="L69" s="93" t="s">
        <v>56</v>
      </c>
      <c r="M69" s="66"/>
    </row>
    <row r="70" spans="1:13" s="14" customFormat="1" ht="15.5" x14ac:dyDescent="0.4">
      <c r="A70" s="23" t="s">
        <v>38</v>
      </c>
      <c r="B70" s="93">
        <f>(B25/B19)*9</f>
        <v>285972.98059245478</v>
      </c>
      <c r="C70" s="114">
        <f>(C25/D19)*9</f>
        <v>248807.4612236761</v>
      </c>
      <c r="D70" s="114"/>
      <c r="E70" s="93">
        <f>(E25/E19)*9</f>
        <v>1027255.5324909748</v>
      </c>
      <c r="F70" s="93">
        <f t="shared" ref="F70:I70" si="22">(F25/F19)*9</f>
        <v>2555601.7591339648</v>
      </c>
      <c r="G70" s="93">
        <f t="shared" si="22"/>
        <v>747968.62052458688</v>
      </c>
      <c r="H70" s="93">
        <f t="shared" si="22"/>
        <v>676581.76379426487</v>
      </c>
      <c r="I70" s="93">
        <f t="shared" si="22"/>
        <v>1164549.9126473886</v>
      </c>
      <c r="J70" s="114">
        <f>(J25/K19)*3</f>
        <v>21516.739400523584</v>
      </c>
      <c r="K70" s="114"/>
      <c r="L70" s="93" t="s">
        <v>56</v>
      </c>
      <c r="M70" s="66"/>
    </row>
    <row r="71" spans="1:13" s="14" customFormat="1" ht="15.5" x14ac:dyDescent="0.4">
      <c r="A71" s="23" t="s">
        <v>26</v>
      </c>
      <c r="B71" s="89" t="s">
        <v>56</v>
      </c>
      <c r="C71" s="114">
        <f>(C70/C69)*D53</f>
        <v>90.062237303382261</v>
      </c>
      <c r="D71" s="114"/>
      <c r="E71" s="93">
        <f>(E70/E69)*E53</f>
        <v>106.08374745121532</v>
      </c>
      <c r="F71" s="93">
        <f t="shared" ref="F71:I71" si="23">(F70/F69)*F53</f>
        <v>328.15603125472984</v>
      </c>
      <c r="G71" s="93">
        <f t="shared" si="23"/>
        <v>114.94658731957323</v>
      </c>
      <c r="H71" s="93">
        <f t="shared" si="23"/>
        <v>106.03386461558055</v>
      </c>
      <c r="I71" s="93">
        <f t="shared" si="23"/>
        <v>104.22501855822644</v>
      </c>
      <c r="J71" s="114">
        <f>(J70/J69)*K53</f>
        <v>72.044859095147615</v>
      </c>
      <c r="K71" s="114"/>
      <c r="L71" s="93" t="s">
        <v>56</v>
      </c>
      <c r="M71" s="66"/>
    </row>
    <row r="72" spans="1:13" s="14" customFormat="1" ht="15.5" x14ac:dyDescent="0.4">
      <c r="A72" s="23" t="s">
        <v>33</v>
      </c>
      <c r="B72" s="93">
        <f>B24/B17</f>
        <v>47408.43314351912</v>
      </c>
      <c r="C72" s="114">
        <f>C24/D17</f>
        <v>35000</v>
      </c>
      <c r="D72" s="114"/>
      <c r="E72" s="93">
        <f>E24/E17</f>
        <v>100000</v>
      </c>
      <c r="F72" s="93">
        <f t="shared" ref="F72:I72" si="24">F24/F17</f>
        <v>106402.93225480283</v>
      </c>
      <c r="G72" s="93">
        <f t="shared" si="24"/>
        <v>75000</v>
      </c>
      <c r="H72" s="93">
        <f t="shared" si="24"/>
        <v>75000</v>
      </c>
      <c r="I72" s="93">
        <f t="shared" si="24"/>
        <v>130000</v>
      </c>
      <c r="J72" s="114">
        <f>J24/K17</f>
        <v>18000</v>
      </c>
      <c r="K72" s="114"/>
      <c r="L72" s="93" t="s">
        <v>56</v>
      </c>
      <c r="M72" s="66"/>
    </row>
    <row r="73" spans="1:13" s="14" customFormat="1" ht="15.5" x14ac:dyDescent="0.4">
      <c r="A73" s="23" t="s">
        <v>34</v>
      </c>
      <c r="B73" s="93">
        <f>B25/B19</f>
        <v>31774.775621383862</v>
      </c>
      <c r="C73" s="114">
        <f>C25/D19</f>
        <v>27645.273469297346</v>
      </c>
      <c r="D73" s="114"/>
      <c r="E73" s="93">
        <f>E25/E19</f>
        <v>114139.50361010831</v>
      </c>
      <c r="F73" s="93">
        <f t="shared" ref="F73:I73" si="25">F25/F19</f>
        <v>283955.75101488497</v>
      </c>
      <c r="G73" s="93">
        <f t="shared" si="25"/>
        <v>83107.62450273188</v>
      </c>
      <c r="H73" s="93">
        <f t="shared" si="25"/>
        <v>75175.7515326961</v>
      </c>
      <c r="I73" s="93">
        <f t="shared" si="25"/>
        <v>129394.43473859875</v>
      </c>
      <c r="J73" s="114">
        <f>J25/K19</f>
        <v>7172.246466841194</v>
      </c>
      <c r="K73" s="114"/>
      <c r="L73" s="93" t="s">
        <v>56</v>
      </c>
      <c r="M73" s="66"/>
    </row>
    <row r="74" spans="1:13" s="14" customFormat="1" ht="15.5" x14ac:dyDescent="0.4">
      <c r="A74" s="23"/>
      <c r="B74" s="93"/>
      <c r="C74" s="93"/>
      <c r="D74" s="93"/>
      <c r="E74" s="93"/>
      <c r="F74" s="93"/>
      <c r="G74" s="93"/>
      <c r="H74" s="93"/>
      <c r="I74" s="93"/>
      <c r="J74" s="93"/>
      <c r="K74" s="88"/>
      <c r="L74" s="88"/>
      <c r="M74" s="39"/>
    </row>
    <row r="75" spans="1:13" s="14" customFormat="1" ht="15.5" x14ac:dyDescent="0.4">
      <c r="A75" s="25" t="s">
        <v>27</v>
      </c>
      <c r="B75" s="93"/>
      <c r="C75" s="93"/>
      <c r="D75" s="93"/>
      <c r="E75" s="93"/>
      <c r="F75" s="93"/>
      <c r="G75" s="93"/>
      <c r="H75" s="93"/>
      <c r="I75" s="93"/>
      <c r="J75" s="93"/>
      <c r="K75" s="88"/>
      <c r="L75" s="88"/>
      <c r="M75" s="39"/>
    </row>
    <row r="76" spans="1:13" s="14" customFormat="1" ht="15.5" x14ac:dyDescent="0.4">
      <c r="A76" s="23" t="s">
        <v>28</v>
      </c>
      <c r="B76" s="93">
        <f>(B31/B30)*100</f>
        <v>96.735140607958954</v>
      </c>
      <c r="C76" s="93"/>
      <c r="D76" s="93"/>
      <c r="E76" s="93"/>
      <c r="F76" s="93"/>
      <c r="G76" s="93"/>
      <c r="H76" s="93"/>
      <c r="I76" s="93"/>
      <c r="J76" s="93"/>
      <c r="K76" s="88"/>
      <c r="L76" s="88"/>
      <c r="M76" s="39"/>
    </row>
    <row r="77" spans="1:13" s="14" customFormat="1" ht="15.5" x14ac:dyDescent="0.4">
      <c r="A77" s="23" t="s">
        <v>29</v>
      </c>
      <c r="B77" s="93">
        <f>(B25/B31)*100</f>
        <v>94.563713868429573</v>
      </c>
      <c r="C77" s="93"/>
      <c r="D77" s="93"/>
      <c r="E77" s="93"/>
      <c r="F77" s="93"/>
      <c r="G77" s="93"/>
      <c r="H77" s="93"/>
      <c r="I77" s="93"/>
      <c r="J77" s="93"/>
      <c r="K77" s="88"/>
      <c r="L77" s="88"/>
      <c r="M77" s="39"/>
    </row>
    <row r="78" spans="1:13" s="2" customFormat="1" ht="16" thickBot="1" x14ac:dyDescent="0.45">
      <c r="A78" s="48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39"/>
    </row>
    <row r="79" spans="1:13" s="5" customFormat="1" ht="16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55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</row>
    <row r="81" spans="1:13" ht="15.5" x14ac:dyDescent="0.4">
      <c r="A81" s="24"/>
      <c r="B81" s="5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</row>
    <row r="82" spans="1:13" ht="15.5" x14ac:dyDescent="0.4">
      <c r="A82" s="24"/>
      <c r="B82" s="70"/>
      <c r="C82" s="70"/>
      <c r="D82" s="70"/>
      <c r="E82" s="70"/>
      <c r="F82" s="47"/>
      <c r="G82" s="47"/>
      <c r="H82" s="47"/>
      <c r="I82" s="47"/>
      <c r="J82" s="47"/>
      <c r="K82" s="47"/>
      <c r="L82" s="47"/>
      <c r="M82" s="47"/>
    </row>
    <row r="83" spans="1:13" x14ac:dyDescent="0.35">
      <c r="A83" s="1"/>
    </row>
    <row r="84" spans="1:13" x14ac:dyDescent="0.35">
      <c r="A84" s="8"/>
    </row>
    <row r="85" spans="1:13" x14ac:dyDescent="0.35">
      <c r="A85" s="7"/>
    </row>
    <row r="86" spans="1:13" x14ac:dyDescent="0.35">
      <c r="A86" s="1"/>
    </row>
    <row r="87" spans="1:13" x14ac:dyDescent="0.35">
      <c r="A87" s="1"/>
    </row>
    <row r="88" spans="1:13" x14ac:dyDescent="0.35">
      <c r="A88" s="1"/>
    </row>
    <row r="89" spans="1:13" x14ac:dyDescent="0.35">
      <c r="A89" s="6"/>
    </row>
    <row r="90" spans="1:13" x14ac:dyDescent="0.35">
      <c r="A90" s="6"/>
    </row>
    <row r="91" spans="1:13" x14ac:dyDescent="0.35">
      <c r="A91" s="1"/>
    </row>
    <row r="92" spans="1:13" x14ac:dyDescent="0.35">
      <c r="A92" s="1"/>
    </row>
    <row r="93" spans="1:13" x14ac:dyDescent="0.35">
      <c r="A93" s="1"/>
    </row>
    <row r="94" spans="1:13" x14ac:dyDescent="0.35">
      <c r="A94" s="9"/>
    </row>
  </sheetData>
  <mergeCells count="55">
    <mergeCell ref="J56:K56"/>
    <mergeCell ref="J57:K57"/>
    <mergeCell ref="J58:K58"/>
    <mergeCell ref="J24:K24"/>
    <mergeCell ref="J23:K23"/>
    <mergeCell ref="A79:F79"/>
    <mergeCell ref="C42:D42"/>
    <mergeCell ref="C36:D36"/>
    <mergeCell ref="J25:K25"/>
    <mergeCell ref="J26:K26"/>
    <mergeCell ref="J27:K27"/>
    <mergeCell ref="C25:D25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10:D10"/>
    <mergeCell ref="C39:D39"/>
    <mergeCell ref="C40:D40"/>
    <mergeCell ref="C41:D41"/>
    <mergeCell ref="C27:D27"/>
    <mergeCell ref="A9:A10"/>
    <mergeCell ref="C9:L9"/>
    <mergeCell ref="J10:K10"/>
    <mergeCell ref="C72:D72"/>
    <mergeCell ref="J39:K39"/>
    <mergeCell ref="J40:K40"/>
    <mergeCell ref="J41:K41"/>
    <mergeCell ref="J42:K42"/>
    <mergeCell ref="J47:K47"/>
    <mergeCell ref="J48:K48"/>
    <mergeCell ref="J52:K52"/>
    <mergeCell ref="C26:D26"/>
    <mergeCell ref="B9:B10"/>
    <mergeCell ref="C23:D23"/>
    <mergeCell ref="C24:D24"/>
    <mergeCell ref="J61:K61"/>
    <mergeCell ref="C64:D64"/>
    <mergeCell ref="C56:D56"/>
    <mergeCell ref="C57:D57"/>
    <mergeCell ref="C58:D58"/>
    <mergeCell ref="C61:D61"/>
    <mergeCell ref="J64:K64"/>
    <mergeCell ref="J65:K65"/>
    <mergeCell ref="J66:K66"/>
    <mergeCell ref="J73:K73"/>
    <mergeCell ref="J69:K69"/>
    <mergeCell ref="J70:K70"/>
    <mergeCell ref="J71:K71"/>
    <mergeCell ref="J72:K72"/>
  </mergeCells>
  <pageMargins left="0.7" right="0.7" top="0.75" bottom="0.75" header="0.3" footer="0.3"/>
  <pageSetup orientation="portrait" horizontalDpi="4294967292" verticalDpi="4294967292"/>
  <ignoredErrors>
    <ignoredError sqref="C23:D25 J24:K25" formulaRange="1"/>
    <ignoredError sqref="B24:B25 B26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style="14" customWidth="1"/>
    <col min="2" max="12" width="18.7265625" style="14" customWidth="1"/>
    <col min="13" max="16384" width="11.453125" style="14"/>
  </cols>
  <sheetData>
    <row r="8" spans="1:13" ht="18.75" customHeight="1" x14ac:dyDescent="0.35"/>
    <row r="9" spans="1:13" s="3" customFormat="1" ht="15" customHeight="1" x14ac:dyDescent="0.4">
      <c r="A9" s="116" t="s">
        <v>0</v>
      </c>
      <c r="B9" s="99" t="s">
        <v>52</v>
      </c>
      <c r="C9" s="118" t="s">
        <v>59</v>
      </c>
      <c r="D9" s="118"/>
      <c r="E9" s="118"/>
      <c r="F9" s="118"/>
      <c r="G9" s="118"/>
      <c r="H9" s="118"/>
      <c r="I9" s="118"/>
      <c r="J9" s="118"/>
      <c r="K9" s="118"/>
      <c r="L9" s="118"/>
    </row>
    <row r="10" spans="1:13" s="3" customFormat="1" ht="51.75" customHeight="1" thickBot="1" x14ac:dyDescent="0.4">
      <c r="A10" s="117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50</v>
      </c>
      <c r="J10" s="106" t="s">
        <v>61</v>
      </c>
      <c r="K10" s="106"/>
      <c r="L10" s="82" t="s">
        <v>54</v>
      </c>
    </row>
    <row r="11" spans="1:13" ht="16" thickTop="1" x14ac:dyDescent="0.4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3" ht="15.5" x14ac:dyDescent="0.4">
      <c r="A12" s="64" t="s">
        <v>2</v>
      </c>
      <c r="B12" s="39"/>
      <c r="C12" s="39"/>
      <c r="D12" s="40"/>
      <c r="E12" s="40"/>
      <c r="F12" s="39"/>
      <c r="G12" s="39"/>
      <c r="H12" s="39"/>
      <c r="I12" s="39"/>
      <c r="J12" s="39"/>
      <c r="K12" s="39"/>
      <c r="L12" s="39"/>
    </row>
    <row r="13" spans="1:13" ht="15.5" x14ac:dyDescent="0.4">
      <c r="A13" s="39"/>
      <c r="B13" s="39"/>
      <c r="C13" s="39"/>
      <c r="D13" s="40"/>
      <c r="E13" s="40"/>
      <c r="F13" s="39"/>
      <c r="G13" s="39"/>
      <c r="H13" s="39"/>
      <c r="I13" s="39"/>
      <c r="J13" s="39"/>
      <c r="K13" s="39"/>
      <c r="L13" s="39"/>
    </row>
    <row r="14" spans="1:13" ht="15.5" x14ac:dyDescent="0.4">
      <c r="A14" s="64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</row>
    <row r="15" spans="1:13" ht="15.5" x14ac:dyDescent="0.4">
      <c r="A15" s="28" t="s">
        <v>84</v>
      </c>
      <c r="B15" s="92">
        <v>273849</v>
      </c>
      <c r="C15" s="92">
        <v>135355</v>
      </c>
      <c r="D15" s="92">
        <v>170229</v>
      </c>
      <c r="E15" s="92">
        <v>1477</v>
      </c>
      <c r="F15" s="92">
        <v>148</v>
      </c>
      <c r="G15" s="92">
        <v>8501</v>
      </c>
      <c r="H15" s="92">
        <v>69335</v>
      </c>
      <c r="I15" s="92">
        <v>6449</v>
      </c>
      <c r="J15" s="92">
        <v>157925</v>
      </c>
      <c r="K15" s="92">
        <v>209368</v>
      </c>
      <c r="L15" s="92" t="s">
        <v>48</v>
      </c>
      <c r="M15" s="21"/>
    </row>
    <row r="16" spans="1:13" ht="15.5" x14ac:dyDescent="0.4">
      <c r="A16" s="28" t="s">
        <v>124</v>
      </c>
      <c r="B16" s="92" t="s">
        <v>49</v>
      </c>
      <c r="C16" s="83" t="s">
        <v>49</v>
      </c>
      <c r="D16" s="92">
        <v>126957</v>
      </c>
      <c r="E16" s="92">
        <v>1835</v>
      </c>
      <c r="F16" s="92">
        <v>106</v>
      </c>
      <c r="G16" s="92">
        <v>7549</v>
      </c>
      <c r="H16" s="92">
        <v>86945</v>
      </c>
      <c r="I16" s="92">
        <v>21429</v>
      </c>
      <c r="J16" s="90" t="s">
        <v>48</v>
      </c>
      <c r="K16" s="90">
        <v>77223</v>
      </c>
      <c r="L16" s="92" t="s">
        <v>48</v>
      </c>
      <c r="M16" s="21"/>
    </row>
    <row r="17" spans="1:13" ht="15.5" x14ac:dyDescent="0.4">
      <c r="A17" s="28" t="s">
        <v>55</v>
      </c>
      <c r="B17" s="92">
        <f>+SUM(D17+E17+F17+G17+H17+I17+K17+D1)</f>
        <v>567661</v>
      </c>
      <c r="C17" s="83" t="s">
        <v>49</v>
      </c>
      <c r="D17" s="92">
        <v>254771</v>
      </c>
      <c r="E17" s="92">
        <v>4082</v>
      </c>
      <c r="F17" s="92">
        <v>315</v>
      </c>
      <c r="G17" s="92">
        <v>22647</v>
      </c>
      <c r="H17" s="92">
        <v>130496</v>
      </c>
      <c r="I17" s="92">
        <v>150</v>
      </c>
      <c r="J17" s="90" t="s">
        <v>48</v>
      </c>
      <c r="K17" s="90">
        <v>155200</v>
      </c>
      <c r="L17" s="92" t="s">
        <v>48</v>
      </c>
      <c r="M17" s="21"/>
    </row>
    <row r="18" spans="1:13" s="74" customFormat="1" ht="15.5" x14ac:dyDescent="0.4">
      <c r="A18" s="28" t="s">
        <v>125</v>
      </c>
      <c r="B18" s="92">
        <v>269678</v>
      </c>
      <c r="C18" s="92">
        <v>142789</v>
      </c>
      <c r="D18" s="92">
        <v>180994</v>
      </c>
      <c r="E18" s="92">
        <v>1844</v>
      </c>
      <c r="F18" s="92">
        <v>189</v>
      </c>
      <c r="G18" s="92">
        <v>8039</v>
      </c>
      <c r="H18" s="92">
        <v>74504</v>
      </c>
      <c r="I18" s="92">
        <v>4793</v>
      </c>
      <c r="J18" s="90">
        <v>154095</v>
      </c>
      <c r="K18" s="90">
        <v>214964</v>
      </c>
      <c r="L18" s="92" t="s">
        <v>48</v>
      </c>
      <c r="M18" s="21"/>
    </row>
    <row r="19" spans="1:13" s="74" customFormat="1" ht="15.5" x14ac:dyDescent="0.4">
      <c r="A19" s="28" t="s">
        <v>55</v>
      </c>
      <c r="B19" s="92">
        <f>+SUM(D19+E19+F19+G19+H19+I19+K19+L1)</f>
        <v>1371045</v>
      </c>
      <c r="C19" s="83" t="s">
        <v>49</v>
      </c>
      <c r="D19" s="92">
        <v>517914</v>
      </c>
      <c r="E19" s="92">
        <v>5217</v>
      </c>
      <c r="F19" s="92">
        <v>501</v>
      </c>
      <c r="G19" s="92">
        <v>23247</v>
      </c>
      <c r="H19" s="92">
        <v>192659</v>
      </c>
      <c r="I19" s="92">
        <v>10668</v>
      </c>
      <c r="J19" s="90" t="s">
        <v>48</v>
      </c>
      <c r="K19" s="90">
        <v>620839</v>
      </c>
      <c r="L19" s="92" t="s">
        <v>48</v>
      </c>
      <c r="M19" s="21"/>
    </row>
    <row r="20" spans="1:13" ht="15.5" x14ac:dyDescent="0.4">
      <c r="A20" s="28" t="s">
        <v>94</v>
      </c>
      <c r="B20" s="92" t="s">
        <v>49</v>
      </c>
      <c r="C20" s="83" t="s">
        <v>49</v>
      </c>
      <c r="D20" s="92">
        <v>126957</v>
      </c>
      <c r="E20" s="92">
        <v>1835</v>
      </c>
      <c r="F20" s="92">
        <v>106</v>
      </c>
      <c r="G20" s="92">
        <v>7549</v>
      </c>
      <c r="H20" s="92">
        <v>86945</v>
      </c>
      <c r="I20" s="92">
        <v>21429</v>
      </c>
      <c r="J20" s="90" t="s">
        <v>48</v>
      </c>
      <c r="K20" s="90">
        <v>77223</v>
      </c>
      <c r="L20" s="92" t="s">
        <v>48</v>
      </c>
      <c r="M20" s="21"/>
    </row>
    <row r="21" spans="1:13" ht="15.5" x14ac:dyDescent="0.4">
      <c r="A21" s="23"/>
      <c r="B21" s="92"/>
      <c r="C21" s="92"/>
      <c r="D21" s="92"/>
      <c r="E21" s="92"/>
      <c r="F21" s="92"/>
      <c r="G21" s="92"/>
      <c r="H21" s="92"/>
      <c r="I21" s="92"/>
      <c r="J21" s="92"/>
      <c r="K21" s="90"/>
      <c r="L21" s="90"/>
      <c r="M21" s="21"/>
    </row>
    <row r="22" spans="1:13" ht="15.5" x14ac:dyDescent="0.4">
      <c r="A22" s="30" t="s">
        <v>3</v>
      </c>
      <c r="B22" s="92"/>
      <c r="C22" s="92"/>
      <c r="D22" s="92"/>
      <c r="E22" s="92"/>
      <c r="F22" s="92"/>
      <c r="G22" s="92"/>
      <c r="H22" s="92"/>
      <c r="I22" s="92"/>
      <c r="J22" s="92"/>
      <c r="K22" s="90"/>
      <c r="L22" s="90"/>
      <c r="M22" s="21"/>
    </row>
    <row r="23" spans="1:13" ht="15.5" x14ac:dyDescent="0.4">
      <c r="A23" s="28" t="s">
        <v>84</v>
      </c>
      <c r="B23" s="92">
        <f>+C23+E23+F23+G23+H23+I23+J23+L23</f>
        <v>35717089694.559998</v>
      </c>
      <c r="C23" s="113">
        <v>12931664000</v>
      </c>
      <c r="D23" s="113"/>
      <c r="E23" s="92">
        <v>452377295</v>
      </c>
      <c r="F23" s="92">
        <v>101488500</v>
      </c>
      <c r="G23" s="92">
        <v>1822236068.000001</v>
      </c>
      <c r="H23" s="92">
        <v>12957506685.559999</v>
      </c>
      <c r="I23" s="92">
        <v>1789643145.9999971</v>
      </c>
      <c r="J23" s="113">
        <v>5662174000</v>
      </c>
      <c r="K23" s="113"/>
      <c r="L23" s="90">
        <v>0</v>
      </c>
      <c r="M23" s="21"/>
    </row>
    <row r="24" spans="1:13" ht="15.5" x14ac:dyDescent="0.4">
      <c r="A24" s="28" t="s">
        <v>124</v>
      </c>
      <c r="B24" s="92">
        <f>+SUM(C24+E24+F24+G24+H24+I24+J24)</f>
        <v>23722290000</v>
      </c>
      <c r="C24" s="113">
        <v>8916985000</v>
      </c>
      <c r="D24" s="113"/>
      <c r="E24" s="92">
        <v>408200000</v>
      </c>
      <c r="F24" s="92">
        <v>98280000</v>
      </c>
      <c r="G24" s="92">
        <v>1698525000</v>
      </c>
      <c r="H24" s="92">
        <v>9787200000</v>
      </c>
      <c r="I24" s="92">
        <v>19500000</v>
      </c>
      <c r="J24" s="113">
        <v>2793600000</v>
      </c>
      <c r="K24" s="113">
        <v>2793600000</v>
      </c>
      <c r="L24" s="90" t="s">
        <v>48</v>
      </c>
      <c r="M24" s="21"/>
    </row>
    <row r="25" spans="1:13" ht="15.5" x14ac:dyDescent="0.4">
      <c r="A25" s="28" t="s">
        <v>125</v>
      </c>
      <c r="B25" s="92">
        <f>+C25+E25+F25+G25+H25+I25+J25+L25</f>
        <v>33591185347.669998</v>
      </c>
      <c r="C25" s="113">
        <v>12384082000</v>
      </c>
      <c r="D25" s="113"/>
      <c r="E25" s="92">
        <v>546562699</v>
      </c>
      <c r="F25" s="92">
        <v>126517900</v>
      </c>
      <c r="G25" s="92">
        <v>1742913100</v>
      </c>
      <c r="H25" s="92">
        <v>13475110912</v>
      </c>
      <c r="I25" s="92">
        <v>1383441764</v>
      </c>
      <c r="J25" s="113">
        <v>3921096000</v>
      </c>
      <c r="K25" s="113"/>
      <c r="L25" s="90">
        <v>11460972.67</v>
      </c>
      <c r="M25" s="21"/>
    </row>
    <row r="26" spans="1:13" ht="15.5" x14ac:dyDescent="0.4">
      <c r="A26" s="28" t="s">
        <v>94</v>
      </c>
      <c r="B26" s="92">
        <f>+SUM(C26+E26+F26+G26+H26+I26+J26)</f>
        <v>148212142000</v>
      </c>
      <c r="C26" s="101">
        <v>47477290000</v>
      </c>
      <c r="D26" s="101"/>
      <c r="E26" s="92">
        <v>1852300000</v>
      </c>
      <c r="F26" s="92">
        <v>308745000</v>
      </c>
      <c r="G26" s="92">
        <v>6790200000</v>
      </c>
      <c r="H26" s="92">
        <v>51490125000</v>
      </c>
      <c r="I26" s="92">
        <v>25057760000</v>
      </c>
      <c r="J26" s="113">
        <v>15235722000</v>
      </c>
      <c r="K26" s="113"/>
      <c r="L26" s="90" t="s">
        <v>48</v>
      </c>
      <c r="M26" s="21"/>
    </row>
    <row r="27" spans="1:13" ht="15.5" x14ac:dyDescent="0.4">
      <c r="A27" s="28" t="s">
        <v>126</v>
      </c>
      <c r="B27" s="92">
        <f>+C27+E27+F27+G27+H27+I27+J27+L27</f>
        <v>33591185347.669998</v>
      </c>
      <c r="C27" s="113">
        <f>C25</f>
        <v>12384082000</v>
      </c>
      <c r="D27" s="113"/>
      <c r="E27" s="92">
        <f>E25</f>
        <v>546562699</v>
      </c>
      <c r="F27" s="92">
        <f t="shared" ref="F27:I27" si="0">F25</f>
        <v>126517900</v>
      </c>
      <c r="G27" s="92">
        <f t="shared" si="0"/>
        <v>1742913100</v>
      </c>
      <c r="H27" s="92">
        <f t="shared" si="0"/>
        <v>13475110912</v>
      </c>
      <c r="I27" s="92">
        <f t="shared" si="0"/>
        <v>1383441764</v>
      </c>
      <c r="J27" s="113">
        <f>J25</f>
        <v>3921096000</v>
      </c>
      <c r="K27" s="113"/>
      <c r="L27" s="90">
        <f>+L25</f>
        <v>11460972.67</v>
      </c>
      <c r="M27" s="21"/>
    </row>
    <row r="28" spans="1:13" ht="15.5" x14ac:dyDescent="0.4">
      <c r="A28" s="23"/>
      <c r="B28" s="92"/>
      <c r="C28" s="92"/>
      <c r="D28" s="92"/>
      <c r="E28" s="92"/>
      <c r="F28" s="92"/>
      <c r="G28" s="92"/>
      <c r="H28" s="92"/>
      <c r="I28" s="92"/>
      <c r="J28" s="92"/>
      <c r="K28" s="90"/>
      <c r="L28" s="90"/>
      <c r="M28" s="21"/>
    </row>
    <row r="29" spans="1:13" ht="15.5" x14ac:dyDescent="0.4">
      <c r="A29" s="30" t="s">
        <v>4</v>
      </c>
      <c r="B29" s="92"/>
      <c r="C29" s="92"/>
      <c r="D29" s="92"/>
      <c r="E29" s="92"/>
      <c r="F29" s="92"/>
      <c r="G29" s="92"/>
      <c r="H29" s="92"/>
      <c r="I29" s="92"/>
      <c r="J29" s="92"/>
      <c r="K29" s="90"/>
      <c r="L29" s="90"/>
      <c r="M29" s="21"/>
    </row>
    <row r="30" spans="1:13" ht="17.25" customHeight="1" x14ac:dyDescent="0.4">
      <c r="A30" s="28" t="s">
        <v>124</v>
      </c>
      <c r="B30" s="92">
        <f>B24</f>
        <v>23722290000</v>
      </c>
      <c r="C30" s="92"/>
      <c r="D30" s="92"/>
      <c r="E30" s="92"/>
      <c r="F30" s="92"/>
      <c r="G30" s="92"/>
      <c r="H30" s="92"/>
      <c r="I30" s="92"/>
      <c r="J30" s="92"/>
      <c r="K30" s="90"/>
      <c r="L30" s="90"/>
      <c r="M30" s="21"/>
    </row>
    <row r="31" spans="1:13" ht="15.75" customHeight="1" x14ac:dyDescent="0.4">
      <c r="A31" s="28" t="s">
        <v>125</v>
      </c>
      <c r="B31" s="92">
        <v>26279212717.16</v>
      </c>
      <c r="C31" s="83"/>
      <c r="D31" s="92"/>
      <c r="E31" s="92"/>
      <c r="F31" s="92"/>
      <c r="G31" s="92"/>
      <c r="H31" s="92"/>
      <c r="I31" s="92"/>
      <c r="J31" s="92"/>
      <c r="K31" s="90"/>
      <c r="L31" s="90"/>
      <c r="M31" s="21"/>
    </row>
    <row r="32" spans="1:13" ht="15.5" x14ac:dyDescent="0.4">
      <c r="A32" s="23"/>
      <c r="B32" s="75"/>
      <c r="C32" s="75"/>
      <c r="D32" s="75"/>
      <c r="E32" s="75"/>
      <c r="F32" s="75"/>
      <c r="G32" s="75"/>
      <c r="H32" s="75"/>
      <c r="I32" s="75"/>
      <c r="J32" s="75"/>
      <c r="K32" s="39"/>
      <c r="L32" s="39"/>
    </row>
    <row r="33" spans="1:13" ht="15.5" x14ac:dyDescent="0.4">
      <c r="A33" s="25" t="s">
        <v>5</v>
      </c>
      <c r="B33" s="75"/>
      <c r="C33" s="75"/>
      <c r="D33" s="75"/>
      <c r="E33" s="75"/>
      <c r="F33" s="75"/>
      <c r="G33" s="75"/>
      <c r="H33" s="75"/>
      <c r="I33" s="75"/>
      <c r="J33" s="75"/>
      <c r="K33" s="39"/>
      <c r="L33" s="39"/>
    </row>
    <row r="34" spans="1:13" ht="15.5" x14ac:dyDescent="0.4">
      <c r="A34" s="28" t="s">
        <v>85</v>
      </c>
      <c r="B34" s="96">
        <v>1.0706</v>
      </c>
      <c r="C34" s="96">
        <v>1.0706</v>
      </c>
      <c r="D34" s="96">
        <v>1.0706</v>
      </c>
      <c r="E34" s="96">
        <v>1.0706</v>
      </c>
      <c r="F34" s="96">
        <v>1.0706</v>
      </c>
      <c r="G34" s="96">
        <v>1.0706</v>
      </c>
      <c r="H34" s="96">
        <v>1.0706</v>
      </c>
      <c r="I34" s="96">
        <v>1.0706</v>
      </c>
      <c r="J34" s="96">
        <v>1.0706</v>
      </c>
      <c r="K34" s="96">
        <v>1.0706</v>
      </c>
      <c r="L34" s="96">
        <v>1.0706</v>
      </c>
    </row>
    <row r="35" spans="1:13" ht="15.5" x14ac:dyDescent="0.4">
      <c r="A35" s="28" t="s">
        <v>127</v>
      </c>
      <c r="B35" s="96">
        <v>1.0863</v>
      </c>
      <c r="C35" s="96">
        <v>1.0863</v>
      </c>
      <c r="D35" s="96">
        <v>1.0863</v>
      </c>
      <c r="E35" s="96">
        <v>1.0863</v>
      </c>
      <c r="F35" s="96">
        <v>1.0863</v>
      </c>
      <c r="G35" s="96">
        <v>1.0863</v>
      </c>
      <c r="H35" s="96">
        <v>1.0863</v>
      </c>
      <c r="I35" s="96">
        <v>1.0863</v>
      </c>
      <c r="J35" s="96">
        <v>1.0863</v>
      </c>
      <c r="K35" s="96">
        <v>1.0863</v>
      </c>
      <c r="L35" s="96">
        <v>1.0863</v>
      </c>
    </row>
    <row r="36" spans="1:13" s="5" customFormat="1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3" ht="15.5" x14ac:dyDescent="0.4">
      <c r="A38" s="25" t="s">
        <v>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ht="15.5" x14ac:dyDescent="0.4">
      <c r="A39" s="23" t="s">
        <v>86</v>
      </c>
      <c r="B39" s="94">
        <f>B23/B34</f>
        <v>33361750135.027084</v>
      </c>
      <c r="C39" s="115">
        <f>C23/C34</f>
        <v>12078894078.087053</v>
      </c>
      <c r="D39" s="115"/>
      <c r="E39" s="94">
        <f>E23/E34</f>
        <v>422545577.24640387</v>
      </c>
      <c r="F39" s="94">
        <f t="shared" ref="F39:I39" si="1">F23/F34</f>
        <v>94795908.836166635</v>
      </c>
      <c r="G39" s="94">
        <f t="shared" si="1"/>
        <v>1702069930.8798814</v>
      </c>
      <c r="H39" s="94">
        <f t="shared" si="1"/>
        <v>12103032585.055109</v>
      </c>
      <c r="I39" s="94">
        <f t="shared" si="1"/>
        <v>1671626327.2931039</v>
      </c>
      <c r="J39" s="115">
        <f t="shared" ref="J39:L39" si="2">J23/J34</f>
        <v>5288785727.6293669</v>
      </c>
      <c r="K39" s="115">
        <f t="shared" si="2"/>
        <v>0</v>
      </c>
      <c r="L39" s="44">
        <f t="shared" si="2"/>
        <v>0</v>
      </c>
    </row>
    <row r="40" spans="1:13" ht="15.5" x14ac:dyDescent="0.4">
      <c r="A40" s="23" t="s">
        <v>128</v>
      </c>
      <c r="B40" s="94">
        <f>B25/B35</f>
        <v>30922567750.777866</v>
      </c>
      <c r="C40" s="115">
        <f>C25/C35</f>
        <v>11400241185.676147</v>
      </c>
      <c r="D40" s="115"/>
      <c r="E40" s="94">
        <f>E25/E35</f>
        <v>503141580.59467918</v>
      </c>
      <c r="F40" s="94">
        <f t="shared" ref="F40:I40" si="3">F25/F35</f>
        <v>116466813.9556292</v>
      </c>
      <c r="G40" s="94">
        <f t="shared" si="3"/>
        <v>1604449139.2801251</v>
      </c>
      <c r="H40" s="94">
        <f t="shared" si="3"/>
        <v>12404594414.066095</v>
      </c>
      <c r="I40" s="94">
        <f t="shared" si="3"/>
        <v>1273535638.405597</v>
      </c>
      <c r="J40" s="115">
        <f t="shared" ref="J40:L40" si="4">J25/J35</f>
        <v>3609588511.4609222</v>
      </c>
      <c r="K40" s="115">
        <f t="shared" si="4"/>
        <v>0</v>
      </c>
      <c r="L40" s="44">
        <f t="shared" si="4"/>
        <v>10550467.338672558</v>
      </c>
    </row>
    <row r="41" spans="1:13" ht="15.5" x14ac:dyDescent="0.4">
      <c r="A41" s="23" t="s">
        <v>87</v>
      </c>
      <c r="B41" s="94">
        <f>B39/B15</f>
        <v>121825.34949927546</v>
      </c>
      <c r="C41" s="115">
        <f>C39/D15</f>
        <v>70956.735210140774</v>
      </c>
      <c r="D41" s="115"/>
      <c r="E41" s="94">
        <f>E39/E15</f>
        <v>286083.66773622471</v>
      </c>
      <c r="F41" s="94">
        <f t="shared" ref="F41:I41" si="5">F39/F15</f>
        <v>640512.8975416664</v>
      </c>
      <c r="G41" s="94">
        <f t="shared" si="5"/>
        <v>200219.96598986958</v>
      </c>
      <c r="H41" s="94">
        <f t="shared" si="5"/>
        <v>174558.77385238494</v>
      </c>
      <c r="I41" s="94">
        <f t="shared" si="5"/>
        <v>259207.05958956489</v>
      </c>
      <c r="J41" s="102">
        <f>J39/K15</f>
        <v>25260.716669354279</v>
      </c>
      <c r="K41" s="102">
        <f t="shared" ref="K41" si="6">K39/K15</f>
        <v>0</v>
      </c>
      <c r="L41" s="84" t="s">
        <v>56</v>
      </c>
    </row>
    <row r="42" spans="1:13" ht="15.5" x14ac:dyDescent="0.4">
      <c r="A42" s="23" t="s">
        <v>129</v>
      </c>
      <c r="B42" s="94">
        <f>B40/B18</f>
        <v>114664.77707035007</v>
      </c>
      <c r="C42" s="115">
        <f>C40/D18</f>
        <v>62986.845893654747</v>
      </c>
      <c r="D42" s="115"/>
      <c r="E42" s="94">
        <f>E40/E18</f>
        <v>272853.35173247242</v>
      </c>
      <c r="F42" s="94">
        <f t="shared" ref="F42:I42" si="7">F40/F18</f>
        <v>616226.52886576299</v>
      </c>
      <c r="G42" s="94">
        <f t="shared" si="7"/>
        <v>199583.17443464673</v>
      </c>
      <c r="H42" s="94">
        <f t="shared" si="7"/>
        <v>166495.68364203392</v>
      </c>
      <c r="I42" s="94">
        <f t="shared" si="7"/>
        <v>265707.41464752704</v>
      </c>
      <c r="J42" s="102">
        <f>J40/K18</f>
        <v>16791.595390209161</v>
      </c>
      <c r="K42" s="102">
        <f t="shared" ref="K42" si="8">K40/K18</f>
        <v>0</v>
      </c>
      <c r="L42" s="84" t="s">
        <v>56</v>
      </c>
    </row>
    <row r="43" spans="1:13" ht="15.5" x14ac:dyDescent="0.4">
      <c r="A43" s="23"/>
      <c r="B43" s="61"/>
      <c r="C43" s="61"/>
      <c r="D43" s="61"/>
      <c r="E43" s="61"/>
      <c r="F43" s="61"/>
      <c r="G43" s="61"/>
      <c r="H43" s="61"/>
      <c r="I43" s="61"/>
      <c r="J43" s="61"/>
      <c r="K43" s="76"/>
      <c r="L43" s="76"/>
    </row>
    <row r="44" spans="1:13" ht="15.5" x14ac:dyDescent="0.4">
      <c r="A44" s="25" t="s">
        <v>8</v>
      </c>
      <c r="B44" s="61"/>
      <c r="C44" s="61"/>
      <c r="D44" s="61"/>
      <c r="E44" s="61"/>
      <c r="F44" s="61"/>
      <c r="G44" s="61"/>
      <c r="H44" s="61"/>
      <c r="I44" s="61"/>
      <c r="J44" s="61"/>
      <c r="K44" s="76"/>
      <c r="L44" s="76"/>
    </row>
    <row r="45" spans="1:13" ht="15.5" x14ac:dyDescent="0.4">
      <c r="A45" s="23"/>
      <c r="B45" s="61"/>
      <c r="C45" s="61"/>
      <c r="D45" s="61"/>
      <c r="E45" s="61"/>
      <c r="F45" s="61"/>
      <c r="G45" s="61"/>
      <c r="H45" s="61"/>
      <c r="I45" s="61"/>
      <c r="J45" s="61"/>
      <c r="K45" s="76"/>
      <c r="L45" s="76"/>
    </row>
    <row r="46" spans="1:13" ht="15.5" x14ac:dyDescent="0.4">
      <c r="A46" s="25" t="s">
        <v>9</v>
      </c>
      <c r="B46" s="61"/>
      <c r="C46" s="61"/>
      <c r="D46" s="61"/>
      <c r="E46" s="61"/>
      <c r="F46" s="61"/>
      <c r="G46" s="61"/>
      <c r="H46" s="61"/>
      <c r="I46" s="61"/>
      <c r="J46" s="61"/>
      <c r="K46" s="76"/>
      <c r="L46" s="76"/>
    </row>
    <row r="47" spans="1:13" ht="15.5" x14ac:dyDescent="0.4">
      <c r="A47" s="23" t="s">
        <v>10</v>
      </c>
      <c r="B47" s="89" t="s">
        <v>56</v>
      </c>
      <c r="C47" s="114">
        <f>(D16/C36)*100</f>
        <v>60.365740586649416</v>
      </c>
      <c r="D47" s="114"/>
      <c r="E47" s="93">
        <f>(E16/E36)*100</f>
        <v>1.2468065445453065</v>
      </c>
      <c r="F47" s="89" t="s">
        <v>48</v>
      </c>
      <c r="G47" s="93">
        <f t="shared" ref="G47" si="9">G16/G36*100</f>
        <v>7.7787853183026616</v>
      </c>
      <c r="H47" s="89" t="s">
        <v>56</v>
      </c>
      <c r="I47" s="89" t="s">
        <v>56</v>
      </c>
      <c r="J47" s="109" t="s">
        <v>48</v>
      </c>
      <c r="K47" s="109"/>
      <c r="L47" s="88" t="s">
        <v>56</v>
      </c>
    </row>
    <row r="48" spans="1:13" ht="15.5" x14ac:dyDescent="0.4">
      <c r="A48" s="23" t="s">
        <v>11</v>
      </c>
      <c r="B48" s="89">
        <f>(B18/B36)*100</f>
        <v>56.729171312092696</v>
      </c>
      <c r="C48" s="114">
        <f>(D18/C36)*100</f>
        <v>86.059349636018695</v>
      </c>
      <c r="D48" s="114"/>
      <c r="E48" s="93">
        <f>(E18/E36)*100</f>
        <v>1.2529216720117411</v>
      </c>
      <c r="F48" s="89" t="s">
        <v>48</v>
      </c>
      <c r="G48" s="93">
        <f>(G18/G36)*100</f>
        <v>8.283700513158708</v>
      </c>
      <c r="H48" s="89" t="s">
        <v>56</v>
      </c>
      <c r="I48" s="89" t="s">
        <v>56</v>
      </c>
      <c r="J48" s="109" t="s">
        <v>48</v>
      </c>
      <c r="K48" s="109"/>
      <c r="L48" s="88" t="s">
        <v>56</v>
      </c>
    </row>
    <row r="49" spans="1:12" ht="15.5" x14ac:dyDescent="0.4">
      <c r="A49" s="23"/>
      <c r="B49" s="93"/>
      <c r="C49" s="93"/>
      <c r="D49" s="93"/>
      <c r="E49" s="93"/>
      <c r="F49" s="93"/>
      <c r="G49" s="93"/>
      <c r="H49" s="93"/>
      <c r="I49" s="93"/>
      <c r="J49" s="93"/>
      <c r="K49" s="88"/>
      <c r="L49" s="88"/>
    </row>
    <row r="50" spans="1:12" ht="15.5" x14ac:dyDescent="0.4">
      <c r="A50" s="25" t="s">
        <v>12</v>
      </c>
      <c r="B50" s="93"/>
      <c r="C50" s="93"/>
      <c r="D50" s="93"/>
      <c r="E50" s="93"/>
      <c r="F50" s="93"/>
      <c r="G50" s="93"/>
      <c r="H50" s="93"/>
      <c r="I50" s="93"/>
      <c r="J50" s="93"/>
      <c r="K50" s="88"/>
      <c r="L50" s="88"/>
    </row>
    <row r="51" spans="1:12" ht="15.5" x14ac:dyDescent="0.4">
      <c r="A51" s="23" t="s">
        <v>13</v>
      </c>
      <c r="B51" s="89" t="s">
        <v>56</v>
      </c>
      <c r="C51" s="89" t="s">
        <v>56</v>
      </c>
      <c r="D51" s="93">
        <f>D18/D16*100</f>
        <v>142.56323007002371</v>
      </c>
      <c r="E51" s="93">
        <f>E18/E16*100</f>
        <v>100.49046321525886</v>
      </c>
      <c r="F51" s="93">
        <f t="shared" ref="F51:H51" si="10">F18/F16*100</f>
        <v>178.30188679245282</v>
      </c>
      <c r="G51" s="93">
        <f t="shared" si="10"/>
        <v>106.49092595045701</v>
      </c>
      <c r="H51" s="93">
        <f t="shared" si="10"/>
        <v>85.690954051411822</v>
      </c>
      <c r="I51" s="93">
        <f t="shared" ref="I51" si="11">I18/I16*100</f>
        <v>22.366885995613419</v>
      </c>
      <c r="J51" s="89" t="s">
        <v>56</v>
      </c>
      <c r="K51" s="88">
        <f>K18/K16*100</f>
        <v>278.36784377711308</v>
      </c>
      <c r="L51" s="89" t="s">
        <v>56</v>
      </c>
    </row>
    <row r="52" spans="1:12" ht="15.5" x14ac:dyDescent="0.4">
      <c r="A52" s="23" t="s">
        <v>14</v>
      </c>
      <c r="B52" s="93">
        <f>B25/B24*100</f>
        <v>141.6017819007777</v>
      </c>
      <c r="C52" s="114">
        <f>C25/C24*100</f>
        <v>138.88194271942814</v>
      </c>
      <c r="D52" s="114"/>
      <c r="E52" s="93">
        <f>E25/E24*100</f>
        <v>133.89581063204312</v>
      </c>
      <c r="F52" s="93">
        <f t="shared" ref="F52:H52" si="12">F25/F24*100</f>
        <v>128.73209198209199</v>
      </c>
      <c r="G52" s="93">
        <f t="shared" si="12"/>
        <v>102.61333215584109</v>
      </c>
      <c r="H52" s="93">
        <f t="shared" si="12"/>
        <v>137.68095994768677</v>
      </c>
      <c r="I52" s="93">
        <f t="shared" ref="I52" si="13">I25/I24*100</f>
        <v>7094.5731487179482</v>
      </c>
      <c r="J52" s="109">
        <f>J25/J24*100</f>
        <v>140.35996563573883</v>
      </c>
      <c r="K52" s="109"/>
      <c r="L52" s="89" t="s">
        <v>56</v>
      </c>
    </row>
    <row r="53" spans="1:12" ht="15.5" x14ac:dyDescent="0.4">
      <c r="A53" s="23" t="s">
        <v>15</v>
      </c>
      <c r="B53" s="89" t="s">
        <v>56</v>
      </c>
      <c r="C53" s="89" t="s">
        <v>56</v>
      </c>
      <c r="D53" s="93">
        <f>AVERAGE(D51,C52)</f>
        <v>140.72258639472591</v>
      </c>
      <c r="E53" s="93">
        <f>AVERAGE(E51:E52)</f>
        <v>117.193136923651</v>
      </c>
      <c r="F53" s="93">
        <f t="shared" ref="F53:H53" si="14">AVERAGE(F51:F52)</f>
        <v>153.51698938727242</v>
      </c>
      <c r="G53" s="93">
        <f t="shared" si="14"/>
        <v>104.55212905314906</v>
      </c>
      <c r="H53" s="93">
        <f t="shared" si="14"/>
        <v>111.68595699954929</v>
      </c>
      <c r="I53" s="93">
        <f t="shared" ref="I53" si="15">AVERAGE(I51:I52)</f>
        <v>3558.4700173567808</v>
      </c>
      <c r="J53" s="89" t="s">
        <v>56</v>
      </c>
      <c r="K53" s="88">
        <f>AVERAGE(K51,J52)</f>
        <v>209.36390470642596</v>
      </c>
      <c r="L53" s="89" t="s">
        <v>56</v>
      </c>
    </row>
    <row r="54" spans="1:12" ht="15.5" x14ac:dyDescent="0.4">
      <c r="A54" s="23"/>
      <c r="B54" s="93"/>
      <c r="C54" s="93"/>
      <c r="D54" s="93"/>
      <c r="E54" s="93"/>
      <c r="F54" s="93"/>
      <c r="G54" s="93"/>
      <c r="H54" s="93"/>
      <c r="I54" s="93"/>
      <c r="J54" s="93"/>
      <c r="K54" s="88"/>
      <c r="L54" s="88"/>
    </row>
    <row r="55" spans="1:12" ht="15.5" x14ac:dyDescent="0.4">
      <c r="A55" s="25" t="s">
        <v>16</v>
      </c>
      <c r="B55" s="93"/>
      <c r="C55" s="93"/>
      <c r="D55" s="93"/>
      <c r="E55" s="93"/>
      <c r="F55" s="93"/>
      <c r="G55" s="93"/>
      <c r="H55" s="93"/>
      <c r="I55" s="93"/>
      <c r="J55" s="93"/>
      <c r="K55" s="88"/>
      <c r="L55" s="88"/>
    </row>
    <row r="56" spans="1:12" ht="15.5" x14ac:dyDescent="0.4">
      <c r="A56" s="23" t="s">
        <v>17</v>
      </c>
      <c r="B56" s="89" t="s">
        <v>56</v>
      </c>
      <c r="C56" s="114">
        <f>D18/D20*100</f>
        <v>142.56323007002371</v>
      </c>
      <c r="D56" s="114"/>
      <c r="E56" s="93">
        <f>E18/E20*100</f>
        <v>100.49046321525886</v>
      </c>
      <c r="F56" s="93">
        <f t="shared" ref="F56:I56" si="16">F18/F20*100</f>
        <v>178.30188679245282</v>
      </c>
      <c r="G56" s="93">
        <f t="shared" si="16"/>
        <v>106.49092595045701</v>
      </c>
      <c r="H56" s="93">
        <f t="shared" si="16"/>
        <v>85.690954051411822</v>
      </c>
      <c r="I56" s="93">
        <f t="shared" si="16"/>
        <v>22.366885995613419</v>
      </c>
      <c r="J56" s="109">
        <f>K18/K20*100</f>
        <v>278.36784377711308</v>
      </c>
      <c r="K56" s="109"/>
      <c r="L56" s="89" t="s">
        <v>56</v>
      </c>
    </row>
    <row r="57" spans="1:12" ht="15.5" x14ac:dyDescent="0.4">
      <c r="A57" s="23" t="s">
        <v>18</v>
      </c>
      <c r="B57" s="93">
        <f>B25/B26*100</f>
        <v>22.664260089885214</v>
      </c>
      <c r="C57" s="114">
        <f>C25/C26*100</f>
        <v>26.084222583049705</v>
      </c>
      <c r="D57" s="114"/>
      <c r="E57" s="93">
        <f>E25/E26*100</f>
        <v>29.507244992711762</v>
      </c>
      <c r="F57" s="93">
        <f t="shared" ref="F57:I57" si="17">F25/F26*100</f>
        <v>40.978121103175759</v>
      </c>
      <c r="G57" s="93">
        <f t="shared" si="17"/>
        <v>25.668067214515037</v>
      </c>
      <c r="H57" s="93">
        <f t="shared" si="17"/>
        <v>26.170281994848526</v>
      </c>
      <c r="I57" s="93">
        <f t="shared" si="17"/>
        <v>5.5210113114659887</v>
      </c>
      <c r="J57" s="109">
        <f>J25/J26*100</f>
        <v>25.736200752415932</v>
      </c>
      <c r="K57" s="109"/>
      <c r="L57" s="89" t="s">
        <v>56</v>
      </c>
    </row>
    <row r="58" spans="1:12" ht="15.5" x14ac:dyDescent="0.4">
      <c r="A58" s="23" t="s">
        <v>19</v>
      </c>
      <c r="B58" s="89" t="s">
        <v>56</v>
      </c>
      <c r="C58" s="114">
        <f>(C56+C57)/2</f>
        <v>84.323726326536701</v>
      </c>
      <c r="D58" s="114"/>
      <c r="E58" s="93">
        <f>(E56+E57)/2</f>
        <v>64.998854103985309</v>
      </c>
      <c r="F58" s="93">
        <f t="shared" ref="F58:I58" si="18">(F56+F57)/2</f>
        <v>109.64000394781429</v>
      </c>
      <c r="G58" s="93">
        <f t="shared" si="18"/>
        <v>66.07949658248603</v>
      </c>
      <c r="H58" s="93">
        <f t="shared" si="18"/>
        <v>55.930618023130172</v>
      </c>
      <c r="I58" s="93">
        <f t="shared" si="18"/>
        <v>13.943948653539703</v>
      </c>
      <c r="J58" s="109">
        <f>(J56+J57)/2</f>
        <v>152.0520222647645</v>
      </c>
      <c r="K58" s="109"/>
      <c r="L58" s="89" t="s">
        <v>56</v>
      </c>
    </row>
    <row r="59" spans="1:12" ht="15.5" x14ac:dyDescent="0.4">
      <c r="A59" s="23"/>
      <c r="B59" s="93"/>
      <c r="C59" s="93"/>
      <c r="D59" s="93"/>
      <c r="E59" s="93"/>
      <c r="F59" s="93"/>
      <c r="G59" s="93"/>
      <c r="H59" s="93"/>
      <c r="I59" s="93"/>
      <c r="J59" s="93"/>
      <c r="K59" s="88"/>
      <c r="L59" s="88"/>
    </row>
    <row r="60" spans="1:12" ht="15.5" x14ac:dyDescent="0.4">
      <c r="A60" s="25" t="s">
        <v>30</v>
      </c>
      <c r="B60" s="93"/>
      <c r="C60" s="93"/>
      <c r="D60" s="93"/>
      <c r="E60" s="93"/>
      <c r="F60" s="93"/>
      <c r="G60" s="93"/>
      <c r="H60" s="93"/>
      <c r="I60" s="93"/>
      <c r="J60" s="93"/>
      <c r="K60" s="88"/>
      <c r="L60" s="88"/>
    </row>
    <row r="61" spans="1:12" ht="15.5" x14ac:dyDescent="0.4">
      <c r="A61" s="23" t="s">
        <v>20</v>
      </c>
      <c r="B61" s="93">
        <f>B27/B25*100</f>
        <v>100</v>
      </c>
      <c r="C61" s="114">
        <f>C27/C25*100</f>
        <v>100</v>
      </c>
      <c r="D61" s="114"/>
      <c r="E61" s="93">
        <f>E27/E25*100</f>
        <v>100</v>
      </c>
      <c r="F61" s="93">
        <f t="shared" ref="F61:I61" si="19">F27/F25*100</f>
        <v>100</v>
      </c>
      <c r="G61" s="93">
        <f t="shared" si="19"/>
        <v>100</v>
      </c>
      <c r="H61" s="93">
        <f t="shared" si="19"/>
        <v>100</v>
      </c>
      <c r="I61" s="93">
        <f t="shared" si="19"/>
        <v>100</v>
      </c>
      <c r="J61" s="114">
        <f>J27/J25*100</f>
        <v>100</v>
      </c>
      <c r="K61" s="114"/>
      <c r="L61" s="88" t="s">
        <v>48</v>
      </c>
    </row>
    <row r="62" spans="1:12" ht="15.5" x14ac:dyDescent="0.4">
      <c r="A62" s="23"/>
      <c r="B62" s="93"/>
      <c r="C62" s="93"/>
      <c r="D62" s="93"/>
      <c r="E62" s="93"/>
      <c r="F62" s="93"/>
      <c r="G62" s="93"/>
      <c r="H62" s="93"/>
      <c r="I62" s="93"/>
      <c r="J62" s="93"/>
      <c r="K62" s="88"/>
      <c r="L62" s="88"/>
    </row>
    <row r="63" spans="1:12" ht="15.5" x14ac:dyDescent="0.4">
      <c r="A63" s="25" t="s">
        <v>21</v>
      </c>
      <c r="B63" s="93"/>
      <c r="C63" s="93"/>
      <c r="D63" s="93"/>
      <c r="E63" s="93"/>
      <c r="F63" s="93"/>
      <c r="G63" s="93"/>
      <c r="H63" s="93"/>
      <c r="I63" s="93"/>
      <c r="J63" s="93"/>
      <c r="K63" s="88"/>
      <c r="L63" s="88"/>
    </row>
    <row r="64" spans="1:12" ht="15.5" x14ac:dyDescent="0.4">
      <c r="A64" s="23" t="s">
        <v>22</v>
      </c>
      <c r="B64" s="93">
        <f>((B18/B15)-1)*100</f>
        <v>-1.5231021475338613</v>
      </c>
      <c r="C64" s="114">
        <f>((D18/D15)-1)*100</f>
        <v>6.3238343642975092</v>
      </c>
      <c r="D64" s="114"/>
      <c r="E64" s="93">
        <f>((E18/E15)-1)*100</f>
        <v>24.847664184157068</v>
      </c>
      <c r="F64" s="93">
        <f t="shared" ref="F64:I64" si="20">((F18/F15)-1)*100</f>
        <v>27.702702702702698</v>
      </c>
      <c r="G64" s="93">
        <f t="shared" si="20"/>
        <v>-5.4346547465004118</v>
      </c>
      <c r="H64" s="93">
        <f t="shared" si="20"/>
        <v>7.4551092521814466</v>
      </c>
      <c r="I64" s="93">
        <f t="shared" si="20"/>
        <v>-25.678399751899516</v>
      </c>
      <c r="J64" s="109">
        <f>((K18/K15)-1)*100</f>
        <v>2.6728057773871772</v>
      </c>
      <c r="K64" s="109">
        <f t="shared" ref="K64" si="21">((K18/K15)-1)*100</f>
        <v>2.6728057773871772</v>
      </c>
      <c r="L64" s="89" t="s">
        <v>56</v>
      </c>
    </row>
    <row r="65" spans="1:13" ht="15.5" x14ac:dyDescent="0.4">
      <c r="A65" s="23" t="s">
        <v>23</v>
      </c>
      <c r="B65" s="93">
        <f>((B40/B39)-1)*100</f>
        <v>-7.3113142277517307</v>
      </c>
      <c r="C65" s="114">
        <f>((C40/C39)-1)*100</f>
        <v>-5.6185018928354147</v>
      </c>
      <c r="D65" s="114"/>
      <c r="E65" s="93">
        <f>((E40/E39)-1)*100</f>
        <v>19.073919522124449</v>
      </c>
      <c r="F65" s="93">
        <f t="shared" ref="F65:I65" si="22">((F40/F39)-1)*100</f>
        <v>22.860591122044994</v>
      </c>
      <c r="G65" s="93">
        <f t="shared" si="22"/>
        <v>-5.7354160266077532</v>
      </c>
      <c r="H65" s="93">
        <f t="shared" si="22"/>
        <v>2.4916220533303113</v>
      </c>
      <c r="I65" s="93">
        <f t="shared" si="22"/>
        <v>-23.814574010218102</v>
      </c>
      <c r="J65" s="109">
        <f t="shared" ref="J65:K65" si="23">((J40/J39)-1)*100</f>
        <v>-31.750146491964692</v>
      </c>
      <c r="K65" s="109" t="e">
        <f t="shared" si="23"/>
        <v>#DIV/0!</v>
      </c>
      <c r="L65" s="89" t="s">
        <v>56</v>
      </c>
    </row>
    <row r="66" spans="1:13" ht="15.5" x14ac:dyDescent="0.4">
      <c r="A66" s="23" t="s">
        <v>24</v>
      </c>
      <c r="B66" s="93">
        <f>((B42/B41)-1)*100</f>
        <v>-5.877736003513756</v>
      </c>
      <c r="C66" s="114">
        <f>((C42/C41)-1)*100</f>
        <v>-11.232040613034023</v>
      </c>
      <c r="D66" s="114"/>
      <c r="E66" s="93">
        <f>((E42/E41)-1)*100</f>
        <v>-4.6246317059773334</v>
      </c>
      <c r="F66" s="93">
        <f t="shared" ref="F66:I66" si="24">((F42/F41)-1)*100</f>
        <v>-3.7917064229488928</v>
      </c>
      <c r="G66" s="93">
        <f t="shared" si="24"/>
        <v>-0.31804598111612181</v>
      </c>
      <c r="H66" s="93">
        <f t="shared" si="24"/>
        <v>-4.6191262876133283</v>
      </c>
      <c r="I66" s="93">
        <f t="shared" si="24"/>
        <v>2.5077847294186384</v>
      </c>
      <c r="J66" s="109">
        <f t="shared" ref="J66:K66" si="25">((J42/J41)-1)*100</f>
        <v>-33.526844823922438</v>
      </c>
      <c r="K66" s="109" t="e">
        <f t="shared" si="25"/>
        <v>#DIV/0!</v>
      </c>
      <c r="L66" s="89" t="s">
        <v>56</v>
      </c>
    </row>
    <row r="67" spans="1:13" ht="15.5" x14ac:dyDescent="0.4">
      <c r="A67" s="23"/>
      <c r="B67" s="93"/>
      <c r="C67" s="93"/>
      <c r="D67" s="93"/>
      <c r="E67" s="93"/>
      <c r="F67" s="93"/>
      <c r="G67" s="93"/>
      <c r="H67" s="93"/>
      <c r="I67" s="93"/>
      <c r="J67" s="93"/>
      <c r="K67" s="88"/>
      <c r="L67" s="88"/>
    </row>
    <row r="68" spans="1:13" ht="15.5" x14ac:dyDescent="0.4">
      <c r="A68" s="25" t="s">
        <v>25</v>
      </c>
      <c r="B68" s="93"/>
      <c r="C68" s="93"/>
      <c r="D68" s="93"/>
      <c r="E68" s="93"/>
      <c r="F68" s="93"/>
      <c r="G68" s="93"/>
      <c r="H68" s="93"/>
      <c r="I68" s="93"/>
      <c r="J68" s="93"/>
      <c r="K68" s="88"/>
      <c r="L68" s="88"/>
    </row>
    <row r="69" spans="1:13" ht="15.5" x14ac:dyDescent="0.4">
      <c r="A69" s="23" t="s">
        <v>31</v>
      </c>
      <c r="B69" s="93">
        <f>(B24/B17)*3</f>
        <v>125368.60908182878</v>
      </c>
      <c r="C69" s="114">
        <f>(C24/D17)*3</f>
        <v>105000</v>
      </c>
      <c r="D69" s="114"/>
      <c r="E69" s="93">
        <f>(E24/E17)*3</f>
        <v>300000</v>
      </c>
      <c r="F69" s="93">
        <f t="shared" ref="F69:H69" si="26">(F24/F17)*3</f>
        <v>936000</v>
      </c>
      <c r="G69" s="93">
        <f t="shared" si="26"/>
        <v>225000</v>
      </c>
      <c r="H69" s="93">
        <f t="shared" si="26"/>
        <v>225000</v>
      </c>
      <c r="I69" s="93">
        <f t="shared" ref="I69" si="27">(I24/I17)*3</f>
        <v>390000</v>
      </c>
      <c r="J69" s="109">
        <f>(J24/K17)*3</f>
        <v>54000</v>
      </c>
      <c r="K69" s="109"/>
      <c r="L69" s="89" t="s">
        <v>56</v>
      </c>
    </row>
    <row r="70" spans="1:13" ht="15.5" x14ac:dyDescent="0.4">
      <c r="A70" s="23" t="s">
        <v>32</v>
      </c>
      <c r="B70" s="93">
        <f>(B25/B19)*3</f>
        <v>73501.275335973653</v>
      </c>
      <c r="C70" s="114">
        <f>(C25/D19)*3</f>
        <v>71734.392196387809</v>
      </c>
      <c r="D70" s="114"/>
      <c r="E70" s="93">
        <f>(E25/E19)*3</f>
        <v>314297.12420931575</v>
      </c>
      <c r="F70" s="93">
        <f t="shared" ref="F70:H70" si="28">(F25/F19)*3</f>
        <v>757592.21556886227</v>
      </c>
      <c r="G70" s="93">
        <f t="shared" si="28"/>
        <v>224921.03497225448</v>
      </c>
      <c r="H70" s="93">
        <f t="shared" si="28"/>
        <v>209828.41567744047</v>
      </c>
      <c r="I70" s="93">
        <f t="shared" ref="I70" si="29">(I25/I19)*3</f>
        <v>389044.3655793026</v>
      </c>
      <c r="J70" s="109">
        <f>(J25/K19)*3</f>
        <v>18947.405043819734</v>
      </c>
      <c r="K70" s="109"/>
      <c r="L70" s="89" t="s">
        <v>56</v>
      </c>
    </row>
    <row r="71" spans="1:13" ht="15.5" x14ac:dyDescent="0.4">
      <c r="A71" s="23" t="s">
        <v>26</v>
      </c>
      <c r="B71" s="89" t="s">
        <v>56</v>
      </c>
      <c r="C71" s="114">
        <f>(C70/C69)*D53</f>
        <v>96.139516222184142</v>
      </c>
      <c r="D71" s="114"/>
      <c r="E71" s="93">
        <f>(E70/E69)*E53</f>
        <v>122.7782197072403</v>
      </c>
      <c r="F71" s="93">
        <f t="shared" ref="F71:H71" si="30">(F70/F69)*F53</f>
        <v>124.25563687752695</v>
      </c>
      <c r="G71" s="93">
        <f t="shared" si="30"/>
        <v>104.51543588972001</v>
      </c>
      <c r="H71" s="93">
        <f t="shared" si="30"/>
        <v>104.1550551583741</v>
      </c>
      <c r="I71" s="93">
        <f t="shared" ref="I71" si="31">(I70/I69)*I53</f>
        <v>3549.7505393218944</v>
      </c>
      <c r="J71" s="109">
        <f>(J70/J69)*K53</f>
        <v>73.461161185709798</v>
      </c>
      <c r="K71" s="109"/>
      <c r="L71" s="89" t="s">
        <v>56</v>
      </c>
    </row>
    <row r="72" spans="1:13" ht="15.5" x14ac:dyDescent="0.4">
      <c r="A72" s="23" t="s">
        <v>33</v>
      </c>
      <c r="B72" s="93">
        <f>B24/B17</f>
        <v>41789.536360609593</v>
      </c>
      <c r="C72" s="114">
        <f>C24/D17</f>
        <v>35000</v>
      </c>
      <c r="D72" s="114"/>
      <c r="E72" s="93">
        <f>E24/E17</f>
        <v>100000</v>
      </c>
      <c r="F72" s="93">
        <f>F24/F17</f>
        <v>312000</v>
      </c>
      <c r="G72" s="93">
        <f t="shared" ref="G72:H72" si="32">G24/G17</f>
        <v>75000</v>
      </c>
      <c r="H72" s="93">
        <f t="shared" si="32"/>
        <v>75000</v>
      </c>
      <c r="I72" s="93">
        <f t="shared" ref="I72" si="33">I24/I17</f>
        <v>130000</v>
      </c>
      <c r="J72" s="109">
        <f>J24/K17</f>
        <v>18000</v>
      </c>
      <c r="K72" s="109"/>
      <c r="L72" s="89" t="s">
        <v>56</v>
      </c>
    </row>
    <row r="73" spans="1:13" ht="15.5" x14ac:dyDescent="0.4">
      <c r="A73" s="23" t="s">
        <v>34</v>
      </c>
      <c r="B73" s="93">
        <f>B25/B19</f>
        <v>24500.425111991219</v>
      </c>
      <c r="C73" s="114">
        <f>C25/D19</f>
        <v>23911.464065462606</v>
      </c>
      <c r="D73" s="114"/>
      <c r="E73" s="93">
        <f>E25/E19</f>
        <v>104765.70806977191</v>
      </c>
      <c r="F73" s="93">
        <f>F25/F19</f>
        <v>252530.73852295408</v>
      </c>
      <c r="G73" s="93">
        <f t="shared" ref="G73:H73" si="34">G25/G19</f>
        <v>74973.678324084831</v>
      </c>
      <c r="H73" s="93">
        <f t="shared" si="34"/>
        <v>69942.805225813485</v>
      </c>
      <c r="I73" s="93">
        <f t="shared" ref="I73" si="35">I25/I19</f>
        <v>129681.45519310086</v>
      </c>
      <c r="J73" s="109">
        <f>J25/K19</f>
        <v>6315.8016812732449</v>
      </c>
      <c r="K73" s="109"/>
      <c r="L73" s="89" t="s">
        <v>56</v>
      </c>
    </row>
    <row r="74" spans="1:13" ht="15.5" x14ac:dyDescent="0.4">
      <c r="A74" s="23"/>
      <c r="B74" s="93"/>
      <c r="C74" s="93"/>
      <c r="D74" s="93"/>
      <c r="E74" s="93"/>
      <c r="F74" s="93"/>
      <c r="G74" s="93"/>
      <c r="H74" s="93"/>
      <c r="I74" s="93"/>
      <c r="J74" s="93"/>
      <c r="K74" s="88"/>
      <c r="L74" s="88"/>
    </row>
    <row r="75" spans="1:13" ht="15.5" x14ac:dyDescent="0.4">
      <c r="A75" s="25" t="s">
        <v>27</v>
      </c>
      <c r="B75" s="93"/>
      <c r="C75" s="93"/>
      <c r="D75" s="93"/>
      <c r="E75" s="93"/>
      <c r="F75" s="93"/>
      <c r="G75" s="93"/>
      <c r="H75" s="93"/>
      <c r="I75" s="93"/>
      <c r="J75" s="93"/>
      <c r="K75" s="88"/>
      <c r="L75" s="88"/>
    </row>
    <row r="76" spans="1:13" ht="15.5" x14ac:dyDescent="0.4">
      <c r="A76" s="23" t="s">
        <v>28</v>
      </c>
      <c r="B76" s="93">
        <f>(B31/B30)*100</f>
        <v>110.77856613826069</v>
      </c>
      <c r="C76" s="93"/>
      <c r="D76" s="93"/>
      <c r="E76" s="93"/>
      <c r="F76" s="93"/>
      <c r="G76" s="93"/>
      <c r="H76" s="93"/>
      <c r="I76" s="93"/>
      <c r="J76" s="93"/>
      <c r="K76" s="88"/>
      <c r="L76" s="88"/>
    </row>
    <row r="77" spans="1:13" ht="15.5" x14ac:dyDescent="0.4">
      <c r="A77" s="23" t="s">
        <v>29</v>
      </c>
      <c r="B77" s="93">
        <f>(B25/B31)*100</f>
        <v>127.82416927481002</v>
      </c>
      <c r="C77" s="93"/>
      <c r="D77" s="93"/>
      <c r="E77" s="93"/>
      <c r="F77" s="93"/>
      <c r="G77" s="93"/>
      <c r="H77" s="93"/>
      <c r="I77" s="93"/>
      <c r="J77" s="93"/>
      <c r="K77" s="88"/>
      <c r="L77" s="88"/>
    </row>
    <row r="78" spans="1:13" ht="16" thickBot="1" x14ac:dyDescent="0.45">
      <c r="A78" s="48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</row>
    <row r="79" spans="1:13" s="5" customFormat="1" ht="17.25" customHeight="1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23"/>
      <c r="B80" s="23"/>
      <c r="C80" s="39"/>
      <c r="D80" s="39"/>
      <c r="E80" s="39"/>
      <c r="F80" s="39"/>
      <c r="G80" s="39"/>
      <c r="H80" s="39"/>
      <c r="I80" s="39"/>
      <c r="J80" s="39"/>
      <c r="K80" s="39"/>
      <c r="L80" s="39"/>
    </row>
    <row r="81" spans="1:12" ht="15.5" x14ac:dyDescent="0.4">
      <c r="A81" s="23"/>
      <c r="B81" s="63"/>
      <c r="C81" s="63"/>
      <c r="D81" s="63"/>
      <c r="E81" s="63"/>
      <c r="F81" s="39"/>
      <c r="G81" s="39"/>
      <c r="H81" s="39"/>
      <c r="I81" s="39"/>
      <c r="J81" s="39"/>
      <c r="K81" s="39"/>
      <c r="L81" s="39"/>
    </row>
    <row r="82" spans="1:12" ht="15.5" x14ac:dyDescent="0.4">
      <c r="A82" s="23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</row>
    <row r="83" spans="1:12" ht="15.5" x14ac:dyDescent="0.4">
      <c r="A83" s="36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</row>
    <row r="84" spans="1:12" x14ac:dyDescent="0.35">
      <c r="A84" s="5"/>
    </row>
    <row r="85" spans="1:12" x14ac:dyDescent="0.35">
      <c r="A85" s="5"/>
    </row>
    <row r="86" spans="1:12" x14ac:dyDescent="0.35">
      <c r="A86" s="5"/>
    </row>
    <row r="87" spans="1:12" x14ac:dyDescent="0.35">
      <c r="A87" s="5"/>
    </row>
    <row r="88" spans="1:12" x14ac:dyDescent="0.35">
      <c r="A88" s="73"/>
    </row>
    <row r="89" spans="1:12" x14ac:dyDescent="0.35">
      <c r="A89" s="73"/>
    </row>
    <row r="90" spans="1:12" x14ac:dyDescent="0.35">
      <c r="A90" s="5"/>
    </row>
    <row r="91" spans="1:12" x14ac:dyDescent="0.35">
      <c r="A91" s="5"/>
    </row>
    <row r="92" spans="1:12" x14ac:dyDescent="0.35">
      <c r="A92" s="5"/>
    </row>
    <row r="94" spans="1:12" x14ac:dyDescent="0.35">
      <c r="A94" s="17"/>
    </row>
  </sheetData>
  <mergeCells count="55">
    <mergeCell ref="C52:D52"/>
    <mergeCell ref="C65:D65"/>
    <mergeCell ref="C66:D66"/>
    <mergeCell ref="C56:D56"/>
    <mergeCell ref="C41:D41"/>
    <mergeCell ref="C42:D42"/>
    <mergeCell ref="C27:D27"/>
    <mergeCell ref="C36:D36"/>
    <mergeCell ref="J39:K39"/>
    <mergeCell ref="J40:K40"/>
    <mergeCell ref="J41:K41"/>
    <mergeCell ref="C40:D40"/>
    <mergeCell ref="J42:K42"/>
    <mergeCell ref="C57:D57"/>
    <mergeCell ref="C58:D58"/>
    <mergeCell ref="C61:D61"/>
    <mergeCell ref="J26:K26"/>
    <mergeCell ref="J47:K47"/>
    <mergeCell ref="J48:K48"/>
    <mergeCell ref="C47:D47"/>
    <mergeCell ref="C48:D48"/>
    <mergeCell ref="J27:K27"/>
    <mergeCell ref="J52:K52"/>
    <mergeCell ref="J56:K56"/>
    <mergeCell ref="J57:K57"/>
    <mergeCell ref="J58:K58"/>
    <mergeCell ref="J61:K61"/>
    <mergeCell ref="C39:D39"/>
    <mergeCell ref="A9:A10"/>
    <mergeCell ref="C9:L9"/>
    <mergeCell ref="J10:K10"/>
    <mergeCell ref="C26:D26"/>
    <mergeCell ref="C24:D24"/>
    <mergeCell ref="B9:B10"/>
    <mergeCell ref="C23:D23"/>
    <mergeCell ref="C25:D25"/>
    <mergeCell ref="C10:D10"/>
    <mergeCell ref="J25:K25"/>
    <mergeCell ref="J24:K24"/>
    <mergeCell ref="J23:K23"/>
    <mergeCell ref="A79:F79"/>
    <mergeCell ref="J71:K71"/>
    <mergeCell ref="J72:K72"/>
    <mergeCell ref="J73:K73"/>
    <mergeCell ref="J64:K64"/>
    <mergeCell ref="J65:K65"/>
    <mergeCell ref="J66:K66"/>
    <mergeCell ref="J69:K69"/>
    <mergeCell ref="J70:K70"/>
    <mergeCell ref="C73:D73"/>
    <mergeCell ref="C71:D71"/>
    <mergeCell ref="C69:D69"/>
    <mergeCell ref="C70:D70"/>
    <mergeCell ref="C64:D64"/>
    <mergeCell ref="C72:D72"/>
  </mergeCells>
  <pageMargins left="0.7" right="0.7" top="0.75" bottom="0.75" header="0.3" footer="0.3"/>
  <pageSetup orientation="portrait" horizontalDpi="300" verticalDpi="300" r:id="rId1"/>
  <ignoredErrors>
    <ignoredError sqref="B49:I50 C47:G47 B48:G48 B54:I55 D53:H53 B52:H52 D51:H51 B59:I63 B57:I57 B67:I68 B66:I66 B65:I65 B64:I64 B74:J77 B70:H70 B73:H73 C71:H71 C58:I58 C56:I56 B69:H69 B72:H72" evalError="1"/>
    <ignoredError sqref="B24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M80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3.453125" style="11" customWidth="1"/>
    <col min="2" max="12" width="18.7265625" style="11" customWidth="1"/>
    <col min="13" max="16384" width="11.453125" style="11"/>
  </cols>
  <sheetData>
    <row r="8" spans="1:13" ht="18.75" customHeight="1" x14ac:dyDescent="0.35"/>
    <row r="9" spans="1:13" s="3" customFormat="1" ht="15" customHeight="1" x14ac:dyDescent="0.4">
      <c r="A9" s="116" t="s">
        <v>0</v>
      </c>
      <c r="B9" s="99" t="s">
        <v>52</v>
      </c>
      <c r="C9" s="118" t="s">
        <v>59</v>
      </c>
      <c r="D9" s="118"/>
      <c r="E9" s="118"/>
      <c r="F9" s="118"/>
      <c r="G9" s="118"/>
      <c r="H9" s="118"/>
      <c r="I9" s="118"/>
      <c r="J9" s="118"/>
      <c r="K9" s="118"/>
      <c r="L9" s="118"/>
      <c r="M9" s="64"/>
    </row>
    <row r="10" spans="1:13" s="3" customFormat="1" ht="51.75" customHeight="1" thickBot="1" x14ac:dyDescent="0.45">
      <c r="A10" s="117"/>
      <c r="B10" s="100"/>
      <c r="C10" s="104" t="s">
        <v>1</v>
      </c>
      <c r="D10" s="104"/>
      <c r="E10" s="82" t="s">
        <v>44</v>
      </c>
      <c r="F10" s="82" t="s">
        <v>45</v>
      </c>
      <c r="G10" s="86" t="s">
        <v>46</v>
      </c>
      <c r="H10" s="86" t="s">
        <v>53</v>
      </c>
      <c r="I10" s="82" t="s">
        <v>50</v>
      </c>
      <c r="J10" s="104" t="s">
        <v>61</v>
      </c>
      <c r="K10" s="104"/>
      <c r="L10" s="82" t="s">
        <v>54</v>
      </c>
      <c r="M10" s="64"/>
    </row>
    <row r="11" spans="1:13" ht="16" thickTop="1" x14ac:dyDescent="0.4">
      <c r="A11" s="23"/>
      <c r="B11" s="23"/>
      <c r="C11" s="23"/>
      <c r="D11" s="23"/>
      <c r="E11" s="38"/>
      <c r="F11" s="23"/>
      <c r="G11" s="23"/>
      <c r="H11" s="23"/>
      <c r="I11" s="23"/>
      <c r="J11" s="23"/>
      <c r="K11" s="23"/>
      <c r="L11" s="23"/>
      <c r="M11" s="23"/>
    </row>
    <row r="12" spans="1:13" ht="15.5" x14ac:dyDescent="0.4">
      <c r="A12" s="25" t="s">
        <v>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15.5" x14ac:dyDescent="0.4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s="20" customFormat="1" ht="15.5" x14ac:dyDescent="0.4">
      <c r="A14" s="64" t="s">
        <v>41</v>
      </c>
      <c r="B14" s="26" t="s">
        <v>57</v>
      </c>
      <c r="C14" s="26" t="s">
        <v>42</v>
      </c>
      <c r="D14" s="26" t="s">
        <v>43</v>
      </c>
      <c r="E14" s="27" t="s">
        <v>42</v>
      </c>
      <c r="F14" s="27" t="s">
        <v>42</v>
      </c>
      <c r="G14" s="27" t="s">
        <v>42</v>
      </c>
      <c r="H14" s="27" t="s">
        <v>63</v>
      </c>
      <c r="I14" s="27" t="s">
        <v>51</v>
      </c>
      <c r="J14" s="27" t="s">
        <v>42</v>
      </c>
      <c r="K14" s="27" t="s">
        <v>62</v>
      </c>
      <c r="L14" s="27" t="s">
        <v>57</v>
      </c>
      <c r="M14" s="39"/>
    </row>
    <row r="15" spans="1:13" ht="15.5" x14ac:dyDescent="0.4">
      <c r="A15" s="28" t="s">
        <v>88</v>
      </c>
      <c r="B15" s="92">
        <v>319258</v>
      </c>
      <c r="C15" s="92">
        <v>145286</v>
      </c>
      <c r="D15" s="92">
        <v>184810</v>
      </c>
      <c r="E15" s="92">
        <v>1578</v>
      </c>
      <c r="F15" s="92">
        <v>157</v>
      </c>
      <c r="G15" s="92">
        <v>9333</v>
      </c>
      <c r="H15" s="92">
        <v>123732</v>
      </c>
      <c r="I15" s="92">
        <v>24968</v>
      </c>
      <c r="J15" s="91">
        <v>228844</v>
      </c>
      <c r="K15" s="91">
        <v>169776</v>
      </c>
      <c r="L15" s="91" t="s">
        <v>48</v>
      </c>
      <c r="M15" s="23"/>
    </row>
    <row r="16" spans="1:13" ht="15.5" x14ac:dyDescent="0.4">
      <c r="A16" s="28" t="s">
        <v>130</v>
      </c>
      <c r="B16" s="92" t="str">
        <f>'IV Trimestre'!B16</f>
        <v>n.d</v>
      </c>
      <c r="C16" s="92" t="str">
        <f>'IV Trimestre'!C16</f>
        <v>n.d</v>
      </c>
      <c r="D16" s="92">
        <f>'IV Trimestre'!D16</f>
        <v>126957</v>
      </c>
      <c r="E16" s="92">
        <f>'IV Trimestre'!E16</f>
        <v>1835</v>
      </c>
      <c r="F16" s="92">
        <f>'IV Trimestre'!F16</f>
        <v>106</v>
      </c>
      <c r="G16" s="92">
        <f>'IV Trimestre'!G16</f>
        <v>7549</v>
      </c>
      <c r="H16" s="92">
        <f>'IV Trimestre'!H16</f>
        <v>86945</v>
      </c>
      <c r="I16" s="92">
        <f>'IV Trimestre'!I16</f>
        <v>21429</v>
      </c>
      <c r="J16" s="91" t="s">
        <v>48</v>
      </c>
      <c r="K16" s="91">
        <f>+'IV Trimestre'!K16</f>
        <v>77223</v>
      </c>
      <c r="L16" s="91" t="s">
        <v>48</v>
      </c>
      <c r="M16" s="23"/>
    </row>
    <row r="17" spans="1:13" ht="15.5" x14ac:dyDescent="0.4">
      <c r="A17" s="28" t="s">
        <v>55</v>
      </c>
      <c r="B17" s="92">
        <f>+D17+E17+F17+G17+H17+I17+K17</f>
        <v>3193562</v>
      </c>
      <c r="C17" s="92" t="str">
        <f>'IV Trimestre'!C17</f>
        <v>n.d</v>
      </c>
      <c r="D17" s="92">
        <f>+'I Trimestre'!D17+'II Trimestre'!D17+'III Trimestre'!D17+'IV Trimestre'!D17</f>
        <v>1356494</v>
      </c>
      <c r="E17" s="92">
        <f>+'I Trimestre'!E17+'II Trimestre'!E17+'III Trimestre'!E17+'IV Trimestre'!E17</f>
        <v>18523</v>
      </c>
      <c r="F17" s="92">
        <f>+'I Trimestre'!F17+'II Trimestre'!F17+'III Trimestre'!F17+'IV Trimestre'!F17</f>
        <v>2293</v>
      </c>
      <c r="G17" s="92">
        <f>+'I Trimestre'!G17+'II Trimestre'!G17+'III Trimestre'!G17+'IV Trimestre'!G17</f>
        <v>90536</v>
      </c>
      <c r="H17" s="92">
        <f>+'I Trimestre'!H17+'II Trimestre'!H17+'III Trimestre'!H17+'IV Trimestre'!H17</f>
        <v>686535</v>
      </c>
      <c r="I17" s="92">
        <f>+'I Trimestre'!I17+'II Trimestre'!I17+'III Trimestre'!I17+'IV Trimestre'!I17</f>
        <v>192752</v>
      </c>
      <c r="J17" s="91" t="s">
        <v>48</v>
      </c>
      <c r="K17" s="91">
        <f>+'I Trimestre'!K17+'II Trimestre'!K17+'III Trimestre'!K17+'IV Trimestre'!K17</f>
        <v>846429</v>
      </c>
      <c r="L17" s="91" t="s">
        <v>48</v>
      </c>
      <c r="M17" s="23"/>
    </row>
    <row r="18" spans="1:13" ht="15.5" x14ac:dyDescent="0.4">
      <c r="A18" s="28" t="s">
        <v>131</v>
      </c>
      <c r="B18" s="92">
        <v>307927</v>
      </c>
      <c r="C18" s="92">
        <v>150396</v>
      </c>
      <c r="D18" s="92">
        <v>191438</v>
      </c>
      <c r="E18" s="92">
        <v>1967</v>
      </c>
      <c r="F18" s="92">
        <v>203</v>
      </c>
      <c r="G18" s="92">
        <v>8580</v>
      </c>
      <c r="H18" s="92">
        <v>116248</v>
      </c>
      <c r="I18" s="92">
        <v>25065</v>
      </c>
      <c r="J18" s="92">
        <v>160642</v>
      </c>
      <c r="K18" s="91">
        <v>224631</v>
      </c>
      <c r="L18" s="91" t="s">
        <v>48</v>
      </c>
      <c r="M18" s="23"/>
    </row>
    <row r="19" spans="1:13" ht="15.5" x14ac:dyDescent="0.4">
      <c r="A19" s="28" t="s">
        <v>55</v>
      </c>
      <c r="B19" s="92">
        <f>+SUM(D19+E19+F19+G19+H19+I19+K19)</f>
        <v>4954981</v>
      </c>
      <c r="C19" s="92" t="str">
        <f>'IV Trimestre'!C19</f>
        <v>n.d</v>
      </c>
      <c r="D19" s="92">
        <f>+'I Trimestre'!D19+'II Trimestre'!D19+'III Trimestre'!D19+'IV Trimestre'!D19</f>
        <v>1782023</v>
      </c>
      <c r="E19" s="92">
        <f>+'I Trimestre'!E19+'II Trimestre'!E19+'III Trimestre'!E19+'IV Trimestre'!E19</f>
        <v>16297</v>
      </c>
      <c r="F19" s="92">
        <f>+'I Trimestre'!F19+'II Trimestre'!F19+'III Trimestre'!F19+'IV Trimestre'!F19</f>
        <v>1240</v>
      </c>
      <c r="G19" s="92">
        <f>+'I Trimestre'!G19+'II Trimestre'!G19+'III Trimestre'!G19+'IV Trimestre'!G19</f>
        <v>83828</v>
      </c>
      <c r="H19" s="92">
        <f>+'I Trimestre'!H19+'II Trimestre'!H19+'III Trimestre'!H19+'IV Trimestre'!H19</f>
        <v>686984</v>
      </c>
      <c r="I19" s="92">
        <f>+'I Trimestre'!I19+'II Trimestre'!I19+'III Trimestre'!I19+'IV Trimestre'!I19</f>
        <v>193433</v>
      </c>
      <c r="J19" s="92" t="s">
        <v>48</v>
      </c>
      <c r="K19" s="92">
        <f>+'I Trimestre'!K19+'II Trimestre'!K19+'III Trimestre'!K19+'IV Trimestre'!K19</f>
        <v>2191176</v>
      </c>
      <c r="L19" s="91" t="s">
        <v>48</v>
      </c>
      <c r="M19" s="23"/>
    </row>
    <row r="20" spans="1:13" ht="15.5" x14ac:dyDescent="0.4">
      <c r="A20" s="28" t="s">
        <v>94</v>
      </c>
      <c r="B20" s="92" t="str">
        <f>'IV Trimestre'!B20</f>
        <v>n.d</v>
      </c>
      <c r="C20" s="92" t="str">
        <f>'IV Trimestre'!C20</f>
        <v>n.d</v>
      </c>
      <c r="D20" s="92">
        <f>'IV Trimestre'!D20</f>
        <v>126957</v>
      </c>
      <c r="E20" s="92">
        <f>'IV Trimestre'!E20</f>
        <v>1835</v>
      </c>
      <c r="F20" s="92">
        <f>'IV Trimestre'!F20</f>
        <v>106</v>
      </c>
      <c r="G20" s="92">
        <f>'IV Trimestre'!G20</f>
        <v>7549</v>
      </c>
      <c r="H20" s="92">
        <f>'IV Trimestre'!H20</f>
        <v>86945</v>
      </c>
      <c r="I20" s="92">
        <f>'IV Trimestre'!I20</f>
        <v>21429</v>
      </c>
      <c r="J20" s="91" t="s">
        <v>48</v>
      </c>
      <c r="K20" s="91">
        <f>'IV Trimestre'!K20</f>
        <v>77223</v>
      </c>
      <c r="L20" s="91" t="s">
        <v>48</v>
      </c>
      <c r="M20" s="23"/>
    </row>
    <row r="21" spans="1:13" ht="15.5" x14ac:dyDescent="0.4">
      <c r="A21" s="23"/>
      <c r="B21" s="83"/>
      <c r="C21" s="83"/>
      <c r="D21" s="83"/>
      <c r="E21" s="83"/>
      <c r="F21" s="83"/>
      <c r="G21" s="83"/>
      <c r="H21" s="83"/>
      <c r="I21" s="83"/>
      <c r="J21" s="83"/>
      <c r="K21" s="91"/>
      <c r="L21" s="91"/>
      <c r="M21" s="23"/>
    </row>
    <row r="22" spans="1:13" ht="15.5" x14ac:dyDescent="0.4">
      <c r="A22" s="30" t="s">
        <v>3</v>
      </c>
      <c r="B22" s="83"/>
      <c r="C22" s="83"/>
      <c r="D22" s="83"/>
      <c r="E22" s="83"/>
      <c r="F22" s="83"/>
      <c r="G22" s="83"/>
      <c r="H22" s="83"/>
      <c r="I22" s="83"/>
      <c r="J22" s="83"/>
      <c r="K22" s="91"/>
      <c r="L22" s="91"/>
      <c r="M22" s="23"/>
    </row>
    <row r="23" spans="1:13" ht="15.5" x14ac:dyDescent="0.4">
      <c r="A23" s="28" t="s">
        <v>88</v>
      </c>
      <c r="B23" s="92">
        <f>+C23+E23+F23+G23+H23+I23+J23+L23</f>
        <v>154042664467.60999</v>
      </c>
      <c r="C23" s="113">
        <f>'I Trimestre'!C23:D23+'II Trimestre'!C23:D23+'III Trimestre'!C23:D23+'IV Trimestre'!C23:D23</f>
        <v>48556293000</v>
      </c>
      <c r="D23" s="113"/>
      <c r="E23" s="92">
        <f>'I Trimestre'!E23+'II Trimestre'!E23+'III Trimestre'!E23+'IV Trimestre'!E23</f>
        <v>1575485515</v>
      </c>
      <c r="F23" s="92">
        <f>'I Trimestre'!F23+'II Trimestre'!F23+'III Trimestre'!F23+'IV Trimestre'!F23</f>
        <v>260758000</v>
      </c>
      <c r="G23" s="92">
        <f>'I Trimestre'!G23+'II Trimestre'!G23+'III Trimestre'!G23+'IV Trimestre'!G23</f>
        <v>7199256361.000001</v>
      </c>
      <c r="H23" s="92">
        <f>'I Trimestre'!H23+'II Trimestre'!H23+'III Trimestre'!H23+'IV Trimestre'!H23</f>
        <v>54019669975.610001</v>
      </c>
      <c r="I23" s="92">
        <f>'I Trimestre'!I23+'II Trimestre'!I23+'III Trimestre'!I23+'IV Trimestre'!I23</f>
        <v>26159978616</v>
      </c>
      <c r="J23" s="113">
        <f>+'I Trimestre'!J23:K23+'II Trimestre'!J23:K23+'III Trimestre'!J23:K23+'IV Trimestre'!J23:K23</f>
        <v>15921223000</v>
      </c>
      <c r="K23" s="113"/>
      <c r="L23" s="92">
        <f>+'I Trimestre'!L23+'IV Trimestre'!L23</f>
        <v>350000000</v>
      </c>
      <c r="M23" s="23"/>
    </row>
    <row r="24" spans="1:13" ht="15.5" x14ac:dyDescent="0.4">
      <c r="A24" s="28" t="s">
        <v>130</v>
      </c>
      <c r="B24" s="92">
        <f>+SUM(C24+E24+F24+G24+H24+I24+J24)</f>
        <v>148212142000</v>
      </c>
      <c r="C24" s="113">
        <f>'I Trimestre'!C24:D24+'II Trimestre'!C24:D24+'III Trimestre'!C24:D24+'IV Trimestre'!C24:D24</f>
        <v>47477290000</v>
      </c>
      <c r="D24" s="113"/>
      <c r="E24" s="92">
        <f>+'I Trimestre'!E24+'II Trimestre'!E24+'III Trimestre'!E24+'IV Trimestre'!E24</f>
        <v>1852300000</v>
      </c>
      <c r="F24" s="92">
        <f>+'I Trimestre'!F24+'II Trimestre'!F24+'III Trimestre'!F24+'IV Trimestre'!F24</f>
        <v>308745000</v>
      </c>
      <c r="G24" s="92">
        <f>+'I Trimestre'!G24+'II Trimestre'!G24+'III Trimestre'!G24+'IV Trimestre'!G24</f>
        <v>6790200000</v>
      </c>
      <c r="H24" s="92">
        <f>+'I Trimestre'!H24+'II Trimestre'!H24+'III Trimestre'!H24+'IV Trimestre'!H24</f>
        <v>51490125000</v>
      </c>
      <c r="I24" s="92">
        <f>+'I Trimestre'!I24+'II Trimestre'!I24+'III Trimestre'!I24+'IV Trimestre'!I24</f>
        <v>25057760000</v>
      </c>
      <c r="J24" s="113">
        <f>+'I Trimestre'!J24:K24+'II Trimestre'!J24:K24+'III Trimestre'!J24:K24+'IV Trimestre'!J24:K24</f>
        <v>15235722000</v>
      </c>
      <c r="K24" s="113"/>
      <c r="L24" s="91" t="s">
        <v>48</v>
      </c>
      <c r="M24" s="23"/>
    </row>
    <row r="25" spans="1:13" ht="15.5" x14ac:dyDescent="0.4">
      <c r="A25" s="28" t="s">
        <v>131</v>
      </c>
      <c r="B25" s="92">
        <f>+C25+E25+F25+G25+H25+I25+J25+L25</f>
        <v>147469947589.07001</v>
      </c>
      <c r="C25" s="113">
        <f>'I Trimestre'!C25:D25+'II Trimestre'!C25:D25+'III Trimestre'!C25:D25+'IV Trimestre'!C25:D25</f>
        <v>47330721000</v>
      </c>
      <c r="D25" s="113"/>
      <c r="E25" s="92">
        <f>'I Trimestre'!E25+'II Trimestre'!E25+'III Trimestre'!E25+'IV Trimestre'!E25</f>
        <v>1811228399</v>
      </c>
      <c r="F25" s="92">
        <f>'I Trimestre'!F25+'II Trimestre'!F25+'III Trimestre'!F25+'IV Trimestre'!F25</f>
        <v>336361200</v>
      </c>
      <c r="G25" s="92">
        <f>'I Trimestre'!G25+'II Trimestre'!G25+'III Trimestre'!G25+'IV Trimestre'!G25</f>
        <v>6777656100</v>
      </c>
      <c r="H25" s="92">
        <f>'I Trimestre'!H25+'II Trimestre'!H25+'III Trimestre'!H25+'IV Trimestre'!H25</f>
        <v>50636364288.400002</v>
      </c>
      <c r="I25" s="92">
        <f>'I Trimestre'!I25+'II Trimestre'!I25+'III Trimestre'!I25+'IV Trimestre'!I25</f>
        <v>25032215629</v>
      </c>
      <c r="J25" s="113">
        <f>+'I Trimestre'!J25:K25+'II Trimestre'!J25:K25+'III Trimestre'!J25:K25+'IV Trimestre'!J25:K25</f>
        <v>15183940000</v>
      </c>
      <c r="K25" s="113"/>
      <c r="L25" s="91">
        <f>+'I Trimestre'!L25+'IV Trimestre'!L25</f>
        <v>361460972.67000002</v>
      </c>
      <c r="M25" s="23"/>
    </row>
    <row r="26" spans="1:13" ht="15.5" x14ac:dyDescent="0.4">
      <c r="A26" s="28" t="s">
        <v>94</v>
      </c>
      <c r="B26" s="92">
        <f>+SUM(C26+E26+F26+G26+H26+I26+J26)</f>
        <v>148212142000</v>
      </c>
      <c r="C26" s="113">
        <f>'IV Trimestre'!C26</f>
        <v>47477290000</v>
      </c>
      <c r="D26" s="113"/>
      <c r="E26" s="92">
        <f>'IV Trimestre'!E26</f>
        <v>1852300000</v>
      </c>
      <c r="F26" s="92">
        <f>'IV Trimestre'!F26</f>
        <v>308745000</v>
      </c>
      <c r="G26" s="92">
        <f>'IV Trimestre'!G26</f>
        <v>6790200000</v>
      </c>
      <c r="H26" s="92">
        <f>'IV Trimestre'!H26</f>
        <v>51490125000</v>
      </c>
      <c r="I26" s="92">
        <f>'IV Trimestre'!I26</f>
        <v>25057760000</v>
      </c>
      <c r="J26" s="113">
        <f>+'IV Trimestre'!J26:K26</f>
        <v>15235722000</v>
      </c>
      <c r="K26" s="113"/>
      <c r="L26" s="91" t="s">
        <v>48</v>
      </c>
      <c r="M26" s="23"/>
    </row>
    <row r="27" spans="1:13" ht="15.5" x14ac:dyDescent="0.4">
      <c r="A27" s="28" t="s">
        <v>132</v>
      </c>
      <c r="B27" s="92">
        <f>+SUM(C27+E27+F27+G27+H27+I27+J27+L27)</f>
        <v>147469947589.07001</v>
      </c>
      <c r="C27" s="113">
        <f>C25</f>
        <v>47330721000</v>
      </c>
      <c r="D27" s="113"/>
      <c r="E27" s="92">
        <f>E25</f>
        <v>1811228399</v>
      </c>
      <c r="F27" s="92">
        <f t="shared" ref="F27:I27" si="0">F25</f>
        <v>336361200</v>
      </c>
      <c r="G27" s="92">
        <f t="shared" si="0"/>
        <v>6777656100</v>
      </c>
      <c r="H27" s="92">
        <f t="shared" si="0"/>
        <v>50636364288.400002</v>
      </c>
      <c r="I27" s="92">
        <f t="shared" si="0"/>
        <v>25032215629</v>
      </c>
      <c r="J27" s="113">
        <f>J25</f>
        <v>15183940000</v>
      </c>
      <c r="K27" s="113"/>
      <c r="L27" s="91">
        <f>+L25</f>
        <v>361460972.67000002</v>
      </c>
      <c r="M27" s="23"/>
    </row>
    <row r="28" spans="1:13" ht="15.5" x14ac:dyDescent="0.4">
      <c r="A28" s="23"/>
      <c r="B28" s="83"/>
      <c r="C28" s="83"/>
      <c r="D28" s="83"/>
      <c r="E28" s="83"/>
      <c r="F28" s="83"/>
      <c r="G28" s="83"/>
      <c r="H28" s="83"/>
      <c r="I28" s="83"/>
      <c r="J28" s="83"/>
      <c r="K28" s="91"/>
      <c r="L28" s="91"/>
      <c r="M28" s="23"/>
    </row>
    <row r="29" spans="1:13" ht="15.5" x14ac:dyDescent="0.4">
      <c r="A29" s="30" t="s">
        <v>4</v>
      </c>
      <c r="B29" s="83"/>
      <c r="C29" s="83"/>
      <c r="D29" s="83"/>
      <c r="E29" s="83"/>
      <c r="F29" s="83"/>
      <c r="G29" s="83"/>
      <c r="H29" s="83"/>
      <c r="I29" s="83"/>
      <c r="J29" s="83"/>
      <c r="K29" s="91"/>
      <c r="L29" s="91"/>
      <c r="M29" s="23"/>
    </row>
    <row r="30" spans="1:13" ht="15.5" x14ac:dyDescent="0.4">
      <c r="A30" s="28" t="s">
        <v>130</v>
      </c>
      <c r="B30" s="92">
        <f>B26</f>
        <v>148212142000</v>
      </c>
      <c r="C30" s="83"/>
      <c r="D30" s="83"/>
      <c r="E30" s="83"/>
      <c r="F30" s="83"/>
      <c r="G30" s="83"/>
      <c r="H30" s="83"/>
      <c r="I30" s="83"/>
      <c r="J30" s="83"/>
      <c r="K30" s="91"/>
      <c r="L30" s="91"/>
      <c r="M30" s="23"/>
    </row>
    <row r="31" spans="1:13" ht="15.5" x14ac:dyDescent="0.4">
      <c r="A31" s="28" t="s">
        <v>131</v>
      </c>
      <c r="B31" s="92">
        <f>'I Trimestre'!B31+'II Trimestre'!B31+'III Trimestre'!B31+'IV Trimestre'!B31</f>
        <v>146704646092</v>
      </c>
      <c r="C31" s="83"/>
      <c r="D31" s="83"/>
      <c r="E31" s="83"/>
      <c r="F31" s="83"/>
      <c r="G31" s="83"/>
      <c r="H31" s="83"/>
      <c r="I31" s="83"/>
      <c r="J31" s="83"/>
      <c r="K31" s="91"/>
      <c r="L31" s="91"/>
      <c r="M31" s="23"/>
    </row>
    <row r="32" spans="1:13" ht="15.5" x14ac:dyDescent="0.4">
      <c r="A32" s="23"/>
      <c r="B32" s="77"/>
      <c r="C32" s="77"/>
      <c r="D32" s="77"/>
      <c r="E32" s="77"/>
      <c r="F32" s="77"/>
      <c r="G32" s="77"/>
      <c r="H32" s="77"/>
      <c r="I32" s="77"/>
      <c r="J32" s="77"/>
      <c r="K32" s="23"/>
      <c r="L32" s="23"/>
      <c r="M32" s="23"/>
    </row>
    <row r="33" spans="1:13" ht="15.5" x14ac:dyDescent="0.4">
      <c r="A33" s="25" t="s">
        <v>5</v>
      </c>
      <c r="B33" s="77"/>
      <c r="C33" s="77"/>
      <c r="D33" s="77"/>
      <c r="E33" s="77"/>
      <c r="F33" s="77"/>
      <c r="G33" s="77"/>
      <c r="H33" s="77"/>
      <c r="I33" s="77"/>
      <c r="J33" s="77"/>
      <c r="K33" s="23"/>
      <c r="L33" s="23"/>
      <c r="M33" s="23"/>
    </row>
    <row r="34" spans="1:13" ht="15.5" x14ac:dyDescent="0.4">
      <c r="A34" s="28" t="s">
        <v>89</v>
      </c>
      <c r="B34" s="96">
        <v>1.0706</v>
      </c>
      <c r="C34" s="96">
        <v>1.0706</v>
      </c>
      <c r="D34" s="96">
        <v>1.0706</v>
      </c>
      <c r="E34" s="96">
        <v>1.0706</v>
      </c>
      <c r="F34" s="96">
        <v>1.0706</v>
      </c>
      <c r="G34" s="96">
        <v>1.0706</v>
      </c>
      <c r="H34" s="96">
        <v>1.0706</v>
      </c>
      <c r="I34" s="96">
        <v>1.0706</v>
      </c>
      <c r="J34" s="96">
        <v>1.0706</v>
      </c>
      <c r="K34" s="96">
        <v>1.0706</v>
      </c>
      <c r="L34" s="96">
        <v>1.0706</v>
      </c>
      <c r="M34" s="23"/>
    </row>
    <row r="35" spans="1:13" ht="15.5" x14ac:dyDescent="0.4">
      <c r="A35" s="28" t="s">
        <v>133</v>
      </c>
      <c r="B35" s="96">
        <v>1.0863</v>
      </c>
      <c r="C35" s="96">
        <v>1.0863</v>
      </c>
      <c r="D35" s="96">
        <v>1.0863</v>
      </c>
      <c r="E35" s="96">
        <v>1.0863</v>
      </c>
      <c r="F35" s="96">
        <v>1.0863</v>
      </c>
      <c r="G35" s="96">
        <v>1.0863</v>
      </c>
      <c r="H35" s="96">
        <v>1.0863</v>
      </c>
      <c r="I35" s="96">
        <v>1.0863</v>
      </c>
      <c r="J35" s="96">
        <v>1.0863</v>
      </c>
      <c r="K35" s="96">
        <v>1.0863</v>
      </c>
      <c r="L35" s="96">
        <v>1.0863</v>
      </c>
      <c r="M35" s="23"/>
    </row>
    <row r="36" spans="1:13" ht="15.5" x14ac:dyDescent="0.4">
      <c r="A36" s="28" t="s">
        <v>6</v>
      </c>
      <c r="B36" s="84">
        <v>475378</v>
      </c>
      <c r="C36" s="102">
        <v>210313</v>
      </c>
      <c r="D36" s="102"/>
      <c r="E36" s="84">
        <v>147176</v>
      </c>
      <c r="F36" s="84" t="s">
        <v>56</v>
      </c>
      <c r="G36" s="84">
        <v>97046</v>
      </c>
      <c r="H36" s="84" t="s">
        <v>56</v>
      </c>
      <c r="I36" s="84" t="s">
        <v>56</v>
      </c>
      <c r="J36" s="84" t="s">
        <v>56</v>
      </c>
      <c r="K36" s="85" t="s">
        <v>56</v>
      </c>
      <c r="L36" s="85" t="s">
        <v>56</v>
      </c>
      <c r="M36" s="23"/>
    </row>
    <row r="37" spans="1:13" ht="15.5" x14ac:dyDescent="0.4">
      <c r="A37" s="23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23"/>
    </row>
    <row r="38" spans="1:13" ht="15.5" x14ac:dyDescent="0.4">
      <c r="A38" s="25" t="s">
        <v>7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23"/>
    </row>
    <row r="39" spans="1:13" ht="15.5" x14ac:dyDescent="0.4">
      <c r="A39" s="23" t="s">
        <v>90</v>
      </c>
      <c r="B39" s="84">
        <f>B23/B34</f>
        <v>143884424124.42554</v>
      </c>
      <c r="C39" s="102">
        <f>C23/C34</f>
        <v>45354280777.134315</v>
      </c>
      <c r="D39" s="102"/>
      <c r="E39" s="84">
        <f>E23/E34</f>
        <v>1471591177.8441994</v>
      </c>
      <c r="F39" s="84">
        <f t="shared" ref="F39:K39" si="1">F23/F34</f>
        <v>243562488.32430413</v>
      </c>
      <c r="G39" s="84">
        <f t="shared" si="1"/>
        <v>6724506221.7448168</v>
      </c>
      <c r="H39" s="84">
        <f t="shared" si="1"/>
        <v>50457379017.009155</v>
      </c>
      <c r="I39" s="84">
        <f t="shared" si="1"/>
        <v>24434876345.97422</v>
      </c>
      <c r="J39" s="102">
        <f t="shared" si="1"/>
        <v>14871308611.993275</v>
      </c>
      <c r="K39" s="102">
        <f t="shared" si="1"/>
        <v>0</v>
      </c>
      <c r="L39" s="85">
        <f t="shared" ref="L39" si="2">L23/L34</f>
        <v>326919484.40127033</v>
      </c>
      <c r="M39" s="23"/>
    </row>
    <row r="40" spans="1:13" ht="15.5" x14ac:dyDescent="0.4">
      <c r="A40" s="23" t="s">
        <v>134</v>
      </c>
      <c r="B40" s="84">
        <f>B25/B35</f>
        <v>135754347407.7787</v>
      </c>
      <c r="C40" s="102">
        <f>C25/C35</f>
        <v>43570579950.28997</v>
      </c>
      <c r="D40" s="102"/>
      <c r="E40" s="84">
        <f>E25/E35</f>
        <v>1667337198.7480438</v>
      </c>
      <c r="F40" s="84">
        <f t="shared" ref="F40:I40" si="3">F25/F35</f>
        <v>309639326.15299642</v>
      </c>
      <c r="G40" s="84">
        <f t="shared" si="3"/>
        <v>6239212096.1060476</v>
      </c>
      <c r="H40" s="84">
        <f t="shared" si="3"/>
        <v>46613609765.626434</v>
      </c>
      <c r="I40" s="84">
        <f t="shared" si="3"/>
        <v>23043556686.9189</v>
      </c>
      <c r="J40" s="102">
        <f>J25/J35</f>
        <v>13977667311.055878</v>
      </c>
      <c r="K40" s="102"/>
      <c r="L40" s="85">
        <f t="shared" ref="L40" si="4">L25/L35</f>
        <v>332745072.88041979</v>
      </c>
      <c r="M40" s="23"/>
    </row>
    <row r="41" spans="1:13" ht="15.5" x14ac:dyDescent="0.4">
      <c r="A41" s="23" t="s">
        <v>91</v>
      </c>
      <c r="B41" s="84">
        <f>B39/B15</f>
        <v>450683.84856268455</v>
      </c>
      <c r="C41" s="102">
        <f>C39/D15</f>
        <v>245410.31749977986</v>
      </c>
      <c r="D41" s="102"/>
      <c r="E41" s="84">
        <f>E39/E15</f>
        <v>932567.28633979685</v>
      </c>
      <c r="F41" s="84">
        <f t="shared" ref="F41:I41" si="5">F39/F15</f>
        <v>1551353.4288172238</v>
      </c>
      <c r="G41" s="84">
        <f t="shared" si="5"/>
        <v>720508.54192058463</v>
      </c>
      <c r="H41" s="84">
        <f t="shared" si="5"/>
        <v>407795.71183694724</v>
      </c>
      <c r="I41" s="84">
        <f t="shared" si="5"/>
        <v>978647.72292431188</v>
      </c>
      <c r="J41" s="102">
        <f>J39/K15</f>
        <v>87593.703538740898</v>
      </c>
      <c r="K41" s="102"/>
      <c r="L41" s="87" t="s">
        <v>48</v>
      </c>
      <c r="M41" s="23"/>
    </row>
    <row r="42" spans="1:13" ht="15.5" x14ac:dyDescent="0.4">
      <c r="A42" s="23" t="s">
        <v>135</v>
      </c>
      <c r="B42" s="84">
        <f>B40/B18</f>
        <v>440865.3590226862</v>
      </c>
      <c r="C42" s="102">
        <f>C40/D18</f>
        <v>227596.29723612851</v>
      </c>
      <c r="D42" s="102"/>
      <c r="E42" s="84">
        <f>E40/E18</f>
        <v>847654.90531166433</v>
      </c>
      <c r="F42" s="84">
        <f t="shared" ref="F42:I42" si="6">F40/F18</f>
        <v>1525316.8776009677</v>
      </c>
      <c r="G42" s="84">
        <f t="shared" si="6"/>
        <v>727180.89698205679</v>
      </c>
      <c r="H42" s="84">
        <f t="shared" si="6"/>
        <v>400984.1869591428</v>
      </c>
      <c r="I42" s="84">
        <f t="shared" si="6"/>
        <v>919351.95240051462</v>
      </c>
      <c r="J42" s="102">
        <f>J40/K18</f>
        <v>62225.014851271095</v>
      </c>
      <c r="K42" s="102"/>
      <c r="L42" s="87" t="s">
        <v>48</v>
      </c>
      <c r="M42" s="23"/>
    </row>
    <row r="43" spans="1:13" ht="15.5" x14ac:dyDescent="0.4">
      <c r="A43" s="23"/>
      <c r="B43" s="66"/>
      <c r="C43" s="66"/>
      <c r="D43" s="66"/>
      <c r="E43" s="66"/>
      <c r="F43" s="66"/>
      <c r="G43" s="66"/>
      <c r="H43" s="66"/>
      <c r="I43" s="66"/>
      <c r="J43" s="66"/>
      <c r="K43" s="23"/>
      <c r="L43" s="23"/>
      <c r="M43" s="23"/>
    </row>
    <row r="44" spans="1:13" ht="15.5" x14ac:dyDescent="0.4">
      <c r="A44" s="25" t="s">
        <v>8</v>
      </c>
      <c r="B44" s="66"/>
      <c r="C44" s="66"/>
      <c r="D44" s="66"/>
      <c r="E44" s="66"/>
      <c r="F44" s="66"/>
      <c r="G44" s="66"/>
      <c r="H44" s="66"/>
      <c r="I44" s="66"/>
      <c r="J44" s="66"/>
      <c r="K44" s="23"/>
      <c r="L44" s="23"/>
      <c r="M44" s="23"/>
    </row>
    <row r="45" spans="1:13" ht="15.5" x14ac:dyDescent="0.4">
      <c r="A45" s="23"/>
      <c r="B45" s="66"/>
      <c r="C45" s="66"/>
      <c r="D45" s="66"/>
      <c r="E45" s="66"/>
      <c r="F45" s="66"/>
      <c r="G45" s="66"/>
      <c r="H45" s="66"/>
      <c r="I45" s="66"/>
      <c r="J45" s="66"/>
      <c r="K45" s="23"/>
      <c r="L45" s="23"/>
      <c r="M45" s="23"/>
    </row>
    <row r="46" spans="1:13" ht="15.5" x14ac:dyDescent="0.4">
      <c r="A46" s="25" t="s">
        <v>9</v>
      </c>
      <c r="B46" s="66"/>
      <c r="C46" s="66"/>
      <c r="D46" s="66"/>
      <c r="E46" s="66"/>
      <c r="F46" s="66"/>
      <c r="G46" s="66"/>
      <c r="H46" s="66"/>
      <c r="I46" s="66"/>
      <c r="J46" s="66"/>
      <c r="K46" s="23"/>
      <c r="L46" s="23"/>
      <c r="M46" s="23"/>
    </row>
    <row r="47" spans="1:13" ht="15.5" x14ac:dyDescent="0.4">
      <c r="A47" s="23" t="s">
        <v>10</v>
      </c>
      <c r="B47" s="89" t="s">
        <v>48</v>
      </c>
      <c r="C47" s="109">
        <f>D16/C36*100</f>
        <v>60.365740586649416</v>
      </c>
      <c r="D47" s="109"/>
      <c r="E47" s="89">
        <f>E16/E36*100</f>
        <v>1.2468065445453065</v>
      </c>
      <c r="F47" s="89" t="s">
        <v>48</v>
      </c>
      <c r="G47" s="89">
        <f t="shared" ref="G47" si="7">G16/G36*100</f>
        <v>7.7787853183026616</v>
      </c>
      <c r="H47" s="89" t="s">
        <v>48</v>
      </c>
      <c r="I47" s="89" t="s">
        <v>48</v>
      </c>
      <c r="J47" s="109" t="s">
        <v>48</v>
      </c>
      <c r="K47" s="109"/>
      <c r="L47" s="87" t="s">
        <v>48</v>
      </c>
      <c r="M47" s="23"/>
    </row>
    <row r="48" spans="1:13" ht="15.5" x14ac:dyDescent="0.4">
      <c r="A48" s="23" t="s">
        <v>11</v>
      </c>
      <c r="B48" s="89">
        <f>(B18/B36)*100</f>
        <v>64.775189428202395</v>
      </c>
      <c r="C48" s="109">
        <f>D18/C36*100</f>
        <v>91.025281366344444</v>
      </c>
      <c r="D48" s="109"/>
      <c r="E48" s="89">
        <f>E18/E36*100</f>
        <v>1.3364950807196825</v>
      </c>
      <c r="F48" s="89" t="s">
        <v>48</v>
      </c>
      <c r="G48" s="89">
        <f t="shared" ref="G48" si="8">G18/G36*100</f>
        <v>8.8411681058467106</v>
      </c>
      <c r="H48" s="89" t="s">
        <v>48</v>
      </c>
      <c r="I48" s="89" t="s">
        <v>48</v>
      </c>
      <c r="J48" s="109" t="s">
        <v>48</v>
      </c>
      <c r="K48" s="109"/>
      <c r="L48" s="87" t="s">
        <v>48</v>
      </c>
      <c r="M48" s="23"/>
    </row>
    <row r="49" spans="1:13" ht="15.5" x14ac:dyDescent="0.4">
      <c r="A49" s="23"/>
      <c r="B49" s="89"/>
      <c r="C49" s="89"/>
      <c r="D49" s="89"/>
      <c r="E49" s="89"/>
      <c r="F49" s="89"/>
      <c r="G49" s="89"/>
      <c r="H49" s="89"/>
      <c r="I49" s="89"/>
      <c r="J49" s="89"/>
      <c r="K49" s="87"/>
      <c r="L49" s="87"/>
      <c r="M49" s="23"/>
    </row>
    <row r="50" spans="1:13" ht="15.5" x14ac:dyDescent="0.4">
      <c r="A50" s="25" t="s">
        <v>12</v>
      </c>
      <c r="B50" s="89"/>
      <c r="C50" s="89"/>
      <c r="D50" s="89"/>
      <c r="E50" s="89"/>
      <c r="F50" s="89"/>
      <c r="G50" s="89"/>
      <c r="H50" s="89"/>
      <c r="I50" s="89"/>
      <c r="J50" s="89"/>
      <c r="K50" s="87"/>
      <c r="L50" s="87"/>
      <c r="M50" s="23"/>
    </row>
    <row r="51" spans="1:13" ht="15.5" x14ac:dyDescent="0.4">
      <c r="A51" s="23" t="s">
        <v>13</v>
      </c>
      <c r="B51" s="89" t="s">
        <v>48</v>
      </c>
      <c r="C51" s="89" t="s">
        <v>48</v>
      </c>
      <c r="D51" s="89">
        <f>D18/D16*100</f>
        <v>150.78963743629731</v>
      </c>
      <c r="E51" s="89">
        <f>E18/E16*100</f>
        <v>107.19346049046321</v>
      </c>
      <c r="F51" s="89">
        <f t="shared" ref="F51:I51" si="9">F18/F16*100</f>
        <v>191.50943396226415</v>
      </c>
      <c r="G51" s="89">
        <f t="shared" si="9"/>
        <v>113.65743807126772</v>
      </c>
      <c r="H51" s="89">
        <f t="shared" si="9"/>
        <v>133.70291563632182</v>
      </c>
      <c r="I51" s="89">
        <f t="shared" si="9"/>
        <v>116.96766064678708</v>
      </c>
      <c r="J51" s="89" t="s">
        <v>48</v>
      </c>
      <c r="K51" s="87">
        <f>K18/K16*100</f>
        <v>290.88613495979178</v>
      </c>
      <c r="L51" s="87" t="s">
        <v>48</v>
      </c>
      <c r="M51" s="23"/>
    </row>
    <row r="52" spans="1:13" ht="15.5" x14ac:dyDescent="0.4">
      <c r="A52" s="23" t="s">
        <v>14</v>
      </c>
      <c r="B52" s="89">
        <f>B25/B24*100</f>
        <v>99.499235082284969</v>
      </c>
      <c r="C52" s="109">
        <f>C25/C24*100</f>
        <v>99.691286086463663</v>
      </c>
      <c r="D52" s="109"/>
      <c r="E52" s="89">
        <f>E25/E24*100</f>
        <v>97.782670139826166</v>
      </c>
      <c r="F52" s="89">
        <f t="shared" ref="F52:I52" si="10">F25/F24*100</f>
        <v>108.94466307146675</v>
      </c>
      <c r="G52" s="89">
        <f t="shared" si="10"/>
        <v>99.815264646107622</v>
      </c>
      <c r="H52" s="89">
        <f t="shared" si="10"/>
        <v>98.341894272736766</v>
      </c>
      <c r="I52" s="89">
        <f t="shared" si="10"/>
        <v>99.898058042698139</v>
      </c>
      <c r="J52" s="109">
        <f>J25/J24*100</f>
        <v>99.660127692012239</v>
      </c>
      <c r="K52" s="109"/>
      <c r="L52" s="87" t="s">
        <v>48</v>
      </c>
      <c r="M52" s="23"/>
    </row>
    <row r="53" spans="1:13" ht="15.5" x14ac:dyDescent="0.4">
      <c r="A53" s="23" t="s">
        <v>15</v>
      </c>
      <c r="B53" s="89" t="s">
        <v>48</v>
      </c>
      <c r="C53" s="89" t="s">
        <v>48</v>
      </c>
      <c r="D53" s="89">
        <f>AVERAGE(D51,C52)</f>
        <v>125.24046176138049</v>
      </c>
      <c r="E53" s="89">
        <f>AVERAGE(E51:E52)</f>
        <v>102.48806531514469</v>
      </c>
      <c r="F53" s="89">
        <f t="shared" ref="F53:I53" si="11">AVERAGE(F51:F52)</f>
        <v>150.22704851686547</v>
      </c>
      <c r="G53" s="89">
        <f t="shared" si="11"/>
        <v>106.73635135868767</v>
      </c>
      <c r="H53" s="89">
        <f t="shared" si="11"/>
        <v>116.02240495452929</v>
      </c>
      <c r="I53" s="89">
        <f t="shared" si="11"/>
        <v>108.43285934474261</v>
      </c>
      <c r="J53" s="89" t="s">
        <v>48</v>
      </c>
      <c r="K53" s="87">
        <f>AVERAGE(K51,J52)</f>
        <v>195.273131325902</v>
      </c>
      <c r="L53" s="87" t="s">
        <v>48</v>
      </c>
      <c r="M53" s="23"/>
    </row>
    <row r="54" spans="1:13" ht="15.5" x14ac:dyDescent="0.4">
      <c r="A54" s="23"/>
      <c r="B54" s="89"/>
      <c r="C54" s="89"/>
      <c r="D54" s="89"/>
      <c r="E54" s="89"/>
      <c r="F54" s="89"/>
      <c r="G54" s="89"/>
      <c r="H54" s="89"/>
      <c r="I54" s="89"/>
      <c r="J54" s="89"/>
      <c r="K54" s="87"/>
      <c r="L54" s="87"/>
      <c r="M54" s="23"/>
    </row>
    <row r="55" spans="1:13" ht="15.5" x14ac:dyDescent="0.4">
      <c r="A55" s="25" t="s">
        <v>16</v>
      </c>
      <c r="B55" s="89"/>
      <c r="C55" s="89"/>
      <c r="D55" s="89"/>
      <c r="E55" s="89"/>
      <c r="F55" s="89"/>
      <c r="G55" s="89"/>
      <c r="H55" s="89"/>
      <c r="I55" s="89"/>
      <c r="J55" s="89"/>
      <c r="K55" s="87"/>
      <c r="L55" s="87"/>
      <c r="M55" s="23"/>
    </row>
    <row r="56" spans="1:13" ht="15.5" x14ac:dyDescent="0.4">
      <c r="A56" s="23" t="s">
        <v>17</v>
      </c>
      <c r="B56" s="89" t="s">
        <v>48</v>
      </c>
      <c r="C56" s="109">
        <f>D18/D20*100</f>
        <v>150.78963743629731</v>
      </c>
      <c r="D56" s="109"/>
      <c r="E56" s="89">
        <f>E18/E20*100</f>
        <v>107.19346049046321</v>
      </c>
      <c r="F56" s="89">
        <f t="shared" ref="F56:I56" si="12">F18/F20*100</f>
        <v>191.50943396226415</v>
      </c>
      <c r="G56" s="89">
        <f t="shared" si="12"/>
        <v>113.65743807126772</v>
      </c>
      <c r="H56" s="89">
        <f t="shared" si="12"/>
        <v>133.70291563632182</v>
      </c>
      <c r="I56" s="89">
        <f t="shared" si="12"/>
        <v>116.96766064678708</v>
      </c>
      <c r="J56" s="109">
        <f>K18/K20*100</f>
        <v>290.88613495979178</v>
      </c>
      <c r="K56" s="109"/>
      <c r="L56" s="87" t="s">
        <v>48</v>
      </c>
      <c r="M56" s="23"/>
    </row>
    <row r="57" spans="1:13" ht="15.5" x14ac:dyDescent="0.4">
      <c r="A57" s="23" t="s">
        <v>18</v>
      </c>
      <c r="B57" s="89">
        <f>B25/B26*100</f>
        <v>99.499235082284969</v>
      </c>
      <c r="C57" s="109">
        <f>C25/C26*100</f>
        <v>99.691286086463663</v>
      </c>
      <c r="D57" s="109"/>
      <c r="E57" s="89">
        <f>E25/E26*100</f>
        <v>97.782670139826166</v>
      </c>
      <c r="F57" s="89">
        <f t="shared" ref="F57:I57" si="13">F25/F26*100</f>
        <v>108.94466307146675</v>
      </c>
      <c r="G57" s="89">
        <f t="shared" si="13"/>
        <v>99.815264646107622</v>
      </c>
      <c r="H57" s="89">
        <f t="shared" si="13"/>
        <v>98.341894272736766</v>
      </c>
      <c r="I57" s="89">
        <f t="shared" si="13"/>
        <v>99.898058042698139</v>
      </c>
      <c r="J57" s="109">
        <f>J25/J26*100</f>
        <v>99.660127692012239</v>
      </c>
      <c r="K57" s="109"/>
      <c r="L57" s="87" t="s">
        <v>48</v>
      </c>
      <c r="M57" s="23"/>
    </row>
    <row r="58" spans="1:13" ht="15.5" x14ac:dyDescent="0.4">
      <c r="A58" s="23" t="s">
        <v>19</v>
      </c>
      <c r="B58" s="89" t="s">
        <v>48</v>
      </c>
      <c r="C58" s="109">
        <f>(C56+C57)/2</f>
        <v>125.24046176138049</v>
      </c>
      <c r="D58" s="109"/>
      <c r="E58" s="89">
        <f>(E56+E57)/2</f>
        <v>102.48806531514469</v>
      </c>
      <c r="F58" s="89">
        <f t="shared" ref="F58:I58" si="14">(F56+F57)/2</f>
        <v>150.22704851686547</v>
      </c>
      <c r="G58" s="89">
        <f t="shared" si="14"/>
        <v>106.73635135868767</v>
      </c>
      <c r="H58" s="89">
        <f t="shared" si="14"/>
        <v>116.02240495452929</v>
      </c>
      <c r="I58" s="89">
        <f t="shared" si="14"/>
        <v>108.43285934474261</v>
      </c>
      <c r="J58" s="109">
        <f>(J56+J57)/2</f>
        <v>195.273131325902</v>
      </c>
      <c r="K58" s="109"/>
      <c r="L58" s="87" t="s">
        <v>48</v>
      </c>
      <c r="M58" s="23"/>
    </row>
    <row r="59" spans="1:13" ht="15.5" x14ac:dyDescent="0.4">
      <c r="A59" s="23"/>
      <c r="B59" s="89"/>
      <c r="C59" s="89"/>
      <c r="D59" s="89"/>
      <c r="E59" s="89"/>
      <c r="F59" s="89"/>
      <c r="G59" s="89"/>
      <c r="H59" s="89"/>
      <c r="I59" s="89"/>
      <c r="J59" s="89"/>
      <c r="K59" s="87"/>
      <c r="L59" s="87"/>
      <c r="M59" s="23"/>
    </row>
    <row r="60" spans="1:13" ht="15.5" x14ac:dyDescent="0.4">
      <c r="A60" s="25" t="s">
        <v>30</v>
      </c>
      <c r="B60" s="89"/>
      <c r="C60" s="89"/>
      <c r="D60" s="89"/>
      <c r="E60" s="89"/>
      <c r="F60" s="89"/>
      <c r="G60" s="89"/>
      <c r="H60" s="89"/>
      <c r="I60" s="89"/>
      <c r="J60" s="89"/>
      <c r="K60" s="87"/>
      <c r="L60" s="87"/>
      <c r="M60" s="23"/>
    </row>
    <row r="61" spans="1:13" ht="15.5" x14ac:dyDescent="0.4">
      <c r="A61" s="23" t="s">
        <v>20</v>
      </c>
      <c r="B61" s="89">
        <f>B27/B25*100</f>
        <v>100</v>
      </c>
      <c r="C61" s="109">
        <f>C27/C25*100</f>
        <v>100</v>
      </c>
      <c r="D61" s="109"/>
      <c r="E61" s="89">
        <f>E27/E25*100</f>
        <v>100</v>
      </c>
      <c r="F61" s="89">
        <f t="shared" ref="F61:I61" si="15">F27/F25*100</f>
        <v>100</v>
      </c>
      <c r="G61" s="89">
        <f t="shared" si="15"/>
        <v>100</v>
      </c>
      <c r="H61" s="89">
        <f t="shared" si="15"/>
        <v>100</v>
      </c>
      <c r="I61" s="89">
        <f t="shared" si="15"/>
        <v>100</v>
      </c>
      <c r="J61" s="109">
        <f>J27/J25*100</f>
        <v>100</v>
      </c>
      <c r="K61" s="109"/>
      <c r="L61" s="87">
        <f t="shared" ref="L61" si="16">L27/L25*100</f>
        <v>100</v>
      </c>
      <c r="M61" s="23"/>
    </row>
    <row r="62" spans="1:13" ht="15.5" x14ac:dyDescent="0.4">
      <c r="A62" s="23"/>
      <c r="B62" s="89"/>
      <c r="C62" s="89"/>
      <c r="D62" s="89"/>
      <c r="E62" s="89"/>
      <c r="F62" s="89"/>
      <c r="G62" s="89"/>
      <c r="H62" s="89"/>
      <c r="I62" s="89"/>
      <c r="J62" s="89"/>
      <c r="K62" s="87"/>
      <c r="L62" s="87"/>
      <c r="M62" s="23"/>
    </row>
    <row r="63" spans="1:13" ht="15.5" x14ac:dyDescent="0.4">
      <c r="A63" s="25" t="s">
        <v>21</v>
      </c>
      <c r="B63" s="89"/>
      <c r="C63" s="89"/>
      <c r="D63" s="89"/>
      <c r="E63" s="89"/>
      <c r="F63" s="89"/>
      <c r="G63" s="89"/>
      <c r="H63" s="89"/>
      <c r="I63" s="89"/>
      <c r="J63" s="89"/>
      <c r="K63" s="87"/>
      <c r="L63" s="87"/>
      <c r="M63" s="23"/>
    </row>
    <row r="64" spans="1:13" ht="15.5" x14ac:dyDescent="0.4">
      <c r="A64" s="23" t="s">
        <v>22</v>
      </c>
      <c r="B64" s="93">
        <f>((B18/B15)-1)*100</f>
        <v>-3.5491671312856687</v>
      </c>
      <c r="C64" s="114">
        <f>((D18/D15)-1)*100</f>
        <v>3.5863860180726181</v>
      </c>
      <c r="D64" s="114"/>
      <c r="E64" s="93">
        <f>((E18/E15)-1)*100</f>
        <v>24.65145754119138</v>
      </c>
      <c r="F64" s="93">
        <f t="shared" ref="F64:H64" si="17">((F18/F15)-1)*100</f>
        <v>29.299363057324832</v>
      </c>
      <c r="G64" s="93">
        <f t="shared" si="17"/>
        <v>-8.0681452909032494</v>
      </c>
      <c r="H64" s="93">
        <f t="shared" si="17"/>
        <v>-6.048556557721529</v>
      </c>
      <c r="I64" s="93">
        <f>((I18/I15)-1)*100</f>
        <v>0.38849727651393273</v>
      </c>
      <c r="J64" s="109">
        <f>((K18/K15)-1)*100</f>
        <v>32.310220525869383</v>
      </c>
      <c r="K64" s="109">
        <f t="shared" ref="K64" si="18">((K18/K15)-1)*100</f>
        <v>32.310220525869383</v>
      </c>
      <c r="L64" s="87" t="s">
        <v>48</v>
      </c>
      <c r="M64" s="23"/>
    </row>
    <row r="65" spans="1:13" ht="15.5" x14ac:dyDescent="0.4">
      <c r="A65" s="23" t="s">
        <v>23</v>
      </c>
      <c r="B65" s="93">
        <f>((B40/B39)-1)*100</f>
        <v>-5.650421695135166</v>
      </c>
      <c r="C65" s="114">
        <f>((C40/C39)-1)*100</f>
        <v>-3.9328169166858662</v>
      </c>
      <c r="D65" s="114"/>
      <c r="E65" s="93">
        <f>((E40/E39)-1)*100</f>
        <v>13.301657678500201</v>
      </c>
      <c r="F65" s="93">
        <f t="shared" ref="F65:I65" si="19">((F40/F39)-1)*100</f>
        <v>27.12931629303721</v>
      </c>
      <c r="G65" s="93">
        <f t="shared" si="19"/>
        <v>-7.2167994144981096</v>
      </c>
      <c r="H65" s="93">
        <f t="shared" si="19"/>
        <v>-7.6178535751668548</v>
      </c>
      <c r="I65" s="93">
        <f t="shared" si="19"/>
        <v>-5.6939909961302053</v>
      </c>
      <c r="J65" s="109">
        <f t="shared" ref="J65:L65" si="20">((J40/J39)-1)*100</f>
        <v>-6.0091638486790666</v>
      </c>
      <c r="K65" s="109" t="e">
        <f t="shared" si="20"/>
        <v>#DIV/0!</v>
      </c>
      <c r="L65" s="87">
        <f t="shared" si="20"/>
        <v>1.7819642930792634</v>
      </c>
      <c r="M65" s="23"/>
    </row>
    <row r="66" spans="1:13" ht="15.5" x14ac:dyDescent="0.4">
      <c r="A66" s="23" t="s">
        <v>24</v>
      </c>
      <c r="B66" s="93">
        <f>((B42/B41)-1)*100</f>
        <v>-2.1785758622838047</v>
      </c>
      <c r="C66" s="114">
        <f>((C42/C41)-1)*100</f>
        <v>-7.258871772441811</v>
      </c>
      <c r="D66" s="114"/>
      <c r="E66" s="93">
        <f>((E42/E41)-1)*100</f>
        <v>-9.1052283595966959</v>
      </c>
      <c r="F66" s="93">
        <f t="shared" ref="F66:I66" si="21">((F42/F41)-1)*100</f>
        <v>-1.6783120295229437</v>
      </c>
      <c r="G66" s="93">
        <f t="shared" si="21"/>
        <v>0.92606189562809416</v>
      </c>
      <c r="H66" s="93">
        <f t="shared" si="21"/>
        <v>-1.6703277352087431</v>
      </c>
      <c r="I66" s="93">
        <f t="shared" si="21"/>
        <v>-6.0589494191653266</v>
      </c>
      <c r="J66" s="109">
        <f t="shared" ref="J66:K66" si="22">((J42/J41)-1)*100</f>
        <v>-28.961771979705997</v>
      </c>
      <c r="K66" s="109" t="e">
        <f t="shared" si="22"/>
        <v>#DIV/0!</v>
      </c>
      <c r="L66" s="87" t="s">
        <v>48</v>
      </c>
      <c r="M66" s="23"/>
    </row>
    <row r="67" spans="1:13" ht="15.5" x14ac:dyDescent="0.4">
      <c r="A67" s="23"/>
      <c r="B67" s="89"/>
      <c r="C67" s="89"/>
      <c r="D67" s="89"/>
      <c r="E67" s="89"/>
      <c r="F67" s="89"/>
      <c r="G67" s="89"/>
      <c r="H67" s="89"/>
      <c r="I67" s="89"/>
      <c r="J67" s="89"/>
      <c r="K67" s="87"/>
      <c r="L67" s="87"/>
      <c r="M67" s="23"/>
    </row>
    <row r="68" spans="1:13" ht="15.5" x14ac:dyDescent="0.4">
      <c r="A68" s="25" t="s">
        <v>25</v>
      </c>
      <c r="B68" s="89"/>
      <c r="C68" s="89"/>
      <c r="D68" s="89"/>
      <c r="E68" s="89"/>
      <c r="F68" s="89"/>
      <c r="G68" s="89"/>
      <c r="H68" s="89"/>
      <c r="I68" s="89"/>
      <c r="J68" s="89"/>
      <c r="K68" s="87"/>
      <c r="L68" s="87"/>
      <c r="M68" s="23"/>
    </row>
    <row r="69" spans="1:13" ht="15.5" x14ac:dyDescent="0.4">
      <c r="A69" s="23" t="s">
        <v>39</v>
      </c>
      <c r="B69" s="89">
        <f>(B24/B17)*12</f>
        <v>556915.97783290257</v>
      </c>
      <c r="C69" s="109">
        <f>(C24/D17)*12</f>
        <v>420000</v>
      </c>
      <c r="D69" s="109"/>
      <c r="E69" s="89">
        <f>(E24/E17)*12</f>
        <v>1200000</v>
      </c>
      <c r="F69" s="89">
        <f t="shared" ref="F69:I69" si="23">(F24/F17)*12</f>
        <v>1615761.0117749674</v>
      </c>
      <c r="G69" s="89">
        <f t="shared" si="23"/>
        <v>900000</v>
      </c>
      <c r="H69" s="89">
        <f t="shared" si="23"/>
        <v>900000</v>
      </c>
      <c r="I69" s="89">
        <f t="shared" si="23"/>
        <v>1560000</v>
      </c>
      <c r="J69" s="109">
        <f>(J24/K17)*12</f>
        <v>216000</v>
      </c>
      <c r="K69" s="109"/>
      <c r="L69" s="87" t="s">
        <v>48</v>
      </c>
      <c r="M69" s="23"/>
    </row>
    <row r="70" spans="1:13" ht="15.5" x14ac:dyDescent="0.4">
      <c r="A70" s="23" t="s">
        <v>40</v>
      </c>
      <c r="B70" s="89">
        <f>(B25/B19)*12</f>
        <v>357143.52306675649</v>
      </c>
      <c r="C70" s="109">
        <f>(C25/D19)*12</f>
        <v>318721.28025283624</v>
      </c>
      <c r="D70" s="109"/>
      <c r="E70" s="89">
        <f>(E25/E19)*12</f>
        <v>1333665.1400871326</v>
      </c>
      <c r="F70" s="89">
        <f t="shared" ref="F70:I70" si="24">(F25/F19)*12</f>
        <v>3255108.3870967748</v>
      </c>
      <c r="G70" s="89">
        <f t="shared" si="24"/>
        <v>970223.23328720708</v>
      </c>
      <c r="H70" s="89">
        <f t="shared" si="24"/>
        <v>884498.57851245452</v>
      </c>
      <c r="I70" s="89">
        <f t="shared" si="24"/>
        <v>1552923.1700278649</v>
      </c>
      <c r="J70" s="109">
        <f>(J25/K19)*12</f>
        <v>83155.018127252217</v>
      </c>
      <c r="K70" s="109"/>
      <c r="L70" s="87" t="s">
        <v>48</v>
      </c>
      <c r="M70" s="23"/>
    </row>
    <row r="71" spans="1:13" ht="15.5" x14ac:dyDescent="0.4">
      <c r="A71" s="23" t="s">
        <v>26</v>
      </c>
      <c r="B71" s="89" t="s">
        <v>48</v>
      </c>
      <c r="C71" s="109">
        <f>(C70/C69)*D53</f>
        <v>95.040000742960871</v>
      </c>
      <c r="D71" s="109"/>
      <c r="E71" s="89">
        <f>(E70/E69)*E53</f>
        <v>113.90396665481803</v>
      </c>
      <c r="F71" s="89">
        <f t="shared" ref="F71:I71" si="25">(F70/F69)*F53</f>
        <v>302.64706353995643</v>
      </c>
      <c r="G71" s="89">
        <f t="shared" si="25"/>
        <v>115.06454213833926</v>
      </c>
      <c r="H71" s="89">
        <f t="shared" si="25"/>
        <v>114.02405806430835</v>
      </c>
      <c r="I71" s="89">
        <f t="shared" si="25"/>
        <v>107.94096132616878</v>
      </c>
      <c r="J71" s="109">
        <f>(J70/J69)*K53</f>
        <v>75.175651736901315</v>
      </c>
      <c r="K71" s="109"/>
      <c r="L71" s="87" t="s">
        <v>48</v>
      </c>
      <c r="M71" s="23"/>
    </row>
    <row r="72" spans="1:13" ht="15.5" x14ac:dyDescent="0.4">
      <c r="A72" s="23" t="s">
        <v>33</v>
      </c>
      <c r="B72" s="89">
        <f>B24/B17</f>
        <v>46409.66481940855</v>
      </c>
      <c r="C72" s="109">
        <f>C24/D17</f>
        <v>35000</v>
      </c>
      <c r="D72" s="109"/>
      <c r="E72" s="89">
        <f>E24/E17</f>
        <v>100000</v>
      </c>
      <c r="F72" s="89">
        <f t="shared" ref="F72:I72" si="26">F24/F17</f>
        <v>134646.75098124729</v>
      </c>
      <c r="G72" s="89">
        <f t="shared" si="26"/>
        <v>75000</v>
      </c>
      <c r="H72" s="89">
        <f t="shared" si="26"/>
        <v>75000</v>
      </c>
      <c r="I72" s="89">
        <f t="shared" si="26"/>
        <v>130000</v>
      </c>
      <c r="J72" s="109">
        <f>J24/K17</f>
        <v>18000</v>
      </c>
      <c r="K72" s="109"/>
      <c r="L72" s="87" t="s">
        <v>48</v>
      </c>
      <c r="M72" s="23"/>
    </row>
    <row r="73" spans="1:13" ht="15.5" x14ac:dyDescent="0.4">
      <c r="A73" s="23" t="s">
        <v>34</v>
      </c>
      <c r="B73" s="89">
        <f>B25/B19</f>
        <v>29761.960255563041</v>
      </c>
      <c r="C73" s="109">
        <f>C25/D19</f>
        <v>26560.106687736352</v>
      </c>
      <c r="D73" s="109"/>
      <c r="E73" s="89">
        <f>E25/E19</f>
        <v>111138.76167392771</v>
      </c>
      <c r="F73" s="89">
        <f t="shared" ref="F73:I73" si="27">F25/F19</f>
        <v>271259.03225806454</v>
      </c>
      <c r="G73" s="89">
        <f t="shared" si="27"/>
        <v>80851.936107267262</v>
      </c>
      <c r="H73" s="89">
        <f t="shared" si="27"/>
        <v>73708.214876037877</v>
      </c>
      <c r="I73" s="89">
        <f t="shared" si="27"/>
        <v>129410.26416898874</v>
      </c>
      <c r="J73" s="109">
        <f>J25/K19</f>
        <v>6929.584843937685</v>
      </c>
      <c r="K73" s="109"/>
      <c r="L73" s="87" t="s">
        <v>48</v>
      </c>
      <c r="M73" s="23"/>
    </row>
    <row r="74" spans="1:13" ht="15.5" x14ac:dyDescent="0.4">
      <c r="A74" s="23"/>
      <c r="B74" s="89"/>
      <c r="C74" s="89"/>
      <c r="D74" s="89"/>
      <c r="E74" s="89"/>
      <c r="F74" s="89"/>
      <c r="G74" s="89"/>
      <c r="H74" s="89"/>
      <c r="I74" s="89"/>
      <c r="J74" s="89"/>
      <c r="K74" s="87"/>
      <c r="L74" s="87"/>
      <c r="M74" s="23"/>
    </row>
    <row r="75" spans="1:13" ht="15.5" x14ac:dyDescent="0.4">
      <c r="A75" s="25" t="s">
        <v>27</v>
      </c>
      <c r="B75" s="89"/>
      <c r="C75" s="89"/>
      <c r="D75" s="89"/>
      <c r="E75" s="89"/>
      <c r="F75" s="89"/>
      <c r="G75" s="89"/>
      <c r="H75" s="89"/>
      <c r="I75" s="89"/>
      <c r="J75" s="89"/>
      <c r="K75" s="87"/>
      <c r="L75" s="87"/>
      <c r="M75" s="23"/>
    </row>
    <row r="76" spans="1:13" ht="15.5" x14ac:dyDescent="0.4">
      <c r="A76" s="23" t="s">
        <v>28</v>
      </c>
      <c r="B76" s="89">
        <f>(B31/B30)*100</f>
        <v>98.982879615895442</v>
      </c>
      <c r="C76" s="89"/>
      <c r="D76" s="89"/>
      <c r="E76" s="89"/>
      <c r="F76" s="89"/>
      <c r="G76" s="89"/>
      <c r="H76" s="89"/>
      <c r="I76" s="89"/>
      <c r="J76" s="89"/>
      <c r="K76" s="87"/>
      <c r="L76" s="87"/>
      <c r="M76" s="23"/>
    </row>
    <row r="77" spans="1:13" ht="15.5" x14ac:dyDescent="0.4">
      <c r="A77" s="23" t="s">
        <v>29</v>
      </c>
      <c r="B77" s="89">
        <f>(B25/B31)*100</f>
        <v>100.52166139073064</v>
      </c>
      <c r="C77" s="89"/>
      <c r="D77" s="89"/>
      <c r="E77" s="89"/>
      <c r="F77" s="89"/>
      <c r="G77" s="89"/>
      <c r="H77" s="89"/>
      <c r="I77" s="89"/>
      <c r="J77" s="89"/>
      <c r="K77" s="87"/>
      <c r="L77" s="87"/>
      <c r="M77" s="23"/>
    </row>
    <row r="78" spans="1:13" ht="16" thickBot="1" x14ac:dyDescent="0.45">
      <c r="A78" s="34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23"/>
    </row>
    <row r="79" spans="1:13" ht="17.25" customHeight="1" thickTop="1" x14ac:dyDescent="0.4">
      <c r="A79" s="110" t="s">
        <v>99</v>
      </c>
      <c r="B79" s="110"/>
      <c r="C79" s="110"/>
      <c r="D79" s="110"/>
      <c r="E79" s="110"/>
      <c r="F79" s="110"/>
      <c r="G79" s="23"/>
      <c r="H79" s="23"/>
      <c r="I79" s="23"/>
      <c r="J79" s="23"/>
      <c r="K79" s="23"/>
      <c r="L79" s="23"/>
      <c r="M79" s="23"/>
    </row>
    <row r="80" spans="1:13" ht="15.5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</row>
  </sheetData>
  <mergeCells count="55">
    <mergeCell ref="C47:D47"/>
    <mergeCell ref="C48:D48"/>
    <mergeCell ref="C52:D52"/>
    <mergeCell ref="C65:D65"/>
    <mergeCell ref="C66:D66"/>
    <mergeCell ref="C64:D64"/>
    <mergeCell ref="C56:D56"/>
    <mergeCell ref="C57:D57"/>
    <mergeCell ref="C58:D58"/>
    <mergeCell ref="C61:D61"/>
    <mergeCell ref="A9:A10"/>
    <mergeCell ref="C9:L9"/>
    <mergeCell ref="J10:K10"/>
    <mergeCell ref="C26:D26"/>
    <mergeCell ref="B9:B10"/>
    <mergeCell ref="C23:D23"/>
    <mergeCell ref="C24:D24"/>
    <mergeCell ref="C25:D25"/>
    <mergeCell ref="C10:D10"/>
    <mergeCell ref="J24:K24"/>
    <mergeCell ref="J25:K25"/>
    <mergeCell ref="J26:K26"/>
    <mergeCell ref="J23:K23"/>
    <mergeCell ref="C42:D42"/>
    <mergeCell ref="C27:D27"/>
    <mergeCell ref="C36:D36"/>
    <mergeCell ref="J39:K39"/>
    <mergeCell ref="J40:K40"/>
    <mergeCell ref="J41:K41"/>
    <mergeCell ref="J42:K42"/>
    <mergeCell ref="J27:K27"/>
    <mergeCell ref="C39:D39"/>
    <mergeCell ref="C40:D40"/>
    <mergeCell ref="C41:D41"/>
    <mergeCell ref="J47:K47"/>
    <mergeCell ref="J48:K48"/>
    <mergeCell ref="J52:K52"/>
    <mergeCell ref="J56:K56"/>
    <mergeCell ref="J57:K57"/>
    <mergeCell ref="J58:K58"/>
    <mergeCell ref="J61:K61"/>
    <mergeCell ref="J64:K64"/>
    <mergeCell ref="J65:K65"/>
    <mergeCell ref="J66:K66"/>
    <mergeCell ref="C69:D69"/>
    <mergeCell ref="A79:F79"/>
    <mergeCell ref="C72:D72"/>
    <mergeCell ref="C73:D73"/>
    <mergeCell ref="C71:D71"/>
    <mergeCell ref="C70:D70"/>
    <mergeCell ref="J69:K69"/>
    <mergeCell ref="J70:K70"/>
    <mergeCell ref="J71:K71"/>
    <mergeCell ref="J72:K72"/>
    <mergeCell ref="J73:K73"/>
  </mergeCells>
  <pageMargins left="0.7" right="0.7" top="0.75" bottom="0.75" header="0.3" footer="0.3"/>
  <pageSetup orientation="portrait" r:id="rId1"/>
  <ignoredErrors>
    <ignoredError sqref="B24:B25" formula="1"/>
    <ignoredError sqref="C23:D25 K27 J23:J26" formulaRange="1"/>
    <ignoredError sqref="B49:I50 C47:G47 B54:I55 D53:I53 B52:I52 D51:I51 B59:I63 C58:I58 B57:I57 C56:I56 B75:J77 C71 B67:I68 B66:I66 B65:I65 B64:H64 B73:C73 B69:I69 B48:D48 E71:I71 B72:C72 E72:I72 E73:I73 B70:C70 E70:I70 F48:G48 B74:I74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Salas Soto</cp:lastModifiedBy>
  <cp:lastPrinted>2012-11-21T16:57:56Z</cp:lastPrinted>
  <dcterms:created xsi:type="dcterms:W3CDTF">2012-04-24T21:09:42Z</dcterms:created>
  <dcterms:modified xsi:type="dcterms:W3CDTF">2023-02-17T21:17:35Z</dcterms:modified>
</cp:coreProperties>
</file>