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F4AB55520AC18C9E958EE059099885BEC93961DA" xr6:coauthVersionLast="47" xr6:coauthVersionMax="47" xr10:uidLastSave="{C32E3928-9F4E-4008-8EB9-C68C41B41B38}"/>
  <bookViews>
    <workbookView xWindow="-110" yWindow="-110" windowWidth="19420" windowHeight="10300" tabRatio="721" xr2:uid="{00000000-000D-0000-FFFF-FFFF00000000}"/>
  </bookViews>
  <sheets>
    <sheet name="I Trimestre" sheetId="8" r:id="rId1"/>
    <sheet name="II Trimestre" sheetId="2" r:id="rId2"/>
    <sheet name="I Semestre" sheetId="5" r:id="rId3"/>
    <sheet name="III Trimestre" sheetId="3" r:id="rId4"/>
    <sheet name="III T Acumulado" sheetId="6" r:id="rId5"/>
    <sheet name="IV Trimestre" sheetId="4" r:id="rId6"/>
    <sheet name="Anual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4" l="1"/>
  <c r="D50" i="4"/>
  <c r="D29" i="8" l="1"/>
  <c r="B29" i="7" l="1"/>
  <c r="D29" i="7" s="1"/>
  <c r="F22" i="7" l="1"/>
  <c r="D22" i="7"/>
  <c r="E25" i="3" l="1"/>
  <c r="F25" i="3"/>
  <c r="D25" i="3"/>
  <c r="E25" i="2"/>
  <c r="F25" i="2"/>
  <c r="D25" i="2"/>
  <c r="F68" i="8"/>
  <c r="F67" i="8"/>
  <c r="E68" i="8"/>
  <c r="E67" i="8"/>
  <c r="C15" i="5" l="1"/>
  <c r="E22" i="7" l="1"/>
  <c r="B22" i="7" s="1"/>
  <c r="B15" i="4" l="1"/>
  <c r="B15" i="3"/>
  <c r="B15" i="2"/>
  <c r="B15" i="8"/>
  <c r="C15" i="7"/>
  <c r="B15" i="7" l="1"/>
  <c r="B15" i="5"/>
  <c r="B15" i="6"/>
  <c r="D21" i="7"/>
  <c r="E25" i="4"/>
  <c r="E59" i="4" s="1"/>
  <c r="F25" i="4"/>
  <c r="F59" i="4" s="1"/>
  <c r="E59" i="3"/>
  <c r="F59" i="3"/>
  <c r="E59" i="2"/>
  <c r="F59" i="2"/>
  <c r="F25" i="8"/>
  <c r="E25" i="8"/>
  <c r="B17" i="4"/>
  <c r="B54" i="4" s="1"/>
  <c r="B17" i="3"/>
  <c r="B49" i="3" s="1"/>
  <c r="B17" i="2"/>
  <c r="B54" i="2" s="1"/>
  <c r="B17" i="8"/>
  <c r="F21" i="5"/>
  <c r="F37" i="5" s="1"/>
  <c r="E21" i="5"/>
  <c r="E37" i="5" s="1"/>
  <c r="D21" i="5"/>
  <c r="D37" i="5" s="1"/>
  <c r="F71" i="4"/>
  <c r="E71" i="4"/>
  <c r="D71" i="4"/>
  <c r="F70" i="4"/>
  <c r="E70" i="4"/>
  <c r="D70" i="4"/>
  <c r="F68" i="4"/>
  <c r="E68" i="4"/>
  <c r="D68" i="4"/>
  <c r="F67" i="4"/>
  <c r="E67" i="4"/>
  <c r="D67" i="4"/>
  <c r="F71" i="3"/>
  <c r="E71" i="3"/>
  <c r="D71" i="3"/>
  <c r="F70" i="3"/>
  <c r="E70" i="3"/>
  <c r="D70" i="3"/>
  <c r="F68" i="3"/>
  <c r="E68" i="3"/>
  <c r="D68" i="3"/>
  <c r="F67" i="3"/>
  <c r="E67" i="3"/>
  <c r="D67" i="3"/>
  <c r="F71" i="2"/>
  <c r="E71" i="2"/>
  <c r="D71" i="2"/>
  <c r="F70" i="2"/>
  <c r="E70" i="2"/>
  <c r="D70" i="2"/>
  <c r="F68" i="2"/>
  <c r="E68" i="2"/>
  <c r="D68" i="2"/>
  <c r="F67" i="2"/>
  <c r="E67" i="2"/>
  <c r="D67" i="2"/>
  <c r="F71" i="8"/>
  <c r="E71" i="8"/>
  <c r="F70" i="8"/>
  <c r="E70" i="8"/>
  <c r="D70" i="8"/>
  <c r="D67" i="8"/>
  <c r="F55" i="4"/>
  <c r="F56" i="4" s="1"/>
  <c r="E55" i="4"/>
  <c r="E56" i="4" s="1"/>
  <c r="D55" i="4"/>
  <c r="D56" i="4" s="1"/>
  <c r="C54" i="4"/>
  <c r="C56" i="4" s="1"/>
  <c r="F55" i="3"/>
  <c r="F56" i="3" s="1"/>
  <c r="E55" i="3"/>
  <c r="E56" i="3" s="1"/>
  <c r="D55" i="3"/>
  <c r="D56" i="3" s="1"/>
  <c r="C54" i="3"/>
  <c r="C56" i="3" s="1"/>
  <c r="F55" i="2"/>
  <c r="F56" i="2" s="1"/>
  <c r="E55" i="2"/>
  <c r="E56" i="2" s="1"/>
  <c r="D55" i="2"/>
  <c r="D56" i="2" s="1"/>
  <c r="C54" i="2"/>
  <c r="C56" i="2" s="1"/>
  <c r="F55" i="8"/>
  <c r="F56" i="8" s="1"/>
  <c r="E55" i="8"/>
  <c r="E56" i="8" s="1"/>
  <c r="C54" i="8"/>
  <c r="C56" i="8" s="1"/>
  <c r="B29" i="6"/>
  <c r="D29" i="6" s="1"/>
  <c r="E21" i="6"/>
  <c r="E37" i="6" s="1"/>
  <c r="F21" i="6"/>
  <c r="F37" i="6" s="1"/>
  <c r="D21" i="6"/>
  <c r="D37" i="6" s="1"/>
  <c r="D51" i="4"/>
  <c r="C49" i="4"/>
  <c r="C51" i="4" s="1"/>
  <c r="D38" i="4"/>
  <c r="D40" i="4" s="1"/>
  <c r="E38" i="4"/>
  <c r="F38" i="4"/>
  <c r="D37" i="4"/>
  <c r="D39" i="4" s="1"/>
  <c r="E37" i="4"/>
  <c r="F37" i="4"/>
  <c r="F39" i="4" s="1"/>
  <c r="C62" i="3"/>
  <c r="C49" i="3"/>
  <c r="C51" i="3" s="1"/>
  <c r="D50" i="3"/>
  <c r="D51" i="3" s="1"/>
  <c r="F50" i="3"/>
  <c r="F51" i="3" s="1"/>
  <c r="D38" i="3"/>
  <c r="D40" i="3" s="1"/>
  <c r="E38" i="3"/>
  <c r="F38" i="3"/>
  <c r="F40" i="3" s="1"/>
  <c r="D37" i="3"/>
  <c r="D39" i="3" s="1"/>
  <c r="E37" i="3"/>
  <c r="E39" i="3" s="1"/>
  <c r="F37" i="3"/>
  <c r="F39" i="3" s="1"/>
  <c r="E23" i="5"/>
  <c r="F23" i="5"/>
  <c r="F25" i="5" s="1"/>
  <c r="F59" i="5" s="1"/>
  <c r="E22" i="5"/>
  <c r="F22" i="5"/>
  <c r="D22" i="5"/>
  <c r="C62" i="2"/>
  <c r="D50" i="2"/>
  <c r="D51" i="2" s="1"/>
  <c r="F50" i="2"/>
  <c r="F51" i="2" s="1"/>
  <c r="F37" i="2"/>
  <c r="F39" i="2" s="1"/>
  <c r="E37" i="2"/>
  <c r="E39" i="2" s="1"/>
  <c r="D37" i="2"/>
  <c r="D39" i="2" s="1"/>
  <c r="E37" i="8"/>
  <c r="E39" i="8" s="1"/>
  <c r="F37" i="8"/>
  <c r="F39" i="8" s="1"/>
  <c r="D37" i="8"/>
  <c r="D39" i="8" s="1"/>
  <c r="F38" i="2"/>
  <c r="E38" i="2"/>
  <c r="E40" i="2" s="1"/>
  <c r="D38" i="2"/>
  <c r="D40" i="2" s="1"/>
  <c r="C18" i="7"/>
  <c r="C16" i="7"/>
  <c r="C17" i="7"/>
  <c r="C18" i="6"/>
  <c r="C15" i="6"/>
  <c r="C16" i="6"/>
  <c r="C17" i="6"/>
  <c r="C18" i="5"/>
  <c r="C16" i="5"/>
  <c r="C17" i="5"/>
  <c r="C49" i="2"/>
  <c r="C51" i="2" s="1"/>
  <c r="C62" i="8"/>
  <c r="C49" i="8"/>
  <c r="C51" i="8" s="1"/>
  <c r="D59" i="3"/>
  <c r="D59" i="2"/>
  <c r="B21" i="8"/>
  <c r="D25" i="4"/>
  <c r="D59" i="4" s="1"/>
  <c r="B22" i="4"/>
  <c r="B67" i="4" s="1"/>
  <c r="B23" i="4"/>
  <c r="B24" i="4"/>
  <c r="E21" i="7"/>
  <c r="E37" i="7" s="1"/>
  <c r="E39" i="7" s="1"/>
  <c r="F21" i="7"/>
  <c r="F37" i="7" s="1"/>
  <c r="F39" i="7" s="1"/>
  <c r="B21" i="4"/>
  <c r="B37" i="4" s="1"/>
  <c r="B39" i="4" s="1"/>
  <c r="B21" i="3"/>
  <c r="B37" i="3" s="1"/>
  <c r="B39" i="3" s="1"/>
  <c r="B21" i="2"/>
  <c r="B37" i="2" s="1"/>
  <c r="B39" i="2" s="1"/>
  <c r="E24" i="5"/>
  <c r="F24" i="5"/>
  <c r="D24" i="5"/>
  <c r="E24" i="6"/>
  <c r="F24" i="6"/>
  <c r="D24" i="6"/>
  <c r="E23" i="6"/>
  <c r="E25" i="6" s="1"/>
  <c r="E59" i="6" s="1"/>
  <c r="F23" i="6"/>
  <c r="E22" i="6"/>
  <c r="F22" i="6"/>
  <c r="D22" i="6"/>
  <c r="B18" i="5"/>
  <c r="B16" i="5"/>
  <c r="B18" i="6"/>
  <c r="B16" i="6"/>
  <c r="E24" i="7"/>
  <c r="F24" i="7"/>
  <c r="D24" i="7"/>
  <c r="B24" i="3"/>
  <c r="B23" i="3"/>
  <c r="B75" i="3" s="1"/>
  <c r="B22" i="3"/>
  <c r="C70" i="3" s="1"/>
  <c r="B24" i="2"/>
  <c r="B23" i="2"/>
  <c r="B75" i="2" s="1"/>
  <c r="B22" i="2"/>
  <c r="C70" i="2" s="1"/>
  <c r="B24" i="8"/>
  <c r="B22" i="8"/>
  <c r="B28" i="8" s="1"/>
  <c r="B16" i="7"/>
  <c r="B18" i="7"/>
  <c r="B49" i="4"/>
  <c r="E23" i="7"/>
  <c r="E25" i="7" s="1"/>
  <c r="E59" i="7" s="1"/>
  <c r="F23" i="7"/>
  <c r="B29" i="5"/>
  <c r="D29" i="5" s="1"/>
  <c r="F38" i="8"/>
  <c r="E38" i="8"/>
  <c r="E40" i="8" s="1"/>
  <c r="F50" i="8"/>
  <c r="F51" i="8" s="1"/>
  <c r="E50" i="8"/>
  <c r="E51" i="8" s="1"/>
  <c r="D71" i="8"/>
  <c r="D68" i="8"/>
  <c r="D55" i="8"/>
  <c r="D56" i="8" s="1"/>
  <c r="D50" i="8"/>
  <c r="D51" i="8" s="1"/>
  <c r="D23" i="5"/>
  <c r="D25" i="5" s="1"/>
  <c r="D59" i="5" s="1"/>
  <c r="D25" i="8"/>
  <c r="D59" i="8" s="1"/>
  <c r="D38" i="8"/>
  <c r="D23" i="6"/>
  <c r="D25" i="6" s="1"/>
  <c r="D59" i="6" s="1"/>
  <c r="D23" i="7"/>
  <c r="B23" i="8"/>
  <c r="C68" i="8" s="1"/>
  <c r="B74" i="8" l="1"/>
  <c r="D74" i="8"/>
  <c r="B49" i="2"/>
  <c r="B24" i="7"/>
  <c r="B62" i="3"/>
  <c r="C70" i="8"/>
  <c r="B67" i="8"/>
  <c r="C67" i="8"/>
  <c r="C69" i="8" s="1"/>
  <c r="B23" i="7"/>
  <c r="B75" i="7" s="1"/>
  <c r="B70" i="8"/>
  <c r="B68" i="8"/>
  <c r="D37" i="7"/>
  <c r="D39" i="7" s="1"/>
  <c r="B21" i="7"/>
  <c r="B37" i="7" s="1"/>
  <c r="B39" i="7" s="1"/>
  <c r="F68" i="5"/>
  <c r="E68" i="5"/>
  <c r="F67" i="6"/>
  <c r="E67" i="6"/>
  <c r="F67" i="7"/>
  <c r="E67" i="7"/>
  <c r="D67" i="7"/>
  <c r="C67" i="7"/>
  <c r="F67" i="5"/>
  <c r="E67" i="5"/>
  <c r="F68" i="6"/>
  <c r="E68" i="6"/>
  <c r="F68" i="7"/>
  <c r="E68" i="7"/>
  <c r="B62" i="4"/>
  <c r="E40" i="4"/>
  <c r="B37" i="8"/>
  <c r="B39" i="8" s="1"/>
  <c r="C71" i="8"/>
  <c r="B75" i="8"/>
  <c r="C49" i="7"/>
  <c r="C51" i="7" s="1"/>
  <c r="C68" i="4"/>
  <c r="B75" i="4"/>
  <c r="B54" i="3"/>
  <c r="B68" i="3"/>
  <c r="D63" i="8"/>
  <c r="D55" i="7"/>
  <c r="D56" i="7" s="1"/>
  <c r="D70" i="6"/>
  <c r="F63" i="8"/>
  <c r="F70" i="6"/>
  <c r="D68" i="5"/>
  <c r="D70" i="5"/>
  <c r="E70" i="6"/>
  <c r="C54" i="5"/>
  <c r="C56" i="5" s="1"/>
  <c r="D50" i="5"/>
  <c r="D51" i="5" s="1"/>
  <c r="D55" i="5"/>
  <c r="D56" i="5" s="1"/>
  <c r="B50" i="8"/>
  <c r="D55" i="6"/>
  <c r="D56" i="6" s="1"/>
  <c r="D38" i="5"/>
  <c r="D40" i="5" s="1"/>
  <c r="E63" i="2"/>
  <c r="B28" i="3"/>
  <c r="B74" i="3" s="1"/>
  <c r="C67" i="3"/>
  <c r="C71" i="4"/>
  <c r="D38" i="6"/>
  <c r="D40" i="6" s="1"/>
  <c r="B62" i="2"/>
  <c r="C49" i="5"/>
  <c r="C51" i="5" s="1"/>
  <c r="C62" i="5"/>
  <c r="E50" i="7"/>
  <c r="E51" i="7" s="1"/>
  <c r="B55" i="8"/>
  <c r="B38" i="8"/>
  <c r="B40" i="8" s="1"/>
  <c r="F55" i="5"/>
  <c r="F56" i="5" s="1"/>
  <c r="F71" i="5"/>
  <c r="F38" i="5"/>
  <c r="F63" i="5" s="1"/>
  <c r="F50" i="5"/>
  <c r="F51" i="5" s="1"/>
  <c r="B25" i="8"/>
  <c r="B59" i="8" s="1"/>
  <c r="D40" i="8"/>
  <c r="D64" i="8" s="1"/>
  <c r="D68" i="6"/>
  <c r="B24" i="5"/>
  <c r="F39" i="6"/>
  <c r="D50" i="6"/>
  <c r="D51" i="6" s="1"/>
  <c r="B50" i="3"/>
  <c r="B51" i="3" s="1"/>
  <c r="B55" i="2"/>
  <c r="B56" i="2" s="1"/>
  <c r="E38" i="6"/>
  <c r="E40" i="6" s="1"/>
  <c r="D67" i="6"/>
  <c r="B21" i="6"/>
  <c r="B37" i="6" s="1"/>
  <c r="B39" i="6" s="1"/>
  <c r="B25" i="3"/>
  <c r="B59" i="3" s="1"/>
  <c r="D63" i="2"/>
  <c r="D67" i="5"/>
  <c r="F63" i="2"/>
  <c r="D64" i="4"/>
  <c r="D63" i="4"/>
  <c r="F50" i="7"/>
  <c r="F51" i="7" s="1"/>
  <c r="F55" i="7"/>
  <c r="F56" i="7" s="1"/>
  <c r="E55" i="7"/>
  <c r="E56" i="7" s="1"/>
  <c r="B25" i="4"/>
  <c r="B59" i="4" s="1"/>
  <c r="B38" i="4"/>
  <c r="B55" i="4"/>
  <c r="B56" i="4" s="1"/>
  <c r="F70" i="7"/>
  <c r="C70" i="4"/>
  <c r="B70" i="4"/>
  <c r="E70" i="7"/>
  <c r="B50" i="4"/>
  <c r="B51" i="4" s="1"/>
  <c r="C67" i="4"/>
  <c r="B38" i="3"/>
  <c r="B63" i="3" s="1"/>
  <c r="C71" i="3"/>
  <c r="B24" i="6"/>
  <c r="E55" i="6"/>
  <c r="E56" i="6" s="1"/>
  <c r="E25" i="5"/>
  <c r="E59" i="5" s="1"/>
  <c r="E38" i="5"/>
  <c r="E63" i="5" s="1"/>
  <c r="E39" i="5"/>
  <c r="B17" i="6"/>
  <c r="B49" i="8"/>
  <c r="B71" i="8"/>
  <c r="F71" i="7"/>
  <c r="B71" i="3"/>
  <c r="B71" i="2"/>
  <c r="C71" i="2"/>
  <c r="C68" i="2"/>
  <c r="F64" i="3"/>
  <c r="F25" i="6"/>
  <c r="F59" i="6" s="1"/>
  <c r="D70" i="7"/>
  <c r="B62" i="8"/>
  <c r="F25" i="7"/>
  <c r="F59" i="7" s="1"/>
  <c r="F38" i="7"/>
  <c r="B67" i="2"/>
  <c r="B71" i="4"/>
  <c r="B68" i="4"/>
  <c r="D39" i="5"/>
  <c r="E40" i="3"/>
  <c r="E64" i="3" s="1"/>
  <c r="E63" i="3"/>
  <c r="D71" i="7"/>
  <c r="D68" i="7"/>
  <c r="C62" i="7"/>
  <c r="C54" i="7"/>
  <c r="C56" i="7" s="1"/>
  <c r="D50" i="7"/>
  <c r="D51" i="7" s="1"/>
  <c r="B28" i="2"/>
  <c r="B74" i="2" s="1"/>
  <c r="F40" i="8"/>
  <c r="F64" i="8" s="1"/>
  <c r="B22" i="5"/>
  <c r="B67" i="5" s="1"/>
  <c r="C68" i="3"/>
  <c r="E39" i="4"/>
  <c r="F63" i="4"/>
  <c r="F40" i="4"/>
  <c r="F64" i="4" s="1"/>
  <c r="B54" i="8"/>
  <c r="B17" i="5"/>
  <c r="B25" i="2"/>
  <c r="B59" i="2" s="1"/>
  <c r="C49" i="6"/>
  <c r="C51" i="6" s="1"/>
  <c r="B17" i="7"/>
  <c r="B62" i="7" s="1"/>
  <c r="D71" i="6"/>
  <c r="D71" i="5"/>
  <c r="B28" i="4"/>
  <c r="B74" i="4" s="1"/>
  <c r="B22" i="6"/>
  <c r="B21" i="5"/>
  <c r="B37" i="5" s="1"/>
  <c r="B39" i="5" s="1"/>
  <c r="F38" i="6"/>
  <c r="F40" i="6" s="1"/>
  <c r="F71" i="6"/>
  <c r="F55" i="6"/>
  <c r="F56" i="6" s="1"/>
  <c r="E71" i="6"/>
  <c r="B55" i="3"/>
  <c r="C54" i="6"/>
  <c r="C56" i="6" s="1"/>
  <c r="D63" i="3"/>
  <c r="F63" i="3"/>
  <c r="D64" i="3"/>
  <c r="B70" i="3"/>
  <c r="F50" i="6"/>
  <c r="F51" i="6" s="1"/>
  <c r="B67" i="3"/>
  <c r="E50" i="6"/>
  <c r="E51" i="6" s="1"/>
  <c r="D39" i="6"/>
  <c r="E39" i="6"/>
  <c r="B23" i="6"/>
  <c r="B75" i="6" s="1"/>
  <c r="B23" i="5"/>
  <c r="B75" i="5" s="1"/>
  <c r="B38" i="2"/>
  <c r="B40" i="2" s="1"/>
  <c r="B64" i="2" s="1"/>
  <c r="B50" i="2"/>
  <c r="B51" i="2" s="1"/>
  <c r="B68" i="2"/>
  <c r="E71" i="7"/>
  <c r="E50" i="5"/>
  <c r="E51" i="5" s="1"/>
  <c r="E38" i="7"/>
  <c r="E55" i="5"/>
  <c r="E56" i="5" s="1"/>
  <c r="E71" i="5"/>
  <c r="D38" i="7"/>
  <c r="D25" i="7"/>
  <c r="C62" i="6"/>
  <c r="B70" i="2"/>
  <c r="C67" i="2"/>
  <c r="E70" i="5"/>
  <c r="F70" i="5"/>
  <c r="F40" i="2"/>
  <c r="F64" i="2" s="1"/>
  <c r="D64" i="2"/>
  <c r="E64" i="2"/>
  <c r="F39" i="5"/>
  <c r="C67" i="5" l="1"/>
  <c r="C69" i="4"/>
  <c r="B56" i="3"/>
  <c r="C68" i="5"/>
  <c r="D59" i="7"/>
  <c r="B25" i="7"/>
  <c r="B70" i="6"/>
  <c r="B67" i="6"/>
  <c r="B68" i="5"/>
  <c r="B68" i="6"/>
  <c r="B64" i="8"/>
  <c r="C68" i="6"/>
  <c r="C67" i="6"/>
  <c r="B69" i="3"/>
  <c r="C69" i="3"/>
  <c r="B50" i="7"/>
  <c r="B40" i="3"/>
  <c r="B64" i="3" s="1"/>
  <c r="B63" i="2"/>
  <c r="C70" i="6"/>
  <c r="D63" i="5"/>
  <c r="D64" i="6"/>
  <c r="B51" i="8"/>
  <c r="B69" i="8" s="1"/>
  <c r="D63" i="6"/>
  <c r="F40" i="5"/>
  <c r="F64" i="5" s="1"/>
  <c r="D64" i="5"/>
  <c r="B63" i="8"/>
  <c r="B49" i="7"/>
  <c r="C69" i="2"/>
  <c r="B56" i="8"/>
  <c r="B25" i="5"/>
  <c r="B59" i="5" s="1"/>
  <c r="F64" i="6"/>
  <c r="E64" i="6"/>
  <c r="B69" i="2"/>
  <c r="E40" i="5"/>
  <c r="E64" i="5" s="1"/>
  <c r="F63" i="6"/>
  <c r="E63" i="6"/>
  <c r="B25" i="6"/>
  <c r="B59" i="6" s="1"/>
  <c r="C68" i="7"/>
  <c r="B40" i="4"/>
  <c r="B64" i="4" s="1"/>
  <c r="B63" i="4"/>
  <c r="C71" i="7"/>
  <c r="B38" i="7"/>
  <c r="B63" i="7" s="1"/>
  <c r="B55" i="7"/>
  <c r="B54" i="7"/>
  <c r="B68" i="7"/>
  <c r="B71" i="7"/>
  <c r="B67" i="7"/>
  <c r="B69" i="4"/>
  <c r="B70" i="5"/>
  <c r="B28" i="5"/>
  <c r="B28" i="6"/>
  <c r="C70" i="5"/>
  <c r="B54" i="5"/>
  <c r="B49" i="5"/>
  <c r="B62" i="5"/>
  <c r="F63" i="7"/>
  <c r="F40" i="7"/>
  <c r="F64" i="7" s="1"/>
  <c r="B70" i="7"/>
  <c r="B28" i="7"/>
  <c r="C70" i="7"/>
  <c r="B49" i="6"/>
  <c r="B54" i="6"/>
  <c r="B62" i="6"/>
  <c r="C71" i="6"/>
  <c r="B50" i="6"/>
  <c r="B55" i="6"/>
  <c r="B71" i="6"/>
  <c r="B38" i="6"/>
  <c r="B55" i="5"/>
  <c r="B50" i="5"/>
  <c r="B71" i="5"/>
  <c r="B38" i="5"/>
  <c r="C71" i="5"/>
  <c r="E40" i="7"/>
  <c r="E64" i="7" s="1"/>
  <c r="E63" i="7"/>
  <c r="D40" i="7"/>
  <c r="D64" i="7" s="1"/>
  <c r="D63" i="7"/>
  <c r="B59" i="7"/>
  <c r="B74" i="6" l="1"/>
  <c r="D75" i="6"/>
  <c r="B74" i="5"/>
  <c r="D75" i="5"/>
  <c r="B74" i="7"/>
  <c r="D75" i="7"/>
  <c r="B40" i="7"/>
  <c r="B64" i="7" s="1"/>
  <c r="C69" i="5"/>
  <c r="B51" i="6"/>
  <c r="B69" i="6" s="1"/>
  <c r="C69" i="6"/>
  <c r="B51" i="7"/>
  <c r="B69" i="7" s="1"/>
  <c r="B51" i="5"/>
  <c r="B69" i="5" s="1"/>
  <c r="C69" i="7"/>
  <c r="B56" i="7"/>
  <c r="B56" i="5"/>
  <c r="B56" i="6"/>
  <c r="B40" i="5"/>
  <c r="B64" i="5" s="1"/>
  <c r="B63" i="5"/>
  <c r="B40" i="6"/>
  <c r="B64" i="6" s="1"/>
  <c r="B63" i="6"/>
</calcChain>
</file>

<file path=xl/sharedStrings.xml><?xml version="1.0" encoding="utf-8"?>
<sst xmlns="http://schemas.openxmlformats.org/spreadsheetml/2006/main" count="585" uniqueCount="127">
  <si>
    <t>Indicador</t>
  </si>
  <si>
    <t>Total programa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</si>
  <si>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</si>
  <si>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</si>
  <si>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</si>
  <si>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</si>
  <si>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</si>
  <si>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</si>
  <si>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</si>
  <si>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</si>
  <si>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</si>
  <si>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</si>
  <si>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</si>
  <si>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</si>
  <si>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</si>
  <si>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</si>
  <si>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</si>
  <si>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</si>
  <si>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</si>
  <si>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</si>
  <si>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</si>
  <si>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</si>
  <si>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</si>
  <si>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</si>
  <si>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</si>
  <si>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</si>
  <si>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</si>
  <si>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</si>
  <si>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</si>
  <si>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</si>
  <si>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</si>
  <si>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</si>
  <si>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</si>
  <si>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</si>
  <si>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</si>
  <si>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</si>
  <si>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</si>
  <si>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</si>
  <si>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</si>
  <si>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</si>
  <si>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</si>
  <si>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</si>
  <si>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na</t>
  </si>
  <si>
    <t>n.d.</t>
  </si>
  <si>
    <t>Subsidio para atención directa</t>
  </si>
  <si>
    <t>Productos</t>
  </si>
  <si>
    <t xml:space="preserve">n.d. </t>
  </si>
  <si>
    <t>Subsidio para 
atención directa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</si>
  <si>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</si>
  <si>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</si>
  <si>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</si>
  <si>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</si>
  <si>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</si>
  <si>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</si>
  <si>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</si>
  <si>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</si>
  <si>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</si>
  <si>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</si>
  <si>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</si>
  <si>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</si>
  <si>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</si>
  <si>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</si>
  <si>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</si>
  <si>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</si>
  <si>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</si>
  <si>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</si>
  <si>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</si>
  <si>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</si>
  <si>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</si>
  <si>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</si>
  <si>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</si>
  <si>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</si>
  <si>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>Efectivos 3 TA 2020</t>
  </si>
  <si>
    <t>IPC (3 TA 2020)</t>
  </si>
  <si>
    <t>Gasto efectivo real 3 TA 2020</t>
  </si>
  <si>
    <t>Gasto efectivo real por beneficiario 3 TA 2020</t>
  </si>
  <si>
    <t>Promedio 
mensual</t>
  </si>
  <si>
    <t xml:space="preserve">Gasto programado anual por beneficiario (GPB) </t>
  </si>
  <si>
    <t xml:space="preserve">Gasto efectivo anual por beneficiario (GEB) 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</si>
  <si>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</si>
  <si>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</si>
  <si>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</si>
  <si>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</si>
  <si>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</si>
  <si>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</si>
  <si>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</si>
  <si>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Ciudad de los Niños 2020 y 2021 - Cronogramas de Metas e Inversión - Modificaciones 2021 - IPC, INEC 2020 y 2021</t>
    </r>
  </si>
  <si>
    <t xml:space="preserve">Nota: </t>
  </si>
  <si>
    <t xml:space="preserve">El dato del Ingreso efectivo recibido no incorpora los ¢ 377 040 388,68 con los que la Unidad Ejecutora ya disponía por concepto de superávit comprometido del año 2020, por ende, se procedió a realizar un "cálculo adicional" donde se refleje el monto del superávit con el que disponía la UE. </t>
  </si>
  <si>
    <t xml:space="preserve">Con Superávit </t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</si>
  <si>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</si>
  <si>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</si>
  <si>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</si>
  <si>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</si>
  <si>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</si>
  <si>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</si>
  <si>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 xml:space="preserve">El producto "Equipamiento" para el I T del año 2021 si presentaba programación, sin embargo, no ejecutó recursos; para el II T no presentaba programación pero si ejecutó recursos (la ejecución se presentó un trim. después de lo programado). 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</si>
  <si>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</si>
  <si>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</si>
  <si>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</si>
  <si>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</si>
  <si>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</si>
  <si>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</si>
  <si>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</si>
  <si>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</si>
  <si>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</si>
  <si>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</si>
  <si>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</si>
  <si>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</si>
  <si>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 TA 2021</t>
  </si>
  <si>
    <t>Efectivos 3 TA 2021</t>
  </si>
  <si>
    <t>En transferencias 3 TA 2021</t>
  </si>
  <si>
    <t>IPC (3 TA 2021)</t>
  </si>
  <si>
    <t>Gasto efectivo real 3 TA 2021</t>
  </si>
  <si>
    <t>Gasto efectivo real por beneficiario 3 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</si>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</sst>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u/>
      <sz val="11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167" fontId="0" fillId="0" borderId="0" xfId="1" applyNumberFormat="1" applyFont="1" applyFill="1"/>
    <xf numFmtId="164" fontId="0" fillId="0" borderId="0" xfId="1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168" fontId="0" fillId="0" borderId="0" xfId="1" applyNumberFormat="1" applyFont="1" applyFill="1"/>
    <xf numFmtId="0" fontId="0" fillId="0" borderId="0" xfId="0" applyFont="1" applyFill="1"/>
    <xf numFmtId="4" fontId="0" fillId="0" borderId="0" xfId="0" applyNumberFormat="1" applyFont="1" applyFill="1"/>
    <xf numFmtId="165" fontId="0" fillId="0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0" fontId="0" fillId="0" borderId="0" xfId="0" applyFont="1" applyFill="1" applyAlignment="1"/>
    <xf numFmtId="0" fontId="4" fillId="0" borderId="0" xfId="0" applyFont="1" applyFill="1"/>
    <xf numFmtId="10" fontId="0" fillId="0" borderId="0" xfId="2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4" fontId="6" fillId="0" borderId="0" xfId="0" applyNumberFormat="1" applyFont="1" applyFill="1"/>
    <xf numFmtId="0" fontId="6" fillId="0" borderId="0" xfId="0" applyFont="1" applyFill="1" applyAlignment="1">
      <alignment horizontal="left" indent="1"/>
    </xf>
    <xf numFmtId="3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3" fontId="6" fillId="0" borderId="0" xfId="1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0" fontId="6" fillId="0" borderId="3" xfId="0" applyFont="1" applyFill="1" applyBorder="1"/>
    <xf numFmtId="4" fontId="6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wrapText="1"/>
    </xf>
    <xf numFmtId="3" fontId="6" fillId="0" borderId="0" xfId="0" applyNumberFormat="1" applyFont="1" applyFill="1"/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3" fontId="8" fillId="0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Ciudad de los niños: Indicadores de resultado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(Anual!$B$9,Anual!$C$9,Anual!$D$10:$F$10)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Anual!$B$49:$C$49</c:f>
              <c:numCache>
                <c:formatCode>#,##0.00</c:formatCode>
                <c:ptCount val="2"/>
                <c:pt idx="0">
                  <c:v>96.493055555555557</c:v>
                </c:pt>
                <c:pt idx="1">
                  <c:v>96.493055555555557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048-9B5B-BE454D51A82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7118642137558279E-2"/>
                  <c:y val="-0.253055260361317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08-456E-A185-BBB34B5344C8}"/>
                </c:ext>
              </c:extLst>
            </c:dLbl>
            <c:dLbl>
              <c:idx val="1"/>
              <c:layout>
                <c:manualLayout>
                  <c:x val="0"/>
                  <c:y val="-7.6683412230702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08-456E-A185-BBB34B5344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(Anual!$B$9,Anual!$C$9,Anual!$D$10:$F$10)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(Anual!$B$50,Anual!$D$50,Anual!$E$50,Anual!$F$50)</c:f>
              <c:numCache>
                <c:formatCode>#,##0.00</c:formatCode>
                <c:ptCount val="4"/>
                <c:pt idx="0">
                  <c:v>25.683219566922894</c:v>
                </c:pt>
                <c:pt idx="1">
                  <c:v>99.877297033582082</c:v>
                </c:pt>
                <c:pt idx="2">
                  <c:v>65.84253704999999</c:v>
                </c:pt>
                <c:pt idx="3">
                  <c:v>2.7470951287720609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E-4048-9B5B-BE454D51A82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(Anual!$B$9,Anual!$C$9,Anual!$D$10:$F$10)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61.088137561239222</c:v>
                </c:pt>
                <c:pt idx="1">
                  <c:v>96.493055555555557</c:v>
                </c:pt>
                <c:pt idx="2">
                  <c:v>99.877297033582082</c:v>
                </c:pt>
                <c:pt idx="3">
                  <c:v>65.84253704999999</c:v>
                </c:pt>
                <c:pt idx="4">
                  <c:v>2.7470951287720609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E-4048-9B5B-BE454D51A8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/>
              <a:t>Ciudad de los </a:t>
            </a:r>
            <a:r>
              <a:rPr lang="es-CR" sz="1800"/>
              <a:t>niños</a:t>
            </a:r>
            <a:r>
              <a:rPr lang="es-CR"/>
              <a:t>: Indicadores de avance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(Anual!$B$9,Anual!$C$9,Anual!$D$10,Anual!$E$10,Anual!$F$10)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(Anual!$B$54,Anual!$C$54)</c:f>
              <c:numCache>
                <c:formatCode>#,##0.00</c:formatCode>
                <c:ptCount val="2"/>
                <c:pt idx="0">
                  <c:v>96.493055555555557</c:v>
                </c:pt>
                <c:pt idx="1">
                  <c:v>96.493055555555557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C-4C5E-B1D6-B165B6C775A5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573253458643552E-2"/>
                  <c:y val="-0.2511496042041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AB-414C-996F-4EBE65751E48}"/>
                </c:ext>
              </c:extLst>
            </c:dLbl>
            <c:dLbl>
              <c:idx val="1"/>
              <c:layout>
                <c:manualLayout>
                  <c:x val="5.3952800221135676E-3"/>
                  <c:y val="-9.5132425834910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AB-414C-996F-4EBE65751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(Anual!$B$9,Anual!$C$9,Anual!$D$10,Anual!$E$10,Anual!$F$10)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(Anual!$B$55,Anual!$D$55,Anual!$E$55,Anual!$F$55)</c:f>
              <c:numCache>
                <c:formatCode>#,##0.00</c:formatCode>
                <c:ptCount val="4"/>
                <c:pt idx="0">
                  <c:v>25.683219566922894</c:v>
                </c:pt>
                <c:pt idx="1">
                  <c:v>99.877297033582082</c:v>
                </c:pt>
                <c:pt idx="2">
                  <c:v>65.84253704999999</c:v>
                </c:pt>
                <c:pt idx="3">
                  <c:v>2.7470951287720609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C-4C5E-B1D6-B165B6C775A5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(Anual!$B$9,Anual!$C$9,Anual!$D$10,Anual!$E$10,Anual!$F$10)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61.088137561239222</c:v>
                </c:pt>
                <c:pt idx="1">
                  <c:v>96.493055555555557</c:v>
                </c:pt>
                <c:pt idx="2">
                  <c:v>99.877297033582082</c:v>
                </c:pt>
                <c:pt idx="3">
                  <c:v>65.84253704999999</c:v>
                </c:pt>
                <c:pt idx="4">
                  <c:v>2.7470951287720609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C-4C5E-B1D6-B165B6C775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11594608"/>
        <c:axId val="511596176"/>
        <c:axId val="0"/>
      </c:bar3DChart>
      <c:catAx>
        <c:axId val="5115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176"/>
        <c:crosses val="autoZero"/>
        <c:auto val="1"/>
        <c:lblAlgn val="ctr"/>
        <c:lblOffset val="100"/>
        <c:noMultiLvlLbl val="0"/>
      </c:catAx>
      <c:valAx>
        <c:axId val="511596176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460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Ciudad de los niños: Indicadores de expansión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D-4EF9-ADD2-140AEF7951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8D-4EF9-ADD2-140AEF7951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8D-4EF9-ADD2-140AEF795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(Anual!$B$9,Anual!$C$9,Anual!$D$10,Anual!$E$10,Anual!$F$10)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2.1691176470588269</c:v>
                </c:pt>
                <c:pt idx="1">
                  <c:v>2.1691176470588269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0-4D44-800E-92B3E1E54A12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D-4EF9-ADD2-140AEF795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(Anual!$B$9,Anual!$C$9,Anual!$D$10,Anual!$E$10,Anual!$F$10)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-45.959112547307654</c:v>
                </c:pt>
                <c:pt idx="1">
                  <c:v>0</c:v>
                </c:pt>
                <c:pt idx="2">
                  <c:v>-7.5032921983992811</c:v>
                </c:pt>
                <c:pt idx="3">
                  <c:v>-83.203950895054788</c:v>
                </c:pt>
                <c:pt idx="4">
                  <c:v>-87.469867271346274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0-4D44-800E-92B3E1E54A12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8D-4EF9-ADD2-140AEF795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(Anual!$B$9,Anual!$C$9,Anual!$D$10,Anual!$E$10,Anual!$F$10)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-47.10643617440693</c:v>
                </c:pt>
                <c:pt idx="1">
                  <c:v>0</c:v>
                </c:pt>
                <c:pt idx="2">
                  <c:v>-9.4670582150579445</c:v>
                </c:pt>
                <c:pt idx="3">
                  <c:v>-83.560542077923358</c:v>
                </c:pt>
                <c:pt idx="4">
                  <c:v>-87.7358902403965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0-4D44-800E-92B3E1E54A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09159184"/>
        <c:axId val="509156832"/>
        <c:axId val="0"/>
      </c:bar3DChart>
      <c:catAx>
        <c:axId val="50915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156832"/>
        <c:crosses val="autoZero"/>
        <c:auto val="1"/>
        <c:lblAlgn val="ctr"/>
        <c:lblOffset val="100"/>
        <c:noMultiLvlLbl val="0"/>
      </c:catAx>
      <c:valAx>
        <c:axId val="509156832"/>
        <c:scaling>
          <c:orientation val="minMax"/>
          <c:max val="8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15918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854156951574911"/>
          <c:w val="0.99885673365178151"/>
          <c:h val="0.14145835313014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Ciudad de los niños: Indicadores de gasto medio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2479059.0187499998</c:v>
                </c:pt>
                <c:pt idx="1">
                  <c:v>2479059.0187499998</c:v>
                </c:pt>
                <c:pt idx="2">
                  <c:v>558333.33333333337</c:v>
                </c:pt>
                <c:pt idx="3">
                  <c:v>41666.666666666664</c:v>
                </c:pt>
                <c:pt idx="4">
                  <c:v>1879059.01875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3-476A-BC3F-5E65C5049A86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(Anual!$B$9:$C$10,Anual!$D$10:$F$10)</c:f>
              <c:strCache>
                <c:ptCount val="5"/>
                <c:pt idx="0">
                  <c:v>Total programa</c:v>
                </c:pt>
                <c:pt idx="1">
                  <c:v>Promedio 
mensual</c:v>
                </c:pt>
                <c:pt idx="2">
                  <c:v>Subsidio para 
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659842.48017992079</c:v>
                </c:pt>
                <c:pt idx="1">
                  <c:v>659842.48017992079</c:v>
                </c:pt>
                <c:pt idx="2">
                  <c:v>577915.41428571427</c:v>
                </c:pt>
                <c:pt idx="3">
                  <c:v>28431.466160489381</c:v>
                </c:pt>
                <c:pt idx="4">
                  <c:v>53495.599733717158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3-476A-BC3F-5E65C5049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953504"/>
        <c:axId val="509955072"/>
        <c:axId val="0"/>
      </c:bar3DChart>
      <c:catAx>
        <c:axId val="5099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5072"/>
        <c:crosses val="autoZero"/>
        <c:auto val="1"/>
        <c:lblAlgn val="ctr"/>
        <c:lblOffset val="100"/>
        <c:noMultiLvlLbl val="0"/>
      </c:catAx>
      <c:valAx>
        <c:axId val="509955072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3504"/>
        <c:crosses val="autoZero"/>
        <c:crossBetween val="between"/>
        <c:majorUnit val="1000000"/>
        <c:minorUnit val="4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Ciudad de los niños: 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5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Anual!$A$74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#,##0.00</c:formatCode>
                <c:ptCount val="1"/>
                <c:pt idx="0">
                  <c:v>68.314478888603915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255-B291-80D0E663F8D3}"/>
            </c:ext>
          </c:extLst>
        </c:ser>
        <c:ser>
          <c:idx val="2"/>
          <c:order val="1"/>
          <c:tx>
            <c:strRef>
              <c:f>Anual!$A$75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Anual!$B$75</c:f>
              <c:numCache>
                <c:formatCode>#,##0.00</c:formatCode>
                <c:ptCount val="1"/>
                <c:pt idx="0">
                  <c:v>37.595572687896642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6-4255-B291-80D0E663F8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09952720"/>
        <c:axId val="577961336"/>
        <c:axId val="0"/>
      </c:bar3DChart>
      <c:catAx>
        <c:axId val="5099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77961336"/>
        <c:crosses val="autoZero"/>
        <c:auto val="1"/>
        <c:lblAlgn val="ctr"/>
        <c:lblOffset val="100"/>
        <c:noMultiLvlLbl val="0"/>
      </c:catAx>
      <c:valAx>
        <c:axId val="577961336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272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n-US" sz="1800"/>
              <a:t>Ciudad de los niños: Índice de eficiencia (IE) 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5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16.259616206436579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8-4131-BCF1-65B16D7AFE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09158792"/>
        <c:axId val="509159576"/>
        <c:axId val="0"/>
      </c:bar3DChart>
      <c:catAx>
        <c:axId val="5091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159576"/>
        <c:crosses val="autoZero"/>
        <c:auto val="1"/>
        <c:lblAlgn val="ctr"/>
        <c:lblOffset val="100"/>
        <c:noMultiLvlLbl val="0"/>
      </c:catAx>
      <c:valAx>
        <c:axId val="50915957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1587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1800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1215688" cy="404812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1215688" cy="404812"/>
        </a:xfrm>
        <a:prstGeom prst="rect">
          <a:avLst/>
        </a:prstGeom>
      </xdr:spPr>
    </xdr:pic>
    <xdr:clientData/>
  </xdr:oneCellAnchor>
  <xdr:twoCellAnchor>
    <xdr:from>
      <xdr:col>0</xdr:col>
      <xdr:colOff>404813</xdr:colOff>
      <xdr:row>6</xdr:row>
      <xdr:rowOff>47625</xdr:rowOff>
    </xdr:from>
    <xdr:to>
      <xdr:col>5</xdr:col>
      <xdr:colOff>666750</xdr:colOff>
      <xdr:row>7</xdr:row>
      <xdr:rowOff>154780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4813" y="1190625"/>
          <a:ext cx="96631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Atención a Jóvenes en Riesgo Social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21-05-2021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0848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1215688" cy="404812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1215688" cy="404812"/>
        </a:xfrm>
        <a:prstGeom prst="rect">
          <a:avLst/>
        </a:prstGeom>
      </xdr:spPr>
    </xdr:pic>
    <xdr:clientData/>
  </xdr:oneCellAnchor>
  <xdr:twoCellAnchor>
    <xdr:from>
      <xdr:col>0</xdr:col>
      <xdr:colOff>404812</xdr:colOff>
      <xdr:row>6</xdr:row>
      <xdr:rowOff>47623</xdr:rowOff>
    </xdr:from>
    <xdr:to>
      <xdr:col>5</xdr:col>
      <xdr:colOff>1107280</xdr:colOff>
      <xdr:row>7</xdr:row>
      <xdr:rowOff>154778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04812" y="1190623"/>
          <a:ext cx="1009411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24-08-2021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0848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1215688" cy="404812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1215688" cy="404812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47624</xdr:rowOff>
    </xdr:from>
    <xdr:to>
      <xdr:col>5</xdr:col>
      <xdr:colOff>797721</xdr:colOff>
      <xdr:row>7</xdr:row>
      <xdr:rowOff>154779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7626" y="1190624"/>
          <a:ext cx="1014174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          Programa Atención a Jóvenes en Riesgo Social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24-08-2021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56106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1295062" cy="40481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1295062" cy="404812"/>
        </a:xfrm>
        <a:prstGeom prst="rect">
          <a:avLst/>
        </a:prstGeom>
      </xdr:spPr>
    </xdr:pic>
    <xdr:clientData/>
  </xdr:oneCellAnchor>
  <xdr:twoCellAnchor>
    <xdr:from>
      <xdr:col>0</xdr:col>
      <xdr:colOff>404812</xdr:colOff>
      <xdr:row>6</xdr:row>
      <xdr:rowOff>47623</xdr:rowOff>
    </xdr:from>
    <xdr:to>
      <xdr:col>5</xdr:col>
      <xdr:colOff>1107280</xdr:colOff>
      <xdr:row>7</xdr:row>
      <xdr:rowOff>154778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04812" y="1190623"/>
          <a:ext cx="1013221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20-12-2021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11905</xdr:colOff>
      <xdr:row>6</xdr:row>
      <xdr:rowOff>23812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465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1271250" cy="404812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1271250" cy="404812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47624</xdr:rowOff>
    </xdr:from>
    <xdr:to>
      <xdr:col>5</xdr:col>
      <xdr:colOff>1178718</xdr:colOff>
      <xdr:row>7</xdr:row>
      <xdr:rowOff>154779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47626" y="1190624"/>
          <a:ext cx="105513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          Programa Atención a Jóvenes en Riesgo Social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20-12-2021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2753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1271250" cy="404812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1271250" cy="404812"/>
        </a:xfrm>
        <a:prstGeom prst="rect">
          <a:avLst/>
        </a:prstGeom>
      </xdr:spPr>
    </xdr:pic>
    <xdr:clientData/>
  </xdr:oneCellAnchor>
  <xdr:twoCellAnchor>
    <xdr:from>
      <xdr:col>0</xdr:col>
      <xdr:colOff>178594</xdr:colOff>
      <xdr:row>6</xdr:row>
      <xdr:rowOff>47625</xdr:rowOff>
    </xdr:from>
    <xdr:to>
      <xdr:col>5</xdr:col>
      <xdr:colOff>1095375</xdr:colOff>
      <xdr:row>7</xdr:row>
      <xdr:rowOff>154780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78594" y="1190625"/>
          <a:ext cx="10179844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           Programa Atención a Jóvenes en Riesgo Social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11-03-2022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12</xdr:row>
      <xdr:rowOff>188117</xdr:rowOff>
    </xdr:from>
    <xdr:to>
      <xdr:col>16</xdr:col>
      <xdr:colOff>11906</xdr:colOff>
      <xdr:row>28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236803</xdr:colOff>
      <xdr:row>12</xdr:row>
      <xdr:rowOff>174890</xdr:rowOff>
    </xdr:from>
    <xdr:to>
      <xdr:col>25</xdr:col>
      <xdr:colOff>440531</xdr:colOff>
      <xdr:row>28</xdr:row>
      <xdr:rowOff>83343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231515</xdr:colOff>
      <xdr:row>28</xdr:row>
      <xdr:rowOff>166690</xdr:rowOff>
    </xdr:from>
    <xdr:to>
      <xdr:col>27</xdr:col>
      <xdr:colOff>619125</xdr:colOff>
      <xdr:row>44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10583</xdr:colOff>
      <xdr:row>44</xdr:row>
      <xdr:rowOff>186793</xdr:rowOff>
    </xdr:from>
    <xdr:to>
      <xdr:col>17</xdr:col>
      <xdr:colOff>178593</xdr:colOff>
      <xdr:row>62</xdr:row>
      <xdr:rowOff>178594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13231</xdr:colOff>
      <xdr:row>29</xdr:row>
      <xdr:rowOff>10845</xdr:rowOff>
    </xdr:from>
    <xdr:to>
      <xdr:col>16</xdr:col>
      <xdr:colOff>11906</xdr:colOff>
      <xdr:row>44</xdr:row>
      <xdr:rowOff>59530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312209</xdr:colOff>
      <xdr:row>44</xdr:row>
      <xdr:rowOff>200024</xdr:rowOff>
    </xdr:from>
    <xdr:to>
      <xdr:col>26</xdr:col>
      <xdr:colOff>535781</xdr:colOff>
      <xdr:row>60</xdr:row>
      <xdr:rowOff>107156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52398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0715625" cy="1195398"/>
        </a:xfrm>
        <a:prstGeom prst="rect">
          <a:avLst/>
        </a:prstGeom>
      </xdr:spPr>
    </xdr:pic>
    <xdr:clientData/>
  </xdr:twoCellAnchor>
  <xdr:twoCellAnchor editAs="oneCell">
    <xdr:from>
      <xdr:col>0</xdr:col>
      <xdr:colOff>57831</xdr:colOff>
      <xdr:row>0</xdr:row>
      <xdr:rowOff>59531</xdr:rowOff>
    </xdr:from>
    <xdr:to>
      <xdr:col>0</xdr:col>
      <xdr:colOff>3917157</xdr:colOff>
      <xdr:row>5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831" y="59531"/>
          <a:ext cx="3859326" cy="9286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1587</xdr:rowOff>
    </xdr:from>
    <xdr:ext cx="11223624" cy="418415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96962"/>
          <a:ext cx="11223624" cy="418415"/>
        </a:xfrm>
        <a:prstGeom prst="rect">
          <a:avLst/>
        </a:prstGeom>
      </xdr:spPr>
    </xdr:pic>
    <xdr:clientData/>
  </xdr:oneCellAnchor>
  <xdr:twoCellAnchor>
    <xdr:from>
      <xdr:col>0</xdr:col>
      <xdr:colOff>202406</xdr:colOff>
      <xdr:row>6</xdr:row>
      <xdr:rowOff>59531</xdr:rowOff>
    </xdr:from>
    <xdr:to>
      <xdr:col>5</xdr:col>
      <xdr:colOff>464344</xdr:colOff>
      <xdr:row>7</xdr:row>
      <xdr:rowOff>166686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202406" y="1202531"/>
          <a:ext cx="9560719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Ciudad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los Niños          Programa Atención a Jóvenes en Riesgo Social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Anual  2021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11-03-2022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172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8" customWidth="1"/>
    <col min="2" max="6" width="19.54296875" style="8" customWidth="1"/>
    <col min="7" max="7" width="13.7265625" style="8" bestFit="1" customWidth="1"/>
    <col min="8" max="16384" width="11.453125" style="8"/>
  </cols>
  <sheetData>
    <row r="8" spans="1:7" ht="15.75" customHeight="1" x14ac:dyDescent="0.35"/>
    <row r="9" spans="1:7" s="1" customFormat="1" ht="15.5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44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18"/>
      <c r="C14" s="18"/>
      <c r="D14" s="18"/>
      <c r="E14" s="18"/>
      <c r="F14" s="18"/>
      <c r="G14" s="9"/>
    </row>
    <row r="15" spans="1:7" ht="15.5" x14ac:dyDescent="0.4">
      <c r="A15" s="19" t="s">
        <v>48</v>
      </c>
      <c r="B15" s="20">
        <f>C15</f>
        <v>477</v>
      </c>
      <c r="C15" s="20">
        <v>477</v>
      </c>
      <c r="D15" s="20"/>
      <c r="E15" s="20"/>
      <c r="F15" s="20"/>
      <c r="G15" s="9"/>
    </row>
    <row r="16" spans="1:7" ht="15.5" x14ac:dyDescent="0.4">
      <c r="A16" s="19" t="s">
        <v>79</v>
      </c>
      <c r="B16" s="20">
        <v>480</v>
      </c>
      <c r="C16" s="20">
        <v>480</v>
      </c>
      <c r="D16" s="20"/>
      <c r="E16" s="20"/>
      <c r="F16" s="20"/>
      <c r="G16" s="9"/>
    </row>
    <row r="17" spans="1:7" ht="15.5" x14ac:dyDescent="0.4">
      <c r="A17" s="19" t="s">
        <v>80</v>
      </c>
      <c r="B17" s="20">
        <f>C17</f>
        <v>498</v>
      </c>
      <c r="C17" s="20">
        <v>498</v>
      </c>
      <c r="D17" s="20"/>
      <c r="E17" s="20"/>
      <c r="F17" s="20"/>
    </row>
    <row r="18" spans="1:7" ht="15.5" x14ac:dyDescent="0.4">
      <c r="A18" s="19" t="s">
        <v>81</v>
      </c>
      <c r="B18" s="20">
        <v>480</v>
      </c>
      <c r="C18" s="20"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48</v>
      </c>
      <c r="B21" s="22">
        <f>SUM(D21:F21)</f>
        <v>80858418.020000011</v>
      </c>
      <c r="C21" s="22"/>
      <c r="D21" s="22">
        <v>38982642.130000003</v>
      </c>
      <c r="E21" s="22">
        <v>24921269.609999999</v>
      </c>
      <c r="F21" s="22">
        <v>16954506.280000001</v>
      </c>
      <c r="G21" s="9"/>
    </row>
    <row r="22" spans="1:7" ht="15.5" x14ac:dyDescent="0.4">
      <c r="A22" s="19" t="s">
        <v>79</v>
      </c>
      <c r="B22" s="22">
        <f>SUM(D22:F22)</f>
        <v>551440389</v>
      </c>
      <c r="C22" s="22"/>
      <c r="D22" s="22">
        <v>54400000</v>
      </c>
      <c r="E22" s="22">
        <v>20000000</v>
      </c>
      <c r="F22" s="22">
        <v>477040389</v>
      </c>
      <c r="G22" s="9"/>
    </row>
    <row r="23" spans="1:7" ht="15.5" x14ac:dyDescent="0.4">
      <c r="A23" s="19" t="s">
        <v>80</v>
      </c>
      <c r="B23" s="22">
        <f>SUM(D23:F23)</f>
        <v>54742776.960000001</v>
      </c>
      <c r="C23" s="22"/>
      <c r="D23" s="22">
        <v>54742776.960000001</v>
      </c>
      <c r="E23" s="20">
        <v>0</v>
      </c>
      <c r="F23" s="22">
        <v>0</v>
      </c>
      <c r="G23" s="9"/>
    </row>
    <row r="24" spans="1:7" ht="15.5" x14ac:dyDescent="0.4">
      <c r="A24" s="19" t="s">
        <v>81</v>
      </c>
      <c r="B24" s="22">
        <f>SUM(D24:F24)</f>
        <v>1189948329</v>
      </c>
      <c r="C24" s="22"/>
      <c r="D24" s="22">
        <v>268000000</v>
      </c>
      <c r="E24" s="22">
        <v>20000000</v>
      </c>
      <c r="F24" s="22">
        <v>901948329</v>
      </c>
      <c r="G24" s="9"/>
    </row>
    <row r="25" spans="1:7" ht="15.5" x14ac:dyDescent="0.4">
      <c r="A25" s="19" t="s">
        <v>82</v>
      </c>
      <c r="B25" s="20">
        <f>D25+E25+F25</f>
        <v>54742776.960000001</v>
      </c>
      <c r="C25" s="20"/>
      <c r="D25" s="20">
        <f>D23</f>
        <v>54742776.960000001</v>
      </c>
      <c r="E25" s="20">
        <f>E23</f>
        <v>0</v>
      </c>
      <c r="F25" s="20">
        <f>F23</f>
        <v>0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79</v>
      </c>
      <c r="B28" s="20">
        <f>B22</f>
        <v>551440389</v>
      </c>
      <c r="C28" s="20"/>
      <c r="D28" s="33" t="s">
        <v>89</v>
      </c>
      <c r="E28" s="20"/>
      <c r="F28" s="20"/>
      <c r="G28" s="9"/>
    </row>
    <row r="29" spans="1:7" ht="15.5" x14ac:dyDescent="0.4">
      <c r="A29" s="19" t="s">
        <v>80</v>
      </c>
      <c r="B29" s="20">
        <v>203226750</v>
      </c>
      <c r="C29" s="20"/>
      <c r="D29" s="34">
        <f>+B29+377040388.68</f>
        <v>580267138.68000007</v>
      </c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4"/>
      <c r="C31" s="24"/>
      <c r="D31" s="24"/>
      <c r="E31" s="24"/>
      <c r="F31" s="24"/>
      <c r="G31" s="9"/>
    </row>
    <row r="32" spans="1:7" ht="15.5" x14ac:dyDescent="0.4">
      <c r="A32" s="19" t="s">
        <v>49</v>
      </c>
      <c r="B32" s="24">
        <v>1.0649999999999999</v>
      </c>
      <c r="C32" s="24">
        <v>1.0649999999999999</v>
      </c>
      <c r="D32" s="24">
        <v>1.0649999999999999</v>
      </c>
      <c r="E32" s="24">
        <v>1.0649999999999999</v>
      </c>
      <c r="F32" s="24">
        <v>1.0649999999999999</v>
      </c>
      <c r="G32" s="9"/>
    </row>
    <row r="33" spans="1:7" ht="15.5" x14ac:dyDescent="0.4">
      <c r="A33" s="19" t="s">
        <v>83</v>
      </c>
      <c r="B33" s="24">
        <v>1.07</v>
      </c>
      <c r="C33" s="24">
        <v>1.07</v>
      </c>
      <c r="D33" s="24">
        <v>1.07</v>
      </c>
      <c r="E33" s="24">
        <v>1.07</v>
      </c>
      <c r="F33" s="24">
        <v>1.07</v>
      </c>
      <c r="G33" s="9"/>
    </row>
    <row r="34" spans="1:7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7" ht="15.5" x14ac:dyDescent="0.4">
      <c r="A35" s="16"/>
      <c r="B35" s="24"/>
      <c r="C35" s="24"/>
      <c r="D35" s="24"/>
      <c r="E35" s="24"/>
      <c r="F35" s="24"/>
      <c r="G35" s="9"/>
    </row>
    <row r="36" spans="1:7" ht="15.5" x14ac:dyDescent="0.4">
      <c r="A36" s="17" t="s">
        <v>10</v>
      </c>
      <c r="B36" s="24"/>
      <c r="C36" s="24"/>
      <c r="D36" s="24"/>
      <c r="E36" s="24"/>
      <c r="F36" s="24"/>
      <c r="G36" s="9"/>
    </row>
    <row r="37" spans="1:7" ht="15.5" x14ac:dyDescent="0.4">
      <c r="A37" s="19" t="s">
        <v>50</v>
      </c>
      <c r="B37" s="22">
        <f>B21/B32</f>
        <v>75923397.201877952</v>
      </c>
      <c r="C37" s="20"/>
      <c r="D37" s="22">
        <f>D21/D32</f>
        <v>36603419.840375595</v>
      </c>
      <c r="E37" s="22">
        <f t="shared" ref="E37:F37" si="0">E21/E32</f>
        <v>23400253.154929578</v>
      </c>
      <c r="F37" s="22">
        <f t="shared" si="0"/>
        <v>15919724.206572771</v>
      </c>
      <c r="G37" s="9"/>
    </row>
    <row r="38" spans="1:7" ht="15.5" x14ac:dyDescent="0.4">
      <c r="A38" s="19" t="s">
        <v>84</v>
      </c>
      <c r="B38" s="22">
        <f>B23/B33</f>
        <v>51161473.794392519</v>
      </c>
      <c r="C38" s="20"/>
      <c r="D38" s="22">
        <f>D23/D33</f>
        <v>51161473.794392519</v>
      </c>
      <c r="E38" s="20">
        <f>E23/E33</f>
        <v>0</v>
      </c>
      <c r="F38" s="22">
        <f t="shared" ref="F38" si="1">F23/F33</f>
        <v>0</v>
      </c>
      <c r="G38" s="9"/>
    </row>
    <row r="39" spans="1:7" ht="15.5" x14ac:dyDescent="0.4">
      <c r="A39" s="19" t="s">
        <v>51</v>
      </c>
      <c r="B39" s="22">
        <f>B37/$B$15</f>
        <v>159168.54759303553</v>
      </c>
      <c r="C39" s="20"/>
      <c r="D39" s="22">
        <f>D37/$C$15</f>
        <v>76736.729225106072</v>
      </c>
      <c r="E39" s="22">
        <f t="shared" ref="E39:F39" si="2">E37/$C$15</f>
        <v>49057.134496707709</v>
      </c>
      <c r="F39" s="22">
        <f t="shared" si="2"/>
        <v>33374.683871221743</v>
      </c>
      <c r="G39" s="9"/>
    </row>
    <row r="40" spans="1:7" ht="15.5" x14ac:dyDescent="0.4">
      <c r="A40" s="19" t="s">
        <v>85</v>
      </c>
      <c r="B40" s="22">
        <f>B38/$B$17</f>
        <v>102733.88312127012</v>
      </c>
      <c r="C40" s="20"/>
      <c r="D40" s="22">
        <f>D38/$C$17</f>
        <v>102733.88312127012</v>
      </c>
      <c r="E40" s="20">
        <f t="shared" ref="E40:F40" si="3">E38/$C$17</f>
        <v>0</v>
      </c>
      <c r="F40" s="22">
        <f t="shared" si="3"/>
        <v>0</v>
      </c>
    </row>
    <row r="41" spans="1:7" ht="15.5" x14ac:dyDescent="0.4">
      <c r="A41" s="16"/>
      <c r="B41" s="24"/>
      <c r="C41" s="24"/>
      <c r="D41" s="24"/>
      <c r="E41" s="24"/>
      <c r="F41" s="24"/>
      <c r="G41" s="9"/>
    </row>
    <row r="42" spans="1:7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7" ht="15.5" x14ac:dyDescent="0.4">
      <c r="A43" s="16"/>
      <c r="B43" s="24"/>
      <c r="C43" s="24"/>
      <c r="D43" s="24"/>
      <c r="E43" s="24"/>
      <c r="F43" s="24"/>
      <c r="G43" s="9"/>
    </row>
    <row r="44" spans="1:7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7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7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7" ht="15.5" x14ac:dyDescent="0.4">
      <c r="A47" s="16"/>
      <c r="B47" s="24"/>
      <c r="C47" s="24"/>
      <c r="D47" s="24"/>
      <c r="E47" s="24"/>
      <c r="F47" s="24"/>
      <c r="G47" s="9"/>
    </row>
    <row r="48" spans="1:7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103.75000000000001</v>
      </c>
      <c r="C49" s="24">
        <f>C17/C16*100</f>
        <v>103.75000000000001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9.9272338501124917</v>
      </c>
      <c r="C50" s="24"/>
      <c r="D50" s="24">
        <f>D23/D22*100</f>
        <v>100.63010470588236</v>
      </c>
      <c r="E50" s="24">
        <f t="shared" ref="E50" si="4">E23/E22*100</f>
        <v>0</v>
      </c>
      <c r="F50" s="24">
        <f>F23/F22*100</f>
        <v>0</v>
      </c>
      <c r="G50" s="9"/>
    </row>
    <row r="51" spans="1:7" ht="15.5" x14ac:dyDescent="0.4">
      <c r="A51" s="16" t="s">
        <v>18</v>
      </c>
      <c r="B51" s="24">
        <f>AVERAGE(B49:B50)</f>
        <v>56.83861692505625</v>
      </c>
      <c r="C51" s="24">
        <f>AVERAGE(C49:C50)</f>
        <v>103.75000000000001</v>
      </c>
      <c r="D51" s="24">
        <f t="shared" ref="D51:F51" si="5">AVERAGE(D49:D50)</f>
        <v>100.63010470588236</v>
      </c>
      <c r="E51" s="24">
        <f t="shared" si="5"/>
        <v>0</v>
      </c>
      <c r="F51" s="24">
        <f t="shared" si="5"/>
        <v>0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103.75000000000001</v>
      </c>
      <c r="C54" s="24">
        <f t="shared" ref="C54" si="6">(C17/C18)*100</f>
        <v>103.75000000000001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4.6004331134280712</v>
      </c>
      <c r="C55" s="24"/>
      <c r="D55" s="24">
        <f t="shared" ref="D55:F55" si="7">D23/D24*100</f>
        <v>20.426409313432835</v>
      </c>
      <c r="E55" s="24">
        <f t="shared" si="7"/>
        <v>0</v>
      </c>
      <c r="F55" s="24">
        <f t="shared" si="7"/>
        <v>0</v>
      </c>
      <c r="G55" s="9"/>
    </row>
    <row r="56" spans="1:7" ht="15.5" x14ac:dyDescent="0.4">
      <c r="A56" s="16" t="s">
        <v>22</v>
      </c>
      <c r="B56" s="24">
        <f>AVERAGE(B54:B55)</f>
        <v>54.175216556714041</v>
      </c>
      <c r="C56" s="24">
        <f t="shared" ref="C56:F56" si="8">AVERAGE(C54:C55)</f>
        <v>103.75000000000001</v>
      </c>
      <c r="D56" s="24">
        <f t="shared" si="8"/>
        <v>20.426409313432835</v>
      </c>
      <c r="E56" s="24">
        <f t="shared" si="8"/>
        <v>0</v>
      </c>
      <c r="F56" s="24">
        <f t="shared" si="8"/>
        <v>0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 t="shared" ref="D59" si="9">D25/D23*100</f>
        <v>100</v>
      </c>
      <c r="E59" s="24" t="s">
        <v>43</v>
      </c>
      <c r="F59" s="24" t="s">
        <v>43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4.4025157232704393</v>
      </c>
      <c r="C62" s="24">
        <f>((C17/C15)-1)*100</f>
        <v>4.4025157232704393</v>
      </c>
      <c r="D62" s="24" t="s">
        <v>43</v>
      </c>
      <c r="E62" s="24" t="s">
        <v>43</v>
      </c>
      <c r="F62" s="24" t="s">
        <v>43</v>
      </c>
      <c r="G62" s="9"/>
    </row>
    <row r="63" spans="1:7" ht="15.5" x14ac:dyDescent="0.4">
      <c r="A63" s="16" t="s">
        <v>26</v>
      </c>
      <c r="B63" s="24">
        <f>((B38/B37)-1)*100</f>
        <v>-32.614351201440904</v>
      </c>
      <c r="C63" s="24" t="s">
        <v>43</v>
      </c>
      <c r="D63" s="24">
        <f t="shared" ref="D63:F63" si="10">((D38/D37)-1)*100</f>
        <v>39.772387436756908</v>
      </c>
      <c r="E63" s="24" t="s">
        <v>43</v>
      </c>
      <c r="F63" s="24">
        <f t="shared" si="10"/>
        <v>-100</v>
      </c>
      <c r="G63" s="9"/>
    </row>
    <row r="64" spans="1:7" ht="15.5" x14ac:dyDescent="0.4">
      <c r="A64" s="16" t="s">
        <v>27</v>
      </c>
      <c r="B64" s="24">
        <f>((B40/B39)-1)*100</f>
        <v>-35.455914704994598</v>
      </c>
      <c r="C64" s="24" t="s">
        <v>43</v>
      </c>
      <c r="D64" s="24">
        <f t="shared" ref="D64:F64" si="11">((D40/D39)-1)*100</f>
        <v>33.878371099062335</v>
      </c>
      <c r="E64" s="24" t="s">
        <v>43</v>
      </c>
      <c r="F64" s="24">
        <f t="shared" si="11"/>
        <v>-100</v>
      </c>
      <c r="G64" s="9"/>
    </row>
    <row r="65" spans="1:7" ht="15.5" x14ac:dyDescent="0.4">
      <c r="A65" s="16"/>
      <c r="B65" s="24"/>
      <c r="C65" s="24"/>
      <c r="D65" s="24"/>
      <c r="E65" s="24"/>
      <c r="F65" s="24"/>
      <c r="G65" s="9"/>
    </row>
    <row r="66" spans="1:7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7" ht="15.5" x14ac:dyDescent="0.4">
      <c r="A67" s="16" t="s">
        <v>34</v>
      </c>
      <c r="B67" s="24">
        <f>B22/($B$16*3)</f>
        <v>382944.71458333335</v>
      </c>
      <c r="C67" s="24">
        <f>B22/(C16*3)</f>
        <v>382944.71458333335</v>
      </c>
      <c r="D67" s="24">
        <f>D22/($C$16*2)</f>
        <v>56666.666666666664</v>
      </c>
      <c r="E67" s="24">
        <f>E22/($C$16*3)</f>
        <v>13888.888888888889</v>
      </c>
      <c r="F67" s="24">
        <f>F22/($C$16*3)</f>
        <v>331278.04791666666</v>
      </c>
      <c r="G67" s="9"/>
    </row>
    <row r="68" spans="1:7" ht="15.5" x14ac:dyDescent="0.4">
      <c r="A68" s="16" t="s">
        <v>35</v>
      </c>
      <c r="B68" s="24">
        <f>B23/($B$17*3)</f>
        <v>36641.751646586345</v>
      </c>
      <c r="C68" s="24">
        <f>B23/(C17*3)</f>
        <v>36641.751646586345</v>
      </c>
      <c r="D68" s="24">
        <f>D23/($C$17*2)</f>
        <v>54962.627469879517</v>
      </c>
      <c r="E68" s="24">
        <f>E23/($C$17*3)</f>
        <v>0</v>
      </c>
      <c r="F68" s="24">
        <f>F23/($C$17*3)</f>
        <v>0</v>
      </c>
    </row>
    <row r="69" spans="1:7" ht="15.5" x14ac:dyDescent="0.4">
      <c r="A69" s="16" t="s">
        <v>29</v>
      </c>
      <c r="B69" s="24">
        <f>(B68/B67)*B51</f>
        <v>5.4385565487421221</v>
      </c>
      <c r="C69" s="24">
        <f>(C68/C67)*C51</f>
        <v>9.9272338501124935</v>
      </c>
      <c r="D69" s="24"/>
      <c r="E69" s="24"/>
      <c r="F69" s="24"/>
      <c r="G69" s="9"/>
    </row>
    <row r="70" spans="1:7" ht="15.5" x14ac:dyDescent="0.4">
      <c r="A70" s="25" t="s">
        <v>36</v>
      </c>
      <c r="B70" s="24">
        <f>B22/($B$16)</f>
        <v>1148834.14375</v>
      </c>
      <c r="C70" s="24">
        <f>B22/(C16)</f>
        <v>1148834.14375</v>
      </c>
      <c r="D70" s="24">
        <f>D22/($C$16)</f>
        <v>113333.33333333333</v>
      </c>
      <c r="E70" s="24">
        <f t="shared" ref="E70:F70" si="12">E22/($C$16)</f>
        <v>41666.666666666664</v>
      </c>
      <c r="F70" s="24">
        <f t="shared" si="12"/>
        <v>993834.14375000005</v>
      </c>
      <c r="G70" s="9"/>
    </row>
    <row r="71" spans="1:7" ht="15.5" x14ac:dyDescent="0.4">
      <c r="A71" s="25" t="s">
        <v>37</v>
      </c>
      <c r="B71" s="24">
        <f>B23/($B$17)</f>
        <v>109925.25493975903</v>
      </c>
      <c r="C71" s="24">
        <f>B23/(C17)</f>
        <v>109925.25493975903</v>
      </c>
      <c r="D71" s="24">
        <f>D23/($C$17)</f>
        <v>109925.25493975903</v>
      </c>
      <c r="E71" s="24">
        <f t="shared" ref="E71:F71" si="13">E23/($C$17)</f>
        <v>0</v>
      </c>
      <c r="F71" s="24">
        <f t="shared" si="13"/>
        <v>0</v>
      </c>
      <c r="G71" s="9"/>
    </row>
    <row r="72" spans="1:7" ht="15.5" x14ac:dyDescent="0.4">
      <c r="A72" s="16"/>
      <c r="B72" s="24"/>
      <c r="C72" s="24"/>
      <c r="D72" s="24"/>
      <c r="E72" s="24"/>
      <c r="F72" s="24"/>
      <c r="G72" s="9"/>
    </row>
    <row r="73" spans="1:7" ht="15.5" x14ac:dyDescent="0.4">
      <c r="A73" s="17" t="s">
        <v>30</v>
      </c>
      <c r="B73" s="24"/>
      <c r="C73" s="24"/>
      <c r="D73" s="35" t="s">
        <v>89</v>
      </c>
      <c r="E73" s="24"/>
      <c r="F73" s="24"/>
      <c r="G73" s="9"/>
    </row>
    <row r="74" spans="1:7" ht="15.5" x14ac:dyDescent="0.4">
      <c r="A74" s="16" t="s">
        <v>31</v>
      </c>
      <c r="B74" s="24">
        <f>(B29/B28)*100</f>
        <v>36.853802161379221</v>
      </c>
      <c r="C74" s="24"/>
      <c r="D74" s="36">
        <f>(D29/B28)*100</f>
        <v>105.22753687525055</v>
      </c>
      <c r="E74" s="24"/>
      <c r="F74" s="24"/>
      <c r="G74" s="9"/>
    </row>
    <row r="75" spans="1:7" ht="15.5" x14ac:dyDescent="0.4">
      <c r="A75" s="16" t="s">
        <v>32</v>
      </c>
      <c r="B75" s="24">
        <f>(B23/B29)*100</f>
        <v>26.936796932490431</v>
      </c>
      <c r="C75" s="24"/>
      <c r="D75" s="24"/>
      <c r="E75" s="24"/>
      <c r="F75" s="24"/>
      <c r="G75" s="9"/>
    </row>
    <row r="76" spans="1:7" ht="16" thickBot="1" x14ac:dyDescent="0.45">
      <c r="A76" s="26"/>
      <c r="B76" s="26"/>
      <c r="C76" s="26"/>
      <c r="D76" s="26"/>
      <c r="E76" s="26"/>
      <c r="F76" s="26"/>
    </row>
    <row r="77" spans="1:7" ht="16" thickTop="1" x14ac:dyDescent="0.35">
      <c r="A77" s="45" t="s">
        <v>86</v>
      </c>
      <c r="B77" s="45"/>
      <c r="C77" s="45"/>
      <c r="D77" s="45"/>
      <c r="E77" s="45"/>
      <c r="F77" s="45"/>
    </row>
    <row r="79" spans="1:7" ht="15.5" x14ac:dyDescent="0.4">
      <c r="A79" s="37" t="s">
        <v>87</v>
      </c>
      <c r="B79" s="38"/>
      <c r="C79" s="38"/>
      <c r="D79" s="38"/>
      <c r="E79" s="38"/>
      <c r="F79" s="38"/>
    </row>
    <row r="80" spans="1:7" ht="38.25" customHeight="1" x14ac:dyDescent="0.35">
      <c r="A80" s="39" t="s">
        <v>88</v>
      </c>
      <c r="B80" s="39"/>
      <c r="C80" s="39"/>
      <c r="D80" s="39"/>
      <c r="E80" s="39"/>
      <c r="F80" s="39"/>
      <c r="G80" s="31"/>
    </row>
    <row r="81" spans="1:12" s="12" customFormat="1" x14ac:dyDescent="0.35">
      <c r="H81" s="32"/>
      <c r="I81" s="32"/>
      <c r="J81" s="32"/>
      <c r="K81" s="32"/>
      <c r="L81" s="32"/>
    </row>
    <row r="82" spans="1:12" x14ac:dyDescent="0.35">
      <c r="A82" s="4"/>
      <c r="B82" s="10"/>
      <c r="C82" s="10"/>
      <c r="D82" s="10"/>
      <c r="E82" s="10"/>
    </row>
    <row r="83" spans="1:12" x14ac:dyDescent="0.35">
      <c r="A83" s="6"/>
    </row>
    <row r="84" spans="1:12" x14ac:dyDescent="0.35">
      <c r="A84" s="12"/>
    </row>
    <row r="85" spans="1:12" x14ac:dyDescent="0.35">
      <c r="A85" s="12"/>
    </row>
    <row r="86" spans="1:12" x14ac:dyDescent="0.35">
      <c r="A86" s="13"/>
    </row>
    <row r="87" spans="1:12" x14ac:dyDescent="0.35">
      <c r="A87" s="2"/>
    </row>
    <row r="170" spans="1:5" x14ac:dyDescent="0.35">
      <c r="A170" s="2"/>
      <c r="B170" s="2"/>
      <c r="C170" s="2"/>
      <c r="D170" s="2"/>
      <c r="E170" s="2"/>
    </row>
    <row r="171" spans="1:5" x14ac:dyDescent="0.35">
      <c r="A171" s="2"/>
      <c r="B171" s="7"/>
      <c r="C171" s="7"/>
      <c r="D171" s="7"/>
      <c r="E171" s="7"/>
    </row>
    <row r="172" spans="1:5" x14ac:dyDescent="0.35">
      <c r="A172" s="2"/>
      <c r="B172" s="7"/>
      <c r="C172" s="7"/>
      <c r="D172" s="7"/>
      <c r="E172" s="7"/>
    </row>
  </sheetData>
  <mergeCells count="7">
    <mergeCell ref="A79:F79"/>
    <mergeCell ref="A80:F80"/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8" customWidth="1"/>
    <col min="2" max="6" width="19.54296875" style="8" customWidth="1"/>
    <col min="7" max="7" width="13.7265625" style="8" bestFit="1" customWidth="1"/>
    <col min="8" max="16384" width="11.453125" style="8"/>
  </cols>
  <sheetData>
    <row r="9" spans="1:7" s="1" customFormat="1" ht="17.25" customHeight="1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44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18"/>
      <c r="C14" s="18"/>
      <c r="D14" s="18"/>
      <c r="E14" s="18"/>
      <c r="F14" s="18"/>
      <c r="G14" s="9"/>
    </row>
    <row r="15" spans="1:7" ht="15.5" x14ac:dyDescent="0.4">
      <c r="A15" s="19" t="s">
        <v>52</v>
      </c>
      <c r="B15" s="20">
        <f>C15</f>
        <v>459</v>
      </c>
      <c r="C15" s="20">
        <v>459</v>
      </c>
      <c r="D15" s="20"/>
      <c r="E15" s="20"/>
      <c r="F15" s="20"/>
      <c r="G15" s="9"/>
    </row>
    <row r="16" spans="1:7" ht="15.5" x14ac:dyDescent="0.4">
      <c r="A16" s="19" t="s">
        <v>90</v>
      </c>
      <c r="B16" s="20">
        <v>480</v>
      </c>
      <c r="C16" s="20">
        <v>480</v>
      </c>
      <c r="D16" s="20"/>
      <c r="E16" s="20"/>
      <c r="F16" s="20"/>
      <c r="G16" s="9"/>
    </row>
    <row r="17" spans="1:7" ht="15.5" x14ac:dyDescent="0.4">
      <c r="A17" s="19" t="s">
        <v>91</v>
      </c>
      <c r="B17" s="20">
        <f>C17</f>
        <v>471.66666666666669</v>
      </c>
      <c r="C17" s="20">
        <v>471.66666666666669</v>
      </c>
      <c r="D17" s="20"/>
      <c r="E17" s="20"/>
      <c r="F17" s="20"/>
    </row>
    <row r="18" spans="1:7" ht="15.5" x14ac:dyDescent="0.4">
      <c r="A18" s="19" t="s">
        <v>81</v>
      </c>
      <c r="B18" s="20">
        <v>480</v>
      </c>
      <c r="C18" s="20"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52</v>
      </c>
      <c r="B21" s="20">
        <f>SUM(D21:F21)</f>
        <v>187514944.78999999</v>
      </c>
      <c r="C21" s="20"/>
      <c r="D21" s="20">
        <v>52844058.670000002</v>
      </c>
      <c r="E21" s="22">
        <v>36627977.849999994</v>
      </c>
      <c r="F21" s="22">
        <v>98042908.269999996</v>
      </c>
      <c r="G21" s="9"/>
    </row>
    <row r="22" spans="1:7" ht="15.5" x14ac:dyDescent="0.4">
      <c r="A22" s="19" t="s">
        <v>90</v>
      </c>
      <c r="B22" s="20">
        <f>SUM(D22:F22)</f>
        <v>306507940</v>
      </c>
      <c r="C22" s="20"/>
      <c r="D22" s="20">
        <v>81600000</v>
      </c>
      <c r="E22" s="20">
        <v>0</v>
      </c>
      <c r="F22" s="20">
        <v>224907940</v>
      </c>
      <c r="G22" s="9"/>
    </row>
    <row r="23" spans="1:7" ht="15.5" x14ac:dyDescent="0.4">
      <c r="A23" s="19" t="s">
        <v>91</v>
      </c>
      <c r="B23" s="20">
        <f>SUM(D23:F23)</f>
        <v>116097582.74999999</v>
      </c>
      <c r="C23" s="20"/>
      <c r="D23" s="20">
        <v>99908084.709999993</v>
      </c>
      <c r="E23" s="22">
        <v>11208305.879999999</v>
      </c>
      <c r="F23" s="22">
        <v>4981192.16</v>
      </c>
      <c r="G23" s="9"/>
    </row>
    <row r="24" spans="1:7" ht="15.5" x14ac:dyDescent="0.4">
      <c r="A24" s="19" t="s">
        <v>81</v>
      </c>
      <c r="B24" s="20">
        <f>SUM(D24:F24)</f>
        <v>1189948329</v>
      </c>
      <c r="C24" s="20"/>
      <c r="D24" s="20">
        <v>268000000</v>
      </c>
      <c r="E24" s="20">
        <v>20000000</v>
      </c>
      <c r="F24" s="20">
        <v>901948329</v>
      </c>
      <c r="G24" s="9"/>
    </row>
    <row r="25" spans="1:7" ht="15.5" x14ac:dyDescent="0.4">
      <c r="A25" s="19" t="s">
        <v>92</v>
      </c>
      <c r="B25" s="20">
        <f>D25+E25+F25</f>
        <v>116097582.74999999</v>
      </c>
      <c r="C25" s="20"/>
      <c r="D25" s="20">
        <f>+D23</f>
        <v>99908084.709999993</v>
      </c>
      <c r="E25" s="20">
        <f t="shared" ref="E25:F25" si="0">+E23</f>
        <v>11208305.879999999</v>
      </c>
      <c r="F25" s="20">
        <f t="shared" si="0"/>
        <v>4981192.16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90</v>
      </c>
      <c r="B28" s="20">
        <f>B22</f>
        <v>306507940</v>
      </c>
      <c r="C28" s="20"/>
      <c r="D28" s="23"/>
      <c r="E28" s="20"/>
      <c r="F28" s="20"/>
      <c r="G28" s="9"/>
    </row>
    <row r="29" spans="1:7" ht="15.5" x14ac:dyDescent="0.4">
      <c r="A29" s="19" t="s">
        <v>91</v>
      </c>
      <c r="B29" s="20">
        <v>224681190</v>
      </c>
      <c r="C29" s="20"/>
      <c r="D29" s="20"/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4"/>
      <c r="C31" s="24"/>
      <c r="D31" s="24"/>
      <c r="E31" s="24"/>
      <c r="F31" s="24"/>
      <c r="G31" s="9"/>
    </row>
    <row r="32" spans="1:7" ht="15.5" x14ac:dyDescent="0.4">
      <c r="A32" s="19" t="s">
        <v>53</v>
      </c>
      <c r="B32" s="24">
        <v>1.0586</v>
      </c>
      <c r="C32" s="24">
        <v>1.0586</v>
      </c>
      <c r="D32" s="24">
        <v>1.0586</v>
      </c>
      <c r="E32" s="24">
        <v>1.0586</v>
      </c>
      <c r="F32" s="24">
        <v>1.0586</v>
      </c>
      <c r="G32" s="9"/>
    </row>
    <row r="33" spans="1:7" ht="15.5" x14ac:dyDescent="0.4">
      <c r="A33" s="19" t="s">
        <v>93</v>
      </c>
      <c r="B33" s="24">
        <v>1.0788</v>
      </c>
      <c r="C33" s="24">
        <v>1.0788</v>
      </c>
      <c r="D33" s="24">
        <v>1.0788</v>
      </c>
      <c r="E33" s="24">
        <v>1.0788</v>
      </c>
      <c r="F33" s="24">
        <v>1.0788</v>
      </c>
      <c r="G33" s="9"/>
    </row>
    <row r="34" spans="1:7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7" ht="15.5" x14ac:dyDescent="0.4">
      <c r="A35" s="16"/>
      <c r="B35" s="24"/>
      <c r="C35" s="24"/>
      <c r="D35" s="24"/>
      <c r="E35" s="24"/>
      <c r="F35" s="24"/>
      <c r="G35" s="9"/>
    </row>
    <row r="36" spans="1:7" ht="15.5" x14ac:dyDescent="0.4">
      <c r="A36" s="17" t="s">
        <v>10</v>
      </c>
      <c r="B36" s="24"/>
      <c r="C36" s="24"/>
      <c r="D36" s="24"/>
      <c r="E36" s="24"/>
      <c r="F36" s="24"/>
      <c r="G36" s="9"/>
    </row>
    <row r="37" spans="1:7" ht="15.5" x14ac:dyDescent="0.4">
      <c r="A37" s="19" t="s">
        <v>54</v>
      </c>
      <c r="B37" s="20">
        <f>B21/B32</f>
        <v>177134842.99074247</v>
      </c>
      <c r="C37" s="20"/>
      <c r="D37" s="22">
        <f>D21/D32</f>
        <v>49918816.04949934</v>
      </c>
      <c r="E37" s="22">
        <f t="shared" ref="E37:F37" si="1">E21/E32</f>
        <v>34600394.719440766</v>
      </c>
      <c r="F37" s="22">
        <f t="shared" si="1"/>
        <v>92615632.221802384</v>
      </c>
      <c r="G37" s="9"/>
    </row>
    <row r="38" spans="1:7" ht="15.5" x14ac:dyDescent="0.4">
      <c r="A38" s="19" t="s">
        <v>94</v>
      </c>
      <c r="B38" s="20">
        <f>B23/B33</f>
        <v>107617336.62402669</v>
      </c>
      <c r="C38" s="20"/>
      <c r="D38" s="22">
        <f>D23/D33</f>
        <v>92610386.271783456</v>
      </c>
      <c r="E38" s="22">
        <f>E23/E33</f>
        <v>10389605.005561734</v>
      </c>
      <c r="F38" s="22">
        <f t="shared" ref="F38" si="2">F23/F33</f>
        <v>4617345.346681498</v>
      </c>
      <c r="G38" s="9"/>
    </row>
    <row r="39" spans="1:7" ht="15.5" x14ac:dyDescent="0.4">
      <c r="A39" s="19" t="s">
        <v>55</v>
      </c>
      <c r="B39" s="20">
        <f>B37/B15</f>
        <v>385914.69061163935</v>
      </c>
      <c r="C39" s="20"/>
      <c r="D39" s="22">
        <f>D37/$C$15</f>
        <v>108755.59052178505</v>
      </c>
      <c r="E39" s="22">
        <f t="shared" ref="E39:F39" si="3">E37/$C$15</f>
        <v>75382.12357176638</v>
      </c>
      <c r="F39" s="22">
        <f t="shared" si="3"/>
        <v>201776.97651808799</v>
      </c>
      <c r="G39" s="9"/>
    </row>
    <row r="40" spans="1:7" ht="15.5" x14ac:dyDescent="0.4">
      <c r="A40" s="19" t="s">
        <v>95</v>
      </c>
      <c r="B40" s="20">
        <f>B38/B17</f>
        <v>228163.96457390816</v>
      </c>
      <c r="C40" s="20"/>
      <c r="D40" s="22">
        <f>D38/$C$17</f>
        <v>196347.1087034278</v>
      </c>
      <c r="E40" s="22">
        <f t="shared" ref="E40:F40" si="4">E38/$C$17</f>
        <v>22027.431107198019</v>
      </c>
      <c r="F40" s="22">
        <f t="shared" si="4"/>
        <v>9789.4247632823281</v>
      </c>
    </row>
    <row r="41" spans="1:7" ht="15.5" x14ac:dyDescent="0.4">
      <c r="A41" s="16"/>
      <c r="B41" s="24"/>
      <c r="C41" s="24"/>
      <c r="D41" s="24"/>
      <c r="E41" s="24"/>
      <c r="F41" s="24"/>
      <c r="G41" s="9"/>
    </row>
    <row r="42" spans="1:7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7" ht="15.5" x14ac:dyDescent="0.4">
      <c r="A43" s="16"/>
      <c r="B43" s="24"/>
      <c r="C43" s="24"/>
      <c r="D43" s="24"/>
      <c r="E43" s="24"/>
      <c r="F43" s="24"/>
      <c r="G43" s="9"/>
    </row>
    <row r="44" spans="1:7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7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7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7" ht="15.5" x14ac:dyDescent="0.4">
      <c r="A47" s="16"/>
      <c r="B47" s="24"/>
      <c r="C47" s="24"/>
      <c r="D47" s="24"/>
      <c r="E47" s="24"/>
      <c r="F47" s="24"/>
      <c r="G47" s="9"/>
    </row>
    <row r="48" spans="1:7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98.2638888888889</v>
      </c>
      <c r="C49" s="24">
        <f>C17/C16*100</f>
        <v>98.2638888888889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37.877512324803064</v>
      </c>
      <c r="C50" s="24"/>
      <c r="D50" s="24">
        <f t="shared" ref="D50:F50" si="5">D23/D22*100</f>
        <v>122.43637832107844</v>
      </c>
      <c r="E50" s="24" t="s">
        <v>43</v>
      </c>
      <c r="F50" s="24">
        <f t="shared" si="5"/>
        <v>2.2147693674131737</v>
      </c>
      <c r="G50" s="9"/>
    </row>
    <row r="51" spans="1:7" ht="15.5" x14ac:dyDescent="0.4">
      <c r="A51" s="16" t="s">
        <v>18</v>
      </c>
      <c r="B51" s="24">
        <f>AVERAGE(B49:B50)</f>
        <v>68.070700606845975</v>
      </c>
      <c r="C51" s="24">
        <f t="shared" ref="C51:F51" si="6">AVERAGE(C49:C50)</f>
        <v>98.2638888888889</v>
      </c>
      <c r="D51" s="24">
        <f t="shared" si="6"/>
        <v>122.43637832107844</v>
      </c>
      <c r="E51" s="24" t="s">
        <v>43</v>
      </c>
      <c r="F51" s="24">
        <f t="shared" si="6"/>
        <v>2.2147693674131737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98.2638888888889</v>
      </c>
      <c r="C54" s="24">
        <f t="shared" ref="C54" si="7">(C17/C18)*100</f>
        <v>98.2638888888889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9.7565230288247236</v>
      </c>
      <c r="C55" s="24"/>
      <c r="D55" s="24">
        <f t="shared" ref="D55:F55" si="8">D23/D24*100</f>
        <v>37.279136085820888</v>
      </c>
      <c r="E55" s="24">
        <f t="shared" si="8"/>
        <v>56.041529399999988</v>
      </c>
      <c r="F55" s="24">
        <f t="shared" si="8"/>
        <v>0.55227023542720044</v>
      </c>
      <c r="G55" s="9"/>
    </row>
    <row r="56" spans="1:7" ht="15.5" x14ac:dyDescent="0.4">
      <c r="A56" s="16" t="s">
        <v>22</v>
      </c>
      <c r="B56" s="24">
        <f>AVERAGE(B54:B55)</f>
        <v>54.010205958856815</v>
      </c>
      <c r="C56" s="24">
        <f t="shared" ref="C56:F56" si="9">AVERAGE(C54:C55)</f>
        <v>98.2638888888889</v>
      </c>
      <c r="D56" s="24">
        <f t="shared" si="9"/>
        <v>37.279136085820888</v>
      </c>
      <c r="E56" s="24">
        <f t="shared" si="9"/>
        <v>56.041529399999988</v>
      </c>
      <c r="F56" s="24">
        <f t="shared" si="9"/>
        <v>0.55227023542720044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 t="shared" ref="D59:F59" si="10">D25/D23*100</f>
        <v>100</v>
      </c>
      <c r="E59" s="24">
        <f t="shared" si="10"/>
        <v>100</v>
      </c>
      <c r="F59" s="24">
        <f t="shared" si="10"/>
        <v>100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2.7596223674655196</v>
      </c>
      <c r="C62" s="24">
        <f t="shared" ref="C62" si="11">((C17/C15)-1)*100</f>
        <v>2.7596223674655196</v>
      </c>
      <c r="D62" s="24" t="s">
        <v>43</v>
      </c>
      <c r="E62" s="24" t="s">
        <v>43</v>
      </c>
      <c r="F62" s="24" t="s">
        <v>43</v>
      </c>
      <c r="G62" s="9"/>
    </row>
    <row r="63" spans="1:7" ht="15.5" x14ac:dyDescent="0.4">
      <c r="A63" s="16" t="s">
        <v>26</v>
      </c>
      <c r="B63" s="24">
        <f>((B38/B37)-1)*100</f>
        <v>-39.245529108211052</v>
      </c>
      <c r="C63" s="24" t="s">
        <v>43</v>
      </c>
      <c r="D63" s="24">
        <f t="shared" ref="D63:F63" si="12">((D38/D37)-1)*100</f>
        <v>85.522000722034932</v>
      </c>
      <c r="E63" s="24">
        <f t="shared" si="12"/>
        <v>-69.972582423390179</v>
      </c>
      <c r="F63" s="24">
        <f t="shared" si="12"/>
        <v>-95.014507555675308</v>
      </c>
      <c r="G63" s="9"/>
    </row>
    <row r="64" spans="1:7" ht="15.5" x14ac:dyDescent="0.4">
      <c r="A64" s="16" t="s">
        <v>27</v>
      </c>
      <c r="B64" s="24">
        <f>((B40/B39)-1)*100</f>
        <v>-40.877097937813865</v>
      </c>
      <c r="C64" s="24" t="s">
        <v>43</v>
      </c>
      <c r="D64" s="24">
        <f t="shared" ref="D64:F64" si="13">((D40/D39)-1)*100</f>
        <v>80.539784448227621</v>
      </c>
      <c r="E64" s="24">
        <f t="shared" si="13"/>
        <v>-70.77897243604825</v>
      </c>
      <c r="F64" s="24">
        <f t="shared" si="13"/>
        <v>-95.14839357184799</v>
      </c>
      <c r="G64" s="9"/>
    </row>
    <row r="65" spans="1:7" ht="15.5" x14ac:dyDescent="0.4">
      <c r="A65" s="16"/>
      <c r="B65" s="24"/>
      <c r="C65" s="24"/>
      <c r="D65" s="24"/>
      <c r="E65" s="24"/>
      <c r="F65" s="24"/>
      <c r="G65" s="9"/>
    </row>
    <row r="66" spans="1:7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7" ht="15.5" x14ac:dyDescent="0.4">
      <c r="A67" s="16" t="s">
        <v>34</v>
      </c>
      <c r="B67" s="27">
        <f>B22/($B$16*3)</f>
        <v>212852.73611111112</v>
      </c>
      <c r="C67" s="27">
        <f>B22/(C16*3)</f>
        <v>212852.73611111112</v>
      </c>
      <c r="D67" s="27">
        <f>D22/($C$16*3)</f>
        <v>56666.666666666664</v>
      </c>
      <c r="E67" s="27">
        <f t="shared" ref="E67:F67" si="14">E22/($C$16*3)</f>
        <v>0</v>
      </c>
      <c r="F67" s="27">
        <f t="shared" si="14"/>
        <v>156186.06944444444</v>
      </c>
    </row>
    <row r="68" spans="1:7" ht="15.5" x14ac:dyDescent="0.4">
      <c r="A68" s="16" t="s">
        <v>35</v>
      </c>
      <c r="B68" s="27">
        <f>B23/($B$17*3)</f>
        <v>82047.761660777382</v>
      </c>
      <c r="C68" s="27">
        <f>B23/(C17*3)</f>
        <v>82047.761660777382</v>
      </c>
      <c r="D68" s="27">
        <f>D23/($C$17*3)</f>
        <v>70606.420289752641</v>
      </c>
      <c r="E68" s="27">
        <f t="shared" ref="E68:F68" si="15">E23/($C$17*3)</f>
        <v>7921.064226148409</v>
      </c>
      <c r="F68" s="27">
        <f t="shared" si="15"/>
        <v>3520.2771448763251</v>
      </c>
      <c r="G68" s="9"/>
    </row>
    <row r="69" spans="1:7" ht="15.5" x14ac:dyDescent="0.4">
      <c r="A69" s="16" t="s">
        <v>29</v>
      </c>
      <c r="B69" s="24">
        <f>(B68/B67)*B51</f>
        <v>26.239026669392615</v>
      </c>
      <c r="C69" s="24">
        <f>(C68/C67)*C51</f>
        <v>37.877512324803071</v>
      </c>
      <c r="D69" s="24"/>
      <c r="E69" s="24"/>
      <c r="F69" s="24"/>
      <c r="G69" s="9"/>
    </row>
    <row r="70" spans="1:7" ht="15.5" x14ac:dyDescent="0.4">
      <c r="A70" s="25" t="s">
        <v>36</v>
      </c>
      <c r="B70" s="27">
        <f>B22/($B$16)</f>
        <v>638558.20833333337</v>
      </c>
      <c r="C70" s="27">
        <f>B22/C16</f>
        <v>638558.20833333337</v>
      </c>
      <c r="D70" s="24">
        <f>D22/($C$16)</f>
        <v>170000</v>
      </c>
      <c r="E70" s="24">
        <f t="shared" ref="E70:F70" si="16">E22/($C$16)</f>
        <v>0</v>
      </c>
      <c r="F70" s="24">
        <f t="shared" si="16"/>
        <v>468558.20833333331</v>
      </c>
      <c r="G70" s="9"/>
    </row>
    <row r="71" spans="1:7" ht="15.5" x14ac:dyDescent="0.4">
      <c r="A71" s="25" t="s">
        <v>37</v>
      </c>
      <c r="B71" s="27">
        <f>B23/($B$17)</f>
        <v>246143.28498233212</v>
      </c>
      <c r="C71" s="27">
        <f>B23/C17</f>
        <v>246143.28498233212</v>
      </c>
      <c r="D71" s="24">
        <f>D23/($C$17)</f>
        <v>211819.26086925794</v>
      </c>
      <c r="E71" s="24">
        <f t="shared" ref="E71:F71" si="17">E23/($C$17)</f>
        <v>23763.192678445226</v>
      </c>
      <c r="F71" s="24">
        <f t="shared" si="17"/>
        <v>10560.831434628975</v>
      </c>
      <c r="G71" s="9"/>
    </row>
    <row r="72" spans="1:7" ht="15.5" x14ac:dyDescent="0.4">
      <c r="A72" s="16"/>
      <c r="B72" s="24"/>
      <c r="C72" s="24"/>
      <c r="D72" s="24"/>
      <c r="E72" s="24"/>
      <c r="F72" s="24"/>
      <c r="G72" s="9"/>
    </row>
    <row r="73" spans="1:7" ht="15.5" x14ac:dyDescent="0.4">
      <c r="A73" s="17" t="s">
        <v>30</v>
      </c>
      <c r="B73" s="24"/>
      <c r="C73" s="24"/>
      <c r="D73" s="24"/>
      <c r="E73" s="24"/>
      <c r="F73" s="24"/>
      <c r="G73" s="9"/>
    </row>
    <row r="74" spans="1:7" ht="15.5" x14ac:dyDescent="0.4">
      <c r="A74" s="16" t="s">
        <v>31</v>
      </c>
      <c r="B74" s="24">
        <f>(B29/B28)*100</f>
        <v>73.303546394263066</v>
      </c>
      <c r="C74" s="24"/>
      <c r="D74" s="24"/>
      <c r="E74" s="24"/>
      <c r="F74" s="24"/>
    </row>
    <row r="75" spans="1:7" ht="15.5" x14ac:dyDescent="0.4">
      <c r="A75" s="16" t="s">
        <v>32</v>
      </c>
      <c r="B75" s="24">
        <f>(B23/B29)*100</f>
        <v>51.672141646570402</v>
      </c>
      <c r="C75" s="24"/>
      <c r="D75" s="24"/>
      <c r="E75" s="24"/>
      <c r="F75" s="24"/>
      <c r="G75" s="9"/>
    </row>
    <row r="76" spans="1:7" ht="16" thickBot="1" x14ac:dyDescent="0.45">
      <c r="A76" s="26"/>
      <c r="B76" s="26"/>
      <c r="C76" s="26"/>
      <c r="D76" s="26"/>
      <c r="E76" s="26"/>
      <c r="F76" s="26"/>
    </row>
    <row r="77" spans="1:7" ht="16" thickTop="1" x14ac:dyDescent="0.35">
      <c r="A77" s="45" t="s">
        <v>86</v>
      </c>
      <c r="B77" s="45"/>
      <c r="C77" s="45"/>
      <c r="D77" s="45"/>
      <c r="E77" s="45"/>
      <c r="F77" s="45"/>
    </row>
    <row r="78" spans="1:7" x14ac:dyDescent="0.35">
      <c r="A78" s="4"/>
    </row>
    <row r="79" spans="1:7" ht="15.5" x14ac:dyDescent="0.4">
      <c r="A79" s="37" t="s">
        <v>87</v>
      </c>
      <c r="B79" s="38"/>
      <c r="C79" s="38"/>
      <c r="D79" s="38"/>
      <c r="E79" s="38"/>
      <c r="F79" s="38"/>
    </row>
    <row r="80" spans="1:7" ht="38.25" customHeight="1" x14ac:dyDescent="0.35">
      <c r="A80" s="39" t="s">
        <v>96</v>
      </c>
      <c r="B80" s="39"/>
      <c r="C80" s="39"/>
      <c r="D80" s="39"/>
      <c r="E80" s="39"/>
      <c r="F80" s="39"/>
      <c r="G80" s="31"/>
    </row>
    <row r="81" spans="1:12" ht="15" customHeight="1" x14ac:dyDescent="0.35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35">
      <c r="A82" s="4"/>
      <c r="B82" s="10"/>
      <c r="C82" s="10"/>
      <c r="D82" s="10"/>
      <c r="E82" s="10"/>
    </row>
    <row r="83" spans="1:12" x14ac:dyDescent="0.35">
      <c r="A83" s="6"/>
    </row>
    <row r="84" spans="1:12" x14ac:dyDescent="0.35">
      <c r="A84" s="12"/>
    </row>
    <row r="85" spans="1:12" x14ac:dyDescent="0.35">
      <c r="A85" s="12"/>
    </row>
    <row r="86" spans="1:12" x14ac:dyDescent="0.35">
      <c r="A86" s="13"/>
    </row>
    <row r="87" spans="1:12" x14ac:dyDescent="0.35">
      <c r="A87" s="2"/>
    </row>
  </sheetData>
  <mergeCells count="7">
    <mergeCell ref="A79:F79"/>
    <mergeCell ref="A80:F80"/>
    <mergeCell ref="A9:A10"/>
    <mergeCell ref="B9:B10"/>
    <mergeCell ref="D9:F9"/>
    <mergeCell ref="C9:C10"/>
    <mergeCell ref="A77:F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8" customWidth="1"/>
    <col min="2" max="6" width="19.54296875" style="8" customWidth="1"/>
    <col min="7" max="7" width="13.7265625" style="8" bestFit="1" customWidth="1"/>
    <col min="8" max="16384" width="11.453125" style="8"/>
  </cols>
  <sheetData>
    <row r="9" spans="1:7" s="1" customFormat="1" ht="17.25" customHeight="1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44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18"/>
      <c r="C14" s="18"/>
      <c r="D14" s="18"/>
      <c r="E14" s="18"/>
      <c r="F14" s="18"/>
      <c r="G14" s="9"/>
    </row>
    <row r="15" spans="1:7" ht="15.5" x14ac:dyDescent="0.4">
      <c r="A15" s="19" t="s">
        <v>56</v>
      </c>
      <c r="B15" s="20">
        <f>('I Trimestre'!B15+'II Trimestre'!B15)/2</f>
        <v>468</v>
      </c>
      <c r="C15" s="20">
        <f>('I Trimestre'!C15+'II Trimestre'!C15)/2</f>
        <v>468</v>
      </c>
      <c r="D15" s="20"/>
      <c r="E15" s="20"/>
      <c r="F15" s="20"/>
      <c r="G15" s="9"/>
    </row>
    <row r="16" spans="1:7" ht="15.5" x14ac:dyDescent="0.4">
      <c r="A16" s="19" t="s">
        <v>97</v>
      </c>
      <c r="B16" s="20">
        <f>'I Trimestre'!B16</f>
        <v>480</v>
      </c>
      <c r="C16" s="20">
        <f>('I Trimestre'!C16+'II Trimestre'!C16)/2</f>
        <v>480</v>
      </c>
      <c r="D16" s="20"/>
      <c r="E16" s="20"/>
      <c r="F16" s="20"/>
      <c r="G16" s="9"/>
    </row>
    <row r="17" spans="1:7" ht="15.5" x14ac:dyDescent="0.4">
      <c r="A17" s="19" t="s">
        <v>98</v>
      </c>
      <c r="B17" s="20">
        <f>('I Trimestre'!B17+'II Trimestre'!B17)/2</f>
        <v>484.83333333333337</v>
      </c>
      <c r="C17" s="20">
        <f>('I Trimestre'!C17+'II Trimestre'!C17)/2</f>
        <v>484.83333333333337</v>
      </c>
      <c r="D17" s="20"/>
      <c r="E17" s="20"/>
      <c r="F17" s="20"/>
    </row>
    <row r="18" spans="1:7" ht="15.5" x14ac:dyDescent="0.4">
      <c r="A18" s="19" t="s">
        <v>81</v>
      </c>
      <c r="B18" s="20">
        <f>'I Trimestre'!B18</f>
        <v>480</v>
      </c>
      <c r="C18" s="20">
        <f>'II Trimestre'!C18</f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56</v>
      </c>
      <c r="B21" s="20">
        <f>+'I Trimestre'!B21+'II Trimestre'!B21</f>
        <v>268373362.81</v>
      </c>
      <c r="C21" s="20"/>
      <c r="D21" s="20">
        <f>'I Trimestre'!D21+'II Trimestre'!D21</f>
        <v>91826700.800000012</v>
      </c>
      <c r="E21" s="20">
        <f>'I Trimestre'!E21+'II Trimestre'!E21</f>
        <v>61549247.459999993</v>
      </c>
      <c r="F21" s="20">
        <f>'I Trimestre'!F21+'II Trimestre'!F21</f>
        <v>114997414.55</v>
      </c>
      <c r="G21" s="9"/>
    </row>
    <row r="22" spans="1:7" ht="15.5" x14ac:dyDescent="0.4">
      <c r="A22" s="19" t="s">
        <v>97</v>
      </c>
      <c r="B22" s="20">
        <f>+'I Trimestre'!B22+'II Trimestre'!B22</f>
        <v>857948329</v>
      </c>
      <c r="C22" s="20"/>
      <c r="D22" s="20">
        <f>'I Trimestre'!D22+'II Trimestre'!D22</f>
        <v>136000000</v>
      </c>
      <c r="E22" s="20">
        <f>'I Trimestre'!E22+'II Trimestre'!E22</f>
        <v>20000000</v>
      </c>
      <c r="F22" s="20">
        <f>'I Trimestre'!F22+'II Trimestre'!F22</f>
        <v>701948329</v>
      </c>
      <c r="G22" s="9"/>
    </row>
    <row r="23" spans="1:7" ht="15.5" x14ac:dyDescent="0.4">
      <c r="A23" s="19" t="s">
        <v>98</v>
      </c>
      <c r="B23" s="20">
        <f>+'I Trimestre'!B23+'II Trimestre'!B23</f>
        <v>170840359.70999998</v>
      </c>
      <c r="C23" s="20"/>
      <c r="D23" s="20">
        <f>'I Trimestre'!D23+'II Trimestre'!D23</f>
        <v>154650861.66999999</v>
      </c>
      <c r="E23" s="20">
        <f>'I Trimestre'!E23+'II Trimestre'!E23</f>
        <v>11208305.879999999</v>
      </c>
      <c r="F23" s="20">
        <f>'I Trimestre'!F23+'II Trimestre'!F23</f>
        <v>4981192.16</v>
      </c>
      <c r="G23" s="9"/>
    </row>
    <row r="24" spans="1:7" ht="15.5" x14ac:dyDescent="0.4">
      <c r="A24" s="19" t="s">
        <v>81</v>
      </c>
      <c r="B24" s="20">
        <f>SUM(D24:F24)</f>
        <v>1189948329</v>
      </c>
      <c r="C24" s="20"/>
      <c r="D24" s="20">
        <f>+'II Trimestre'!D24</f>
        <v>268000000</v>
      </c>
      <c r="E24" s="20">
        <f>+'II Trimestre'!E24</f>
        <v>20000000</v>
      </c>
      <c r="F24" s="20">
        <f>+'II Trimestre'!F24</f>
        <v>901948329</v>
      </c>
      <c r="G24" s="9"/>
    </row>
    <row r="25" spans="1:7" ht="15.5" x14ac:dyDescent="0.4">
      <c r="A25" s="19" t="s">
        <v>99</v>
      </c>
      <c r="B25" s="20">
        <f>D25+E25+F25</f>
        <v>170840359.70999998</v>
      </c>
      <c r="C25" s="20"/>
      <c r="D25" s="20">
        <f>D23</f>
        <v>154650861.66999999</v>
      </c>
      <c r="E25" s="20">
        <f t="shared" ref="E25:F25" si="0">E23</f>
        <v>11208305.879999999</v>
      </c>
      <c r="F25" s="20">
        <f t="shared" si="0"/>
        <v>4981192.16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97</v>
      </c>
      <c r="B28" s="20">
        <f>B22</f>
        <v>857948329</v>
      </c>
      <c r="C28" s="20"/>
      <c r="D28" s="33" t="s">
        <v>89</v>
      </c>
      <c r="E28" s="20"/>
      <c r="F28" s="20"/>
      <c r="G28" s="9"/>
    </row>
    <row r="29" spans="1:7" ht="15.5" x14ac:dyDescent="0.4">
      <c r="A29" s="19" t="s">
        <v>98</v>
      </c>
      <c r="B29" s="20">
        <f>'I Trimestre'!B29+'II Trimestre'!B29</f>
        <v>427907940</v>
      </c>
      <c r="C29" s="20"/>
      <c r="D29" s="34">
        <f>+B29+377040388.68</f>
        <v>804948328.68000007</v>
      </c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4"/>
      <c r="C31" s="24"/>
      <c r="D31" s="24"/>
      <c r="E31" s="24"/>
      <c r="F31" s="24"/>
      <c r="G31" s="9"/>
    </row>
    <row r="32" spans="1:7" ht="15.5" x14ac:dyDescent="0.4">
      <c r="A32" s="19" t="s">
        <v>57</v>
      </c>
      <c r="B32" s="24">
        <v>1.0586</v>
      </c>
      <c r="C32" s="24">
        <v>1.0586</v>
      </c>
      <c r="D32" s="24">
        <v>1.0586</v>
      </c>
      <c r="E32" s="24">
        <v>1.0586</v>
      </c>
      <c r="F32" s="24">
        <v>1.0586</v>
      </c>
      <c r="G32" s="9"/>
    </row>
    <row r="33" spans="1:7" ht="15.5" x14ac:dyDescent="0.4">
      <c r="A33" s="19" t="s">
        <v>100</v>
      </c>
      <c r="B33" s="24">
        <v>1.0788</v>
      </c>
      <c r="C33" s="24">
        <v>1.0788</v>
      </c>
      <c r="D33" s="24">
        <v>1.0788</v>
      </c>
      <c r="E33" s="24">
        <v>1.0788</v>
      </c>
      <c r="F33" s="24">
        <v>1.0788</v>
      </c>
      <c r="G33" s="9"/>
    </row>
    <row r="34" spans="1:7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7" ht="15.5" x14ac:dyDescent="0.4">
      <c r="A35" s="16"/>
      <c r="B35" s="24"/>
      <c r="C35" s="24"/>
      <c r="D35" s="24"/>
      <c r="E35" s="24"/>
      <c r="F35" s="24"/>
      <c r="G35" s="9"/>
    </row>
    <row r="36" spans="1:7" ht="15.5" x14ac:dyDescent="0.4">
      <c r="A36" s="17" t="s">
        <v>10</v>
      </c>
      <c r="B36" s="24"/>
      <c r="C36" s="24"/>
      <c r="D36" s="24"/>
      <c r="E36" s="24"/>
      <c r="F36" s="24"/>
      <c r="G36" s="9"/>
    </row>
    <row r="37" spans="1:7" ht="15.5" x14ac:dyDescent="0.4">
      <c r="A37" s="19" t="s">
        <v>58</v>
      </c>
      <c r="B37" s="20">
        <f>B21/B32</f>
        <v>253517251.851502</v>
      </c>
      <c r="C37" s="20"/>
      <c r="D37" s="20">
        <f t="shared" ref="D37:F37" si="1">D21/D32</f>
        <v>86743529.945210665</v>
      </c>
      <c r="E37" s="20">
        <f t="shared" si="1"/>
        <v>58142119.270734929</v>
      </c>
      <c r="F37" s="20">
        <f t="shared" si="1"/>
        <v>108631602.6355564</v>
      </c>
      <c r="G37" s="9"/>
    </row>
    <row r="38" spans="1:7" ht="15.5" x14ac:dyDescent="0.4">
      <c r="A38" s="19" t="s">
        <v>101</v>
      </c>
      <c r="B38" s="20">
        <f>B23/B33</f>
        <v>158361475.44493881</v>
      </c>
      <c r="C38" s="20"/>
      <c r="D38" s="20">
        <f t="shared" ref="D38:F38" si="2">D23/D33</f>
        <v>143354525.09269556</v>
      </c>
      <c r="E38" s="20">
        <f t="shared" si="2"/>
        <v>10389605.005561734</v>
      </c>
      <c r="F38" s="20">
        <f t="shared" si="2"/>
        <v>4617345.346681498</v>
      </c>
      <c r="G38" s="9"/>
    </row>
    <row r="39" spans="1:7" ht="15.5" x14ac:dyDescent="0.4">
      <c r="A39" s="19" t="s">
        <v>59</v>
      </c>
      <c r="B39" s="20">
        <f>B37/B15</f>
        <v>541703.52959722653</v>
      </c>
      <c r="C39" s="20"/>
      <c r="D39" s="22">
        <f>D37/$C$15</f>
        <v>185349.42295985186</v>
      </c>
      <c r="E39" s="22">
        <f t="shared" ref="E39:F39" si="3">E37/$C$15</f>
        <v>124235.29758704045</v>
      </c>
      <c r="F39" s="22">
        <f t="shared" si="3"/>
        <v>232118.80905033418</v>
      </c>
      <c r="G39" s="9"/>
    </row>
    <row r="40" spans="1:7" ht="15.5" x14ac:dyDescent="0.4">
      <c r="A40" s="19" t="s">
        <v>102</v>
      </c>
      <c r="B40" s="20">
        <f>B38/B17</f>
        <v>326630.75031613366</v>
      </c>
      <c r="C40" s="20"/>
      <c r="D40" s="22">
        <f>D38/$C$17</f>
        <v>295677.94793955766</v>
      </c>
      <c r="E40" s="22">
        <f t="shared" ref="E40:F40" si="4">E38/$C$17</f>
        <v>21429.22998740818</v>
      </c>
      <c r="F40" s="22">
        <f t="shared" si="4"/>
        <v>9523.5723891677499</v>
      </c>
    </row>
    <row r="41" spans="1:7" ht="15.5" x14ac:dyDescent="0.4">
      <c r="A41" s="16"/>
      <c r="B41" s="24"/>
      <c r="C41" s="24"/>
      <c r="D41" s="24"/>
      <c r="E41" s="24"/>
      <c r="F41" s="24"/>
      <c r="G41" s="9"/>
    </row>
    <row r="42" spans="1:7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7" ht="15.5" x14ac:dyDescent="0.4">
      <c r="A43" s="16"/>
      <c r="B43" s="24"/>
      <c r="C43" s="24"/>
      <c r="D43" s="24"/>
      <c r="E43" s="24"/>
      <c r="F43" s="24"/>
      <c r="G43" s="9"/>
    </row>
    <row r="44" spans="1:7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7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7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7" ht="15.5" x14ac:dyDescent="0.4">
      <c r="A47" s="16"/>
      <c r="B47" s="24"/>
      <c r="C47" s="24"/>
      <c r="D47" s="24"/>
      <c r="E47" s="24"/>
      <c r="F47" s="24"/>
      <c r="G47" s="9"/>
    </row>
    <row r="48" spans="1:7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101.00694444444444</v>
      </c>
      <c r="C49" s="24">
        <f>C17/C16*100</f>
        <v>101.00694444444444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19.912663028218333</v>
      </c>
      <c r="C50" s="24"/>
      <c r="D50" s="24">
        <f>D23/D22*100</f>
        <v>113.71386887499999</v>
      </c>
      <c r="E50" s="24">
        <f t="shared" ref="E50" si="5">E23/E22*100</f>
        <v>56.041529399999988</v>
      </c>
      <c r="F50" s="24">
        <f>F23/F22*100</f>
        <v>0.70962376491389867</v>
      </c>
      <c r="G50" s="9"/>
    </row>
    <row r="51" spans="1:7" ht="15.5" x14ac:dyDescent="0.4">
      <c r="A51" s="16" t="s">
        <v>18</v>
      </c>
      <c r="B51" s="24">
        <f>AVERAGE(B49:B50)</f>
        <v>60.459803736331388</v>
      </c>
      <c r="C51" s="24">
        <f>AVERAGE(C49:C50)</f>
        <v>101.00694444444444</v>
      </c>
      <c r="D51" s="24">
        <f t="shared" ref="D51:F51" si="6">AVERAGE(D49:D50)</f>
        <v>113.71386887499999</v>
      </c>
      <c r="E51" s="24">
        <f t="shared" si="6"/>
        <v>56.041529399999988</v>
      </c>
      <c r="F51" s="24">
        <f t="shared" si="6"/>
        <v>0.70962376491389867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101.00694444444444</v>
      </c>
      <c r="C54" s="24">
        <f t="shared" ref="C54" si="7">(C17/C18)*100</f>
        <v>101.00694444444444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14.356956142252795</v>
      </c>
      <c r="C55" s="24"/>
      <c r="D55" s="24">
        <f t="shared" ref="D55:F55" si="8">D23/D24*100</f>
        <v>57.705545399253722</v>
      </c>
      <c r="E55" s="24">
        <f t="shared" si="8"/>
        <v>56.041529399999988</v>
      </c>
      <c r="F55" s="24">
        <f t="shared" si="8"/>
        <v>0.55227023542720044</v>
      </c>
      <c r="G55" s="9"/>
    </row>
    <row r="56" spans="1:7" ht="15.5" x14ac:dyDescent="0.4">
      <c r="A56" s="16" t="s">
        <v>22</v>
      </c>
      <c r="B56" s="24">
        <f>AVERAGE(B54:B55)</f>
        <v>57.681950293348621</v>
      </c>
      <c r="C56" s="24">
        <f t="shared" ref="C56:F56" si="9">AVERAGE(C54:C55)</f>
        <v>101.00694444444444</v>
      </c>
      <c r="D56" s="24">
        <f t="shared" si="9"/>
        <v>57.705545399253722</v>
      </c>
      <c r="E56" s="24">
        <f t="shared" si="9"/>
        <v>56.041529399999988</v>
      </c>
      <c r="F56" s="24">
        <f t="shared" si="9"/>
        <v>0.55227023542720044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 t="shared" ref="D59:F59" si="10">D25/D23*100</f>
        <v>100</v>
      </c>
      <c r="E59" s="24">
        <f t="shared" si="10"/>
        <v>100</v>
      </c>
      <c r="F59" s="24">
        <f t="shared" si="10"/>
        <v>100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3.5968660968661137</v>
      </c>
      <c r="C62" s="24">
        <f t="shared" ref="C62" si="11">((C17/C15)-1)*100</f>
        <v>3.5968660968661137</v>
      </c>
      <c r="D62" s="24" t="s">
        <v>46</v>
      </c>
      <c r="E62" s="24" t="s">
        <v>46</v>
      </c>
      <c r="F62" s="24" t="s">
        <v>46</v>
      </c>
      <c r="G62" s="9"/>
    </row>
    <row r="63" spans="1:7" ht="15.5" x14ac:dyDescent="0.4">
      <c r="A63" s="16" t="s">
        <v>26</v>
      </c>
      <c r="B63" s="24">
        <f>((B38/B37)-1)*100</f>
        <v>-37.534241047351202</v>
      </c>
      <c r="C63" s="24" t="s">
        <v>46</v>
      </c>
      <c r="D63" s="24">
        <f t="shared" ref="D63:F63" si="12">((D38/D37)-1)*100</f>
        <v>65.262498751482426</v>
      </c>
      <c r="E63" s="24">
        <f t="shared" si="12"/>
        <v>-82.130673708016687</v>
      </c>
      <c r="F63" s="24">
        <f t="shared" si="12"/>
        <v>-95.74953767167365</v>
      </c>
      <c r="G63" s="9"/>
    </row>
    <row r="64" spans="1:7" ht="15.5" x14ac:dyDescent="0.4">
      <c r="A64" s="16" t="s">
        <v>27</v>
      </c>
      <c r="B64" s="24">
        <f>((B40/B39)-1)*100</f>
        <v>-39.703041891014848</v>
      </c>
      <c r="C64" s="24" t="s">
        <v>46</v>
      </c>
      <c r="D64" s="24">
        <f t="shared" ref="D64:F64" si="13">((D40/D39)-1)*100</f>
        <v>59.524612063995377</v>
      </c>
      <c r="E64" s="24">
        <f t="shared" si="13"/>
        <v>-82.751093768343381</v>
      </c>
      <c r="F64" s="24">
        <f t="shared" si="13"/>
        <v>-95.897113022364948</v>
      </c>
      <c r="G64" s="9"/>
    </row>
    <row r="65" spans="1:7" ht="15.5" x14ac:dyDescent="0.4">
      <c r="A65" s="16"/>
      <c r="B65" s="24"/>
      <c r="C65" s="24"/>
      <c r="D65" s="24"/>
      <c r="E65" s="24"/>
      <c r="F65" s="24"/>
      <c r="G65" s="9"/>
    </row>
    <row r="66" spans="1:7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7" ht="15.5" x14ac:dyDescent="0.4">
      <c r="A67" s="16" t="s">
        <v>34</v>
      </c>
      <c r="B67" s="27">
        <f>B22/($B$16*6)</f>
        <v>297898.72534722224</v>
      </c>
      <c r="C67" s="27">
        <f>B22/(C16*6)</f>
        <v>297898.72534722224</v>
      </c>
      <c r="D67" s="27">
        <f>D22/($C$16*5)</f>
        <v>56666.666666666664</v>
      </c>
      <c r="E67" s="27">
        <f>E22/($C$16*6)</f>
        <v>6944.4444444444443</v>
      </c>
      <c r="F67" s="27">
        <f>F22/($C$16*6)</f>
        <v>243732.05868055555</v>
      </c>
      <c r="G67" s="9"/>
    </row>
    <row r="68" spans="1:7" ht="15.5" x14ac:dyDescent="0.4">
      <c r="A68" s="16" t="s">
        <v>35</v>
      </c>
      <c r="B68" s="27">
        <f>B23/($B$17*6)</f>
        <v>58728.208906840831</v>
      </c>
      <c r="C68" s="27">
        <f>B23/(C17*6)</f>
        <v>58728.208906840831</v>
      </c>
      <c r="D68" s="27">
        <f>D23/($C$17*5)</f>
        <v>63795.474047438969</v>
      </c>
      <c r="E68" s="27">
        <f>E23/($C$17*6)</f>
        <v>3852.9755517359913</v>
      </c>
      <c r="F68" s="27">
        <f>F23/($C$17*6)</f>
        <v>1712.3383155723616</v>
      </c>
    </row>
    <row r="69" spans="1:7" ht="15.5" x14ac:dyDescent="0.4">
      <c r="A69" s="16" t="s">
        <v>29</v>
      </c>
      <c r="B69" s="24">
        <f>(B68/B67)*B51</f>
        <v>11.919137888741471</v>
      </c>
      <c r="C69" s="24">
        <f>(C68/C67)*C51</f>
        <v>19.912663028218329</v>
      </c>
      <c r="D69" s="24"/>
      <c r="E69" s="24"/>
      <c r="F69" s="24"/>
      <c r="G69" s="9"/>
    </row>
    <row r="70" spans="1:7" ht="15.5" x14ac:dyDescent="0.4">
      <c r="A70" s="25" t="s">
        <v>38</v>
      </c>
      <c r="B70" s="27">
        <f>B22/($B$16)</f>
        <v>1787392.3520833333</v>
      </c>
      <c r="C70" s="27">
        <f>B22/C16</f>
        <v>1787392.3520833333</v>
      </c>
      <c r="D70" s="27">
        <f>D22/($C$16)</f>
        <v>283333.33333333331</v>
      </c>
      <c r="E70" s="27">
        <f t="shared" ref="E70:F70" si="14">E22/($C$16)</f>
        <v>41666.666666666664</v>
      </c>
      <c r="F70" s="27">
        <f t="shared" si="14"/>
        <v>1462392.3520833333</v>
      </c>
      <c r="G70" s="9"/>
    </row>
    <row r="71" spans="1:7" ht="15.5" x14ac:dyDescent="0.4">
      <c r="A71" s="25" t="s">
        <v>39</v>
      </c>
      <c r="B71" s="27">
        <f>B23/($B$17)</f>
        <v>352369.25344104494</v>
      </c>
      <c r="C71" s="27">
        <f>B23/C17</f>
        <v>352369.25344104494</v>
      </c>
      <c r="D71" s="27">
        <f>D23/($C$17)</f>
        <v>318977.37023719487</v>
      </c>
      <c r="E71" s="27">
        <f t="shared" ref="E71:F71" si="15">E23/($C$17)</f>
        <v>23117.853310415947</v>
      </c>
      <c r="F71" s="27">
        <f t="shared" si="15"/>
        <v>10274.02989343417</v>
      </c>
      <c r="G71" s="9"/>
    </row>
    <row r="72" spans="1:7" ht="15.5" x14ac:dyDescent="0.4">
      <c r="A72" s="16"/>
      <c r="B72" s="24"/>
      <c r="C72" s="24"/>
      <c r="D72" s="24"/>
      <c r="E72" s="24"/>
      <c r="F72" s="24"/>
      <c r="G72" s="9"/>
    </row>
    <row r="73" spans="1:7" ht="15.5" x14ac:dyDescent="0.4">
      <c r="A73" s="17" t="s">
        <v>30</v>
      </c>
      <c r="B73" s="24"/>
      <c r="C73" s="24"/>
      <c r="D73" s="24"/>
      <c r="E73" s="24"/>
      <c r="F73" s="24"/>
      <c r="G73" s="9"/>
    </row>
    <row r="74" spans="1:7" ht="15.5" x14ac:dyDescent="0.4">
      <c r="A74" s="16" t="s">
        <v>31</v>
      </c>
      <c r="B74" s="24">
        <f>(B29/B28)*100</f>
        <v>49.87572392602678</v>
      </c>
      <c r="C74" s="24"/>
      <c r="D74" s="35" t="s">
        <v>89</v>
      </c>
      <c r="E74" s="24"/>
      <c r="F74" s="24"/>
      <c r="G74" s="9"/>
    </row>
    <row r="75" spans="1:7" ht="15.5" x14ac:dyDescent="0.4">
      <c r="A75" s="16" t="s">
        <v>32</v>
      </c>
      <c r="B75" s="24">
        <f>(B23/B29)*100</f>
        <v>39.924559406399418</v>
      </c>
      <c r="C75" s="24"/>
      <c r="D75" s="36">
        <f>(D29/B28)*100</f>
        <v>93.822471758669295</v>
      </c>
      <c r="E75" s="24"/>
      <c r="F75" s="24"/>
      <c r="G75" s="9"/>
    </row>
    <row r="76" spans="1:7" ht="16" thickBot="1" x14ac:dyDescent="0.45">
      <c r="A76" s="26"/>
      <c r="B76" s="26"/>
      <c r="C76" s="26"/>
      <c r="D76" s="26"/>
      <c r="E76" s="26"/>
      <c r="F76" s="26"/>
    </row>
    <row r="77" spans="1:7" ht="16" thickTop="1" x14ac:dyDescent="0.35">
      <c r="A77" s="45" t="s">
        <v>86</v>
      </c>
      <c r="B77" s="45"/>
      <c r="C77" s="45"/>
      <c r="D77" s="45"/>
      <c r="E77" s="45"/>
      <c r="F77" s="45"/>
    </row>
    <row r="78" spans="1:7" ht="15.5" x14ac:dyDescent="0.4">
      <c r="A78" s="28"/>
      <c r="B78" s="16"/>
      <c r="C78" s="16"/>
      <c r="D78" s="16"/>
      <c r="E78" s="16"/>
      <c r="F78" s="16"/>
    </row>
    <row r="79" spans="1:7" ht="15.5" x14ac:dyDescent="0.4">
      <c r="A79" s="37" t="s">
        <v>87</v>
      </c>
      <c r="B79" s="38"/>
      <c r="C79" s="38"/>
      <c r="D79" s="38"/>
      <c r="E79" s="38"/>
      <c r="F79" s="38"/>
    </row>
    <row r="80" spans="1:7" ht="38.25" customHeight="1" x14ac:dyDescent="0.35">
      <c r="A80" s="39" t="s">
        <v>88</v>
      </c>
      <c r="B80" s="39"/>
      <c r="C80" s="39"/>
      <c r="D80" s="39"/>
      <c r="E80" s="39"/>
      <c r="F80" s="39"/>
      <c r="G80" s="31"/>
    </row>
    <row r="81" spans="1:1" x14ac:dyDescent="0.35">
      <c r="A81" s="4"/>
    </row>
    <row r="82" spans="1:1" x14ac:dyDescent="0.35">
      <c r="A82" s="4"/>
    </row>
    <row r="83" spans="1:1" x14ac:dyDescent="0.35">
      <c r="A83" s="6"/>
    </row>
    <row r="84" spans="1:1" x14ac:dyDescent="0.35">
      <c r="A84" s="12"/>
    </row>
    <row r="85" spans="1:1" x14ac:dyDescent="0.35">
      <c r="A85" s="12"/>
    </row>
    <row r="86" spans="1:1" x14ac:dyDescent="0.35">
      <c r="A86" s="13"/>
    </row>
    <row r="87" spans="1:1" x14ac:dyDescent="0.35">
      <c r="A87" s="2"/>
    </row>
  </sheetData>
  <mergeCells count="7">
    <mergeCell ref="A79:F79"/>
    <mergeCell ref="A80:F80"/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8" customWidth="1"/>
    <col min="2" max="6" width="19.7265625" style="8" customWidth="1"/>
    <col min="7" max="7" width="13.7265625" style="8" bestFit="1" customWidth="1"/>
    <col min="8" max="16384" width="11.453125" style="8"/>
  </cols>
  <sheetData>
    <row r="8" spans="1:7" ht="17.25" customHeight="1" x14ac:dyDescent="0.35"/>
    <row r="9" spans="1:7" s="1" customFormat="1" ht="17.25" customHeight="1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44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29"/>
      <c r="C14" s="29"/>
      <c r="D14" s="29"/>
      <c r="E14" s="29"/>
      <c r="F14" s="29"/>
      <c r="G14" s="9"/>
    </row>
    <row r="15" spans="1:7" ht="15.5" x14ac:dyDescent="0.4">
      <c r="A15" s="19" t="s">
        <v>60</v>
      </c>
      <c r="B15" s="20">
        <f>C15</f>
        <v>442.33333333333331</v>
      </c>
      <c r="C15" s="20">
        <v>442.33333333333331</v>
      </c>
      <c r="D15" s="20"/>
      <c r="E15" s="20"/>
      <c r="F15" s="20"/>
      <c r="G15" s="9"/>
    </row>
    <row r="16" spans="1:7" ht="15.5" x14ac:dyDescent="0.4">
      <c r="A16" s="19" t="s">
        <v>103</v>
      </c>
      <c r="B16" s="20">
        <v>480</v>
      </c>
      <c r="C16" s="20">
        <v>480</v>
      </c>
      <c r="D16" s="20"/>
      <c r="E16" s="20"/>
      <c r="F16" s="20"/>
      <c r="G16" s="9"/>
    </row>
    <row r="17" spans="1:7" ht="15.5" x14ac:dyDescent="0.4">
      <c r="A17" s="19" t="s">
        <v>104</v>
      </c>
      <c r="B17" s="20">
        <f>C17</f>
        <v>453</v>
      </c>
      <c r="C17" s="20">
        <v>453</v>
      </c>
      <c r="D17" s="20"/>
      <c r="E17" s="20"/>
      <c r="F17" s="20"/>
    </row>
    <row r="18" spans="1:7" ht="15.5" x14ac:dyDescent="0.4">
      <c r="A18" s="19" t="s">
        <v>81</v>
      </c>
      <c r="B18" s="20">
        <v>480</v>
      </c>
      <c r="C18" s="20"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60</v>
      </c>
      <c r="B21" s="20">
        <f>SUM(D21:F21)</f>
        <v>204817086.845</v>
      </c>
      <c r="C21" s="20"/>
      <c r="D21" s="20">
        <v>131037878.78999999</v>
      </c>
      <c r="E21" s="22">
        <v>15720034.465</v>
      </c>
      <c r="F21" s="22">
        <v>58059173.590000004</v>
      </c>
      <c r="G21" s="9"/>
    </row>
    <row r="22" spans="1:7" ht="15.5" x14ac:dyDescent="0.4">
      <c r="A22" s="19" t="s">
        <v>103</v>
      </c>
      <c r="B22" s="20">
        <f>SUM(D22:F22)</f>
        <v>279600000</v>
      </c>
      <c r="C22" s="20"/>
      <c r="D22" s="20">
        <v>79600000</v>
      </c>
      <c r="E22" s="20">
        <v>0</v>
      </c>
      <c r="F22" s="20">
        <v>200000000</v>
      </c>
      <c r="G22" s="9"/>
    </row>
    <row r="23" spans="1:7" ht="15.5" x14ac:dyDescent="0.4">
      <c r="A23" s="19" t="s">
        <v>104</v>
      </c>
      <c r="B23" s="20">
        <f>SUM(D23:F23)</f>
        <v>54012509.789999999</v>
      </c>
      <c r="C23" s="20"/>
      <c r="D23" s="20">
        <v>50250370.039999999</v>
      </c>
      <c r="E23" s="22">
        <v>519006.53</v>
      </c>
      <c r="F23" s="22">
        <v>3243133.22</v>
      </c>
      <c r="G23" s="9"/>
    </row>
    <row r="24" spans="1:7" ht="15.5" x14ac:dyDescent="0.4">
      <c r="A24" s="19" t="s">
        <v>81</v>
      </c>
      <c r="B24" s="20">
        <f>SUM(D24:F24)</f>
        <v>1189948329</v>
      </c>
      <c r="C24" s="20"/>
      <c r="D24" s="20">
        <v>268000000</v>
      </c>
      <c r="E24" s="20">
        <v>20000000</v>
      </c>
      <c r="F24" s="20">
        <v>901948329</v>
      </c>
      <c r="G24" s="9"/>
    </row>
    <row r="25" spans="1:7" ht="15.5" x14ac:dyDescent="0.4">
      <c r="A25" s="19" t="s">
        <v>105</v>
      </c>
      <c r="B25" s="20">
        <f>D25+E25+F25</f>
        <v>54012509.789999999</v>
      </c>
      <c r="C25" s="20"/>
      <c r="D25" s="20">
        <f>+D23</f>
        <v>50250370.039999999</v>
      </c>
      <c r="E25" s="20">
        <f t="shared" ref="E25:F25" si="0">+E23</f>
        <v>519006.53</v>
      </c>
      <c r="F25" s="20">
        <f t="shared" si="0"/>
        <v>3243133.22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103</v>
      </c>
      <c r="B28" s="20">
        <f>B22</f>
        <v>279600000</v>
      </c>
      <c r="C28" s="20"/>
      <c r="D28" s="23"/>
      <c r="E28" s="20"/>
      <c r="F28" s="20"/>
      <c r="G28" s="9"/>
    </row>
    <row r="29" spans="1:7" ht="15.5" x14ac:dyDescent="0.4">
      <c r="A29" s="19" t="s">
        <v>104</v>
      </c>
      <c r="B29" s="20">
        <v>171045090</v>
      </c>
      <c r="C29" s="20"/>
      <c r="D29" s="20"/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0"/>
      <c r="C31" s="20"/>
      <c r="D31" s="20"/>
      <c r="E31" s="20"/>
      <c r="F31" s="20"/>
      <c r="G31" s="9"/>
    </row>
    <row r="32" spans="1:7" ht="15.5" x14ac:dyDescent="0.4">
      <c r="A32" s="19" t="s">
        <v>61</v>
      </c>
      <c r="B32" s="24">
        <v>1.0641</v>
      </c>
      <c r="C32" s="24">
        <v>1.0641</v>
      </c>
      <c r="D32" s="24">
        <v>1.0641</v>
      </c>
      <c r="E32" s="24">
        <v>1.0641</v>
      </c>
      <c r="F32" s="24">
        <v>1.0641</v>
      </c>
      <c r="G32" s="9"/>
    </row>
    <row r="33" spans="1:7" ht="15.5" x14ac:dyDescent="0.4">
      <c r="A33" s="19" t="s">
        <v>106</v>
      </c>
      <c r="B33" s="24">
        <v>1.0863</v>
      </c>
      <c r="C33" s="24">
        <v>1.0863</v>
      </c>
      <c r="D33" s="24">
        <v>1.0863</v>
      </c>
      <c r="E33" s="24">
        <v>1.0863</v>
      </c>
      <c r="F33" s="24">
        <v>1.0863</v>
      </c>
      <c r="G33" s="9"/>
    </row>
    <row r="34" spans="1:7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7" ht="15.5" x14ac:dyDescent="0.4">
      <c r="A35" s="16"/>
      <c r="B35" s="24"/>
      <c r="C35" s="24"/>
      <c r="D35" s="24"/>
      <c r="E35" s="24"/>
      <c r="F35" s="24"/>
      <c r="G35" s="9"/>
    </row>
    <row r="36" spans="1:7" ht="15.5" x14ac:dyDescent="0.4">
      <c r="A36" s="17" t="s">
        <v>10</v>
      </c>
      <c r="B36" s="24"/>
      <c r="C36" s="24"/>
      <c r="D36" s="24"/>
      <c r="E36" s="24"/>
      <c r="F36" s="24"/>
      <c r="G36" s="9"/>
    </row>
    <row r="37" spans="1:7" ht="15.5" x14ac:dyDescent="0.4">
      <c r="A37" s="19" t="s">
        <v>62</v>
      </c>
      <c r="B37" s="20">
        <f>B21/B32</f>
        <v>192479171.92463115</v>
      </c>
      <c r="C37" s="20"/>
      <c r="D37" s="20">
        <f>D21/D32</f>
        <v>123144327.40343951</v>
      </c>
      <c r="E37" s="20">
        <f>E21/E32</f>
        <v>14773080.034771167</v>
      </c>
      <c r="F37" s="20">
        <f>F21/F32</f>
        <v>54561764.486420453</v>
      </c>
      <c r="G37" s="9"/>
    </row>
    <row r="38" spans="1:7" ht="15.5" x14ac:dyDescent="0.4">
      <c r="A38" s="19" t="s">
        <v>107</v>
      </c>
      <c r="B38" s="20">
        <f>B23/B33</f>
        <v>49721540.817453742</v>
      </c>
      <c r="C38" s="20"/>
      <c r="D38" s="20">
        <f t="shared" ref="D38:F38" si="1">D23/D33</f>
        <v>46258280.438184664</v>
      </c>
      <c r="E38" s="20">
        <f t="shared" si="1"/>
        <v>477774.58344840282</v>
      </c>
      <c r="F38" s="20">
        <f t="shared" si="1"/>
        <v>2985485.7958206758</v>
      </c>
      <c r="G38" s="9"/>
    </row>
    <row r="39" spans="1:7" ht="15.5" x14ac:dyDescent="0.4">
      <c r="A39" s="19" t="s">
        <v>63</v>
      </c>
      <c r="B39" s="20">
        <f>B37/B15</f>
        <v>435145.07594114053</v>
      </c>
      <c r="C39" s="20"/>
      <c r="D39" s="20">
        <f t="shared" ref="D39:F39" si="2">D37/$C$15</f>
        <v>278397.12299195066</v>
      </c>
      <c r="E39" s="20">
        <f t="shared" si="2"/>
        <v>33398.070915081764</v>
      </c>
      <c r="F39" s="20">
        <f t="shared" si="2"/>
        <v>123349.88203410804</v>
      </c>
      <c r="G39" s="9"/>
    </row>
    <row r="40" spans="1:7" ht="15.5" x14ac:dyDescent="0.4">
      <c r="A40" s="19" t="s">
        <v>108</v>
      </c>
      <c r="B40" s="20">
        <f>B38/B17</f>
        <v>109760.57575596853</v>
      </c>
      <c r="C40" s="20"/>
      <c r="D40" s="20">
        <f t="shared" ref="D40:F40" si="3">D38/$C$17</f>
        <v>102115.40935581604</v>
      </c>
      <c r="E40" s="20">
        <f t="shared" si="3"/>
        <v>1054.6900296874235</v>
      </c>
      <c r="F40" s="20">
        <f t="shared" si="3"/>
        <v>6590.4763704650677</v>
      </c>
    </row>
    <row r="41" spans="1:7" ht="15.5" x14ac:dyDescent="0.4">
      <c r="A41" s="16"/>
      <c r="B41" s="24"/>
      <c r="C41" s="24"/>
      <c r="D41" s="24"/>
      <c r="E41" s="24"/>
      <c r="F41" s="24"/>
      <c r="G41" s="9"/>
    </row>
    <row r="42" spans="1:7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7" ht="15.5" x14ac:dyDescent="0.4">
      <c r="A43" s="16"/>
      <c r="B43" s="24"/>
      <c r="C43" s="24"/>
      <c r="D43" s="24"/>
      <c r="E43" s="24"/>
      <c r="F43" s="24"/>
      <c r="G43" s="9"/>
    </row>
    <row r="44" spans="1:7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7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7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7" ht="15.5" x14ac:dyDescent="0.4">
      <c r="A47" s="16"/>
      <c r="B47" s="24"/>
      <c r="C47" s="24"/>
      <c r="D47" s="24"/>
      <c r="E47" s="24"/>
      <c r="F47" s="24"/>
      <c r="G47" s="9"/>
    </row>
    <row r="48" spans="1:7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94.375</v>
      </c>
      <c r="C49" s="24">
        <f t="shared" ref="C49" si="4">C17/C16*100</f>
        <v>94.375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19.317778894849784</v>
      </c>
      <c r="C50" s="24"/>
      <c r="D50" s="24">
        <f>D23/D22*100</f>
        <v>63.128605577889438</v>
      </c>
      <c r="E50" s="24" t="s">
        <v>43</v>
      </c>
      <c r="F50" s="24">
        <f>F23/F22*100</f>
        <v>1.6215666100000001</v>
      </c>
      <c r="G50" s="9"/>
    </row>
    <row r="51" spans="1:7" ht="15.5" x14ac:dyDescent="0.4">
      <c r="A51" s="16" t="s">
        <v>18</v>
      </c>
      <c r="B51" s="24">
        <f>AVERAGE(B49:B50)</f>
        <v>56.84638944742489</v>
      </c>
      <c r="C51" s="24">
        <f t="shared" ref="C51:F51" si="5">AVERAGE(C49:C50)</f>
        <v>94.375</v>
      </c>
      <c r="D51" s="24">
        <f t="shared" si="5"/>
        <v>63.128605577889438</v>
      </c>
      <c r="E51" s="24" t="s">
        <v>43</v>
      </c>
      <c r="F51" s="24">
        <f t="shared" si="5"/>
        <v>1.6215666100000001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94.375</v>
      </c>
      <c r="C54" s="24">
        <f t="shared" ref="C54" si="6">(C17/C18)*100</f>
        <v>94.375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4.5390634596201869</v>
      </c>
      <c r="C55" s="24"/>
      <c r="D55" s="24">
        <f t="shared" ref="D55:F55" si="7">D23/D24*100</f>
        <v>18.750138074626864</v>
      </c>
      <c r="E55" s="24">
        <f t="shared" si="7"/>
        <v>2.5950326500000003</v>
      </c>
      <c r="F55" s="24">
        <f t="shared" si="7"/>
        <v>0.35956973539667147</v>
      </c>
      <c r="G55" s="9"/>
    </row>
    <row r="56" spans="1:7" ht="15.5" x14ac:dyDescent="0.4">
      <c r="A56" s="16" t="s">
        <v>22</v>
      </c>
      <c r="B56" s="24">
        <f>AVERAGE(B54:B55)</f>
        <v>49.45703172981009</v>
      </c>
      <c r="C56" s="24">
        <f t="shared" ref="C56:F56" si="8">AVERAGE(C54:C55)</f>
        <v>94.375</v>
      </c>
      <c r="D56" s="24">
        <f t="shared" si="8"/>
        <v>18.750138074626864</v>
      </c>
      <c r="E56" s="24">
        <f t="shared" si="8"/>
        <v>2.5950326500000003</v>
      </c>
      <c r="F56" s="24">
        <f t="shared" si="8"/>
        <v>0.35956973539667147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 t="shared" ref="D59:F59" si="9">D25/D23*100</f>
        <v>100</v>
      </c>
      <c r="E59" s="24">
        <f t="shared" si="9"/>
        <v>100</v>
      </c>
      <c r="F59" s="24">
        <f t="shared" si="9"/>
        <v>100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2.4114544084401057</v>
      </c>
      <c r="C62" s="24">
        <f t="shared" ref="C62" si="10">((C17/C15)-1)*100</f>
        <v>2.4114544084401057</v>
      </c>
      <c r="D62" s="24" t="s">
        <v>43</v>
      </c>
      <c r="E62" s="24" t="s">
        <v>43</v>
      </c>
      <c r="F62" s="24" t="s">
        <v>43</v>
      </c>
      <c r="G62" s="9"/>
    </row>
    <row r="63" spans="1:7" ht="15.5" x14ac:dyDescent="0.4">
      <c r="A63" s="16" t="s">
        <v>26</v>
      </c>
      <c r="B63" s="24">
        <f>((B38/B37)-1)*100</f>
        <v>-74.167833163308103</v>
      </c>
      <c r="C63" s="24" t="s">
        <v>43</v>
      </c>
      <c r="D63" s="24">
        <f t="shared" ref="D63:F63" si="11">((D38/D37)-1)*100</f>
        <v>-62.435719603522202</v>
      </c>
      <c r="E63" s="24">
        <f t="shared" si="11"/>
        <v>-96.765910816675515</v>
      </c>
      <c r="F63" s="24">
        <f t="shared" si="11"/>
        <v>-94.528245514193884</v>
      </c>
      <c r="G63" s="9"/>
    </row>
    <row r="64" spans="1:7" ht="15.5" x14ac:dyDescent="0.4">
      <c r="A64" s="16" t="s">
        <v>27</v>
      </c>
      <c r="B64" s="24">
        <f>((B40/B39)-1)*100</f>
        <v>-74.776096105746774</v>
      </c>
      <c r="C64" s="24" t="s">
        <v>43</v>
      </c>
      <c r="D64" s="24">
        <f t="shared" ref="D64:F64" si="12">((D40/D39)-1)*100</f>
        <v>-63.320235403880766</v>
      </c>
      <c r="E64" s="24">
        <f t="shared" si="12"/>
        <v>-96.842063027026057</v>
      </c>
      <c r="F64" s="24">
        <f t="shared" si="12"/>
        <v>-94.657087415257763</v>
      </c>
      <c r="G64" s="9"/>
    </row>
    <row r="65" spans="1:7" ht="15.5" x14ac:dyDescent="0.4">
      <c r="A65" s="16"/>
      <c r="B65" s="24"/>
      <c r="C65" s="24"/>
      <c r="D65" s="24"/>
      <c r="E65" s="24"/>
      <c r="F65" s="24"/>
      <c r="G65" s="9"/>
    </row>
    <row r="66" spans="1:7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7" ht="15.5" x14ac:dyDescent="0.4">
      <c r="A67" s="16" t="s">
        <v>34</v>
      </c>
      <c r="B67" s="27">
        <f>B22/($B$16*3)</f>
        <v>194166.66666666666</v>
      </c>
      <c r="C67" s="27">
        <f>B22/(C16*3)</f>
        <v>194166.66666666666</v>
      </c>
      <c r="D67" s="27">
        <f>D22/($C$16*3)</f>
        <v>55277.777777777781</v>
      </c>
      <c r="E67" s="27">
        <f>E22/($C$16*3)</f>
        <v>0</v>
      </c>
      <c r="F67" s="27">
        <f>F22/($C$16*3)</f>
        <v>138888.88888888888</v>
      </c>
      <c r="G67" s="9"/>
    </row>
    <row r="68" spans="1:7" ht="15.5" x14ac:dyDescent="0.4">
      <c r="A68" s="16" t="s">
        <v>35</v>
      </c>
      <c r="B68" s="27">
        <f>B23/($B$17*3)</f>
        <v>39744.304481236206</v>
      </c>
      <c r="C68" s="27">
        <f>B23/(C17*3)</f>
        <v>39744.304481236206</v>
      </c>
      <c r="D68" s="27">
        <f>D23/($C$17*3)</f>
        <v>36975.989727740984</v>
      </c>
      <c r="E68" s="27">
        <f t="shared" ref="E68:F68" si="13">E23/($C$17*3)</f>
        <v>381.90325974981607</v>
      </c>
      <c r="F68" s="27">
        <f t="shared" si="13"/>
        <v>2386.411493745401</v>
      </c>
    </row>
    <row r="69" spans="1:7" ht="15.5" x14ac:dyDescent="0.4">
      <c r="A69" s="16" t="s">
        <v>29</v>
      </c>
      <c r="B69" s="24">
        <f>(B68/B67)*B51</f>
        <v>11.635983918578821</v>
      </c>
      <c r="C69" s="24">
        <f>(C68/C67)*C51</f>
        <v>19.317778894849788</v>
      </c>
      <c r="D69" s="24"/>
      <c r="E69" s="24"/>
      <c r="F69" s="24"/>
      <c r="G69" s="9"/>
    </row>
    <row r="70" spans="1:7" ht="15.5" x14ac:dyDescent="0.4">
      <c r="A70" s="25" t="s">
        <v>36</v>
      </c>
      <c r="B70" s="27">
        <f>B22/($B$16)</f>
        <v>582500</v>
      </c>
      <c r="C70" s="27">
        <f>B22/C16</f>
        <v>582500</v>
      </c>
      <c r="D70" s="27">
        <f>D22/($C$16)</f>
        <v>165833.33333333334</v>
      </c>
      <c r="E70" s="27">
        <f>E22/($C$16)</f>
        <v>0</v>
      </c>
      <c r="F70" s="27">
        <f>F22/($C$16)</f>
        <v>416666.66666666669</v>
      </c>
      <c r="G70" s="9"/>
    </row>
    <row r="71" spans="1:7" ht="15.5" x14ac:dyDescent="0.4">
      <c r="A71" s="25" t="s">
        <v>37</v>
      </c>
      <c r="B71" s="27">
        <f>B23/($B$17)</f>
        <v>119232.9134437086</v>
      </c>
      <c r="C71" s="27">
        <f>B23/C17</f>
        <v>119232.9134437086</v>
      </c>
      <c r="D71" s="27">
        <f>D23/($C$17)</f>
        <v>110927.96918322296</v>
      </c>
      <c r="E71" s="27">
        <f t="shared" ref="E71:F71" si="14">E23/($C$17)</f>
        <v>1145.7097792494483</v>
      </c>
      <c r="F71" s="27">
        <f t="shared" si="14"/>
        <v>7159.2344812362035</v>
      </c>
      <c r="G71" s="9"/>
    </row>
    <row r="72" spans="1:7" ht="15.5" x14ac:dyDescent="0.4">
      <c r="A72" s="16"/>
      <c r="B72" s="24"/>
      <c r="C72" s="24"/>
      <c r="D72" s="24"/>
      <c r="E72" s="24"/>
      <c r="F72" s="24"/>
      <c r="G72" s="9"/>
    </row>
    <row r="73" spans="1:7" ht="15.5" x14ac:dyDescent="0.4">
      <c r="A73" s="17" t="s">
        <v>30</v>
      </c>
      <c r="B73" s="24"/>
      <c r="C73" s="24"/>
      <c r="D73" s="24"/>
      <c r="E73" s="24"/>
      <c r="F73" s="24"/>
      <c r="G73" s="9"/>
    </row>
    <row r="74" spans="1:7" ht="15.5" x14ac:dyDescent="0.4">
      <c r="A74" s="16" t="s">
        <v>31</v>
      </c>
      <c r="B74" s="24">
        <f>(B29/B28)*100</f>
        <v>61.174924892703864</v>
      </c>
      <c r="C74" s="24"/>
      <c r="D74" s="24"/>
      <c r="E74" s="24"/>
      <c r="F74" s="24"/>
      <c r="G74" s="9"/>
    </row>
    <row r="75" spans="1:7" ht="15.5" x14ac:dyDescent="0.4">
      <c r="A75" s="16" t="s">
        <v>32</v>
      </c>
      <c r="B75" s="24">
        <f>(B23/B29)*100</f>
        <v>31.577936431849636</v>
      </c>
      <c r="C75" s="24"/>
      <c r="D75" s="24"/>
      <c r="E75" s="24"/>
      <c r="F75" s="24"/>
      <c r="G75" s="9"/>
    </row>
    <row r="76" spans="1:7" ht="16" thickBot="1" x14ac:dyDescent="0.45">
      <c r="A76" s="26"/>
      <c r="B76" s="26"/>
      <c r="C76" s="26"/>
      <c r="D76" s="26"/>
      <c r="E76" s="26"/>
      <c r="F76" s="26"/>
    </row>
    <row r="77" spans="1:7" ht="17.25" customHeight="1" thickTop="1" x14ac:dyDescent="0.35">
      <c r="A77" s="45" t="s">
        <v>86</v>
      </c>
      <c r="B77" s="45"/>
      <c r="C77" s="45"/>
      <c r="D77" s="45"/>
      <c r="E77" s="45"/>
      <c r="F77" s="45"/>
    </row>
    <row r="78" spans="1:7" x14ac:dyDescent="0.35">
      <c r="A78" s="4"/>
    </row>
    <row r="79" spans="1:7" x14ac:dyDescent="0.35">
      <c r="A79" s="4"/>
    </row>
    <row r="80" spans="1:7" x14ac:dyDescent="0.35">
      <c r="A80" s="4"/>
      <c r="B80" s="10"/>
      <c r="C80" s="10"/>
      <c r="D80" s="10"/>
      <c r="E80" s="10"/>
    </row>
    <row r="81" spans="1:5" x14ac:dyDescent="0.35">
      <c r="A81" s="11"/>
      <c r="B81" s="10"/>
      <c r="C81" s="10"/>
      <c r="D81" s="10"/>
      <c r="E81" s="10"/>
    </row>
    <row r="82" spans="1:5" x14ac:dyDescent="0.35">
      <c r="A82" s="4"/>
      <c r="B82" s="10"/>
      <c r="C82" s="10"/>
      <c r="D82" s="10"/>
      <c r="E82" s="10"/>
    </row>
    <row r="83" spans="1:5" x14ac:dyDescent="0.35">
      <c r="A83" s="6"/>
    </row>
    <row r="84" spans="1:5" x14ac:dyDescent="0.35">
      <c r="A84" s="12"/>
    </row>
    <row r="85" spans="1:5" x14ac:dyDescent="0.35">
      <c r="A85" s="12"/>
    </row>
    <row r="86" spans="1:5" x14ac:dyDescent="0.35">
      <c r="A86" s="13"/>
    </row>
    <row r="87" spans="1:5" x14ac:dyDescent="0.35">
      <c r="A87" s="2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8" customWidth="1"/>
    <col min="2" max="3" width="19.7265625" style="8" customWidth="1"/>
    <col min="4" max="4" width="19.54296875" style="8" customWidth="1"/>
    <col min="5" max="6" width="19.7265625" style="8" customWidth="1"/>
    <col min="7" max="7" width="13.7265625" style="8" bestFit="1" customWidth="1"/>
    <col min="8" max="16384" width="11.453125" style="8"/>
  </cols>
  <sheetData>
    <row r="9" spans="1:7" s="1" customFormat="1" ht="17.25" customHeight="1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44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18"/>
      <c r="C14" s="18"/>
      <c r="D14" s="18"/>
      <c r="E14" s="18"/>
      <c r="F14" s="18"/>
      <c r="G14" s="9"/>
    </row>
    <row r="15" spans="1:7" ht="15.5" x14ac:dyDescent="0.4">
      <c r="A15" s="19" t="s">
        <v>72</v>
      </c>
      <c r="B15" s="20">
        <f>('I Trimestre'!B15+'II Trimestre'!B15+'III Trimestre'!B15)/3</f>
        <v>459.4444444444444</v>
      </c>
      <c r="C15" s="20">
        <f>('I Trimestre'!C15+'II Trimestre'!C15+'III Trimestre'!C15)/3</f>
        <v>459.4444444444444</v>
      </c>
      <c r="D15" s="20"/>
      <c r="E15" s="20"/>
      <c r="F15" s="20"/>
      <c r="G15" s="9"/>
    </row>
    <row r="16" spans="1:7" ht="15.5" x14ac:dyDescent="0.4">
      <c r="A16" s="19" t="s">
        <v>109</v>
      </c>
      <c r="B16" s="20">
        <f>'I Trimestre'!B16</f>
        <v>480</v>
      </c>
      <c r="C16" s="20">
        <f>('I Trimestre'!C16+'II Trimestre'!C16+'III Trimestre'!C16)/3</f>
        <v>480</v>
      </c>
      <c r="D16" s="20"/>
      <c r="E16" s="20"/>
      <c r="F16" s="20"/>
      <c r="G16" s="9"/>
    </row>
    <row r="17" spans="1:7" ht="15.5" x14ac:dyDescent="0.4">
      <c r="A17" s="19" t="s">
        <v>110</v>
      </c>
      <c r="B17" s="20">
        <f>('I Trimestre'!B17+'II Trimestre'!B17+'III Trimestre'!B17)/3</f>
        <v>474.22222222222223</v>
      </c>
      <c r="C17" s="20">
        <f>('I Trimestre'!C17+'II Trimestre'!C17+'III Trimestre'!C17)/3</f>
        <v>474.22222222222223</v>
      </c>
      <c r="D17" s="20"/>
      <c r="E17" s="20"/>
      <c r="F17" s="20"/>
    </row>
    <row r="18" spans="1:7" ht="15.5" x14ac:dyDescent="0.4">
      <c r="A18" s="19" t="s">
        <v>81</v>
      </c>
      <c r="B18" s="20">
        <f>'I Trimestre'!B18</f>
        <v>480</v>
      </c>
      <c r="C18" s="20">
        <f>+'III Trimestre'!C18</f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72</v>
      </c>
      <c r="B21" s="20">
        <f>+'I Trimestre'!B21+'II Trimestre'!B21+'III Trimestre'!B21</f>
        <v>473190449.65499997</v>
      </c>
      <c r="C21" s="20"/>
      <c r="D21" s="20">
        <f>'I Trimestre'!D21+'II Trimestre'!D21+'III Trimestre'!D21</f>
        <v>222864579.59</v>
      </c>
      <c r="E21" s="20">
        <f>'I Trimestre'!E21+'II Trimestre'!E21+'III Trimestre'!E21</f>
        <v>77269281.924999997</v>
      </c>
      <c r="F21" s="20">
        <f>'I Trimestre'!F21+'II Trimestre'!F21+'III Trimestre'!F21</f>
        <v>173056588.13999999</v>
      </c>
      <c r="G21" s="9"/>
    </row>
    <row r="22" spans="1:7" ht="15.5" x14ac:dyDescent="0.4">
      <c r="A22" s="19" t="s">
        <v>109</v>
      </c>
      <c r="B22" s="20">
        <f>+'I Trimestre'!B22+'II Trimestre'!B22+'III Trimestre'!B22</f>
        <v>1137548329</v>
      </c>
      <c r="C22" s="20"/>
      <c r="D22" s="20">
        <f>'I Trimestre'!D22+'II Trimestre'!D22+'III Trimestre'!D22</f>
        <v>215600000</v>
      </c>
      <c r="E22" s="20">
        <f>'I Trimestre'!E22+'II Trimestre'!E22+'III Trimestre'!E22</f>
        <v>20000000</v>
      </c>
      <c r="F22" s="20">
        <f>'I Trimestre'!F22+'II Trimestre'!F22+'III Trimestre'!F22</f>
        <v>901948329</v>
      </c>
      <c r="G22" s="9"/>
    </row>
    <row r="23" spans="1:7" ht="15.5" x14ac:dyDescent="0.4">
      <c r="A23" s="19" t="s">
        <v>110</v>
      </c>
      <c r="B23" s="20">
        <f>+'I Trimestre'!B23+'II Trimestre'!B23+'III Trimestre'!B23</f>
        <v>224852869.49999997</v>
      </c>
      <c r="C23" s="20"/>
      <c r="D23" s="20">
        <f>'I Trimestre'!D23+'II Trimestre'!D23+'III Trimestre'!D23</f>
        <v>204901231.70999998</v>
      </c>
      <c r="E23" s="20">
        <f>'I Trimestre'!E23+'II Trimestre'!E23+'III Trimestre'!E23</f>
        <v>11727312.409999998</v>
      </c>
      <c r="F23" s="20">
        <f>'I Trimestre'!F23+'II Trimestre'!F23+'III Trimestre'!F23</f>
        <v>8224325.3800000008</v>
      </c>
      <c r="G23" s="9"/>
    </row>
    <row r="24" spans="1:7" ht="15.5" x14ac:dyDescent="0.4">
      <c r="A24" s="19" t="s">
        <v>81</v>
      </c>
      <c r="B24" s="20">
        <f>+SUM(D24:F24)</f>
        <v>1189948329</v>
      </c>
      <c r="C24" s="20"/>
      <c r="D24" s="20">
        <f>+'III Trimestre'!D24</f>
        <v>268000000</v>
      </c>
      <c r="E24" s="20">
        <f>+'III Trimestre'!E24</f>
        <v>20000000</v>
      </c>
      <c r="F24" s="20">
        <f>+'III Trimestre'!F24</f>
        <v>901948329</v>
      </c>
      <c r="G24" s="9"/>
    </row>
    <row r="25" spans="1:7" ht="15.5" x14ac:dyDescent="0.4">
      <c r="A25" s="19" t="s">
        <v>111</v>
      </c>
      <c r="B25" s="20">
        <f>D25+E25+F25</f>
        <v>224852869.49999997</v>
      </c>
      <c r="C25" s="20"/>
      <c r="D25" s="20">
        <f>D23</f>
        <v>204901231.70999998</v>
      </c>
      <c r="E25" s="20">
        <f t="shared" ref="E25:F25" si="0">E23</f>
        <v>11727312.409999998</v>
      </c>
      <c r="F25" s="20">
        <f t="shared" si="0"/>
        <v>8224325.3800000008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109</v>
      </c>
      <c r="B28" s="20">
        <f>B22</f>
        <v>1137548329</v>
      </c>
      <c r="C28" s="20"/>
      <c r="D28" s="33" t="s">
        <v>89</v>
      </c>
      <c r="E28" s="20"/>
      <c r="F28" s="20"/>
      <c r="G28" s="9"/>
    </row>
    <row r="29" spans="1:7" ht="15.5" x14ac:dyDescent="0.4">
      <c r="A29" s="19" t="s">
        <v>110</v>
      </c>
      <c r="B29" s="20">
        <f>'I Trimestre'!B29+'II Trimestre'!B29+'III Trimestre'!B29</f>
        <v>598953030</v>
      </c>
      <c r="C29" s="20"/>
      <c r="D29" s="34">
        <f>+B29+377040388.68</f>
        <v>975993418.68000007</v>
      </c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4"/>
      <c r="C31" s="24"/>
      <c r="D31" s="24"/>
      <c r="E31" s="24"/>
      <c r="F31" s="24"/>
      <c r="G31" s="9"/>
    </row>
    <row r="32" spans="1:7" ht="15.5" x14ac:dyDescent="0.4">
      <c r="A32" s="19" t="s">
        <v>73</v>
      </c>
      <c r="B32" s="24">
        <v>1.0641</v>
      </c>
      <c r="C32" s="24">
        <v>1.0641</v>
      </c>
      <c r="D32" s="24">
        <v>1.0641</v>
      </c>
      <c r="E32" s="24">
        <v>1.0641</v>
      </c>
      <c r="F32" s="24">
        <v>1.0641</v>
      </c>
      <c r="G32" s="9"/>
    </row>
    <row r="33" spans="1:7" ht="15.5" x14ac:dyDescent="0.4">
      <c r="A33" s="19" t="s">
        <v>112</v>
      </c>
      <c r="B33" s="24">
        <v>1.0863</v>
      </c>
      <c r="C33" s="24">
        <v>1.0863</v>
      </c>
      <c r="D33" s="24">
        <v>1.0863</v>
      </c>
      <c r="E33" s="24">
        <v>1.0863</v>
      </c>
      <c r="F33" s="24">
        <v>1.0863</v>
      </c>
      <c r="G33" s="9"/>
    </row>
    <row r="34" spans="1:7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7" ht="15.5" x14ac:dyDescent="0.4">
      <c r="A35" s="16"/>
      <c r="B35" s="24"/>
      <c r="C35" s="24"/>
      <c r="D35" s="24"/>
      <c r="E35" s="24"/>
      <c r="F35" s="24"/>
      <c r="G35" s="9"/>
    </row>
    <row r="36" spans="1:7" ht="15.5" x14ac:dyDescent="0.4">
      <c r="A36" s="17" t="s">
        <v>10</v>
      </c>
      <c r="B36" s="20"/>
      <c r="C36" s="20"/>
      <c r="D36" s="20"/>
      <c r="E36" s="20"/>
      <c r="F36" s="20"/>
      <c r="G36" s="9"/>
    </row>
    <row r="37" spans="1:7" ht="15.5" x14ac:dyDescent="0.4">
      <c r="A37" s="19" t="s">
        <v>74</v>
      </c>
      <c r="B37" s="20">
        <f>B21/B32</f>
        <v>444686072.41330695</v>
      </c>
      <c r="C37" s="20"/>
      <c r="D37" s="20">
        <f t="shared" ref="D37:F37" si="1">D21/D32</f>
        <v>209439507.17977634</v>
      </c>
      <c r="E37" s="20">
        <f t="shared" si="1"/>
        <v>72614680.88055633</v>
      </c>
      <c r="F37" s="20">
        <f t="shared" si="1"/>
        <v>162631884.35297433</v>
      </c>
      <c r="G37" s="9"/>
    </row>
    <row r="38" spans="1:7" ht="15.5" x14ac:dyDescent="0.4">
      <c r="A38" s="19" t="s">
        <v>113</v>
      </c>
      <c r="B38" s="20">
        <f>B23/B33</f>
        <v>206989661.69566414</v>
      </c>
      <c r="C38" s="20"/>
      <c r="D38" s="20">
        <f t="shared" ref="D38:F38" si="2">D23/D33</f>
        <v>188623061.50234738</v>
      </c>
      <c r="E38" s="20">
        <f t="shared" si="2"/>
        <v>10795647.988585103</v>
      </c>
      <c r="F38" s="20">
        <f t="shared" si="2"/>
        <v>7570952.2047316581</v>
      </c>
      <c r="G38" s="9"/>
    </row>
    <row r="39" spans="1:7" ht="15.5" x14ac:dyDescent="0.4">
      <c r="A39" s="19" t="s">
        <v>75</v>
      </c>
      <c r="B39" s="20">
        <f>B37/B15</f>
        <v>967877.78759849165</v>
      </c>
      <c r="C39" s="20"/>
      <c r="D39" s="22">
        <f>D37/$C$15</f>
        <v>455853.82457508758</v>
      </c>
      <c r="E39" s="22">
        <f t="shared" ref="E39:F39" si="3">E37/$C$15</f>
        <v>158048.88220677315</v>
      </c>
      <c r="F39" s="22">
        <f t="shared" si="3"/>
        <v>353975.08081663097</v>
      </c>
      <c r="G39" s="9"/>
    </row>
    <row r="40" spans="1:7" ht="15.5" x14ac:dyDescent="0.4">
      <c r="A40" s="19" t="s">
        <v>114</v>
      </c>
      <c r="B40" s="20">
        <f>B38/B17</f>
        <v>436482.41688401526</v>
      </c>
      <c r="C40" s="20"/>
      <c r="D40" s="22">
        <f>D38/$C$17</f>
        <v>397752.47270879248</v>
      </c>
      <c r="E40" s="22">
        <f t="shared" ref="E40:F40" si="4">E38/$C$17</f>
        <v>22764.955927194453</v>
      </c>
      <c r="F40" s="22">
        <f t="shared" si="4"/>
        <v>15964.988248028332</v>
      </c>
    </row>
    <row r="41" spans="1:7" ht="15.5" x14ac:dyDescent="0.4">
      <c r="A41" s="16"/>
      <c r="B41" s="24"/>
      <c r="C41" s="24"/>
      <c r="D41" s="24"/>
      <c r="E41" s="24"/>
      <c r="F41" s="24"/>
      <c r="G41" s="9"/>
    </row>
    <row r="42" spans="1:7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7" ht="15.5" x14ac:dyDescent="0.4">
      <c r="A43" s="16"/>
      <c r="B43" s="24"/>
      <c r="C43" s="24"/>
      <c r="D43" s="24"/>
      <c r="E43" s="24"/>
      <c r="F43" s="24"/>
      <c r="G43" s="9"/>
    </row>
    <row r="44" spans="1:7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7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7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7" ht="15.5" x14ac:dyDescent="0.4">
      <c r="A47" s="16"/>
      <c r="B47" s="24"/>
      <c r="C47" s="24"/>
      <c r="D47" s="24"/>
      <c r="E47" s="24"/>
      <c r="F47" s="24"/>
      <c r="G47" s="9"/>
    </row>
    <row r="48" spans="1:7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98.796296296296291</v>
      </c>
      <c r="C49" s="24">
        <f t="shared" ref="C49" si="5">C17/C16*100</f>
        <v>98.796296296296291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19.766445413151317</v>
      </c>
      <c r="C50" s="24"/>
      <c r="D50" s="24">
        <f t="shared" ref="D50:F50" si="6">D23/D22*100</f>
        <v>95.037677045454544</v>
      </c>
      <c r="E50" s="24">
        <f t="shared" si="6"/>
        <v>58.636562049999995</v>
      </c>
      <c r="F50" s="24">
        <f t="shared" si="6"/>
        <v>0.91183997082387203</v>
      </c>
      <c r="G50" s="9"/>
    </row>
    <row r="51" spans="1:7" ht="15.5" x14ac:dyDescent="0.4">
      <c r="A51" s="16" t="s">
        <v>18</v>
      </c>
      <c r="B51" s="24">
        <f>AVERAGE(B49:B50)</f>
        <v>59.281370854723804</v>
      </c>
      <c r="C51" s="24">
        <f t="shared" ref="C51:F51" si="7">AVERAGE(C49:C50)</f>
        <v>98.796296296296291</v>
      </c>
      <c r="D51" s="24">
        <f t="shared" si="7"/>
        <v>95.037677045454544</v>
      </c>
      <c r="E51" s="24">
        <f t="shared" si="7"/>
        <v>58.636562049999995</v>
      </c>
      <c r="F51" s="24">
        <f t="shared" si="7"/>
        <v>0.91183997082387203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98.796296296296291</v>
      </c>
      <c r="C54" s="24">
        <f t="shared" ref="C54" si="8">(C17/C18)*100</f>
        <v>98.796296296296291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18.896019601872979</v>
      </c>
      <c r="C55" s="24"/>
      <c r="D55" s="24">
        <f t="shared" ref="D55:F55" si="9">D23/D24*100</f>
        <v>76.455683473880583</v>
      </c>
      <c r="E55" s="24">
        <f t="shared" si="9"/>
        <v>58.636562049999995</v>
      </c>
      <c r="F55" s="24">
        <f t="shared" si="9"/>
        <v>0.91183997082387203</v>
      </c>
      <c r="G55" s="9"/>
    </row>
    <row r="56" spans="1:7" ht="15.5" x14ac:dyDescent="0.4">
      <c r="A56" s="16" t="s">
        <v>22</v>
      </c>
      <c r="B56" s="24">
        <f>AVERAGE(B54:B55)</f>
        <v>58.846157949084635</v>
      </c>
      <c r="C56" s="24">
        <f t="shared" ref="C56:F56" si="10">AVERAGE(C54:C55)</f>
        <v>98.796296296296291</v>
      </c>
      <c r="D56" s="24">
        <f t="shared" si="10"/>
        <v>76.455683473880583</v>
      </c>
      <c r="E56" s="24">
        <f t="shared" si="10"/>
        <v>58.636562049999995</v>
      </c>
      <c r="F56" s="24">
        <f t="shared" si="10"/>
        <v>0.91183997082387203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 t="shared" ref="D59:F59" si="11">D25/D23*100</f>
        <v>100</v>
      </c>
      <c r="E59" s="24">
        <f t="shared" si="11"/>
        <v>100</v>
      </c>
      <c r="F59" s="24">
        <f t="shared" si="11"/>
        <v>100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3.2164449818621543</v>
      </c>
      <c r="C62" s="24">
        <f t="shared" ref="C62" si="12">((C17/C15)-1)*100</f>
        <v>3.2164449818621543</v>
      </c>
      <c r="D62" s="24" t="s">
        <v>43</v>
      </c>
      <c r="E62" s="24" t="s">
        <v>43</v>
      </c>
      <c r="F62" s="24" t="s">
        <v>43</v>
      </c>
      <c r="G62" s="9"/>
    </row>
    <row r="63" spans="1:7" ht="15.5" x14ac:dyDescent="0.4">
      <c r="A63" s="16" t="s">
        <v>26</v>
      </c>
      <c r="B63" s="24">
        <f>((B38/B37)-1)*100</f>
        <v>-53.452632196836468</v>
      </c>
      <c r="C63" s="24" t="s">
        <v>43</v>
      </c>
      <c r="D63" s="24">
        <f t="shared" ref="D63:F63" si="13">((D38/D37)-1)*100</f>
        <v>-9.9391208266933049</v>
      </c>
      <c r="E63" s="24">
        <f t="shared" si="13"/>
        <v>-85.132967799799559</v>
      </c>
      <c r="F63" s="24">
        <f t="shared" si="13"/>
        <v>-95.344730687434108</v>
      </c>
      <c r="G63" s="9"/>
    </row>
    <row r="64" spans="1:7" ht="15.5" x14ac:dyDescent="0.4">
      <c r="A64" s="16" t="s">
        <v>27</v>
      </c>
      <c r="B64" s="24">
        <f>((B40/B39)-1)*100</f>
        <v>-54.903147641499253</v>
      </c>
      <c r="C64" s="24" t="s">
        <v>43</v>
      </c>
      <c r="D64" s="24">
        <f t="shared" ref="D64:F64" si="14">((D40/D39)-1)*100</f>
        <v>-12.745610266723716</v>
      </c>
      <c r="E64" s="24">
        <f t="shared" si="14"/>
        <v>-85.596256291511523</v>
      </c>
      <c r="F64" s="24">
        <f t="shared" si="14"/>
        <v>-95.489798826743225</v>
      </c>
      <c r="G64" s="9"/>
    </row>
    <row r="65" spans="1:7" ht="15.5" x14ac:dyDescent="0.4">
      <c r="A65" s="16"/>
      <c r="B65" s="24"/>
      <c r="C65" s="24"/>
      <c r="D65" s="24"/>
      <c r="E65" s="24"/>
      <c r="F65" s="24"/>
      <c r="G65" s="9"/>
    </row>
    <row r="66" spans="1:7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7" ht="15.5" x14ac:dyDescent="0.4">
      <c r="A67" s="16" t="s">
        <v>34</v>
      </c>
      <c r="B67" s="27">
        <f>B22/($B$16*9)</f>
        <v>263321.37245370372</v>
      </c>
      <c r="C67" s="27">
        <f>B22/(C16*9)</f>
        <v>263321.37245370372</v>
      </c>
      <c r="D67" s="27">
        <f>D22/($C$16*8)</f>
        <v>56145.833333333336</v>
      </c>
      <c r="E67" s="27">
        <f>E22/($C$16*9)</f>
        <v>4629.6296296296296</v>
      </c>
      <c r="F67" s="27">
        <f>F22/($C$16*9)</f>
        <v>208784.33541666667</v>
      </c>
      <c r="G67" s="9"/>
    </row>
    <row r="68" spans="1:7" ht="15.5" x14ac:dyDescent="0.4">
      <c r="A68" s="16" t="s">
        <v>35</v>
      </c>
      <c r="B68" s="27">
        <f>B23/($B$17*9)</f>
        <v>52683.427717900646</v>
      </c>
      <c r="C68" s="27">
        <f>B23/(C17*9)</f>
        <v>52683.427717900646</v>
      </c>
      <c r="D68" s="27">
        <f>D23/($C$17*8)</f>
        <v>54009.813887945165</v>
      </c>
      <c r="E68" s="27">
        <f>E23/($C$17*9)</f>
        <v>2747.7301804123708</v>
      </c>
      <c r="F68" s="27">
        <f>F23/($C$17*9)</f>
        <v>1926.9740815370199</v>
      </c>
    </row>
    <row r="69" spans="1:7" ht="15.5" x14ac:dyDescent="0.4">
      <c r="A69" s="16" t="s">
        <v>29</v>
      </c>
      <c r="B69" s="24">
        <f>(B68/B67)*B51</f>
        <v>11.860586124629911</v>
      </c>
      <c r="C69" s="24">
        <f>(C68/C67)*C51</f>
        <v>19.766445413151313</v>
      </c>
      <c r="D69" s="24"/>
      <c r="E69" s="24"/>
      <c r="F69" s="24"/>
      <c r="G69" s="9"/>
    </row>
    <row r="70" spans="1:7" ht="15.5" x14ac:dyDescent="0.4">
      <c r="A70" s="25" t="s">
        <v>40</v>
      </c>
      <c r="B70" s="27">
        <f>B22/($B$16)</f>
        <v>2369892.3520833333</v>
      </c>
      <c r="C70" s="27">
        <f>B22/C16</f>
        <v>2369892.3520833333</v>
      </c>
      <c r="D70" s="27">
        <f>D22/($C$16)</f>
        <v>449166.66666666669</v>
      </c>
      <c r="E70" s="27">
        <f t="shared" ref="E70:F70" si="15">E22/($C$16)</f>
        <v>41666.666666666664</v>
      </c>
      <c r="F70" s="27">
        <f t="shared" si="15"/>
        <v>1879059.01875</v>
      </c>
      <c r="G70" s="9"/>
    </row>
    <row r="71" spans="1:7" ht="15.5" x14ac:dyDescent="0.4">
      <c r="A71" s="25" t="s">
        <v>41</v>
      </c>
      <c r="B71" s="27">
        <f>B23/($B$17)</f>
        <v>474150.84946110583</v>
      </c>
      <c r="C71" s="27">
        <f>B23/C17</f>
        <v>474150.84946110583</v>
      </c>
      <c r="D71" s="27">
        <f>D23/($C$17)</f>
        <v>432078.51110356132</v>
      </c>
      <c r="E71" s="27">
        <f t="shared" ref="E71:F71" si="16">E23/($C$17)</f>
        <v>24729.571623711337</v>
      </c>
      <c r="F71" s="27">
        <f t="shared" si="16"/>
        <v>17342.766733833178</v>
      </c>
      <c r="G71" s="9"/>
    </row>
    <row r="72" spans="1:7" ht="15.5" x14ac:dyDescent="0.4">
      <c r="A72" s="16"/>
      <c r="B72" s="24"/>
      <c r="C72" s="24"/>
      <c r="D72" s="24"/>
      <c r="E72" s="24"/>
      <c r="F72" s="24"/>
      <c r="G72" s="9"/>
    </row>
    <row r="73" spans="1:7" ht="15.5" x14ac:dyDescent="0.4">
      <c r="A73" s="17" t="s">
        <v>30</v>
      </c>
      <c r="B73" s="24"/>
      <c r="C73" s="24"/>
      <c r="D73" s="24"/>
      <c r="E73" s="24"/>
      <c r="F73" s="24"/>
      <c r="G73" s="9"/>
    </row>
    <row r="74" spans="1:7" ht="15.5" x14ac:dyDescent="0.4">
      <c r="A74" s="16" t="s">
        <v>31</v>
      </c>
      <c r="B74" s="24">
        <f>(B29/B28)*100</f>
        <v>52.652974359913983</v>
      </c>
      <c r="C74" s="24"/>
      <c r="D74" s="35" t="s">
        <v>89</v>
      </c>
      <c r="E74" s="24"/>
      <c r="F74" s="24"/>
      <c r="G74" s="9"/>
    </row>
    <row r="75" spans="1:7" ht="15.5" x14ac:dyDescent="0.4">
      <c r="A75" s="16" t="s">
        <v>32</v>
      </c>
      <c r="B75" s="24">
        <f>(B23/B29)*100</f>
        <v>37.54098539246057</v>
      </c>
      <c r="C75" s="24"/>
      <c r="D75" s="36">
        <f>(D29/B28)*100</f>
        <v>85.797973923268813</v>
      </c>
      <c r="E75" s="24"/>
      <c r="F75" s="24"/>
      <c r="G75" s="9"/>
    </row>
    <row r="76" spans="1:7" ht="16" thickBot="1" x14ac:dyDescent="0.45">
      <c r="A76" s="26"/>
      <c r="B76" s="26"/>
      <c r="C76" s="26"/>
      <c r="D76" s="26"/>
      <c r="E76" s="26"/>
      <c r="F76" s="26"/>
    </row>
    <row r="77" spans="1:7" ht="16" thickTop="1" x14ac:dyDescent="0.35">
      <c r="A77" s="45" t="s">
        <v>86</v>
      </c>
      <c r="B77" s="45"/>
      <c r="C77" s="45"/>
      <c r="D77" s="45"/>
      <c r="E77" s="45"/>
      <c r="F77" s="45"/>
    </row>
    <row r="78" spans="1:7" x14ac:dyDescent="0.35">
      <c r="A78" s="4"/>
    </row>
    <row r="79" spans="1:7" ht="15.5" x14ac:dyDescent="0.4">
      <c r="A79" s="37" t="s">
        <v>87</v>
      </c>
      <c r="B79" s="38"/>
      <c r="C79" s="38"/>
      <c r="D79" s="38"/>
      <c r="E79" s="38"/>
      <c r="F79" s="38"/>
    </row>
    <row r="80" spans="1:7" ht="38.25" customHeight="1" x14ac:dyDescent="0.35">
      <c r="A80" s="39" t="s">
        <v>88</v>
      </c>
      <c r="B80" s="39"/>
      <c r="C80" s="39"/>
      <c r="D80" s="39"/>
      <c r="E80" s="39"/>
      <c r="F80" s="39"/>
      <c r="G80" s="31"/>
    </row>
    <row r="81" spans="1:1" x14ac:dyDescent="0.35">
      <c r="A81" s="4"/>
    </row>
    <row r="82" spans="1:1" x14ac:dyDescent="0.35">
      <c r="A82" s="6"/>
    </row>
    <row r="83" spans="1:1" x14ac:dyDescent="0.35">
      <c r="A83" s="12"/>
    </row>
    <row r="84" spans="1:1" x14ac:dyDescent="0.35">
      <c r="A84" s="12"/>
    </row>
    <row r="85" spans="1:1" x14ac:dyDescent="0.35">
      <c r="A85" s="12"/>
    </row>
    <row r="86" spans="1:1" x14ac:dyDescent="0.35">
      <c r="A86" s="13"/>
    </row>
    <row r="87" spans="1:1" x14ac:dyDescent="0.35">
      <c r="A87" s="2"/>
    </row>
  </sheetData>
  <mergeCells count="7">
    <mergeCell ref="A79:F79"/>
    <mergeCell ref="A80:F80"/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G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8" customWidth="1"/>
    <col min="2" max="2" width="19.54296875" style="8" customWidth="1"/>
    <col min="3" max="6" width="19.7265625" style="8" customWidth="1"/>
    <col min="7" max="7" width="13.7265625" style="8" bestFit="1" customWidth="1"/>
    <col min="8" max="16384" width="11.453125" style="8"/>
  </cols>
  <sheetData>
    <row r="9" spans="1:7" s="1" customFormat="1" ht="15.5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47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18"/>
      <c r="C14" s="18"/>
      <c r="D14" s="18"/>
      <c r="E14" s="18"/>
      <c r="F14" s="18"/>
      <c r="G14" s="9"/>
    </row>
    <row r="15" spans="1:7" ht="15.5" x14ac:dyDescent="0.4">
      <c r="A15" s="19" t="s">
        <v>64</v>
      </c>
      <c r="B15" s="20">
        <f>C15</f>
        <v>435</v>
      </c>
      <c r="C15" s="20">
        <v>435</v>
      </c>
      <c r="D15" s="20"/>
      <c r="E15" s="20"/>
      <c r="F15" s="20"/>
      <c r="G15" s="9"/>
    </row>
    <row r="16" spans="1:7" ht="15.5" x14ac:dyDescent="0.4">
      <c r="A16" s="19" t="s">
        <v>115</v>
      </c>
      <c r="B16" s="20">
        <v>480</v>
      </c>
      <c r="C16" s="20">
        <v>480</v>
      </c>
      <c r="D16" s="20"/>
      <c r="E16" s="20"/>
      <c r="F16" s="20"/>
      <c r="G16" s="9"/>
    </row>
    <row r="17" spans="1:7" ht="15.5" x14ac:dyDescent="0.4">
      <c r="A17" s="19" t="s">
        <v>116</v>
      </c>
      <c r="B17" s="20">
        <f>C17</f>
        <v>430</v>
      </c>
      <c r="C17" s="20">
        <v>430</v>
      </c>
      <c r="D17" s="20"/>
      <c r="E17" s="20"/>
      <c r="F17" s="20"/>
    </row>
    <row r="18" spans="1:7" ht="15.5" x14ac:dyDescent="0.4">
      <c r="A18" s="19" t="s">
        <v>81</v>
      </c>
      <c r="B18" s="20">
        <v>480</v>
      </c>
      <c r="C18" s="20"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64</v>
      </c>
      <c r="B21" s="20">
        <f>SUM(D21:F21)</f>
        <v>84165389.309999987</v>
      </c>
      <c r="C21" s="20"/>
      <c r="D21" s="20">
        <v>62337546.539999992</v>
      </c>
      <c r="E21" s="22">
        <v>0</v>
      </c>
      <c r="F21" s="22">
        <v>21827842.77</v>
      </c>
      <c r="G21" s="9"/>
    </row>
    <row r="22" spans="1:7" ht="15.5" x14ac:dyDescent="0.4">
      <c r="A22" s="19" t="s">
        <v>115</v>
      </c>
      <c r="B22" s="20">
        <f t="shared" ref="B22:B24" si="0">SUM(D22:F22)</f>
        <v>52400000</v>
      </c>
      <c r="C22" s="20"/>
      <c r="D22" s="20">
        <v>52400000</v>
      </c>
      <c r="E22" s="20">
        <v>0</v>
      </c>
      <c r="F22" s="20">
        <v>0</v>
      </c>
      <c r="G22" s="9"/>
    </row>
    <row r="23" spans="1:7" ht="15.5" x14ac:dyDescent="0.4">
      <c r="A23" s="19" t="s">
        <v>116</v>
      </c>
      <c r="B23" s="20">
        <f t="shared" si="0"/>
        <v>80764172.570000008</v>
      </c>
      <c r="C23" s="20"/>
      <c r="D23" s="20">
        <v>62769924.340000004</v>
      </c>
      <c r="E23" s="22">
        <v>1441195</v>
      </c>
      <c r="F23" s="22">
        <v>16553053.23</v>
      </c>
      <c r="G23" s="9"/>
    </row>
    <row r="24" spans="1:7" ht="15.5" x14ac:dyDescent="0.4">
      <c r="A24" s="19" t="s">
        <v>81</v>
      </c>
      <c r="B24" s="20">
        <f t="shared" si="0"/>
        <v>1189948329</v>
      </c>
      <c r="C24" s="20"/>
      <c r="D24" s="20">
        <v>268000000</v>
      </c>
      <c r="E24" s="20">
        <v>20000000</v>
      </c>
      <c r="F24" s="20">
        <v>901948329</v>
      </c>
      <c r="G24" s="9"/>
    </row>
    <row r="25" spans="1:7" ht="15.5" x14ac:dyDescent="0.4">
      <c r="A25" s="19" t="s">
        <v>117</v>
      </c>
      <c r="B25" s="20">
        <f>D25+E25+F25</f>
        <v>80764172.570000008</v>
      </c>
      <c r="C25" s="20"/>
      <c r="D25" s="20">
        <f>D23</f>
        <v>62769924.340000004</v>
      </c>
      <c r="E25" s="20">
        <f t="shared" ref="E25:F25" si="1">E23</f>
        <v>1441195</v>
      </c>
      <c r="F25" s="20">
        <f t="shared" si="1"/>
        <v>16553053.23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115</v>
      </c>
      <c r="B28" s="20">
        <f>B22</f>
        <v>52400000</v>
      </c>
      <c r="C28" s="20"/>
      <c r="D28" s="20"/>
      <c r="E28" s="20"/>
      <c r="F28" s="20"/>
      <c r="G28" s="9"/>
    </row>
    <row r="29" spans="1:7" ht="15.5" x14ac:dyDescent="0.4">
      <c r="A29" s="19" t="s">
        <v>116</v>
      </c>
      <c r="B29" s="20">
        <v>213953970</v>
      </c>
      <c r="C29" s="20"/>
      <c r="D29" s="20"/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4"/>
      <c r="C31" s="24"/>
      <c r="D31" s="24"/>
      <c r="E31" s="24"/>
      <c r="F31" s="24"/>
      <c r="G31" s="9"/>
    </row>
    <row r="32" spans="1:7" ht="15.5" x14ac:dyDescent="0.4">
      <c r="A32" s="19" t="s">
        <v>65</v>
      </c>
      <c r="B32" s="24">
        <v>1.0706</v>
      </c>
      <c r="C32" s="24">
        <v>1.0706</v>
      </c>
      <c r="D32" s="24">
        <v>1.0706</v>
      </c>
      <c r="E32" s="24">
        <v>1.0706</v>
      </c>
      <c r="F32" s="24">
        <v>1.0706</v>
      </c>
      <c r="G32" s="9"/>
    </row>
    <row r="33" spans="1:7" ht="15.5" x14ac:dyDescent="0.4">
      <c r="A33" s="19" t="s">
        <v>118</v>
      </c>
      <c r="B33" s="24">
        <v>1.0863</v>
      </c>
      <c r="C33" s="24">
        <v>1.0863</v>
      </c>
      <c r="D33" s="24">
        <v>1.0863</v>
      </c>
      <c r="E33" s="24">
        <v>1.0863</v>
      </c>
      <c r="F33" s="24">
        <v>1.0863</v>
      </c>
      <c r="G33" s="9"/>
    </row>
    <row r="34" spans="1:7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7" ht="15.5" x14ac:dyDescent="0.4">
      <c r="A35" s="16"/>
      <c r="B35" s="24"/>
      <c r="C35" s="24"/>
      <c r="D35" s="24"/>
      <c r="E35" s="24"/>
      <c r="F35" s="24"/>
      <c r="G35" s="9"/>
    </row>
    <row r="36" spans="1:7" ht="15.5" x14ac:dyDescent="0.4">
      <c r="A36" s="17" t="s">
        <v>10</v>
      </c>
      <c r="B36" s="24"/>
      <c r="C36" s="24"/>
      <c r="D36" s="24"/>
      <c r="E36" s="24"/>
      <c r="F36" s="24"/>
      <c r="G36" s="9"/>
    </row>
    <row r="37" spans="1:7" ht="15.5" x14ac:dyDescent="0.4">
      <c r="A37" s="19" t="s">
        <v>66</v>
      </c>
      <c r="B37" s="20">
        <f>B21/B32</f>
        <v>78615159.079021096</v>
      </c>
      <c r="C37" s="20"/>
      <c r="D37" s="20">
        <f t="shared" ref="D37:F37" si="2">D21/D32</f>
        <v>58226738.7819914</v>
      </c>
      <c r="E37" s="20">
        <f t="shared" si="2"/>
        <v>0</v>
      </c>
      <c r="F37" s="20">
        <f t="shared" si="2"/>
        <v>20388420.297029704</v>
      </c>
      <c r="G37" s="9"/>
    </row>
    <row r="38" spans="1:7" ht="15.5" x14ac:dyDescent="0.4">
      <c r="A38" s="19" t="s">
        <v>119</v>
      </c>
      <c r="B38" s="20">
        <f>B23/B33</f>
        <v>74347944.923133582</v>
      </c>
      <c r="C38" s="20"/>
      <c r="D38" s="20">
        <f t="shared" ref="D38:F38" si="3">D23/D33</f>
        <v>57783231.464604624</v>
      </c>
      <c r="E38" s="20">
        <f t="shared" si="3"/>
        <v>1326700.7272392525</v>
      </c>
      <c r="F38" s="20">
        <f t="shared" si="3"/>
        <v>15238012.7312897</v>
      </c>
      <c r="G38" s="9"/>
    </row>
    <row r="39" spans="1:7" ht="15.5" x14ac:dyDescent="0.4">
      <c r="A39" s="19" t="s">
        <v>67</v>
      </c>
      <c r="B39" s="20">
        <f>B37/B15</f>
        <v>180724.50362993355</v>
      </c>
      <c r="C39" s="20"/>
      <c r="D39" s="22">
        <f>D37/$C$15</f>
        <v>133854.57191262391</v>
      </c>
      <c r="E39" s="20">
        <f t="shared" ref="E39:F39" si="4">E37/$C$15</f>
        <v>0</v>
      </c>
      <c r="F39" s="22">
        <f t="shared" si="4"/>
        <v>46869.931717309664</v>
      </c>
      <c r="G39" s="9"/>
    </row>
    <row r="40" spans="1:7" ht="15.5" x14ac:dyDescent="0.4">
      <c r="A40" s="19" t="s">
        <v>120</v>
      </c>
      <c r="B40" s="20">
        <f>B38/B17</f>
        <v>172902.19749565949</v>
      </c>
      <c r="C40" s="20"/>
      <c r="D40" s="22">
        <f>D38/$C$17</f>
        <v>134379.60805722006</v>
      </c>
      <c r="E40" s="22">
        <f t="shared" ref="E40:F40" si="5">E38/$C$17</f>
        <v>3085.3505284633779</v>
      </c>
      <c r="F40" s="22">
        <f t="shared" si="5"/>
        <v>35437.238909976048</v>
      </c>
    </row>
    <row r="41" spans="1:7" ht="15.5" x14ac:dyDescent="0.4">
      <c r="A41" s="16"/>
      <c r="B41" s="24"/>
      <c r="C41" s="24"/>
      <c r="D41" s="24"/>
      <c r="E41" s="24"/>
      <c r="F41" s="24"/>
      <c r="G41" s="9"/>
    </row>
    <row r="42" spans="1:7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7" ht="15.5" x14ac:dyDescent="0.4">
      <c r="A43" s="16"/>
      <c r="B43" s="24"/>
      <c r="C43" s="24"/>
      <c r="D43" s="24"/>
      <c r="E43" s="24"/>
      <c r="F43" s="24"/>
      <c r="G43" s="9"/>
    </row>
    <row r="44" spans="1:7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7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7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7" ht="15.5" x14ac:dyDescent="0.4">
      <c r="A47" s="16"/>
      <c r="B47" s="24"/>
      <c r="C47" s="24"/>
      <c r="D47" s="24"/>
      <c r="E47" s="24"/>
      <c r="F47" s="24"/>
      <c r="G47" s="9"/>
    </row>
    <row r="48" spans="1:7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89.583333333333343</v>
      </c>
      <c r="C49" s="24">
        <f t="shared" ref="C49" si="6">C17/C16*100</f>
        <v>89.583333333333343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154.13010032442747</v>
      </c>
      <c r="C50" s="24"/>
      <c r="D50" s="24">
        <f>D23/D22*100</f>
        <v>119.78993194656489</v>
      </c>
      <c r="E50" s="24" t="s">
        <v>43</v>
      </c>
      <c r="F50" s="24" t="s">
        <v>43</v>
      </c>
      <c r="G50" s="9"/>
    </row>
    <row r="51" spans="1:7" ht="15.5" x14ac:dyDescent="0.4">
      <c r="A51" s="16" t="s">
        <v>18</v>
      </c>
      <c r="B51" s="24">
        <f>AVERAGE(B49:B50)</f>
        <v>121.85671682888041</v>
      </c>
      <c r="C51" s="24">
        <f t="shared" ref="C51:D51" si="7">AVERAGE(C49:C50)</f>
        <v>89.583333333333343</v>
      </c>
      <c r="D51" s="24">
        <f t="shared" si="7"/>
        <v>119.78993194656489</v>
      </c>
      <c r="E51" s="24" t="s">
        <v>43</v>
      </c>
      <c r="F51" s="24" t="s">
        <v>43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89.583333333333343</v>
      </c>
      <c r="C54" s="24">
        <f t="shared" ref="C54" si="8">(C17/C18)*100</f>
        <v>89.583333333333343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6.7871999650499113</v>
      </c>
      <c r="C55" s="24"/>
      <c r="D55" s="24">
        <f t="shared" ref="D55:F55" si="9">D23/D24*100</f>
        <v>23.421613559701491</v>
      </c>
      <c r="E55" s="24">
        <f t="shared" si="9"/>
        <v>7.2059750000000005</v>
      </c>
      <c r="F55" s="24">
        <f t="shared" si="9"/>
        <v>1.8352551579481888</v>
      </c>
      <c r="G55" s="9"/>
    </row>
    <row r="56" spans="1:7" ht="15.5" x14ac:dyDescent="0.4">
      <c r="A56" s="16" t="s">
        <v>22</v>
      </c>
      <c r="B56" s="24">
        <f>AVERAGE(B54:B55)</f>
        <v>48.185266649191625</v>
      </c>
      <c r="C56" s="24">
        <f t="shared" ref="C56:F56" si="10">AVERAGE(C54:C55)</f>
        <v>89.583333333333343</v>
      </c>
      <c r="D56" s="24">
        <f t="shared" si="10"/>
        <v>23.421613559701491</v>
      </c>
      <c r="E56" s="24">
        <f t="shared" si="10"/>
        <v>7.2059750000000005</v>
      </c>
      <c r="F56" s="24">
        <f t="shared" si="10"/>
        <v>1.8352551579481888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>D25/D23*100</f>
        <v>100</v>
      </c>
      <c r="E59" s="24">
        <f>E25/E23*100</f>
        <v>100</v>
      </c>
      <c r="F59" s="24">
        <f t="shared" ref="F59" si="11">F25/F23*100</f>
        <v>100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-1.1494252873563204</v>
      </c>
      <c r="C62" s="24">
        <f>((C17/C15)-1)*100</f>
        <v>-1.1494252873563204</v>
      </c>
      <c r="D62" s="24" t="s">
        <v>43</v>
      </c>
      <c r="E62" s="24" t="s">
        <v>43</v>
      </c>
      <c r="F62" s="24" t="s">
        <v>43</v>
      </c>
      <c r="G62" s="9"/>
    </row>
    <row r="63" spans="1:7" ht="15.5" x14ac:dyDescent="0.4">
      <c r="A63" s="16" t="s">
        <v>26</v>
      </c>
      <c r="B63" s="24">
        <f>((B38/B37)-1)*100</f>
        <v>-5.4279787840895484</v>
      </c>
      <c r="C63" s="24" t="s">
        <v>43</v>
      </c>
      <c r="D63" s="24">
        <f t="shared" ref="D63:F63" si="12">((D38/D37)-1)*100</f>
        <v>-0.7616901215218741</v>
      </c>
      <c r="E63" s="24" t="s">
        <v>43</v>
      </c>
      <c r="F63" s="24">
        <f t="shared" si="12"/>
        <v>-25.261435122025333</v>
      </c>
      <c r="G63" s="9"/>
    </row>
    <row r="64" spans="1:7" ht="15.5" x14ac:dyDescent="0.4">
      <c r="A64" s="16" t="s">
        <v>27</v>
      </c>
      <c r="B64" s="24">
        <f>((B40/B39)-1)*100</f>
        <v>-4.328304118788262</v>
      </c>
      <c r="C64" s="24" t="s">
        <v>43</v>
      </c>
      <c r="D64" s="24">
        <f t="shared" ref="D64:F64" si="13">((D40/D39)-1)*100</f>
        <v>0.39224371427437621</v>
      </c>
      <c r="E64" s="24" t="s">
        <v>43</v>
      </c>
      <c r="F64" s="24">
        <f t="shared" si="13"/>
        <v>-24.392382042048887</v>
      </c>
      <c r="G64" s="9"/>
    </row>
    <row r="65" spans="1:7" ht="15.5" x14ac:dyDescent="0.4">
      <c r="A65" s="16"/>
      <c r="B65" s="24"/>
      <c r="C65" s="24"/>
      <c r="D65" s="24"/>
      <c r="E65" s="24"/>
      <c r="F65" s="24"/>
      <c r="G65" s="9"/>
    </row>
    <row r="66" spans="1:7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7" ht="15.5" x14ac:dyDescent="0.4">
      <c r="A67" s="16" t="s">
        <v>34</v>
      </c>
      <c r="B67" s="27">
        <f>B22/($B$16*3)</f>
        <v>36388.888888888891</v>
      </c>
      <c r="C67" s="27">
        <f>B22/(C16*3)</f>
        <v>36388.888888888891</v>
      </c>
      <c r="D67" s="27">
        <f>D22/($C$16*3)</f>
        <v>36388.888888888891</v>
      </c>
      <c r="E67" s="27">
        <f t="shared" ref="E67:F67" si="14">E22/($C$16*3)</f>
        <v>0</v>
      </c>
      <c r="F67" s="27">
        <f t="shared" si="14"/>
        <v>0</v>
      </c>
      <c r="G67" s="9"/>
    </row>
    <row r="68" spans="1:7" ht="15.5" x14ac:dyDescent="0.4">
      <c r="A68" s="16" t="s">
        <v>35</v>
      </c>
      <c r="B68" s="27">
        <f>B23/($B$17*3)</f>
        <v>62607.885713178301</v>
      </c>
      <c r="C68" s="27">
        <f>B23/(C17*3)</f>
        <v>62607.885713178301</v>
      </c>
      <c r="D68" s="27">
        <f>D23/($C$17*3)</f>
        <v>48658.856077519384</v>
      </c>
      <c r="E68" s="27">
        <f t="shared" ref="E68:F68" si="15">E23/($C$17*3)</f>
        <v>1117.2054263565892</v>
      </c>
      <c r="F68" s="27">
        <f t="shared" si="15"/>
        <v>12831.824209302325</v>
      </c>
    </row>
    <row r="69" spans="1:7" ht="15.5" x14ac:dyDescent="0.4">
      <c r="A69" s="16" t="s">
        <v>29</v>
      </c>
      <c r="B69" s="24">
        <f>(B68/B67)*B51</f>
        <v>209.65716826091929</v>
      </c>
      <c r="C69" s="24">
        <f>(C68/C67)*C51</f>
        <v>154.1301003244275</v>
      </c>
      <c r="D69" s="24"/>
      <c r="E69" s="24"/>
      <c r="F69" s="24"/>
      <c r="G69" s="9"/>
    </row>
    <row r="70" spans="1:7" ht="15.5" x14ac:dyDescent="0.4">
      <c r="A70" s="25" t="s">
        <v>36</v>
      </c>
      <c r="B70" s="27">
        <f>B22/($B$16)</f>
        <v>109166.66666666667</v>
      </c>
      <c r="C70" s="27">
        <f>B22/C16</f>
        <v>109166.66666666667</v>
      </c>
      <c r="D70" s="27">
        <f>D22/($C$16)</f>
        <v>109166.66666666667</v>
      </c>
      <c r="E70" s="27">
        <f t="shared" ref="E70:F70" si="16">E22/($C$16)</f>
        <v>0</v>
      </c>
      <c r="F70" s="27">
        <f t="shared" si="16"/>
        <v>0</v>
      </c>
      <c r="G70" s="9"/>
    </row>
    <row r="71" spans="1:7" ht="15.5" x14ac:dyDescent="0.4">
      <c r="A71" s="25" t="s">
        <v>37</v>
      </c>
      <c r="B71" s="27">
        <f>B23/($B$17)</f>
        <v>187823.65713953489</v>
      </c>
      <c r="C71" s="27">
        <f>B23/C17</f>
        <v>187823.65713953489</v>
      </c>
      <c r="D71" s="27">
        <f>D23/($C$17)</f>
        <v>145976.56823255814</v>
      </c>
      <c r="E71" s="27">
        <f t="shared" ref="E71:F71" si="17">E23/($C$17)</f>
        <v>3351.6162790697676</v>
      </c>
      <c r="F71" s="27">
        <f t="shared" si="17"/>
        <v>38495.47262790698</v>
      </c>
      <c r="G71" s="9"/>
    </row>
    <row r="72" spans="1:7" ht="15.5" x14ac:dyDescent="0.4">
      <c r="A72" s="16"/>
      <c r="B72" s="24"/>
      <c r="C72" s="24"/>
      <c r="D72" s="24"/>
      <c r="E72" s="24"/>
      <c r="F72" s="24"/>
      <c r="G72" s="9"/>
    </row>
    <row r="73" spans="1:7" ht="15.5" x14ac:dyDescent="0.4">
      <c r="A73" s="17" t="s">
        <v>30</v>
      </c>
      <c r="B73" s="24"/>
      <c r="C73" s="24"/>
      <c r="D73" s="24"/>
      <c r="E73" s="24"/>
      <c r="F73" s="24"/>
      <c r="G73" s="9"/>
    </row>
    <row r="74" spans="1:7" ht="15.5" x14ac:dyDescent="0.4">
      <c r="A74" s="16" t="s">
        <v>31</v>
      </c>
      <c r="B74" s="24">
        <f>(B29/B28)*100</f>
        <v>408.30910305343514</v>
      </c>
      <c r="C74" s="24"/>
      <c r="D74" s="24"/>
      <c r="E74" s="24"/>
      <c r="F74" s="24"/>
      <c r="G74" s="9"/>
    </row>
    <row r="75" spans="1:7" ht="15.5" x14ac:dyDescent="0.4">
      <c r="A75" s="16" t="s">
        <v>32</v>
      </c>
      <c r="B75" s="24">
        <f>(B23/B29)*100</f>
        <v>37.748386987163649</v>
      </c>
      <c r="C75" s="24"/>
      <c r="D75" s="24"/>
      <c r="E75" s="24"/>
      <c r="F75" s="24"/>
      <c r="G75" s="9"/>
    </row>
    <row r="76" spans="1:7" ht="16" thickBot="1" x14ac:dyDescent="0.45">
      <c r="A76" s="26"/>
      <c r="B76" s="26"/>
      <c r="C76" s="26"/>
      <c r="D76" s="26"/>
      <c r="E76" s="26"/>
      <c r="F76" s="26"/>
    </row>
    <row r="77" spans="1:7" ht="17.25" customHeight="1" thickTop="1" x14ac:dyDescent="0.35">
      <c r="A77" s="45" t="s">
        <v>86</v>
      </c>
      <c r="B77" s="45"/>
      <c r="C77" s="45"/>
      <c r="D77" s="45"/>
      <c r="E77" s="45"/>
      <c r="F77" s="45"/>
    </row>
    <row r="78" spans="1:7" ht="15.5" x14ac:dyDescent="0.4">
      <c r="A78" s="28"/>
      <c r="B78" s="16"/>
      <c r="C78" s="16"/>
      <c r="D78" s="16"/>
      <c r="E78" s="16"/>
      <c r="F78" s="16"/>
    </row>
    <row r="79" spans="1:7" x14ac:dyDescent="0.35">
      <c r="A79" s="4"/>
    </row>
    <row r="80" spans="1:7" x14ac:dyDescent="0.35">
      <c r="A80" s="4"/>
      <c r="B80" s="10"/>
      <c r="C80" s="10"/>
      <c r="D80" s="10"/>
      <c r="E80" s="10"/>
    </row>
    <row r="81" spans="1:5" x14ac:dyDescent="0.35">
      <c r="A81" s="11"/>
      <c r="B81" s="10"/>
      <c r="C81" s="10"/>
      <c r="D81" s="10"/>
      <c r="E81" s="10"/>
    </row>
    <row r="82" spans="1:5" x14ac:dyDescent="0.35">
      <c r="A82" s="4"/>
    </row>
    <row r="83" spans="1:5" x14ac:dyDescent="0.35">
      <c r="A83" s="6"/>
    </row>
    <row r="84" spans="1:5" x14ac:dyDescent="0.35">
      <c r="A84" s="12"/>
    </row>
    <row r="85" spans="1:5" x14ac:dyDescent="0.35">
      <c r="A85" s="12"/>
    </row>
    <row r="86" spans="1:5" x14ac:dyDescent="0.35">
      <c r="A86" s="13"/>
    </row>
    <row r="87" spans="1:5" x14ac:dyDescent="0.35">
      <c r="A87" s="2"/>
    </row>
  </sheetData>
  <mergeCells count="5"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L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8" customWidth="1"/>
    <col min="2" max="5" width="19.54296875" style="8" customWidth="1"/>
    <col min="6" max="6" width="19.7265625" style="8" customWidth="1"/>
    <col min="7" max="7" width="13.7265625" style="8" bestFit="1" customWidth="1"/>
    <col min="8" max="8" width="11.453125" style="8"/>
    <col min="9" max="9" width="13.81640625" style="8" bestFit="1" customWidth="1"/>
    <col min="10" max="16384" width="11.453125" style="8"/>
  </cols>
  <sheetData>
    <row r="9" spans="1:7" s="1" customFormat="1" ht="17.25" customHeight="1" x14ac:dyDescent="0.4">
      <c r="A9" s="40" t="s">
        <v>0</v>
      </c>
      <c r="B9" s="42" t="s">
        <v>1</v>
      </c>
      <c r="C9" s="42" t="s">
        <v>76</v>
      </c>
      <c r="D9" s="44" t="s">
        <v>45</v>
      </c>
      <c r="E9" s="44"/>
      <c r="F9" s="44"/>
    </row>
    <row r="10" spans="1:7" s="1" customFormat="1" ht="31.5" thickBot="1" x14ac:dyDescent="0.4">
      <c r="A10" s="41"/>
      <c r="B10" s="43"/>
      <c r="C10" s="43"/>
      <c r="D10" s="30" t="s">
        <v>47</v>
      </c>
      <c r="E10" s="15" t="s">
        <v>2</v>
      </c>
      <c r="F10" s="15" t="s">
        <v>3</v>
      </c>
    </row>
    <row r="11" spans="1:7" ht="16" thickTop="1" x14ac:dyDescent="0.4">
      <c r="A11" s="16"/>
      <c r="B11" s="16"/>
      <c r="C11" s="16"/>
      <c r="D11" s="16"/>
      <c r="E11" s="16"/>
      <c r="F11" s="16"/>
    </row>
    <row r="12" spans="1:7" ht="15.5" x14ac:dyDescent="0.4">
      <c r="A12" s="17" t="s">
        <v>4</v>
      </c>
      <c r="B12" s="16"/>
      <c r="C12" s="16"/>
      <c r="D12" s="16"/>
      <c r="E12" s="16"/>
      <c r="F12" s="16"/>
    </row>
    <row r="13" spans="1:7" ht="15.5" x14ac:dyDescent="0.4">
      <c r="A13" s="16"/>
      <c r="B13" s="18"/>
      <c r="C13" s="18"/>
      <c r="D13" s="18"/>
      <c r="E13" s="18"/>
      <c r="F13" s="18"/>
      <c r="G13" s="9"/>
    </row>
    <row r="14" spans="1:7" ht="15.5" x14ac:dyDescent="0.4">
      <c r="A14" s="17" t="s">
        <v>5</v>
      </c>
      <c r="B14" s="18"/>
      <c r="C14" s="18"/>
      <c r="D14" s="18"/>
      <c r="E14" s="18"/>
      <c r="F14" s="18"/>
      <c r="G14" s="9"/>
    </row>
    <row r="15" spans="1:7" ht="15.5" x14ac:dyDescent="0.4">
      <c r="A15" s="19" t="s">
        <v>68</v>
      </c>
      <c r="B15" s="20">
        <f>(+'I Trimestre'!B15+'II Trimestre'!B15+'III Trimestre'!B15+'IV Trimestre'!B15)/4</f>
        <v>453.33333333333331</v>
      </c>
      <c r="C15" s="20">
        <f>(+'I Trimestre'!C15+'II Trimestre'!C15+'III Trimestre'!C15+'IV Trimestre'!C15)/4</f>
        <v>453.33333333333331</v>
      </c>
      <c r="D15" s="20"/>
      <c r="E15" s="20"/>
      <c r="F15" s="20"/>
      <c r="G15" s="9"/>
    </row>
    <row r="16" spans="1:7" ht="15.5" x14ac:dyDescent="0.4">
      <c r="A16" s="19" t="s">
        <v>121</v>
      </c>
      <c r="B16" s="20">
        <f>'I Trimestre'!B16</f>
        <v>480</v>
      </c>
      <c r="C16" s="20">
        <f>(+'I Trimestre'!C16+'II Trimestre'!C16+'III Trimestre'!C16+'IV Trimestre'!C16)/4</f>
        <v>480</v>
      </c>
      <c r="D16" s="20"/>
      <c r="E16" s="20"/>
      <c r="F16" s="20"/>
      <c r="G16" s="9"/>
    </row>
    <row r="17" spans="1:7" ht="15.5" x14ac:dyDescent="0.4">
      <c r="A17" s="19" t="s">
        <v>122</v>
      </c>
      <c r="B17" s="20">
        <f>(+'I Trimestre'!B17+'II Trimestre'!B17+'III Trimestre'!B17+'IV Trimestre'!B17)/4</f>
        <v>463.16666666666669</v>
      </c>
      <c r="C17" s="20">
        <f>(+'I Trimestre'!C17+'II Trimestre'!C17+'III Trimestre'!C17+'IV Trimestre'!C17)/4</f>
        <v>463.16666666666669</v>
      </c>
      <c r="D17" s="20"/>
      <c r="E17" s="20"/>
      <c r="F17" s="20"/>
    </row>
    <row r="18" spans="1:7" ht="15.5" x14ac:dyDescent="0.4">
      <c r="A18" s="19" t="s">
        <v>81</v>
      </c>
      <c r="B18" s="20">
        <f>'I Trimestre'!B18</f>
        <v>480</v>
      </c>
      <c r="C18" s="20">
        <f>+'IV Trimestre'!C18</f>
        <v>480</v>
      </c>
      <c r="D18" s="20"/>
      <c r="E18" s="20"/>
      <c r="F18" s="20"/>
      <c r="G18" s="9"/>
    </row>
    <row r="19" spans="1:7" ht="15.5" x14ac:dyDescent="0.4">
      <c r="A19" s="16"/>
      <c r="B19" s="20"/>
      <c r="C19" s="20"/>
      <c r="D19" s="20"/>
      <c r="E19" s="20"/>
      <c r="F19" s="20"/>
      <c r="G19" s="9"/>
    </row>
    <row r="20" spans="1:7" ht="15.5" x14ac:dyDescent="0.4">
      <c r="A20" s="21" t="s">
        <v>6</v>
      </c>
      <c r="B20" s="20"/>
      <c r="C20" s="20"/>
      <c r="D20" s="20"/>
      <c r="E20" s="20"/>
      <c r="F20" s="20"/>
      <c r="G20" s="9"/>
    </row>
    <row r="21" spans="1:7" ht="15.5" x14ac:dyDescent="0.4">
      <c r="A21" s="19" t="s">
        <v>68</v>
      </c>
      <c r="B21" s="20">
        <f>SUM(D21:F21)</f>
        <v>557355838.96500003</v>
      </c>
      <c r="C21" s="20"/>
      <c r="D21" s="20">
        <f>'I Trimestre'!D21+'II Trimestre'!D21+'III Trimestre'!D21+'IV Trimestre'!D21</f>
        <v>285202126.13</v>
      </c>
      <c r="E21" s="20">
        <f>'I Trimestre'!E21+'II Trimestre'!E21+'III Trimestre'!E21+'IV Trimestre'!E21</f>
        <v>77269281.924999997</v>
      </c>
      <c r="F21" s="20">
        <f>'I Trimestre'!F21+'II Trimestre'!F21+'III Trimestre'!F21+'IV Trimestre'!F21</f>
        <v>194884430.91</v>
      </c>
      <c r="G21" s="9"/>
    </row>
    <row r="22" spans="1:7" ht="15.5" x14ac:dyDescent="0.4">
      <c r="A22" s="19" t="s">
        <v>121</v>
      </c>
      <c r="B22" s="20">
        <f>SUM(D22:F22)</f>
        <v>1189948329</v>
      </c>
      <c r="C22" s="20"/>
      <c r="D22" s="20">
        <f>'I Trimestre'!D22+'II Trimestre'!D22+'III Trimestre'!D22+'IV Trimestre'!D22</f>
        <v>268000000</v>
      </c>
      <c r="E22" s="20">
        <f>'I Trimestre'!E22+'II Trimestre'!E22+'III Trimestre'!E22+'IV Trimestre'!E22</f>
        <v>20000000</v>
      </c>
      <c r="F22" s="20">
        <f>'I Trimestre'!F22+'II Trimestre'!F22+'III Trimestre'!F22+'IV Trimestre'!F22</f>
        <v>901948329</v>
      </c>
      <c r="G22" s="9"/>
    </row>
    <row r="23" spans="1:7" ht="15.5" x14ac:dyDescent="0.4">
      <c r="A23" s="19" t="s">
        <v>122</v>
      </c>
      <c r="B23" s="20">
        <f>SUM(D23:F23)</f>
        <v>305617042.06999999</v>
      </c>
      <c r="C23" s="20"/>
      <c r="D23" s="20">
        <f>'I Trimestre'!D23+'II Trimestre'!D23+'III Trimestre'!D23+'IV Trimestre'!D23</f>
        <v>267671156.04999998</v>
      </c>
      <c r="E23" s="20">
        <f>'I Trimestre'!E23+'II Trimestre'!E23+'III Trimestre'!E23+'IV Trimestre'!E23</f>
        <v>13168507.409999998</v>
      </c>
      <c r="F23" s="20">
        <f>'I Trimestre'!F23+'II Trimestre'!F23+'III Trimestre'!F23+'IV Trimestre'!F23</f>
        <v>24777378.609999999</v>
      </c>
      <c r="G23" s="9"/>
    </row>
    <row r="24" spans="1:7" ht="15.5" x14ac:dyDescent="0.4">
      <c r="A24" s="19" t="s">
        <v>81</v>
      </c>
      <c r="B24" s="20">
        <f>SUM(D24:F24)</f>
        <v>1189948329</v>
      </c>
      <c r="C24" s="20"/>
      <c r="D24" s="20">
        <f>+'IV Trimestre'!D24</f>
        <v>268000000</v>
      </c>
      <c r="E24" s="20">
        <f>+'IV Trimestre'!E24</f>
        <v>20000000</v>
      </c>
      <c r="F24" s="20">
        <f>+'IV Trimestre'!F24</f>
        <v>901948329</v>
      </c>
      <c r="G24" s="9"/>
    </row>
    <row r="25" spans="1:7" ht="15.5" x14ac:dyDescent="0.4">
      <c r="A25" s="19" t="s">
        <v>123</v>
      </c>
      <c r="B25" s="20">
        <f>+SUM(D25:F25)</f>
        <v>305617042.06999999</v>
      </c>
      <c r="C25" s="20"/>
      <c r="D25" s="20">
        <f>D23</f>
        <v>267671156.04999998</v>
      </c>
      <c r="E25" s="20">
        <f t="shared" ref="E25:F25" si="0">E23</f>
        <v>13168507.409999998</v>
      </c>
      <c r="F25" s="20">
        <f t="shared" si="0"/>
        <v>24777378.609999999</v>
      </c>
      <c r="G25" s="9"/>
    </row>
    <row r="26" spans="1:7" ht="15.5" x14ac:dyDescent="0.4">
      <c r="A26" s="16"/>
      <c r="B26" s="20"/>
      <c r="C26" s="20"/>
      <c r="D26" s="20"/>
      <c r="E26" s="20"/>
      <c r="F26" s="20"/>
      <c r="G26" s="9"/>
    </row>
    <row r="27" spans="1:7" ht="15.5" x14ac:dyDescent="0.4">
      <c r="A27" s="21" t="s">
        <v>7</v>
      </c>
      <c r="B27" s="20"/>
      <c r="C27" s="20"/>
      <c r="D27" s="20"/>
      <c r="E27" s="20"/>
      <c r="F27" s="20"/>
      <c r="G27" s="9"/>
    </row>
    <row r="28" spans="1:7" ht="15.5" x14ac:dyDescent="0.4">
      <c r="A28" s="19" t="s">
        <v>121</v>
      </c>
      <c r="B28" s="20">
        <f>B22</f>
        <v>1189948329</v>
      </c>
      <c r="C28" s="20"/>
      <c r="D28" s="33" t="s">
        <v>89</v>
      </c>
      <c r="E28" s="20"/>
      <c r="F28" s="20"/>
      <c r="G28" s="9"/>
    </row>
    <row r="29" spans="1:7" ht="15.5" x14ac:dyDescent="0.4">
      <c r="A29" s="19" t="s">
        <v>122</v>
      </c>
      <c r="B29" s="20">
        <f>'I Trimestre'!B29+'II Trimestre'!B29+'III Trimestre'!B29+'IV Trimestre'!B29</f>
        <v>812907000</v>
      </c>
      <c r="C29" s="20"/>
      <c r="D29" s="34">
        <f>+B29+377040388.68</f>
        <v>1189947388.6800001</v>
      </c>
      <c r="E29" s="20"/>
      <c r="F29" s="20"/>
      <c r="G29" s="9"/>
    </row>
    <row r="30" spans="1:7" ht="15.5" x14ac:dyDescent="0.4">
      <c r="A30" s="16"/>
      <c r="B30" s="24"/>
      <c r="C30" s="24"/>
      <c r="D30" s="24"/>
      <c r="E30" s="24"/>
      <c r="F30" s="24"/>
      <c r="G30" s="9"/>
    </row>
    <row r="31" spans="1:7" ht="15.5" x14ac:dyDescent="0.4">
      <c r="A31" s="17" t="s">
        <v>8</v>
      </c>
      <c r="B31" s="24"/>
      <c r="C31" s="24"/>
      <c r="D31" s="24"/>
      <c r="E31" s="24"/>
      <c r="F31" s="24"/>
      <c r="G31" s="9"/>
    </row>
    <row r="32" spans="1:7" ht="15.5" x14ac:dyDescent="0.4">
      <c r="A32" s="19" t="s">
        <v>69</v>
      </c>
      <c r="B32" s="24">
        <v>1.0706</v>
      </c>
      <c r="C32" s="24">
        <v>1.0706</v>
      </c>
      <c r="D32" s="24">
        <v>1.0706</v>
      </c>
      <c r="E32" s="24">
        <v>1.0706</v>
      </c>
      <c r="F32" s="24">
        <v>1.0706</v>
      </c>
      <c r="G32" s="9"/>
    </row>
    <row r="33" spans="1:9" ht="15.5" x14ac:dyDescent="0.4">
      <c r="A33" s="19" t="s">
        <v>124</v>
      </c>
      <c r="B33" s="24">
        <v>1.0863</v>
      </c>
      <c r="C33" s="24">
        <v>1.0863</v>
      </c>
      <c r="D33" s="24">
        <v>1.0863</v>
      </c>
      <c r="E33" s="24">
        <v>1.0863</v>
      </c>
      <c r="F33" s="24">
        <v>1.0863</v>
      </c>
      <c r="G33" s="9"/>
    </row>
    <row r="34" spans="1:9" ht="15.5" x14ac:dyDescent="0.4">
      <c r="A34" s="19" t="s">
        <v>9</v>
      </c>
      <c r="B34" s="20" t="s">
        <v>43</v>
      </c>
      <c r="C34" s="20" t="s">
        <v>43</v>
      </c>
      <c r="D34" s="20" t="s">
        <v>43</v>
      </c>
      <c r="E34" s="20" t="s">
        <v>43</v>
      </c>
      <c r="F34" s="20" t="s">
        <v>43</v>
      </c>
      <c r="G34" s="9"/>
    </row>
    <row r="35" spans="1:9" ht="15.5" x14ac:dyDescent="0.4">
      <c r="A35" s="16"/>
      <c r="B35" s="24"/>
      <c r="C35" s="24"/>
      <c r="D35" s="24"/>
      <c r="E35" s="24"/>
      <c r="F35" s="24"/>
      <c r="G35" s="9"/>
    </row>
    <row r="36" spans="1:9" ht="15.5" x14ac:dyDescent="0.4">
      <c r="A36" s="17" t="s">
        <v>10</v>
      </c>
      <c r="B36" s="24"/>
      <c r="C36" s="24"/>
      <c r="D36" s="24"/>
      <c r="E36" s="24"/>
      <c r="F36" s="24"/>
      <c r="G36" s="9"/>
    </row>
    <row r="37" spans="1:9" ht="15.5" x14ac:dyDescent="0.4">
      <c r="A37" s="19" t="s">
        <v>70</v>
      </c>
      <c r="B37" s="20">
        <f>B21/B32</f>
        <v>520601381.43564361</v>
      </c>
      <c r="C37" s="20"/>
      <c r="D37" s="20">
        <f t="shared" ref="D37:F37" si="1">D21/D32</f>
        <v>266394662.92733046</v>
      </c>
      <c r="E37" s="20">
        <f t="shared" si="1"/>
        <v>72173810.877078265</v>
      </c>
      <c r="F37" s="20">
        <f t="shared" si="1"/>
        <v>182032907.63123482</v>
      </c>
      <c r="G37" s="9"/>
    </row>
    <row r="38" spans="1:9" ht="15.5" x14ac:dyDescent="0.4">
      <c r="A38" s="19" t="s">
        <v>125</v>
      </c>
      <c r="B38" s="20">
        <f>B23/B33</f>
        <v>281337606.61879772</v>
      </c>
      <c r="C38" s="20"/>
      <c r="D38" s="20">
        <f t="shared" ref="D38:F38" si="2">D23/D33</f>
        <v>246406292.96695203</v>
      </c>
      <c r="E38" s="20">
        <f t="shared" si="2"/>
        <v>12122348.715824356</v>
      </c>
      <c r="F38" s="20">
        <f t="shared" si="2"/>
        <v>22808964.936021354</v>
      </c>
      <c r="G38" s="9"/>
    </row>
    <row r="39" spans="1:9" ht="15.5" x14ac:dyDescent="0.4">
      <c r="A39" s="19" t="s">
        <v>71</v>
      </c>
      <c r="B39" s="20">
        <f>B37/B15</f>
        <v>1148385.4002256845</v>
      </c>
      <c r="C39" s="20"/>
      <c r="D39" s="22">
        <f>D37/$C$15</f>
        <v>587635.28586911131</v>
      </c>
      <c r="E39" s="22">
        <f t="shared" ref="E39:F39" si="3">E37/$C$15</f>
        <v>159206.93575826089</v>
      </c>
      <c r="F39" s="22">
        <f t="shared" si="3"/>
        <v>401543.17859831214</v>
      </c>
      <c r="G39" s="9"/>
      <c r="I39" s="3"/>
    </row>
    <row r="40" spans="1:9" ht="15.5" x14ac:dyDescent="0.4">
      <c r="A40" s="19" t="s">
        <v>126</v>
      </c>
      <c r="B40" s="20">
        <f>B38/B17</f>
        <v>607421.96463216492</v>
      </c>
      <c r="C40" s="20"/>
      <c r="D40" s="22">
        <f>D38/$C$17</f>
        <v>532003.51126366039</v>
      </c>
      <c r="E40" s="22">
        <f t="shared" ref="E40:F40" si="4">E38/$C$17</f>
        <v>26172.757213006884</v>
      </c>
      <c r="F40" s="22">
        <f t="shared" si="4"/>
        <v>49245.696155497702</v>
      </c>
    </row>
    <row r="41" spans="1:9" ht="15.5" x14ac:dyDescent="0.4">
      <c r="A41" s="16"/>
      <c r="B41" s="24"/>
      <c r="C41" s="24"/>
      <c r="D41" s="24"/>
      <c r="E41" s="24"/>
      <c r="F41" s="24"/>
      <c r="G41" s="9"/>
    </row>
    <row r="42" spans="1:9" ht="15.5" x14ac:dyDescent="0.4">
      <c r="A42" s="17" t="s">
        <v>11</v>
      </c>
      <c r="B42" s="24"/>
      <c r="C42" s="24"/>
      <c r="D42" s="24"/>
      <c r="E42" s="24"/>
      <c r="F42" s="24"/>
      <c r="G42" s="9"/>
    </row>
    <row r="43" spans="1:9" ht="15.5" x14ac:dyDescent="0.4">
      <c r="A43" s="16"/>
      <c r="B43" s="24"/>
      <c r="C43" s="24"/>
      <c r="D43" s="24"/>
      <c r="E43" s="24"/>
      <c r="F43" s="24"/>
      <c r="G43" s="9"/>
    </row>
    <row r="44" spans="1:9" ht="15.5" x14ac:dyDescent="0.4">
      <c r="A44" s="17" t="s">
        <v>12</v>
      </c>
      <c r="B44" s="24"/>
      <c r="C44" s="24"/>
      <c r="D44" s="24"/>
      <c r="E44" s="24"/>
      <c r="F44" s="24"/>
      <c r="G44" s="9"/>
    </row>
    <row r="45" spans="1:9" ht="15.5" x14ac:dyDescent="0.4">
      <c r="A45" s="16" t="s">
        <v>13</v>
      </c>
      <c r="B45" s="24" t="s">
        <v>42</v>
      </c>
      <c r="C45" s="24" t="s">
        <v>42</v>
      </c>
      <c r="D45" s="24" t="s">
        <v>42</v>
      </c>
      <c r="E45" s="24" t="s">
        <v>42</v>
      </c>
      <c r="F45" s="24" t="s">
        <v>42</v>
      </c>
      <c r="G45" s="9"/>
    </row>
    <row r="46" spans="1:9" ht="15.5" x14ac:dyDescent="0.4">
      <c r="A46" s="16" t="s">
        <v>14</v>
      </c>
      <c r="B46" s="24" t="s">
        <v>42</v>
      </c>
      <c r="C46" s="24" t="s">
        <v>42</v>
      </c>
      <c r="D46" s="24" t="s">
        <v>42</v>
      </c>
      <c r="E46" s="24" t="s">
        <v>42</v>
      </c>
      <c r="F46" s="24" t="s">
        <v>42</v>
      </c>
      <c r="G46" s="9"/>
    </row>
    <row r="47" spans="1:9" ht="15.5" x14ac:dyDescent="0.4">
      <c r="A47" s="16"/>
      <c r="B47" s="24"/>
      <c r="C47" s="24"/>
      <c r="D47" s="24"/>
      <c r="E47" s="24"/>
      <c r="F47" s="24"/>
      <c r="G47" s="9"/>
    </row>
    <row r="48" spans="1:9" ht="15.5" x14ac:dyDescent="0.4">
      <c r="A48" s="17" t="s">
        <v>15</v>
      </c>
      <c r="B48" s="24"/>
      <c r="C48" s="24"/>
      <c r="D48" s="24"/>
      <c r="E48" s="24"/>
      <c r="F48" s="24"/>
      <c r="G48" s="9"/>
    </row>
    <row r="49" spans="1:7" ht="15.5" x14ac:dyDescent="0.4">
      <c r="A49" s="16" t="s">
        <v>16</v>
      </c>
      <c r="B49" s="24">
        <f>B17/B16*100</f>
        <v>96.493055555555557</v>
      </c>
      <c r="C49" s="24">
        <f t="shared" ref="C49" si="5">C17/C16*100</f>
        <v>96.493055555555557</v>
      </c>
      <c r="D49" s="24"/>
      <c r="E49" s="24"/>
      <c r="F49" s="24"/>
      <c r="G49" s="9"/>
    </row>
    <row r="50" spans="1:7" ht="15.5" x14ac:dyDescent="0.4">
      <c r="A50" s="16" t="s">
        <v>17</v>
      </c>
      <c r="B50" s="24">
        <f>B23/B22*100</f>
        <v>25.683219566922894</v>
      </c>
      <c r="C50" s="24"/>
      <c r="D50" s="24">
        <f t="shared" ref="D50:F50" si="6">D23/D22*100</f>
        <v>99.877297033582082</v>
      </c>
      <c r="E50" s="24">
        <f t="shared" si="6"/>
        <v>65.84253704999999</v>
      </c>
      <c r="F50" s="24">
        <f t="shared" si="6"/>
        <v>2.7470951287720609</v>
      </c>
      <c r="G50" s="9"/>
    </row>
    <row r="51" spans="1:7" ht="15.5" x14ac:dyDescent="0.4">
      <c r="A51" s="16" t="s">
        <v>18</v>
      </c>
      <c r="B51" s="24">
        <f>AVERAGE(B49:B50)</f>
        <v>61.088137561239222</v>
      </c>
      <c r="C51" s="24">
        <f t="shared" ref="C51:F51" si="7">AVERAGE(C49:C50)</f>
        <v>96.493055555555557</v>
      </c>
      <c r="D51" s="24">
        <f t="shared" si="7"/>
        <v>99.877297033582082</v>
      </c>
      <c r="E51" s="24">
        <f t="shared" si="7"/>
        <v>65.84253704999999</v>
      </c>
      <c r="F51" s="24">
        <f t="shared" si="7"/>
        <v>2.7470951287720609</v>
      </c>
      <c r="G51" s="9"/>
    </row>
    <row r="52" spans="1:7" ht="15.5" x14ac:dyDescent="0.4">
      <c r="A52" s="16"/>
      <c r="B52" s="24"/>
      <c r="C52" s="24"/>
      <c r="D52" s="24"/>
      <c r="E52" s="24"/>
      <c r="F52" s="24"/>
      <c r="G52" s="9"/>
    </row>
    <row r="53" spans="1:7" ht="15.5" x14ac:dyDescent="0.4">
      <c r="A53" s="17" t="s">
        <v>19</v>
      </c>
      <c r="B53" s="24"/>
      <c r="C53" s="24"/>
      <c r="D53" s="24"/>
      <c r="E53" s="24"/>
      <c r="F53" s="24"/>
      <c r="G53" s="9"/>
    </row>
    <row r="54" spans="1:7" ht="15.5" x14ac:dyDescent="0.4">
      <c r="A54" s="16" t="s">
        <v>20</v>
      </c>
      <c r="B54" s="24">
        <f>(B17/B18)*100</f>
        <v>96.493055555555557</v>
      </c>
      <c r="C54" s="24">
        <f t="shared" ref="C54" si="8">(C17/C18)*100</f>
        <v>96.493055555555557</v>
      </c>
      <c r="D54" s="24"/>
      <c r="E54" s="24"/>
      <c r="F54" s="24"/>
      <c r="G54" s="9"/>
    </row>
    <row r="55" spans="1:7" ht="15.5" x14ac:dyDescent="0.4">
      <c r="A55" s="16" t="s">
        <v>21</v>
      </c>
      <c r="B55" s="24">
        <f>B23/B24*100</f>
        <v>25.683219566922894</v>
      </c>
      <c r="C55" s="24"/>
      <c r="D55" s="24">
        <f t="shared" ref="D55:F55" si="9">D23/D24*100</f>
        <v>99.877297033582082</v>
      </c>
      <c r="E55" s="24">
        <f t="shared" si="9"/>
        <v>65.84253704999999</v>
      </c>
      <c r="F55" s="24">
        <f t="shared" si="9"/>
        <v>2.7470951287720609</v>
      </c>
      <c r="G55" s="9"/>
    </row>
    <row r="56" spans="1:7" ht="15.5" x14ac:dyDescent="0.4">
      <c r="A56" s="16" t="s">
        <v>22</v>
      </c>
      <c r="B56" s="24">
        <f>AVERAGE(B54:B55)</f>
        <v>61.088137561239222</v>
      </c>
      <c r="C56" s="24">
        <f t="shared" ref="C56:F56" si="10">AVERAGE(C54:C55)</f>
        <v>96.493055555555557</v>
      </c>
      <c r="D56" s="24">
        <f t="shared" si="10"/>
        <v>99.877297033582082</v>
      </c>
      <c r="E56" s="24">
        <f t="shared" si="10"/>
        <v>65.84253704999999</v>
      </c>
      <c r="F56" s="24">
        <f t="shared" si="10"/>
        <v>2.7470951287720609</v>
      </c>
      <c r="G56" s="9"/>
    </row>
    <row r="57" spans="1:7" ht="15.5" x14ac:dyDescent="0.4">
      <c r="A57" s="16"/>
      <c r="B57" s="24"/>
      <c r="C57" s="24"/>
      <c r="D57" s="24"/>
      <c r="E57" s="24"/>
      <c r="F57" s="24"/>
      <c r="G57" s="9"/>
    </row>
    <row r="58" spans="1:7" ht="15.5" x14ac:dyDescent="0.4">
      <c r="A58" s="17" t="s">
        <v>33</v>
      </c>
      <c r="B58" s="24"/>
      <c r="C58" s="24"/>
      <c r="D58" s="24"/>
      <c r="E58" s="24"/>
      <c r="F58" s="24"/>
      <c r="G58" s="9"/>
    </row>
    <row r="59" spans="1:7" ht="15.5" x14ac:dyDescent="0.4">
      <c r="A59" s="16" t="s">
        <v>23</v>
      </c>
      <c r="B59" s="24">
        <f>B25/B23*100</f>
        <v>100</v>
      </c>
      <c r="C59" s="24"/>
      <c r="D59" s="24">
        <f>D25/D23*100</f>
        <v>100</v>
      </c>
      <c r="E59" s="24">
        <f t="shared" ref="E59:F59" si="11">E25/E23*100</f>
        <v>100</v>
      </c>
      <c r="F59" s="24">
        <f t="shared" si="11"/>
        <v>100</v>
      </c>
      <c r="G59" s="9"/>
    </row>
    <row r="60" spans="1:7" ht="15.5" x14ac:dyDescent="0.4">
      <c r="A60" s="16"/>
      <c r="B60" s="24"/>
      <c r="C60" s="24"/>
      <c r="D60" s="24"/>
      <c r="E60" s="24"/>
      <c r="F60" s="24"/>
      <c r="G60" s="9"/>
    </row>
    <row r="61" spans="1:7" ht="15.5" x14ac:dyDescent="0.4">
      <c r="A61" s="17" t="s">
        <v>24</v>
      </c>
      <c r="B61" s="24"/>
      <c r="C61" s="24"/>
      <c r="D61" s="24"/>
      <c r="E61" s="24"/>
      <c r="F61" s="24"/>
      <c r="G61" s="9"/>
    </row>
    <row r="62" spans="1:7" ht="15.5" x14ac:dyDescent="0.4">
      <c r="A62" s="16" t="s">
        <v>25</v>
      </c>
      <c r="B62" s="24">
        <f>((B17/B15)-1)*100</f>
        <v>2.1691176470588269</v>
      </c>
      <c r="C62" s="24">
        <f t="shared" ref="C62" si="12">((C17/C15)-1)*100</f>
        <v>2.1691176470588269</v>
      </c>
      <c r="D62" s="24" t="s">
        <v>43</v>
      </c>
      <c r="E62" s="24" t="s">
        <v>43</v>
      </c>
      <c r="F62" s="24" t="s">
        <v>43</v>
      </c>
      <c r="G62" s="9"/>
    </row>
    <row r="63" spans="1:7" ht="15.5" x14ac:dyDescent="0.4">
      <c r="A63" s="16" t="s">
        <v>26</v>
      </c>
      <c r="B63" s="24">
        <f>((B38/B37)-1)*100</f>
        <v>-45.959112547307654</v>
      </c>
      <c r="C63" s="24" t="s">
        <v>43</v>
      </c>
      <c r="D63" s="24">
        <f t="shared" ref="D63:F63" si="13">((D38/D37)-1)*100</f>
        <v>-7.5032921983992811</v>
      </c>
      <c r="E63" s="24">
        <f t="shared" si="13"/>
        <v>-83.203950895054788</v>
      </c>
      <c r="F63" s="24">
        <f t="shared" si="13"/>
        <v>-87.469867271346274</v>
      </c>
      <c r="G63" s="9"/>
    </row>
    <row r="64" spans="1:7" ht="15.5" x14ac:dyDescent="0.4">
      <c r="A64" s="16" t="s">
        <v>27</v>
      </c>
      <c r="B64" s="24">
        <f>((B40/B39)-1)*100</f>
        <v>-47.10643617440693</v>
      </c>
      <c r="C64" s="24" t="s">
        <v>43</v>
      </c>
      <c r="D64" s="24">
        <f t="shared" ref="D64:F64" si="14">((D40/D39)-1)*100</f>
        <v>-9.4670582150579445</v>
      </c>
      <c r="E64" s="24">
        <f t="shared" si="14"/>
        <v>-83.560542077923358</v>
      </c>
      <c r="F64" s="24">
        <f t="shared" si="14"/>
        <v>-87.7358902403965</v>
      </c>
      <c r="G64" s="9"/>
    </row>
    <row r="65" spans="1:12" ht="15.5" x14ac:dyDescent="0.4">
      <c r="A65" s="16"/>
      <c r="B65" s="24"/>
      <c r="C65" s="24"/>
      <c r="D65" s="24"/>
      <c r="E65" s="24"/>
      <c r="F65" s="24"/>
      <c r="G65" s="9"/>
    </row>
    <row r="66" spans="1:12" ht="15.5" x14ac:dyDescent="0.4">
      <c r="A66" s="17" t="s">
        <v>28</v>
      </c>
      <c r="B66" s="24"/>
      <c r="C66" s="24"/>
      <c r="D66" s="24"/>
      <c r="E66" s="24"/>
      <c r="F66" s="24"/>
      <c r="G66" s="9"/>
    </row>
    <row r="67" spans="1:12" ht="15.5" x14ac:dyDescent="0.4">
      <c r="A67" s="16" t="s">
        <v>34</v>
      </c>
      <c r="B67" s="27">
        <f>B22/($B$16*11)</f>
        <v>225369.00170454546</v>
      </c>
      <c r="C67" s="27">
        <f>B22/(C16*11)</f>
        <v>225369.00170454546</v>
      </c>
      <c r="D67" s="27">
        <f>D22/($C$16*11)</f>
        <v>50757.57575757576</v>
      </c>
      <c r="E67" s="27">
        <f>E22/($C$16*12)</f>
        <v>3472.2222222222222</v>
      </c>
      <c r="F67" s="27">
        <f>F22/($C$16*9)</f>
        <v>208784.33541666667</v>
      </c>
      <c r="G67" s="14"/>
    </row>
    <row r="68" spans="1:12" ht="15.5" x14ac:dyDescent="0.4">
      <c r="A68" s="16" t="s">
        <v>35</v>
      </c>
      <c r="B68" s="27">
        <f>B23/($B$17*11)</f>
        <v>59985.680016356433</v>
      </c>
      <c r="C68" s="27">
        <f>B23/(C17*11)</f>
        <v>59985.680016356433</v>
      </c>
      <c r="D68" s="27">
        <f>D23/($C$17*11)</f>
        <v>52537.764935064923</v>
      </c>
      <c r="E68" s="27">
        <f>E23/($C$17*12)</f>
        <v>2369.2888467074486</v>
      </c>
      <c r="F68" s="27">
        <f>F23/($C$17*9)</f>
        <v>5943.955525968574</v>
      </c>
    </row>
    <row r="69" spans="1:12" ht="15.5" x14ac:dyDescent="0.4">
      <c r="A69" s="16" t="s">
        <v>29</v>
      </c>
      <c r="B69" s="24">
        <f>(B68/B67)*B51</f>
        <v>16.259616206436579</v>
      </c>
      <c r="C69" s="24">
        <f>(C68/C67)*C51</f>
        <v>25.683219566922887</v>
      </c>
      <c r="D69" s="24"/>
      <c r="E69" s="24"/>
      <c r="F69" s="24"/>
      <c r="G69" s="9"/>
    </row>
    <row r="70" spans="1:12" ht="15.5" x14ac:dyDescent="0.4">
      <c r="A70" s="25" t="s">
        <v>77</v>
      </c>
      <c r="B70" s="24">
        <f>B22/($B$16)</f>
        <v>2479059.0187499998</v>
      </c>
      <c r="C70" s="24">
        <f>B22/C16</f>
        <v>2479059.0187499998</v>
      </c>
      <c r="D70" s="24">
        <f>D22/($C$16)</f>
        <v>558333.33333333337</v>
      </c>
      <c r="E70" s="24">
        <f t="shared" ref="E70:F70" si="15">E22/($C$16)</f>
        <v>41666.666666666664</v>
      </c>
      <c r="F70" s="24">
        <f t="shared" si="15"/>
        <v>1879059.01875</v>
      </c>
      <c r="G70" s="9"/>
    </row>
    <row r="71" spans="1:12" ht="15.5" x14ac:dyDescent="0.4">
      <c r="A71" s="25" t="s">
        <v>78</v>
      </c>
      <c r="B71" s="24">
        <f>B23/($B$17)</f>
        <v>659842.48017992079</v>
      </c>
      <c r="C71" s="24">
        <f>B23/C17</f>
        <v>659842.48017992079</v>
      </c>
      <c r="D71" s="24">
        <f>D23/($C$17)</f>
        <v>577915.41428571427</v>
      </c>
      <c r="E71" s="24">
        <f t="shared" ref="E71:F71" si="16">E23/($C$17)</f>
        <v>28431.466160489381</v>
      </c>
      <c r="F71" s="24">
        <f t="shared" si="16"/>
        <v>53495.599733717158</v>
      </c>
      <c r="G71" s="9"/>
    </row>
    <row r="72" spans="1:12" ht="15.5" x14ac:dyDescent="0.4">
      <c r="A72" s="16"/>
      <c r="B72" s="24"/>
      <c r="C72" s="24"/>
      <c r="D72" s="24"/>
      <c r="E72" s="24"/>
      <c r="F72" s="24"/>
      <c r="G72" s="9"/>
    </row>
    <row r="73" spans="1:12" ht="15.5" x14ac:dyDescent="0.4">
      <c r="A73" s="17" t="s">
        <v>30</v>
      </c>
      <c r="B73" s="24"/>
      <c r="C73" s="24"/>
      <c r="D73" s="24"/>
      <c r="E73" s="24"/>
      <c r="F73" s="24"/>
      <c r="G73" s="9"/>
    </row>
    <row r="74" spans="1:12" ht="15.5" x14ac:dyDescent="0.4">
      <c r="A74" s="16" t="s">
        <v>31</v>
      </c>
      <c r="B74" s="24">
        <f>(B29/B28)*100</f>
        <v>68.314478888603915</v>
      </c>
      <c r="C74" s="24"/>
      <c r="D74" s="35" t="s">
        <v>89</v>
      </c>
      <c r="E74" s="24"/>
      <c r="F74" s="24"/>
      <c r="G74" s="9"/>
    </row>
    <row r="75" spans="1:12" ht="15.5" x14ac:dyDescent="0.4">
      <c r="A75" s="16" t="s">
        <v>32</v>
      </c>
      <c r="B75" s="24">
        <f>(B23/B29)*100</f>
        <v>37.595572687896642</v>
      </c>
      <c r="C75" s="24"/>
      <c r="D75" s="36">
        <f>(D29/B28)*100</f>
        <v>99.999920978081406</v>
      </c>
      <c r="E75" s="24"/>
      <c r="F75" s="24"/>
      <c r="G75" s="9"/>
    </row>
    <row r="76" spans="1:12" ht="16" thickBot="1" x14ac:dyDescent="0.45">
      <c r="A76" s="26"/>
      <c r="B76" s="26"/>
      <c r="C76" s="26"/>
      <c r="D76" s="26"/>
      <c r="E76" s="26"/>
      <c r="F76" s="26"/>
    </row>
    <row r="77" spans="1:12" ht="17.25" customHeight="1" thickTop="1" x14ac:dyDescent="0.35">
      <c r="A77" s="45" t="s">
        <v>86</v>
      </c>
      <c r="B77" s="45"/>
      <c r="C77" s="45"/>
      <c r="D77" s="45"/>
      <c r="E77" s="45"/>
      <c r="F77" s="45"/>
    </row>
    <row r="78" spans="1:12" ht="15.5" x14ac:dyDescent="0.4">
      <c r="A78" s="37" t="s">
        <v>87</v>
      </c>
      <c r="B78" s="38"/>
      <c r="C78" s="38"/>
      <c r="D78" s="38"/>
      <c r="E78" s="38"/>
      <c r="F78" s="38"/>
    </row>
    <row r="79" spans="1:12" ht="38.25" customHeight="1" x14ac:dyDescent="0.35">
      <c r="A79" s="39" t="s">
        <v>88</v>
      </c>
      <c r="B79" s="39"/>
      <c r="C79" s="39"/>
      <c r="D79" s="39"/>
      <c r="E79" s="39"/>
      <c r="F79" s="39"/>
      <c r="G79" s="31"/>
    </row>
    <row r="80" spans="1:12" s="12" customFormat="1" x14ac:dyDescent="0.35">
      <c r="H80" s="32"/>
      <c r="I80" s="32"/>
      <c r="J80" s="32"/>
      <c r="K80" s="32"/>
      <c r="L80" s="32"/>
    </row>
    <row r="81" spans="1:5" x14ac:dyDescent="0.35">
      <c r="A81" s="11"/>
      <c r="B81" s="10"/>
      <c r="C81" s="10"/>
      <c r="D81" s="10"/>
      <c r="E81" s="10"/>
    </row>
    <row r="82" spans="1:5" x14ac:dyDescent="0.35">
      <c r="A82" s="4"/>
    </row>
    <row r="83" spans="1:5" x14ac:dyDescent="0.35">
      <c r="A83" s="6"/>
    </row>
    <row r="84" spans="1:5" x14ac:dyDescent="0.35">
      <c r="A84" s="12"/>
    </row>
    <row r="85" spans="1:5" x14ac:dyDescent="0.35">
      <c r="A85" s="12"/>
    </row>
    <row r="86" spans="1:5" x14ac:dyDescent="0.35">
      <c r="A86" s="13"/>
    </row>
    <row r="87" spans="1:5" x14ac:dyDescent="0.35">
      <c r="A87" s="2"/>
    </row>
  </sheetData>
  <mergeCells count="7">
    <mergeCell ref="A78:F78"/>
    <mergeCell ref="A79:F79"/>
    <mergeCell ref="A9:A10"/>
    <mergeCell ref="B9:B10"/>
    <mergeCell ref="D9:F9"/>
    <mergeCell ref="C9:C10"/>
    <mergeCell ref="A77:F77"/>
  </mergeCells>
  <pageMargins left="0.7" right="0.7" top="0.75" bottom="0.75" header="0.3" footer="0.3"/>
  <pageSetup orientation="portrait" horizontalDpi="300" verticalDpi="300" r:id="rId1"/>
  <ignoredErrors>
    <ignoredError sqref="E67:E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dcterms:created xsi:type="dcterms:W3CDTF">2012-03-15T15:44:58Z</dcterms:created>
  <dcterms:modified xsi:type="dcterms:W3CDTF">2023-02-17T21:10:04Z</dcterms:modified>
</cp:coreProperties>
</file>