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863718FBD30B93476FC8B21BE6FC234A354FEEC9" xr6:coauthVersionLast="47" xr6:coauthVersionMax="47" xr10:uidLastSave="{3258B2C6-9935-49E6-B0C8-A0B7AC2BD9EA}"/>
  <bookViews>
    <workbookView xWindow="-110" yWindow="-110" windowWidth="19420" windowHeight="10300" tabRatio="647" xr2:uid="{00000000-000D-0000-FFFF-FFFF00000000}"/>
  </bookViews>
  <sheets>
    <sheet name="I Trimestre" sheetId="4" r:id="rId1"/>
    <sheet name="II Trimestre" sheetId="5" r:id="rId2"/>
    <sheet name="I Semestre" sheetId="2" r:id="rId3"/>
    <sheet name="III Trimestre" sheetId="6" r:id="rId4"/>
    <sheet name="III T Acumulado" sheetId="3" r:id="rId5"/>
    <sheet name="IV Trimestre" sheetId="1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H23" i="7"/>
  <c r="F46" i="1"/>
  <c r="F46" i="6"/>
  <c r="F45" i="6"/>
  <c r="F46" i="5"/>
  <c r="F45" i="5"/>
  <c r="F45" i="4" l="1"/>
  <c r="B34" i="7"/>
  <c r="B34" i="1"/>
  <c r="B34" i="3"/>
  <c r="B34" i="6"/>
  <c r="B34" i="2"/>
  <c r="B34" i="5"/>
  <c r="B29" i="7" l="1"/>
  <c r="H22" i="7" l="1"/>
  <c r="H50" i="7" s="1"/>
  <c r="G22" i="7"/>
  <c r="F22" i="7"/>
  <c r="E22" i="7"/>
  <c r="D22" i="7"/>
  <c r="F16" i="7"/>
  <c r="F45" i="7" s="1"/>
  <c r="E16" i="7"/>
  <c r="D16" i="7"/>
  <c r="F67" i="7" l="1"/>
  <c r="C22" i="7"/>
  <c r="C24" i="1"/>
  <c r="C23" i="1"/>
  <c r="C22" i="1"/>
  <c r="C21" i="1"/>
  <c r="C16" i="1"/>
  <c r="C45" i="1" s="1"/>
  <c r="C17" i="1"/>
  <c r="C46" i="1" s="1"/>
  <c r="C18" i="1"/>
  <c r="C15" i="1"/>
  <c r="E24" i="3" l="1"/>
  <c r="F24" i="3"/>
  <c r="G24" i="3"/>
  <c r="H24" i="3"/>
  <c r="D24" i="3"/>
  <c r="C24" i="3" s="1"/>
  <c r="D21" i="3"/>
  <c r="E21" i="3"/>
  <c r="F21" i="3"/>
  <c r="G21" i="3"/>
  <c r="H21" i="3"/>
  <c r="D22" i="3"/>
  <c r="C22" i="3" s="1"/>
  <c r="E22" i="3"/>
  <c r="F22" i="3"/>
  <c r="G22" i="3"/>
  <c r="H22" i="3"/>
  <c r="D23" i="3"/>
  <c r="E23" i="3"/>
  <c r="F23" i="3"/>
  <c r="G23" i="3"/>
  <c r="H23" i="3"/>
  <c r="D15" i="3"/>
  <c r="E15" i="3"/>
  <c r="F15" i="3"/>
  <c r="D16" i="3"/>
  <c r="E16" i="3"/>
  <c r="F16" i="3"/>
  <c r="F45" i="3" s="1"/>
  <c r="D17" i="3"/>
  <c r="C17" i="3" s="1"/>
  <c r="C46" i="3" s="1"/>
  <c r="E17" i="3"/>
  <c r="F17" i="3"/>
  <c r="F46" i="3" s="1"/>
  <c r="D18" i="3"/>
  <c r="E18" i="3"/>
  <c r="F18" i="3"/>
  <c r="C21" i="6"/>
  <c r="C15" i="6"/>
  <c r="C17" i="6"/>
  <c r="C46" i="6" s="1"/>
  <c r="C18" i="6"/>
  <c r="E15" i="2"/>
  <c r="D15" i="2"/>
  <c r="C21" i="5"/>
  <c r="C15" i="5"/>
  <c r="C21" i="4"/>
  <c r="C15" i="4"/>
  <c r="C18" i="3" l="1"/>
  <c r="C16" i="3"/>
  <c r="C45" i="3" s="1"/>
  <c r="C23" i="3"/>
  <c r="C21" i="3"/>
  <c r="C15" i="2"/>
  <c r="C15" i="3"/>
  <c r="F46" i="4"/>
  <c r="C16" i="7" l="1"/>
  <c r="C45" i="7" s="1"/>
  <c r="F21" i="7"/>
  <c r="F37" i="7" s="1"/>
  <c r="G21" i="7"/>
  <c r="G37" i="7" s="1"/>
  <c r="H21" i="7"/>
  <c r="H37" i="7" s="1"/>
  <c r="F23" i="7"/>
  <c r="F25" i="7" s="1"/>
  <c r="G23" i="7"/>
  <c r="G25" i="7" s="1"/>
  <c r="H51" i="7"/>
  <c r="F24" i="7"/>
  <c r="F70" i="7" s="1"/>
  <c r="G24" i="7"/>
  <c r="H24" i="7"/>
  <c r="E21" i="7"/>
  <c r="E37" i="7" s="1"/>
  <c r="E23" i="7"/>
  <c r="E24" i="7"/>
  <c r="E67" i="7" s="1"/>
  <c r="E25" i="7"/>
  <c r="E18" i="7"/>
  <c r="F18" i="7"/>
  <c r="E17" i="7"/>
  <c r="E49" i="7" s="1"/>
  <c r="F17" i="7"/>
  <c r="F46" i="7" s="1"/>
  <c r="D17" i="7"/>
  <c r="D15" i="7"/>
  <c r="E15" i="7"/>
  <c r="E39" i="7" s="1"/>
  <c r="F15" i="7"/>
  <c r="E55" i="7" l="1"/>
  <c r="F39" i="7"/>
  <c r="C15" i="7"/>
  <c r="F50" i="7"/>
  <c r="G50" i="7"/>
  <c r="G51" i="7" s="1"/>
  <c r="E70" i="7"/>
  <c r="G55" i="7"/>
  <c r="G56" i="7" s="1"/>
  <c r="G38" i="7"/>
  <c r="G63" i="7" s="1"/>
  <c r="F49" i="7"/>
  <c r="E71" i="7"/>
  <c r="E68" i="7"/>
  <c r="E54" i="7"/>
  <c r="E56" i="7" s="1"/>
  <c r="D49" i="7"/>
  <c r="C17" i="7"/>
  <c r="H38" i="7"/>
  <c r="H63" i="7" s="1"/>
  <c r="E38" i="7"/>
  <c r="E40" i="7" s="1"/>
  <c r="F62" i="7"/>
  <c r="H55" i="7"/>
  <c r="H56" i="7" s="1"/>
  <c r="F54" i="7"/>
  <c r="E50" i="7"/>
  <c r="E51" i="7" s="1"/>
  <c r="F38" i="7"/>
  <c r="F71" i="7"/>
  <c r="F68" i="7"/>
  <c r="F55" i="7"/>
  <c r="B16" i="7"/>
  <c r="B45" i="7" s="1"/>
  <c r="B17" i="7" l="1"/>
  <c r="B46" i="7" s="1"/>
  <c r="C46" i="7"/>
  <c r="F51" i="7"/>
  <c r="F69" i="7" s="1"/>
  <c r="C49" i="7"/>
  <c r="E69" i="7"/>
  <c r="F56" i="7"/>
  <c r="F63" i="7"/>
  <c r="F40" i="7"/>
  <c r="F64" i="7" s="1"/>
  <c r="C37" i="1"/>
  <c r="C39" i="1" s="1"/>
  <c r="D37" i="1"/>
  <c r="D39" i="1" s="1"/>
  <c r="E37" i="1"/>
  <c r="E39" i="1" s="1"/>
  <c r="F37" i="1"/>
  <c r="F39" i="1" s="1"/>
  <c r="G37" i="1"/>
  <c r="H37" i="1"/>
  <c r="D38" i="1"/>
  <c r="D40" i="1" s="1"/>
  <c r="E38" i="1"/>
  <c r="E40" i="1" s="1"/>
  <c r="F38" i="1"/>
  <c r="F40" i="1" s="1"/>
  <c r="G38" i="1"/>
  <c r="H38" i="1"/>
  <c r="D49" i="1"/>
  <c r="E49" i="1"/>
  <c r="F49" i="1"/>
  <c r="D50" i="1"/>
  <c r="E50" i="1"/>
  <c r="F50" i="1"/>
  <c r="H50" i="1"/>
  <c r="H51" i="1" s="1"/>
  <c r="D54" i="1"/>
  <c r="E54" i="1"/>
  <c r="F54" i="1"/>
  <c r="D55" i="1"/>
  <c r="E55" i="1"/>
  <c r="F55" i="1"/>
  <c r="G55" i="1"/>
  <c r="G56" i="1" s="1"/>
  <c r="H55" i="1"/>
  <c r="H56" i="1" s="1"/>
  <c r="F62" i="1"/>
  <c r="D67" i="1"/>
  <c r="E67" i="1"/>
  <c r="F67" i="1"/>
  <c r="D68" i="1"/>
  <c r="E68" i="1"/>
  <c r="F68" i="1"/>
  <c r="D70" i="1"/>
  <c r="E70" i="1"/>
  <c r="F70" i="1"/>
  <c r="D71" i="1"/>
  <c r="E71" i="1"/>
  <c r="F71" i="1"/>
  <c r="B21" i="1"/>
  <c r="D25" i="1"/>
  <c r="E25" i="1"/>
  <c r="F25" i="1"/>
  <c r="G25" i="1"/>
  <c r="B22" i="1"/>
  <c r="B24" i="1"/>
  <c r="B15" i="1"/>
  <c r="B18" i="1"/>
  <c r="D37" i="3"/>
  <c r="D39" i="3" s="1"/>
  <c r="E37" i="3"/>
  <c r="E39" i="3" s="1"/>
  <c r="G25" i="3"/>
  <c r="E25" i="3"/>
  <c r="G50" i="3"/>
  <c r="G51" i="3" s="1"/>
  <c r="E50" i="3"/>
  <c r="H37" i="3"/>
  <c r="G37" i="3"/>
  <c r="B18" i="3"/>
  <c r="C37" i="6"/>
  <c r="C39" i="6" s="1"/>
  <c r="D37" i="6"/>
  <c r="D39" i="6" s="1"/>
  <c r="E37" i="6"/>
  <c r="E39" i="6" s="1"/>
  <c r="F37" i="6"/>
  <c r="F39" i="6" s="1"/>
  <c r="G37" i="6"/>
  <c r="H37" i="6"/>
  <c r="H63" i="6" s="1"/>
  <c r="D38" i="6"/>
  <c r="E38" i="6"/>
  <c r="E40" i="6" s="1"/>
  <c r="F38" i="6"/>
  <c r="F63" i="6" s="1"/>
  <c r="G38" i="6"/>
  <c r="H38" i="6"/>
  <c r="D40" i="6"/>
  <c r="D49" i="6"/>
  <c r="D51" i="6" s="1"/>
  <c r="E49" i="6"/>
  <c r="F49" i="6"/>
  <c r="F51" i="6" s="1"/>
  <c r="D50" i="6"/>
  <c r="E50" i="6"/>
  <c r="F50" i="6"/>
  <c r="H50" i="6"/>
  <c r="H51" i="6" s="1"/>
  <c r="E51" i="6"/>
  <c r="D54" i="6"/>
  <c r="E54" i="6"/>
  <c r="F54" i="6"/>
  <c r="D55" i="6"/>
  <c r="E55" i="6"/>
  <c r="E56" i="6" s="1"/>
  <c r="F55" i="6"/>
  <c r="F56" i="6" s="1"/>
  <c r="G55" i="6"/>
  <c r="G56" i="6" s="1"/>
  <c r="H55" i="6"/>
  <c r="H56" i="6" s="1"/>
  <c r="F62" i="6"/>
  <c r="D67" i="6"/>
  <c r="E67" i="6"/>
  <c r="F67" i="6"/>
  <c r="D68" i="6"/>
  <c r="E68" i="6"/>
  <c r="F68" i="6"/>
  <c r="D70" i="6"/>
  <c r="E70" i="6"/>
  <c r="F70" i="6"/>
  <c r="D71" i="6"/>
  <c r="E71" i="6"/>
  <c r="F71" i="6"/>
  <c r="B21" i="6"/>
  <c r="C23" i="6"/>
  <c r="C38" i="6" s="1"/>
  <c r="C24" i="6"/>
  <c r="B24" i="6" s="1"/>
  <c r="C22" i="6"/>
  <c r="G25" i="6"/>
  <c r="F25" i="6"/>
  <c r="E25" i="6"/>
  <c r="D25" i="6"/>
  <c r="B15" i="6"/>
  <c r="B18" i="6"/>
  <c r="C16" i="6"/>
  <c r="C45" i="6" s="1"/>
  <c r="E21" i="2"/>
  <c r="E37" i="2" s="1"/>
  <c r="E39" i="2" s="1"/>
  <c r="F21" i="2"/>
  <c r="F37" i="2" s="1"/>
  <c r="G21" i="2"/>
  <c r="G37" i="2" s="1"/>
  <c r="H21" i="2"/>
  <c r="H37" i="2" s="1"/>
  <c r="E22" i="2"/>
  <c r="F22" i="2"/>
  <c r="G22" i="2"/>
  <c r="H22" i="2"/>
  <c r="E23" i="2"/>
  <c r="F23" i="2"/>
  <c r="F38" i="2" s="1"/>
  <c r="F63" i="2" s="1"/>
  <c r="G23" i="2"/>
  <c r="G25" i="2" s="1"/>
  <c r="H23" i="2"/>
  <c r="H50" i="2" s="1"/>
  <c r="H51" i="2" s="1"/>
  <c r="E24" i="2"/>
  <c r="F24" i="2"/>
  <c r="G24" i="2"/>
  <c r="H24" i="2"/>
  <c r="E25" i="2"/>
  <c r="F25" i="2"/>
  <c r="F15" i="2"/>
  <c r="F16" i="2"/>
  <c r="F45" i="2" s="1"/>
  <c r="F17" i="2"/>
  <c r="F46" i="2" s="1"/>
  <c r="F18" i="2"/>
  <c r="E18" i="2"/>
  <c r="E17" i="2"/>
  <c r="E16" i="2"/>
  <c r="C37" i="5"/>
  <c r="C39" i="5" s="1"/>
  <c r="D37" i="5"/>
  <c r="D39" i="5" s="1"/>
  <c r="E37" i="5"/>
  <c r="E39" i="5" s="1"/>
  <c r="F37" i="5"/>
  <c r="F39" i="5" s="1"/>
  <c r="G37" i="5"/>
  <c r="H37" i="5"/>
  <c r="D38" i="5"/>
  <c r="D40" i="5" s="1"/>
  <c r="E38" i="5"/>
  <c r="E40" i="5" s="1"/>
  <c r="F38" i="5"/>
  <c r="F40" i="5" s="1"/>
  <c r="G38" i="5"/>
  <c r="H38" i="5"/>
  <c r="D49" i="5"/>
  <c r="E49" i="5"/>
  <c r="F49" i="5"/>
  <c r="D50" i="5"/>
  <c r="E50" i="5"/>
  <c r="F50" i="5"/>
  <c r="F51" i="5" s="1"/>
  <c r="G50" i="5"/>
  <c r="G51" i="5" s="1"/>
  <c r="H50" i="5"/>
  <c r="H51" i="5" s="1"/>
  <c r="D54" i="5"/>
  <c r="E54" i="5"/>
  <c r="F54" i="5"/>
  <c r="D55" i="5"/>
  <c r="E55" i="5"/>
  <c r="E56" i="5" s="1"/>
  <c r="F55" i="5"/>
  <c r="G55" i="5"/>
  <c r="G56" i="5" s="1"/>
  <c r="H55" i="5"/>
  <c r="H56" i="5" s="1"/>
  <c r="F62" i="5"/>
  <c r="E67" i="5"/>
  <c r="F67" i="5"/>
  <c r="E68" i="5"/>
  <c r="F68" i="5"/>
  <c r="E70" i="5"/>
  <c r="F70" i="5"/>
  <c r="E71" i="5"/>
  <c r="F71" i="5"/>
  <c r="G25" i="5"/>
  <c r="F25" i="5"/>
  <c r="E25" i="5"/>
  <c r="D25" i="5"/>
  <c r="B21" i="5"/>
  <c r="C23" i="5"/>
  <c r="C38" i="5" s="1"/>
  <c r="C24" i="5"/>
  <c r="B24" i="5" s="1"/>
  <c r="C22" i="5"/>
  <c r="B22" i="5" s="1"/>
  <c r="B15" i="5"/>
  <c r="C17" i="5"/>
  <c r="C18" i="5"/>
  <c r="B18" i="5" s="1"/>
  <c r="C16" i="5"/>
  <c r="C45" i="5" s="1"/>
  <c r="C37" i="4"/>
  <c r="C39" i="4" s="1"/>
  <c r="D37" i="4"/>
  <c r="D39" i="4" s="1"/>
  <c r="E37" i="4"/>
  <c r="E39" i="4" s="1"/>
  <c r="F37" i="4"/>
  <c r="F39" i="4" s="1"/>
  <c r="G37" i="4"/>
  <c r="H37" i="4"/>
  <c r="D38" i="4"/>
  <c r="D40" i="4" s="1"/>
  <c r="E38" i="4"/>
  <c r="E40" i="4" s="1"/>
  <c r="F38" i="4"/>
  <c r="F40" i="4" s="1"/>
  <c r="G38" i="4"/>
  <c r="H38" i="4"/>
  <c r="H63" i="4" s="1"/>
  <c r="D67" i="4"/>
  <c r="E67" i="4"/>
  <c r="F67" i="4"/>
  <c r="D68" i="4"/>
  <c r="E68" i="4"/>
  <c r="F68" i="4"/>
  <c r="D70" i="4"/>
  <c r="E70" i="4"/>
  <c r="F70" i="4"/>
  <c r="D71" i="4"/>
  <c r="E71" i="4"/>
  <c r="F71" i="4"/>
  <c r="F62" i="4"/>
  <c r="D54" i="4"/>
  <c r="E54" i="4"/>
  <c r="F54" i="4"/>
  <c r="D55" i="4"/>
  <c r="E55" i="4"/>
  <c r="F55" i="4"/>
  <c r="G55" i="4"/>
  <c r="G56" i="4" s="1"/>
  <c r="H55" i="4"/>
  <c r="H56" i="4" s="1"/>
  <c r="E56" i="4"/>
  <c r="D49" i="4"/>
  <c r="E49" i="4"/>
  <c r="F49" i="4"/>
  <c r="D50" i="4"/>
  <c r="E50" i="4"/>
  <c r="F50" i="4"/>
  <c r="G50" i="4"/>
  <c r="G51" i="4" s="1"/>
  <c r="H50" i="4"/>
  <c r="H51" i="4" s="1"/>
  <c r="B34" i="4"/>
  <c r="B21" i="4"/>
  <c r="C23" i="4"/>
  <c r="C38" i="4" s="1"/>
  <c r="C24" i="4"/>
  <c r="B24" i="4" s="1"/>
  <c r="C22" i="4"/>
  <c r="B22" i="4" s="1"/>
  <c r="G25" i="4"/>
  <c r="F25" i="4"/>
  <c r="E25" i="4"/>
  <c r="D25" i="4"/>
  <c r="B15" i="4"/>
  <c r="C17" i="4"/>
  <c r="C46" i="4" s="1"/>
  <c r="C18" i="4"/>
  <c r="B18" i="4" s="1"/>
  <c r="C16" i="4"/>
  <c r="C45" i="4" s="1"/>
  <c r="D69" i="6" l="1"/>
  <c r="F69" i="5"/>
  <c r="F40" i="6"/>
  <c r="D56" i="5"/>
  <c r="C46" i="5"/>
  <c r="C49" i="5"/>
  <c r="D51" i="5"/>
  <c r="D56" i="6"/>
  <c r="E51" i="5"/>
  <c r="G63" i="6"/>
  <c r="G63" i="4"/>
  <c r="E51" i="4"/>
  <c r="E69" i="4" s="1"/>
  <c r="E69" i="6"/>
  <c r="F69" i="6"/>
  <c r="C67" i="6"/>
  <c r="F63" i="5"/>
  <c r="E69" i="5"/>
  <c r="F56" i="5"/>
  <c r="G63" i="5"/>
  <c r="H63" i="5"/>
  <c r="F56" i="4"/>
  <c r="D56" i="4"/>
  <c r="F63" i="1"/>
  <c r="D56" i="1"/>
  <c r="F51" i="1"/>
  <c r="F69" i="1" s="1"/>
  <c r="E55" i="3"/>
  <c r="G55" i="3"/>
  <c r="G56" i="3" s="1"/>
  <c r="G38" i="3"/>
  <c r="G63" i="3" s="1"/>
  <c r="F64" i="6"/>
  <c r="B23" i="6"/>
  <c r="C40" i="6"/>
  <c r="C64" i="6" s="1"/>
  <c r="C63" i="6"/>
  <c r="B16" i="6"/>
  <c r="B45" i="6" s="1"/>
  <c r="B17" i="6"/>
  <c r="B46" i="6" s="1"/>
  <c r="B22" i="6"/>
  <c r="C71" i="6"/>
  <c r="C70" i="6"/>
  <c r="C68" i="6"/>
  <c r="C62" i="6"/>
  <c r="C55" i="6"/>
  <c r="C54" i="6"/>
  <c r="C50" i="6"/>
  <c r="C49" i="6"/>
  <c r="B23" i="5"/>
  <c r="F64" i="5"/>
  <c r="C40" i="5"/>
  <c r="C64" i="5" s="1"/>
  <c r="C63" i="5"/>
  <c r="B16" i="5"/>
  <c r="B45" i="5" s="1"/>
  <c r="H55" i="2"/>
  <c r="H56" i="2" s="1"/>
  <c r="H38" i="2"/>
  <c r="H63" i="2" s="1"/>
  <c r="B17" i="5"/>
  <c r="C62" i="5"/>
  <c r="C55" i="5"/>
  <c r="C54" i="5"/>
  <c r="C50" i="5"/>
  <c r="F63" i="4"/>
  <c r="F39" i="2"/>
  <c r="F55" i="2"/>
  <c r="F50" i="2"/>
  <c r="F70" i="2"/>
  <c r="F51" i="4"/>
  <c r="F69" i="4" s="1"/>
  <c r="D51" i="4"/>
  <c r="D69" i="4" s="1"/>
  <c r="F67" i="2"/>
  <c r="F64" i="4"/>
  <c r="C62" i="4"/>
  <c r="C54" i="4"/>
  <c r="C49" i="4"/>
  <c r="B16" i="4"/>
  <c r="B45" i="4" s="1"/>
  <c r="C67" i="4"/>
  <c r="C40" i="4"/>
  <c r="C64" i="4" s="1"/>
  <c r="C63" i="4"/>
  <c r="F40" i="2"/>
  <c r="F64" i="2" s="1"/>
  <c r="F49" i="2"/>
  <c r="F54" i="2"/>
  <c r="F62" i="2"/>
  <c r="F71" i="2"/>
  <c r="F68" i="2"/>
  <c r="B17" i="4"/>
  <c r="B46" i="4" s="1"/>
  <c r="E49" i="2"/>
  <c r="G38" i="2"/>
  <c r="G63" i="2" s="1"/>
  <c r="G50" i="2"/>
  <c r="G51" i="2" s="1"/>
  <c r="G55" i="2"/>
  <c r="G56" i="2" s="1"/>
  <c r="E38" i="2"/>
  <c r="E40" i="2" s="1"/>
  <c r="E50" i="2"/>
  <c r="E55" i="2"/>
  <c r="E68" i="2"/>
  <c r="E71" i="2"/>
  <c r="E67" i="2"/>
  <c r="E70" i="2"/>
  <c r="B23" i="4"/>
  <c r="C50" i="4"/>
  <c r="C55" i="4"/>
  <c r="C71" i="4"/>
  <c r="C70" i="4"/>
  <c r="C68" i="4"/>
  <c r="E54" i="2"/>
  <c r="E56" i="1"/>
  <c r="D51" i="1"/>
  <c r="D69" i="1" s="1"/>
  <c r="E70" i="3"/>
  <c r="D67" i="3"/>
  <c r="F67" i="3"/>
  <c r="B24" i="3"/>
  <c r="E68" i="3"/>
  <c r="E38" i="3"/>
  <c r="E40" i="3" s="1"/>
  <c r="H63" i="1"/>
  <c r="F64" i="1"/>
  <c r="C50" i="1"/>
  <c r="F56" i="1"/>
  <c r="E51" i="1"/>
  <c r="E69" i="1" s="1"/>
  <c r="B16" i="1"/>
  <c r="B45" i="1" s="1"/>
  <c r="C70" i="1"/>
  <c r="C67" i="1"/>
  <c r="G63" i="1"/>
  <c r="C38" i="1"/>
  <c r="C63" i="1" s="1"/>
  <c r="B23" i="1"/>
  <c r="C55" i="1"/>
  <c r="B17" i="1"/>
  <c r="B46" i="1" s="1"/>
  <c r="C71" i="1"/>
  <c r="C68" i="1"/>
  <c r="C62" i="1"/>
  <c r="C54" i="1"/>
  <c r="C49" i="1"/>
  <c r="C51" i="1" s="1"/>
  <c r="B23" i="3"/>
  <c r="C38" i="3"/>
  <c r="E49" i="3"/>
  <c r="E51" i="3" s="1"/>
  <c r="E54" i="3"/>
  <c r="F37" i="3"/>
  <c r="F39" i="3" s="1"/>
  <c r="D25" i="3"/>
  <c r="D38" i="3"/>
  <c r="D50" i="3"/>
  <c r="D55" i="3"/>
  <c r="D68" i="3"/>
  <c r="D71" i="3"/>
  <c r="F25" i="3"/>
  <c r="F38" i="3"/>
  <c r="F50" i="3"/>
  <c r="F55" i="3"/>
  <c r="F68" i="3"/>
  <c r="F71" i="3"/>
  <c r="H38" i="3"/>
  <c r="H50" i="3"/>
  <c r="H51" i="3" s="1"/>
  <c r="H55" i="3"/>
  <c r="H56" i="3" s="1"/>
  <c r="E71" i="3"/>
  <c r="E67" i="3"/>
  <c r="F70" i="3"/>
  <c r="D70" i="3"/>
  <c r="F62" i="3"/>
  <c r="F54" i="3"/>
  <c r="D54" i="3"/>
  <c r="F49" i="3"/>
  <c r="D49" i="3"/>
  <c r="D51" i="3" s="1"/>
  <c r="C67" i="5"/>
  <c r="D67" i="5"/>
  <c r="C68" i="5"/>
  <c r="D68" i="5"/>
  <c r="D69" i="5" s="1"/>
  <c r="C70" i="5"/>
  <c r="D70" i="5"/>
  <c r="C71" i="5"/>
  <c r="D71" i="5"/>
  <c r="B46" i="5" l="1"/>
  <c r="B49" i="5"/>
  <c r="E56" i="3"/>
  <c r="D56" i="3"/>
  <c r="E69" i="3"/>
  <c r="C71" i="3"/>
  <c r="C51" i="6"/>
  <c r="C69" i="6" s="1"/>
  <c r="C56" i="6"/>
  <c r="F51" i="2"/>
  <c r="F69" i="2" s="1"/>
  <c r="C51" i="5"/>
  <c r="C69" i="5" s="1"/>
  <c r="C56" i="5"/>
  <c r="E56" i="2"/>
  <c r="F56" i="2"/>
  <c r="C51" i="4"/>
  <c r="C69" i="4" s="1"/>
  <c r="E51" i="2"/>
  <c r="E69" i="2" s="1"/>
  <c r="C56" i="4"/>
  <c r="F56" i="3"/>
  <c r="C55" i="3"/>
  <c r="C40" i="1"/>
  <c r="C64" i="1" s="1"/>
  <c r="C56" i="1"/>
  <c r="C69" i="1"/>
  <c r="C70" i="3"/>
  <c r="C67" i="3"/>
  <c r="B22" i="3"/>
  <c r="H63" i="3"/>
  <c r="D69" i="3"/>
  <c r="B16" i="3"/>
  <c r="B45" i="3" s="1"/>
  <c r="C50" i="3"/>
  <c r="F51" i="3"/>
  <c r="F69" i="3" s="1"/>
  <c r="C49" i="3"/>
  <c r="C54" i="3"/>
  <c r="B17" i="3"/>
  <c r="B46" i="3" s="1"/>
  <c r="C68" i="3"/>
  <c r="F40" i="3"/>
  <c r="F64" i="3" s="1"/>
  <c r="F63" i="3"/>
  <c r="D40" i="3"/>
  <c r="C40" i="3"/>
  <c r="C56" i="3" l="1"/>
  <c r="C51" i="3"/>
  <c r="C69" i="3" s="1"/>
  <c r="D16" i="2"/>
  <c r="C16" i="2" s="1"/>
  <c r="C45" i="2" s="1"/>
  <c r="D17" i="2"/>
  <c r="D18" i="2"/>
  <c r="C18" i="2" s="1"/>
  <c r="B18" i="2" s="1"/>
  <c r="D21" i="2"/>
  <c r="D22" i="2"/>
  <c r="D23" i="2"/>
  <c r="D25" i="2" s="1"/>
  <c r="D24" i="2"/>
  <c r="C24" i="2" s="1"/>
  <c r="B24" i="2" s="1"/>
  <c r="B37" i="1"/>
  <c r="B37" i="6"/>
  <c r="D37" i="2" l="1"/>
  <c r="D39" i="2" s="1"/>
  <c r="C21" i="2"/>
  <c r="C23" i="2"/>
  <c r="D38" i="2"/>
  <c r="D40" i="2" s="1"/>
  <c r="D50" i="2"/>
  <c r="D55" i="2"/>
  <c r="D68" i="2"/>
  <c r="D71" i="2"/>
  <c r="C17" i="2"/>
  <c r="C46" i="2" s="1"/>
  <c r="D49" i="2"/>
  <c r="D54" i="2"/>
  <c r="C22" i="2"/>
  <c r="D67" i="2"/>
  <c r="D70" i="2"/>
  <c r="B16" i="2"/>
  <c r="B45" i="2" s="1"/>
  <c r="B55" i="6"/>
  <c r="B50" i="6"/>
  <c r="B54" i="6"/>
  <c r="B39" i="1"/>
  <c r="B71" i="1"/>
  <c r="B68" i="1"/>
  <c r="B75" i="1"/>
  <c r="B38" i="1"/>
  <c r="B40" i="1" s="1"/>
  <c r="B62" i="1"/>
  <c r="B55" i="1"/>
  <c r="B50" i="1"/>
  <c r="B54" i="1"/>
  <c r="B56" i="1" s="1"/>
  <c r="B62" i="6"/>
  <c r="B39" i="6"/>
  <c r="B71" i="6"/>
  <c r="B75" i="6"/>
  <c r="B38" i="6"/>
  <c r="B40" i="6" s="1"/>
  <c r="B68" i="6"/>
  <c r="B67" i="1"/>
  <c r="B49" i="1"/>
  <c r="B70" i="1"/>
  <c r="B67" i="6"/>
  <c r="B49" i="6"/>
  <c r="B70" i="6"/>
  <c r="B37" i="5"/>
  <c r="B37" i="4"/>
  <c r="B54" i="4"/>
  <c r="B56" i="6" l="1"/>
  <c r="D51" i="2"/>
  <c r="D69" i="2" s="1"/>
  <c r="C67" i="2"/>
  <c r="C70" i="2"/>
  <c r="B22" i="2"/>
  <c r="D56" i="2"/>
  <c r="C49" i="2"/>
  <c r="C54" i="2"/>
  <c r="B17" i="2"/>
  <c r="B46" i="2" s="1"/>
  <c r="C38" i="2"/>
  <c r="C50" i="2"/>
  <c r="C55" i="2"/>
  <c r="C68" i="2"/>
  <c r="C71" i="2"/>
  <c r="B23" i="2"/>
  <c r="B51" i="6"/>
  <c r="B69" i="6" s="1"/>
  <c r="B64" i="6"/>
  <c r="B55" i="5"/>
  <c r="B50" i="5"/>
  <c r="B54" i="5"/>
  <c r="B56" i="5" s="1"/>
  <c r="B55" i="4"/>
  <c r="B56" i="4" s="1"/>
  <c r="B50" i="4"/>
  <c r="B64" i="1"/>
  <c r="B51" i="1"/>
  <c r="B69" i="1" s="1"/>
  <c r="B63" i="1"/>
  <c r="B63" i="6"/>
  <c r="B62" i="5"/>
  <c r="B39" i="5"/>
  <c r="B71" i="5"/>
  <c r="B68" i="5"/>
  <c r="B75" i="5"/>
  <c r="B38" i="5"/>
  <c r="B40" i="5" s="1"/>
  <c r="B39" i="4"/>
  <c r="B62" i="4"/>
  <c r="B68" i="4"/>
  <c r="B75" i="4"/>
  <c r="B38" i="4"/>
  <c r="B40" i="4" s="1"/>
  <c r="B71" i="4"/>
  <c r="B67" i="5"/>
  <c r="B70" i="5"/>
  <c r="B70" i="4"/>
  <c r="B67" i="4"/>
  <c r="B49" i="4"/>
  <c r="B51" i="4" l="1"/>
  <c r="C51" i="2"/>
  <c r="C69" i="2" s="1"/>
  <c r="C40" i="2"/>
  <c r="C56" i="2"/>
  <c r="B51" i="5"/>
  <c r="B69" i="5" s="1"/>
  <c r="B64" i="5"/>
  <c r="B63" i="5"/>
  <c r="B63" i="4"/>
  <c r="B64" i="4"/>
  <c r="B69" i="4"/>
  <c r="C25" i="4" l="1"/>
  <c r="B25" i="4" l="1"/>
  <c r="B59" i="4" s="1"/>
  <c r="D18" i="7"/>
  <c r="C18" i="7" l="1"/>
  <c r="D54" i="7"/>
  <c r="B15" i="7"/>
  <c r="C62" i="7"/>
  <c r="B15" i="3"/>
  <c r="C62" i="3"/>
  <c r="B54" i="3"/>
  <c r="B18" i="7" l="1"/>
  <c r="C54" i="7"/>
  <c r="B15" i="2"/>
  <c r="C62" i="2"/>
  <c r="B54" i="7"/>
  <c r="B62" i="3"/>
  <c r="B62" i="7"/>
  <c r="B49" i="7"/>
  <c r="B49" i="3"/>
  <c r="B28" i="4"/>
  <c r="B74" i="4" s="1"/>
  <c r="C25" i="5"/>
  <c r="C25" i="6"/>
  <c r="C25" i="1"/>
  <c r="B25" i="6" l="1"/>
  <c r="B59" i="6" s="1"/>
  <c r="B25" i="5"/>
  <c r="B59" i="5" s="1"/>
  <c r="C37" i="2"/>
  <c r="B21" i="2"/>
  <c r="C37" i="3"/>
  <c r="B21" i="3"/>
  <c r="B25" i="1"/>
  <c r="B59" i="1" s="1"/>
  <c r="B62" i="2"/>
  <c r="B49" i="2"/>
  <c r="B54" i="2"/>
  <c r="C25" i="2"/>
  <c r="B25" i="2" s="1"/>
  <c r="C25" i="3"/>
  <c r="D24" i="7"/>
  <c r="C24" i="7" s="1"/>
  <c r="B24" i="7" l="1"/>
  <c r="C39" i="3"/>
  <c r="C64" i="3" s="1"/>
  <c r="C63" i="3"/>
  <c r="C39" i="2"/>
  <c r="C64" i="2" s="1"/>
  <c r="C63" i="2"/>
  <c r="B25" i="3"/>
  <c r="D23" i="7"/>
  <c r="C23" i="7" s="1"/>
  <c r="D21" i="7"/>
  <c r="D37" i="7" l="1"/>
  <c r="D39" i="7" s="1"/>
  <c r="C21" i="7"/>
  <c r="D67" i="7"/>
  <c r="D70" i="7"/>
  <c r="D50" i="7"/>
  <c r="D51" i="7" s="1"/>
  <c r="D55" i="7"/>
  <c r="D56" i="7" s="1"/>
  <c r="D68" i="7"/>
  <c r="D71" i="7"/>
  <c r="D38" i="7"/>
  <c r="D40" i="7" s="1"/>
  <c r="B37" i="2"/>
  <c r="B55" i="3"/>
  <c r="B56" i="3" s="1"/>
  <c r="B37" i="3"/>
  <c r="B55" i="2"/>
  <c r="B56" i="2" s="1"/>
  <c r="B59" i="2"/>
  <c r="D25" i="7"/>
  <c r="C37" i="7" l="1"/>
  <c r="C39" i="7" s="1"/>
  <c r="B21" i="7"/>
  <c r="B37" i="7" s="1"/>
  <c r="B39" i="7" s="1"/>
  <c r="C25" i="7"/>
  <c r="B25" i="7" s="1"/>
  <c r="B22" i="7"/>
  <c r="B70" i="7" s="1"/>
  <c r="C70" i="7"/>
  <c r="C67" i="7"/>
  <c r="D69" i="7"/>
  <c r="C55" i="7"/>
  <c r="C56" i="7" s="1"/>
  <c r="C68" i="7"/>
  <c r="C71" i="7"/>
  <c r="C38" i="7"/>
  <c r="B23" i="7"/>
  <c r="B55" i="7" s="1"/>
  <c r="B56" i="7" s="1"/>
  <c r="C50" i="7"/>
  <c r="C51" i="7" s="1"/>
  <c r="B39" i="2"/>
  <c r="B59" i="3"/>
  <c r="B39" i="3"/>
  <c r="B71" i="3"/>
  <c r="B68" i="3"/>
  <c r="B38" i="3"/>
  <c r="B40" i="3" s="1"/>
  <c r="B38" i="2"/>
  <c r="B40" i="2" s="1"/>
  <c r="B71" i="2"/>
  <c r="B68" i="2"/>
  <c r="B50" i="2"/>
  <c r="B51" i="2" s="1"/>
  <c r="B70" i="2"/>
  <c r="B67" i="2"/>
  <c r="B50" i="3"/>
  <c r="B51" i="3" s="1"/>
  <c r="B70" i="3"/>
  <c r="B67" i="3"/>
  <c r="B29" i="3"/>
  <c r="B75" i="3" s="1"/>
  <c r="B29" i="2"/>
  <c r="B75" i="2" s="1"/>
  <c r="B67" i="7" l="1"/>
  <c r="B59" i="7"/>
  <c r="C69" i="7"/>
  <c r="B50" i="7"/>
  <c r="B51" i="7" s="1"/>
  <c r="B38" i="7"/>
  <c r="B63" i="7" s="1"/>
  <c r="B75" i="7"/>
  <c r="B71" i="7"/>
  <c r="B68" i="7"/>
  <c r="C63" i="7"/>
  <c r="C40" i="7"/>
  <c r="C64" i="7" s="1"/>
  <c r="B63" i="3"/>
  <c r="B64" i="2"/>
  <c r="B40" i="7"/>
  <c r="B64" i="7" s="1"/>
  <c r="B64" i="3"/>
  <c r="B63" i="2"/>
  <c r="B69" i="3"/>
  <c r="B69" i="2"/>
  <c r="B28" i="2"/>
  <c r="B74" i="2" s="1"/>
  <c r="B28" i="7"/>
  <c r="B74" i="7" s="1"/>
  <c r="B69" i="7" l="1"/>
  <c r="B28" i="1"/>
  <c r="B74" i="1" s="1"/>
  <c r="B28" i="3" l="1"/>
  <c r="B74" i="3" s="1"/>
  <c r="B28" i="6" l="1"/>
  <c r="B74" i="6" s="1"/>
  <c r="B28" i="5"/>
  <c r="B74" i="5" s="1"/>
</calcChain>
</file>

<file path=xl/sharedStrings.xml><?xml version="1.0" encoding="utf-8"?>
<sst xmlns="http://schemas.openxmlformats.org/spreadsheetml/2006/main" count="438" uniqueCount="123">
  <si>
    <t>Indicador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</si>
  <si>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</si>
  <si>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</si>
  <si>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</si>
  <si>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</si>
  <si>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</si>
  <si>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</si>
  <si>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</si>
  <si>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</si>
  <si>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</si>
  <si>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</si>
  <si>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</si>
  <si>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</si>
  <si>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</si>
  <si>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</si>
  <si>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</si>
  <si>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</si>
  <si>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</si>
  <si>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</si>
  <si>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</si>
  <si>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</si>
  <si>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</si>
  <si>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</si>
  <si>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</si>
  <si>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</si>
  <si>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</si>
  <si>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</si>
  <si>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</si>
  <si>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</si>
  <si>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</si>
  <si>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</si>
  <si>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</si>
  <si>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</si>
  <si>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</si>
  <si>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</si>
  <si>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</si>
  <si>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</si>
  <si>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</si>
  <si>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</si>
  <si>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</si>
  <si>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</si>
  <si>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</si>
  <si>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Pensión Especial</t>
  </si>
  <si>
    <t xml:space="preserve">Servicios Médicos </t>
  </si>
  <si>
    <t xml:space="preserve">Gastos Administrativos </t>
  </si>
  <si>
    <t xml:space="preserve">Productos </t>
  </si>
  <si>
    <t>Total Pensión Ordinaria</t>
  </si>
  <si>
    <t>Pensiones ordinarias para adultos mayores (65 o más años)</t>
  </si>
  <si>
    <t>Pensiones ordinarias para otros beneficiarios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</si>
  <si>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</si>
  <si>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</si>
  <si>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</si>
  <si>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</si>
  <si>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</si>
  <si>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</si>
  <si>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</si>
  <si>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</si>
  <si>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</si>
  <si>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</si>
  <si>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</si>
  <si>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</si>
  <si>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</si>
  <si>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</si>
  <si>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</si>
  <si>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</si>
  <si>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4T 2020</t>
  </si>
  <si>
    <t>IPC (4T 2020)</t>
  </si>
  <si>
    <t>Gasto efectivo real 4T 2020</t>
  </si>
  <si>
    <t>Gasto efectivo real por beneficiario 4T 2020</t>
  </si>
  <si>
    <t>Efectivos 3 TA 2020</t>
  </si>
  <si>
    <t>IPC (3 TA 2020)</t>
  </si>
  <si>
    <t>Gasto efectivo real 3 TA 2020</t>
  </si>
  <si>
    <t>Gasto efectivo real por beneficiario 3 TA 2020</t>
  </si>
  <si>
    <t>Efectivos 2020</t>
  </si>
  <si>
    <t>IPC (2020)</t>
  </si>
  <si>
    <t>Gasto efectivo real 2020</t>
  </si>
  <si>
    <t>Gasto efectivo real por beneficiario 2020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</si>
  <si>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</si>
  <si>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</si>
  <si>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</si>
  <si>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</si>
  <si>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</si>
  <si>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</si>
  <si>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</si>
  <si>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RNC 2020 y 2021 - Cronogramas de Metas e Inversión - Modificaciones 2021 - IPC, INEC 2020 y 2021</t>
    </r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</si>
  <si>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 xml:space="preserve">A partir del año 2021, se le solicitó a la Unidad Ejecutora separar en el cronograma de metas e inversión los "recursos Fodesaf" de "la inversión programada de fuentes diferentes de Fodesaf y unidad ejecutora" y, por ende, realizar el reporte de ejecución trimestral únicamente con la información que corresponde a los recursos del fondo. Tomar en consideración este tema al momento de interpretar los indicadores (algunos resultados). 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</si>
  <si>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</si>
  <si>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</si>
  <si>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</si>
  <si>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</si>
  <si>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</si>
  <si>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</si>
  <si>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</si>
  <si>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</si>
  <si>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</si>
  <si>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</si>
  <si>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</si>
  <si>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</si>
  <si>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</si>
  <si>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</si>
  <si>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</si>
  <si>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</si>
  <si>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</si>
  <si>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</si>
  <si>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n.d.</t>
  </si>
  <si>
    <t>Programados 3 TA 2021</t>
  </si>
  <si>
    <t>Efectivos 3 TA 2021</t>
  </si>
  <si>
    <t>En transferencias 3 TA 2021</t>
  </si>
  <si>
    <t>IPC (3 TA 2021)</t>
  </si>
  <si>
    <t>Gasto efectivo real 3 TA 2021</t>
  </si>
  <si>
    <t>Gasto efectivo real por beneficiario 3 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</si>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</sst>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____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164" fontId="0" fillId="0" borderId="0" xfId="1" applyFont="1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2" fontId="0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0" fontId="4" fillId="0" borderId="3" xfId="0" applyFont="1" applyFill="1" applyBorder="1"/>
    <xf numFmtId="166" fontId="5" fillId="0" borderId="0" xfId="1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" fontId="4" fillId="0" borderId="3" xfId="0" applyNumberFormat="1" applyFont="1" applyFill="1" applyBorder="1"/>
    <xf numFmtId="0" fontId="4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4071B9"/>
      <color rgb="FFA2BFE6"/>
      <color rgb="FF102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cobertura potencial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(Anual!$B$45,Anual!$C$45,Anual!$F$45)</c:f>
              <c:numCache>
                <c:formatCode>#,##0.00</c:formatCode>
                <c:ptCount val="3"/>
                <c:pt idx="0">
                  <c:v>87.953930259654527</c:v>
                </c:pt>
                <c:pt idx="1">
                  <c:v>93.782785149719373</c:v>
                </c:pt>
                <c:pt idx="2">
                  <c:v>32.465921006641032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D9D-908D-1B785038309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(Anual!$B$46,Anual!$C$46,Anual!$F$46)</c:f>
              <c:numCache>
                <c:formatCode>#,##0.00</c:formatCode>
                <c:ptCount val="3"/>
                <c:pt idx="0">
                  <c:v>87.782038161817795</c:v>
                </c:pt>
                <c:pt idx="1">
                  <c:v>93.578822659724707</c:v>
                </c:pt>
                <c:pt idx="2">
                  <c:v>32.599324245601771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D9D-908D-1B78503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3875072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875072"/>
        <c:crosses val="autoZero"/>
        <c:auto val="1"/>
        <c:lblAlgn val="ctr"/>
        <c:lblOffset val="100"/>
        <c:noMultiLvlLbl val="0"/>
      </c:catAx>
      <c:valAx>
        <c:axId val="5387507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87968"/>
        <c:crosses val="autoZero"/>
        <c:crossBetween val="between"/>
        <c:majorUnit val="3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99.80456575694879</c:v>
                </c:pt>
                <c:pt idx="1">
                  <c:v>99.782516066601104</c:v>
                </c:pt>
                <c:pt idx="2">
                  <c:v>120.40874444396923</c:v>
                </c:pt>
                <c:pt idx="3">
                  <c:v>65.327487784987909</c:v>
                </c:pt>
                <c:pt idx="4">
                  <c:v>100.41090237031456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4-4A96-9D6B-3CE9D5C43B09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100374250163095E-3"/>
                  <c:y val="-7.233585970911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10-4DB6-9976-C2FFC46B4C18}"/>
                </c:ext>
              </c:extLst>
            </c:dLbl>
            <c:dLbl>
              <c:idx val="1"/>
              <c:layout>
                <c:manualLayout>
                  <c:x val="3.100374250163095E-3"/>
                  <c:y val="-6.5446730213009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10-4DB6-9976-C2FFC46B4C18}"/>
                </c:ext>
              </c:extLst>
            </c:dLbl>
            <c:dLbl>
              <c:idx val="2"/>
              <c:layout>
                <c:manualLayout>
                  <c:x val="5.1672904169384921E-3"/>
                  <c:y val="-5.511303596885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10-4DB6-9976-C2FFC46B4C18}"/>
                </c:ext>
              </c:extLst>
            </c:dLbl>
            <c:dLbl>
              <c:idx val="4"/>
              <c:layout>
                <c:manualLayout>
                  <c:x val="7.2342065837138888E-3"/>
                  <c:y val="-6.200216546495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10-4DB6-9976-C2FFC46B4C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99.999999499661428</c:v>
                </c:pt>
                <c:pt idx="1">
                  <c:v>99.893552203679789</c:v>
                </c:pt>
                <c:pt idx="2">
                  <c:v>118.17358364871605</c:v>
                </c:pt>
                <c:pt idx="3">
                  <c:v>69.357722341610298</c:v>
                </c:pt>
                <c:pt idx="4">
                  <c:v>104.03304845072864</c:v>
                </c:pt>
                <c:pt idx="5">
                  <c:v>72.582811450734752</c:v>
                </c:pt>
                <c:pt idx="6">
                  <c:v>882.19014179456644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4-4A96-9D6B-3CE9D5C43B09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Anual!$B$51:$H$51</c:f>
              <c:numCache>
                <c:formatCode>#,##0.00</c:formatCode>
                <c:ptCount val="7"/>
                <c:pt idx="0">
                  <c:v>99.902282628305102</c:v>
                </c:pt>
                <c:pt idx="1">
                  <c:v>99.838034135140447</c:v>
                </c:pt>
                <c:pt idx="2">
                  <c:v>119.29116404634263</c:v>
                </c:pt>
                <c:pt idx="3">
                  <c:v>67.342605063299104</c:v>
                </c:pt>
                <c:pt idx="4">
                  <c:v>102.22197541052159</c:v>
                </c:pt>
                <c:pt idx="5">
                  <c:v>72.582811450734752</c:v>
                </c:pt>
                <c:pt idx="6">
                  <c:v>882.19014179456644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4-4A96-9D6B-3CE9D5C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14240"/>
        <c:axId val="53932416"/>
        <c:axId val="0"/>
      </c:bar3DChart>
      <c:catAx>
        <c:axId val="539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32416"/>
        <c:crosses val="autoZero"/>
        <c:auto val="1"/>
        <c:lblAlgn val="ctr"/>
        <c:lblOffset val="100"/>
        <c:noMultiLvlLbl val="0"/>
      </c:catAx>
      <c:valAx>
        <c:axId val="5393241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914240"/>
        <c:crosses val="autoZero"/>
        <c:crossBetween val="between"/>
        <c:majorUnit val="2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99.80456575694879</c:v>
                </c:pt>
                <c:pt idx="1">
                  <c:v>99.782516066601104</c:v>
                </c:pt>
                <c:pt idx="2">
                  <c:v>120.40874444396923</c:v>
                </c:pt>
                <c:pt idx="3">
                  <c:v>65.327487784987909</c:v>
                </c:pt>
                <c:pt idx="4">
                  <c:v>100.41090237031456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319-AE32-F5EE4F6E5E5C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842817196181289E-17"/>
                  <c:y val="-5.824826766036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8-4DB0-BB01-E7DA16E35105}"/>
                </c:ext>
              </c:extLst>
            </c:dLbl>
            <c:dLbl>
              <c:idx val="1"/>
              <c:layout>
                <c:manualLayout>
                  <c:x val="0"/>
                  <c:y val="-6.167463634627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8-4DB0-BB01-E7DA16E35105}"/>
                </c:ext>
              </c:extLst>
            </c:dLbl>
            <c:dLbl>
              <c:idx val="2"/>
              <c:layout>
                <c:manualLayout>
                  <c:x val="0"/>
                  <c:y val="-5.13955302885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D8-4DB0-BB01-E7DA16E35105}"/>
                </c:ext>
              </c:extLst>
            </c:dLbl>
            <c:dLbl>
              <c:idx val="3"/>
              <c:layout>
                <c:manualLayout>
                  <c:x val="-1.0274253756945031E-16"/>
                  <c:y val="-3.76900555449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D8-4DB0-BB01-E7DA16E35105}"/>
                </c:ext>
              </c:extLst>
            </c:dLbl>
            <c:dLbl>
              <c:idx val="4"/>
              <c:layout>
                <c:manualLayout>
                  <c:x val="1.4010507880910684E-3"/>
                  <c:y val="-5.13955302885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D8-4DB0-BB01-E7DA16E35105}"/>
                </c:ext>
              </c:extLst>
            </c:dLbl>
            <c:dLbl>
              <c:idx val="5"/>
              <c:layout>
                <c:manualLayout>
                  <c:x val="-8.4063047285464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D8-4DB0-BB01-E7DA16E35105}"/>
                </c:ext>
              </c:extLst>
            </c:dLbl>
            <c:dLbl>
              <c:idx val="6"/>
              <c:layout>
                <c:manualLayout>
                  <c:x val="-1.1208406304728444E-2"/>
                  <c:y val="-3.4263686859039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D8-4DB0-BB01-E7DA16E351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99.999999499661428</c:v>
                </c:pt>
                <c:pt idx="1">
                  <c:v>99.893552203679789</c:v>
                </c:pt>
                <c:pt idx="2">
                  <c:v>118.17358364871605</c:v>
                </c:pt>
                <c:pt idx="3">
                  <c:v>69.357722341610298</c:v>
                </c:pt>
                <c:pt idx="4">
                  <c:v>104.03304845072864</c:v>
                </c:pt>
                <c:pt idx="5">
                  <c:v>72.582811450734752</c:v>
                </c:pt>
                <c:pt idx="6">
                  <c:v>882.19014179456644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319-AE32-F5EE4F6E5E5C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1.1208406304728444E-2"/>
                  <c:y val="-3.4263686859040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D8-4DB0-BB01-E7DA16E35105}"/>
                </c:ext>
              </c:extLst>
            </c:dLbl>
            <c:dLbl>
              <c:idx val="6"/>
              <c:layout>
                <c:manualLayout>
                  <c:x val="1.4010507880910683E-2"/>
                  <c:y val="-3.4263686859039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D8-4DB0-BB01-E7DA16E351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  <c:pt idx="5">
                  <c:v>Servicios Médicos </c:v>
                </c:pt>
                <c:pt idx="6">
                  <c:v>Gastos Administrativos 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99.902282628305102</c:v>
                </c:pt>
                <c:pt idx="1">
                  <c:v>99.838034135140447</c:v>
                </c:pt>
                <c:pt idx="2">
                  <c:v>119.29116404634263</c:v>
                </c:pt>
                <c:pt idx="3">
                  <c:v>67.342605063299104</c:v>
                </c:pt>
                <c:pt idx="4">
                  <c:v>102.22197541052159</c:v>
                </c:pt>
                <c:pt idx="5">
                  <c:v>72.582811450734752</c:v>
                </c:pt>
                <c:pt idx="6">
                  <c:v>882.19014179456644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1-4319-AE32-F5EE4F6E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278208"/>
        <c:axId val="55296384"/>
        <c:axId val="0"/>
      </c:bar3DChart>
      <c:catAx>
        <c:axId val="5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296384"/>
        <c:crosses val="autoZero"/>
        <c:auto val="1"/>
        <c:lblAlgn val="ctr"/>
        <c:lblOffset val="100"/>
        <c:noMultiLvlLbl val="0"/>
      </c:catAx>
      <c:valAx>
        <c:axId val="55296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278208"/>
        <c:crosses val="autoZero"/>
        <c:crossBetween val="between"/>
        <c:majorUnit val="2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RNC: Índice transferencia efectiva del gasto (ITG)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Anual!$B$59</c:f>
              <c:numCache>
                <c:formatCode>#,##0.00</c:formatCode>
                <c:ptCount val="1"/>
                <c:pt idx="0">
                  <c:v>98.953796874447676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2D0-A671-9A15E62B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333248"/>
        <c:axId val="55334784"/>
        <c:axId val="0"/>
      </c:bar3DChart>
      <c:catAx>
        <c:axId val="553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334784"/>
        <c:crosses val="autoZero"/>
        <c:auto val="1"/>
        <c:lblAlgn val="ctr"/>
        <c:lblOffset val="100"/>
        <c:noMultiLvlLbl val="0"/>
      </c:catAx>
      <c:valAx>
        <c:axId val="55334784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333248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1876799477992381E-2"/>
          <c:y val="0.17171296296296296"/>
          <c:w val="0.93733989453030098"/>
          <c:h val="0.590736761612946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(Anual!$B$62,Anual!$C$62,Anual!$F$62)</c:f>
              <c:numCache>
                <c:formatCode>#,##0.00</c:formatCode>
                <c:ptCount val="3"/>
                <c:pt idx="0">
                  <c:v>2.9865805604914364</c:v>
                </c:pt>
                <c:pt idx="1">
                  <c:v>2.9295180426891276</c:v>
                </c:pt>
                <c:pt idx="2">
                  <c:v>4.5707665283851062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856-931B-E8FFA52A35FF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(Anual!$B$63,Anual!$C$63,Anual!$F$63)</c:f>
              <c:numCache>
                <c:formatCode>#,##0.00</c:formatCode>
                <c:ptCount val="3"/>
                <c:pt idx="0">
                  <c:v>-15.286724894178882</c:v>
                </c:pt>
                <c:pt idx="1">
                  <c:v>-6.4121840106533101</c:v>
                </c:pt>
                <c:pt idx="2">
                  <c:v>0.42306377068233036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856-931B-E8FFA52A35FF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(Anual!$B$9,Anual!$C$10,Anual!$F$10)</c:f>
              <c:strCache>
                <c:ptCount val="3"/>
                <c:pt idx="0">
                  <c:v>Total Programa</c:v>
                </c:pt>
                <c:pt idx="1">
                  <c:v>Total 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(Anual!$B$64,Anual!$C$64,Anual!$F$64)</c:f>
              <c:numCache>
                <c:formatCode>#,##0.00</c:formatCode>
                <c:ptCount val="3"/>
                <c:pt idx="0">
                  <c:v>-17.743384968430021</c:v>
                </c:pt>
                <c:pt idx="1">
                  <c:v>-9.0758241474210077</c:v>
                </c:pt>
                <c:pt idx="2">
                  <c:v>-3.9664075299447044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B-4856-931B-E8FFA52A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446976"/>
        <c:axId val="56448512"/>
        <c:axId val="0"/>
      </c:bar3DChart>
      <c:catAx>
        <c:axId val="564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4697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8.8739415060753914E-3"/>
          <c:y val="0.88951754830127838"/>
          <c:w val="0.98653874556341559"/>
          <c:h val="0.1104824516987215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1134060.2951233364</c:v>
                </c:pt>
                <c:pt idx="1">
                  <c:v>983999.99999999988</c:v>
                </c:pt>
                <c:pt idx="2">
                  <c:v>983999.99999999988</c:v>
                </c:pt>
                <c:pt idx="3">
                  <c:v>984000</c:v>
                </c:pt>
                <c:pt idx="4">
                  <c:v>3690858.24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A-4B27-8DB5-23B200490592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1136280.971564908</c:v>
                </c:pt>
                <c:pt idx="1">
                  <c:v>985094.97698787728</c:v>
                </c:pt>
                <c:pt idx="2">
                  <c:v>965733.89953789779</c:v>
                </c:pt>
                <c:pt idx="3">
                  <c:v>1044705.6989053199</c:v>
                </c:pt>
                <c:pt idx="4">
                  <c:v>3823999.4367405283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A-4B27-8DB5-23B20049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78336"/>
        <c:axId val="57549184"/>
        <c:axId val="0"/>
      </c:bar3DChart>
      <c:catAx>
        <c:axId val="56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49184"/>
        <c:crosses val="autoZero"/>
        <c:auto val="1"/>
        <c:lblAlgn val="ctr"/>
        <c:lblOffset val="100"/>
        <c:noMultiLvlLbl val="0"/>
      </c:catAx>
      <c:valAx>
        <c:axId val="57549184"/>
        <c:scaling>
          <c:orientation val="minMax"/>
          <c:max val="4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478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RNC: 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Total Pensión Ordinaria</c:v>
                </c:pt>
                <c:pt idx="2">
                  <c:v>Pensiones ordinarias para adultos mayores (65 o más años)</c:v>
                </c:pt>
                <c:pt idx="3">
                  <c:v>Pensiones ordinarias para otros beneficiarios</c:v>
                </c:pt>
                <c:pt idx="4">
                  <c:v>Pensión Especial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100.09790771671169</c:v>
                </c:pt>
                <c:pt idx="1">
                  <c:v>99.949132051698243</c:v>
                </c:pt>
                <c:pt idx="2">
                  <c:v>117.07674901919668</c:v>
                </c:pt>
                <c:pt idx="3">
                  <c:v>71.497157813779296</c:v>
                </c:pt>
                <c:pt idx="4">
                  <c:v>105.90945275436499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32-8D7A-06D02F0B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582720"/>
        <c:axId val="57584256"/>
        <c:axId val="0"/>
      </c:bar3DChart>
      <c:catAx>
        <c:axId val="575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84256"/>
        <c:crosses val="autoZero"/>
        <c:auto val="1"/>
        <c:lblAlgn val="ctr"/>
        <c:lblOffset val="100"/>
        <c:noMultiLvlLbl val="0"/>
      </c:catAx>
      <c:valAx>
        <c:axId val="5758425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8272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RNC: Indicadores de giro de recursos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65-4593-A5F9-599DE244620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100.00000016589121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593-A5F9-599DE2446203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#,##0.00</c:formatCode>
                <c:ptCount val="1"/>
                <c:pt idx="0">
                  <c:v>99.999999333770205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F-45A9-AB90-DFFD7EBF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637504"/>
        <c:axId val="57651584"/>
      </c:barChart>
      <c:catAx>
        <c:axId val="5763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51584"/>
        <c:crosses val="autoZero"/>
        <c:auto val="1"/>
        <c:lblAlgn val="ctr"/>
        <c:lblOffset val="100"/>
        <c:noMultiLvlLbl val="0"/>
      </c:catAx>
      <c:valAx>
        <c:axId val="576515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21063" cy="40481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21063" cy="404812"/>
        </a:xfrm>
        <a:prstGeom prst="rect">
          <a:avLst/>
        </a:prstGeom>
      </xdr:spPr>
    </xdr:pic>
    <xdr:clientData/>
  </xdr:oneCellAnchor>
  <xdr:twoCellAnchor>
    <xdr:from>
      <xdr:col>0</xdr:col>
      <xdr:colOff>15876</xdr:colOff>
      <xdr:row>6</xdr:row>
      <xdr:rowOff>63500</xdr:rowOff>
    </xdr:from>
    <xdr:to>
      <xdr:col>8</xdr:col>
      <xdr:colOff>11906</xdr:colOff>
      <xdr:row>7</xdr:row>
      <xdr:rowOff>166687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876" y="1206500"/>
          <a:ext cx="15378905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04-08-2021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8287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31946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44875" cy="40481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44875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7</xdr:col>
      <xdr:colOff>1539875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1190626"/>
          <a:ext cx="15322550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II Trimestre 2021     Fecha Actualización: 04-08-2021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0668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31946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44875" cy="3802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44875" cy="380206"/>
        </a:xfrm>
        <a:prstGeom prst="rect">
          <a:avLst/>
        </a:prstGeom>
      </xdr:spPr>
    </xdr:pic>
    <xdr:clientData/>
  </xdr:oneCellAnchor>
  <xdr:twoCellAnchor>
    <xdr:from>
      <xdr:col>0</xdr:col>
      <xdr:colOff>1928812</xdr:colOff>
      <xdr:row>6</xdr:row>
      <xdr:rowOff>38498</xdr:rowOff>
    </xdr:from>
    <xdr:to>
      <xdr:col>6</xdr:col>
      <xdr:colOff>1222375</xdr:colOff>
      <xdr:row>8</xdr:row>
      <xdr:rowOff>31750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928812" y="1181498"/>
          <a:ext cx="11476038" cy="374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 Semestre 2021      Fecha Actualización: 04-08-2021</a:t>
          </a:r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0668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31946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52813" cy="40481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52813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7</xdr:col>
      <xdr:colOff>1539875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0" y="1190626"/>
          <a:ext cx="15322550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III Trimestre 2021     Fecha Actualización:  03-12-2021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0668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31946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44875" cy="404812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44875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7</xdr:col>
      <xdr:colOff>1539875</xdr:colOff>
      <xdr:row>8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0" y="1190626"/>
          <a:ext cx="15322550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III Trimestre Acumulado 2021     Fecha Actualización:  03-12-2021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6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0668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31946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6144875" cy="40481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6144875" cy="404812"/>
        </a:xfrm>
        <a:prstGeom prst="rect">
          <a:avLst/>
        </a:prstGeom>
      </xdr:spPr>
    </xdr:pic>
    <xdr:clientData/>
  </xdr:oneCellAnchor>
  <xdr:twoCellAnchor>
    <xdr:from>
      <xdr:col>0</xdr:col>
      <xdr:colOff>1000125</xdr:colOff>
      <xdr:row>6</xdr:row>
      <xdr:rowOff>31750</xdr:rowOff>
    </xdr:from>
    <xdr:to>
      <xdr:col>7</xdr:col>
      <xdr:colOff>1369219</xdr:colOff>
      <xdr:row>7</xdr:row>
      <xdr:rowOff>138905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00125" y="1174750"/>
          <a:ext cx="141208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22-04-2022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35906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695853</xdr:colOff>
      <xdr:row>13</xdr:row>
      <xdr:rowOff>3968</xdr:rowOff>
    </xdr:from>
    <xdr:to>
      <xdr:col>19</xdr:col>
      <xdr:colOff>23812</xdr:colOff>
      <xdr:row>30</xdr:row>
      <xdr:rowOff>83342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150810</xdr:colOff>
      <xdr:row>13</xdr:row>
      <xdr:rowOff>15874</xdr:rowOff>
    </xdr:from>
    <xdr:to>
      <xdr:col>35</xdr:col>
      <xdr:colOff>247649</xdr:colOff>
      <xdr:row>30</xdr:row>
      <xdr:rowOff>83342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138905</xdr:colOff>
      <xdr:row>31</xdr:row>
      <xdr:rowOff>8202</xdr:rowOff>
    </xdr:from>
    <xdr:to>
      <xdr:col>35</xdr:col>
      <xdr:colOff>266700</xdr:colOff>
      <xdr:row>48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673365</xdr:colOff>
      <xdr:row>31</xdr:row>
      <xdr:rowOff>10846</xdr:rowOff>
    </xdr:from>
    <xdr:to>
      <xdr:col>19</xdr:col>
      <xdr:colOff>11906</xdr:colOff>
      <xdr:row>48</xdr:row>
      <xdr:rowOff>59531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132291</xdr:colOff>
      <xdr:row>48</xdr:row>
      <xdr:rowOff>192088</xdr:rowOff>
    </xdr:from>
    <xdr:to>
      <xdr:col>35</xdr:col>
      <xdr:colOff>228601</xdr:colOff>
      <xdr:row>65</xdr:row>
      <xdr:rowOff>202406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138906</xdr:colOff>
      <xdr:row>66</xdr:row>
      <xdr:rowOff>102126</xdr:rowOff>
    </xdr:from>
    <xdr:to>
      <xdr:col>35</xdr:col>
      <xdr:colOff>247650</xdr:colOff>
      <xdr:row>88</xdr:row>
      <xdr:rowOff>178592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695853</xdr:colOff>
      <xdr:row>48</xdr:row>
      <xdr:rowOff>173565</xdr:rowOff>
    </xdr:from>
    <xdr:to>
      <xdr:col>19</xdr:col>
      <xdr:colOff>11906</xdr:colOff>
      <xdr:row>65</xdr:row>
      <xdr:rowOff>202406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705114</xdr:colOff>
      <xdr:row>66</xdr:row>
      <xdr:rowOff>95512</xdr:rowOff>
    </xdr:from>
    <xdr:to>
      <xdr:col>19</xdr:col>
      <xdr:colOff>0</xdr:colOff>
      <xdr:row>83</xdr:row>
      <xdr:rowOff>178593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6136938" cy="40481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95375"/>
          <a:ext cx="16136938" cy="404812"/>
        </a:xfrm>
        <a:prstGeom prst="rect">
          <a:avLst/>
        </a:prstGeom>
      </xdr:spPr>
    </xdr:pic>
    <xdr:clientData/>
  </xdr:oneCellAnchor>
  <xdr:twoCellAnchor>
    <xdr:from>
      <xdr:col>0</xdr:col>
      <xdr:colOff>1000125</xdr:colOff>
      <xdr:row>6</xdr:row>
      <xdr:rowOff>31750</xdr:rowOff>
    </xdr:from>
    <xdr:to>
      <xdr:col>7</xdr:col>
      <xdr:colOff>1369219</xdr:colOff>
      <xdr:row>7</xdr:row>
      <xdr:rowOff>138905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1000125" y="1174750"/>
          <a:ext cx="141208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        Programa  Régimen No Contributivo de Pensiones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22-04-2022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535906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112914</xdr:colOff>
      <xdr:row>5</xdr:row>
      <xdr:rowOff>136071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5424802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129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7" spans="1:8" x14ac:dyDescent="0.35">
      <c r="G7" s="1"/>
    </row>
    <row r="9" spans="1:8" s="2" customFormat="1" ht="20.25" customHeight="1" x14ac:dyDescent="0.4">
      <c r="A9" s="21" t="s">
        <v>0</v>
      </c>
      <c r="B9" s="21" t="s">
        <v>34</v>
      </c>
      <c r="C9" s="23" t="s">
        <v>45</v>
      </c>
      <c r="D9" s="23"/>
      <c r="E9" s="23"/>
      <c r="F9" s="23"/>
      <c r="G9" s="23"/>
      <c r="H9" s="23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49</v>
      </c>
      <c r="B15" s="8">
        <f>C15+F15</f>
        <v>126810</v>
      </c>
      <c r="C15" s="8">
        <f>+SUM(D15:E15)</f>
        <v>122407</v>
      </c>
      <c r="D15" s="8">
        <v>91287.666666666672</v>
      </c>
      <c r="E15" s="8">
        <v>31119.333333333332</v>
      </c>
      <c r="F15" s="8">
        <v>4403</v>
      </c>
      <c r="G15" s="8"/>
      <c r="H15" s="8"/>
    </row>
    <row r="16" spans="1:8" ht="15.5" x14ac:dyDescent="0.4">
      <c r="A16" s="7" t="s">
        <v>77</v>
      </c>
      <c r="B16" s="8">
        <f>C16+F16</f>
        <v>130178.33333333334</v>
      </c>
      <c r="C16" s="8">
        <f>+SUM(D16:E16)</f>
        <v>125616.33333333334</v>
      </c>
      <c r="D16" s="8">
        <v>78574.666666666672</v>
      </c>
      <c r="E16" s="8">
        <v>47041.666666666664</v>
      </c>
      <c r="F16" s="8">
        <v>4562</v>
      </c>
      <c r="G16" s="8"/>
      <c r="H16" s="8"/>
    </row>
    <row r="17" spans="1:8" ht="15.5" x14ac:dyDescent="0.4">
      <c r="A17" s="7" t="s">
        <v>78</v>
      </c>
      <c r="B17" s="8">
        <f t="shared" ref="B17:B18" si="0">C17+F17</f>
        <v>130178</v>
      </c>
      <c r="C17" s="8">
        <f t="shared" ref="C17:C18" si="1">+SUM(D17:E17)</f>
        <v>125615.33333333333</v>
      </c>
      <c r="D17" s="8">
        <v>94352.333333333328</v>
      </c>
      <c r="E17" s="8">
        <v>31263</v>
      </c>
      <c r="F17" s="8">
        <v>4562.666666666667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v>79886.916666666672</v>
      </c>
      <c r="E18" s="8">
        <v>47823.666666666664</v>
      </c>
      <c r="F18" s="8"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49</v>
      </c>
      <c r="B21" s="8">
        <f>C21+F21+G21+H21</f>
        <v>40270735100</v>
      </c>
      <c r="C21" s="8">
        <f>+SUM(D21:E21)</f>
        <v>30707393000</v>
      </c>
      <c r="D21" s="8">
        <v>22723470820</v>
      </c>
      <c r="E21" s="8">
        <v>7983922180.000001</v>
      </c>
      <c r="F21" s="8">
        <v>4027637500</v>
      </c>
      <c r="G21" s="8">
        <v>4041691800</v>
      </c>
      <c r="H21" s="8">
        <v>1494012800</v>
      </c>
    </row>
    <row r="22" spans="1:8" ht="15.5" x14ac:dyDescent="0.4">
      <c r="A22" s="7" t="s">
        <v>77</v>
      </c>
      <c r="B22" s="8">
        <f t="shared" ref="B22:B25" si="2">C22+F22+G22+H22</f>
        <v>39983311073.344002</v>
      </c>
      <c r="C22" s="8">
        <f>+SUM(D22:E22)</f>
        <v>30901618000</v>
      </c>
      <c r="D22" s="8">
        <v>19329368000</v>
      </c>
      <c r="E22" s="8">
        <v>11572250000</v>
      </c>
      <c r="F22" s="8">
        <v>4209423822.7200003</v>
      </c>
      <c r="G22" s="8">
        <v>4827768250.6240005</v>
      </c>
      <c r="H22" s="8">
        <v>44501000</v>
      </c>
    </row>
    <row r="23" spans="1:8" ht="15.5" x14ac:dyDescent="0.4">
      <c r="A23" s="7" t="s">
        <v>78</v>
      </c>
      <c r="B23" s="8">
        <f t="shared" si="2"/>
        <v>37524590400</v>
      </c>
      <c r="C23" s="8">
        <f t="shared" ref="C23:C24" si="3">+SUM(D23:E23)</f>
        <v>30924960300</v>
      </c>
      <c r="D23" s="8">
        <v>22884470622</v>
      </c>
      <c r="E23" s="8">
        <v>8040489678</v>
      </c>
      <c r="F23" s="8">
        <v>4128696000</v>
      </c>
      <c r="G23" s="8">
        <v>1851801150.0000002</v>
      </c>
      <c r="H23" s="8">
        <v>619132950</v>
      </c>
    </row>
    <row r="24" spans="1:8" ht="15.5" x14ac:dyDescent="0.4">
      <c r="A24" s="7" t="s">
        <v>79</v>
      </c>
      <c r="B24" s="8">
        <f t="shared" si="2"/>
        <v>150098361351</v>
      </c>
      <c r="C24" s="8">
        <f t="shared" si="3"/>
        <v>125667214000</v>
      </c>
      <c r="D24" s="8">
        <v>78608726000</v>
      </c>
      <c r="E24" s="8">
        <v>47058488000</v>
      </c>
      <c r="F24" s="8">
        <v>17141268381.120001</v>
      </c>
      <c r="G24" s="8">
        <v>7111874969.8800011</v>
      </c>
      <c r="H24" s="8">
        <v>178004000</v>
      </c>
    </row>
    <row r="25" spans="1:8" ht="15.5" x14ac:dyDescent="0.4">
      <c r="A25" s="7" t="s">
        <v>80</v>
      </c>
      <c r="B25" s="8">
        <f t="shared" si="2"/>
        <v>36905457450</v>
      </c>
      <c r="C25" s="8">
        <f>C23</f>
        <v>30924960300</v>
      </c>
      <c r="D25" s="8">
        <f>+D23</f>
        <v>22884470622</v>
      </c>
      <c r="E25" s="8">
        <f>+E23</f>
        <v>8040489678</v>
      </c>
      <c r="F25" s="8">
        <f t="shared" ref="F25:G25" si="4">F23</f>
        <v>4128696000</v>
      </c>
      <c r="G25" s="8">
        <f t="shared" si="4"/>
        <v>1851801150.0000002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77</v>
      </c>
      <c r="B28" s="8">
        <f>+B22</f>
        <v>39983311073.344002</v>
      </c>
      <c r="C28" s="8"/>
      <c r="D28" s="8"/>
      <c r="E28" s="8"/>
      <c r="F28" s="8"/>
      <c r="G28" s="8"/>
      <c r="H28" s="8"/>
    </row>
    <row r="29" spans="1:8" ht="15.5" x14ac:dyDescent="0.4">
      <c r="A29" s="7" t="s">
        <v>78</v>
      </c>
      <c r="B29" s="8">
        <v>37524590400.000008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50</v>
      </c>
      <c r="B32" s="10">
        <v>1.0649999999999999</v>
      </c>
      <c r="C32" s="10">
        <v>1.0649999999999999</v>
      </c>
      <c r="D32" s="10">
        <v>1.0649999999999999</v>
      </c>
      <c r="E32" s="10">
        <v>1.0649999999999999</v>
      </c>
      <c r="F32" s="10">
        <v>1.0649999999999999</v>
      </c>
      <c r="G32" s="10">
        <v>1.0649999999999999</v>
      </c>
      <c r="H32" s="10">
        <v>1.0649999999999999</v>
      </c>
    </row>
    <row r="33" spans="1:8" ht="15.5" x14ac:dyDescent="0.4">
      <c r="A33" s="7" t="s">
        <v>81</v>
      </c>
      <c r="B33" s="10">
        <v>1.07</v>
      </c>
      <c r="C33" s="10">
        <v>1.07</v>
      </c>
      <c r="D33" s="10">
        <v>1.07</v>
      </c>
      <c r="E33" s="10">
        <v>1.07</v>
      </c>
      <c r="F33" s="10">
        <v>1.07</v>
      </c>
      <c r="G33" s="10">
        <v>1.07</v>
      </c>
      <c r="H33" s="10">
        <v>1.07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51</v>
      </c>
      <c r="B37" s="8">
        <f>B21/B32</f>
        <v>37812896807.511742</v>
      </c>
      <c r="C37" s="8">
        <f t="shared" ref="C37:H37" si="5">C21/C32</f>
        <v>28833232863.849766</v>
      </c>
      <c r="D37" s="8">
        <f t="shared" si="5"/>
        <v>21336592319.248829</v>
      </c>
      <c r="E37" s="8">
        <f t="shared" si="5"/>
        <v>7496640544.6009407</v>
      </c>
      <c r="F37" s="8">
        <f t="shared" si="5"/>
        <v>3781819248.8262911</v>
      </c>
      <c r="G37" s="8">
        <f t="shared" si="5"/>
        <v>3795015774.6478877</v>
      </c>
      <c r="H37" s="8">
        <f t="shared" si="5"/>
        <v>1402828920.1877935</v>
      </c>
    </row>
    <row r="38" spans="1:8" ht="15.5" x14ac:dyDescent="0.4">
      <c r="A38" s="5" t="s">
        <v>82</v>
      </c>
      <c r="B38" s="8">
        <f>B23/B33</f>
        <v>35069710654.205605</v>
      </c>
      <c r="C38" s="8">
        <f t="shared" ref="C38:H38" si="6">C23/C33</f>
        <v>28901832056.074764</v>
      </c>
      <c r="D38" s="8">
        <f t="shared" si="6"/>
        <v>21387355721.495327</v>
      </c>
      <c r="E38" s="8">
        <f t="shared" si="6"/>
        <v>7514476334.5794392</v>
      </c>
      <c r="F38" s="8">
        <f t="shared" si="6"/>
        <v>3858594392.5233641</v>
      </c>
      <c r="G38" s="8">
        <f t="shared" si="6"/>
        <v>1730655280.373832</v>
      </c>
      <c r="H38" s="8">
        <f t="shared" si="6"/>
        <v>578628925.23364484</v>
      </c>
    </row>
    <row r="39" spans="1:8" ht="15.5" x14ac:dyDescent="0.4">
      <c r="A39" s="5" t="s">
        <v>52</v>
      </c>
      <c r="B39" s="8">
        <f>B37/B15</f>
        <v>298185.44915631058</v>
      </c>
      <c r="C39" s="8">
        <f t="shared" ref="C39:F39" si="7">C37/C15</f>
        <v>235552.15685254737</v>
      </c>
      <c r="D39" s="8">
        <f t="shared" si="7"/>
        <v>233729.18925793731</v>
      </c>
      <c r="E39" s="8">
        <f t="shared" si="7"/>
        <v>240899.77970610792</v>
      </c>
      <c r="F39" s="8">
        <f t="shared" si="7"/>
        <v>858918.74831394304</v>
      </c>
      <c r="G39" s="8"/>
      <c r="H39" s="8"/>
    </row>
    <row r="40" spans="1:8" ht="15.5" x14ac:dyDescent="0.4">
      <c r="A40" s="5" t="s">
        <v>83</v>
      </c>
      <c r="B40" s="8">
        <f>B38/B17</f>
        <v>269398.13681425131</v>
      </c>
      <c r="C40" s="8">
        <f t="shared" ref="C40:F40" si="8">C38/C17</f>
        <v>230082.03926331789</v>
      </c>
      <c r="D40" s="8">
        <f t="shared" si="8"/>
        <v>226675.42991159373</v>
      </c>
      <c r="E40" s="8">
        <f t="shared" si="8"/>
        <v>240363.25159387899</v>
      </c>
      <c r="F40" s="8">
        <f t="shared" si="8"/>
        <v>845688.42618133337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86.507577871993561</v>
      </c>
      <c r="C45" s="12">
        <f>(C16/C34)*100</f>
        <v>92.244896960083821</v>
      </c>
      <c r="D45" s="12"/>
      <c r="E45" s="12"/>
      <c r="F45" s="12">
        <f>(F16/F34)*100</f>
        <v>31.890947221251309</v>
      </c>
      <c r="G45" s="12"/>
      <c r="H45" s="12"/>
    </row>
    <row r="46" spans="1:8" ht="15.5" x14ac:dyDescent="0.4">
      <c r="A46" s="5" t="s">
        <v>10</v>
      </c>
      <c r="B46" s="12">
        <f>(B17/B34)*100</f>
        <v>86.507356361558195</v>
      </c>
      <c r="C46" s="12">
        <f>(C17/C34)*100</f>
        <v>92.244162621685987</v>
      </c>
      <c r="D46" s="12"/>
      <c r="E46" s="12"/>
      <c r="F46" s="12">
        <f>(F17/F34)*100</f>
        <v>31.895607596411512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99.999743941003999</v>
      </c>
      <c r="C49" s="12">
        <f t="shared" ref="C49:F49" si="9">C17/C16*100</f>
        <v>99.999203925179572</v>
      </c>
      <c r="D49" s="12">
        <f t="shared" si="9"/>
        <v>120.07983913390234</v>
      </c>
      <c r="E49" s="12">
        <f t="shared" si="9"/>
        <v>66.45810451727192</v>
      </c>
      <c r="F49" s="12">
        <f t="shared" si="9"/>
        <v>100.01461347362269</v>
      </c>
      <c r="G49" s="12"/>
      <c r="H49" s="12"/>
    </row>
    <row r="50" spans="1:8" ht="15.5" x14ac:dyDescent="0.4">
      <c r="A50" s="5" t="s">
        <v>13</v>
      </c>
      <c r="B50" s="12">
        <f>B23/B22*100</f>
        <v>93.850632658126258</v>
      </c>
      <c r="C50" s="12">
        <f t="shared" ref="C50:H50" si="10">C23/C22*100</f>
        <v>100.07553746862057</v>
      </c>
      <c r="D50" s="12">
        <f t="shared" si="10"/>
        <v>118.39223414857641</v>
      </c>
      <c r="E50" s="12">
        <f t="shared" si="10"/>
        <v>69.480780989003861</v>
      </c>
      <c r="F50" s="12">
        <f t="shared" si="10"/>
        <v>98.082212052768867</v>
      </c>
      <c r="G50" s="12">
        <f t="shared" si="10"/>
        <v>38.357291689812378</v>
      </c>
      <c r="H50" s="12">
        <f t="shared" si="10"/>
        <v>1391.2787353093188</v>
      </c>
    </row>
    <row r="51" spans="1:8" ht="15.5" x14ac:dyDescent="0.4">
      <c r="A51" s="5" t="s">
        <v>14</v>
      </c>
      <c r="B51" s="12">
        <f>AVERAGE(B49:B50)</f>
        <v>96.925188299565121</v>
      </c>
      <c r="C51" s="12">
        <f t="shared" ref="C51:H51" si="11">AVERAGE(C49:C50)</f>
        <v>100.03737069690007</v>
      </c>
      <c r="D51" s="12">
        <f t="shared" si="11"/>
        <v>119.23603664123937</v>
      </c>
      <c r="E51" s="12">
        <f t="shared" si="11"/>
        <v>67.969442753137884</v>
      </c>
      <c r="F51" s="12">
        <f t="shared" si="11"/>
        <v>99.048412763195785</v>
      </c>
      <c r="G51" s="12">
        <f t="shared" si="11"/>
        <v>38.357291689812378</v>
      </c>
      <c r="H51" s="12">
        <f t="shared" si="11"/>
        <v>1391.2787353093188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98.355304994528595</v>
      </c>
      <c r="C54" s="12">
        <f t="shared" ref="C54:F54" si="12">C17/C18*100</f>
        <v>98.359376376403134</v>
      </c>
      <c r="D54" s="12">
        <f t="shared" si="12"/>
        <v>118.10736635014285</v>
      </c>
      <c r="E54" s="12">
        <f t="shared" si="12"/>
        <v>65.371399098075571</v>
      </c>
      <c r="F54" s="12">
        <f t="shared" si="12"/>
        <v>98.24334750856795</v>
      </c>
      <c r="G54" s="12"/>
      <c r="H54" s="12"/>
    </row>
    <row r="55" spans="1:8" ht="15.5" x14ac:dyDescent="0.4">
      <c r="A55" s="5" t="s">
        <v>17</v>
      </c>
      <c r="B55" s="12">
        <f>B23/B24*100</f>
        <v>25.000000041472802</v>
      </c>
      <c r="C55" s="12">
        <f t="shared" ref="C55:H55" si="13">C23/C24*100</f>
        <v>24.608614542851249</v>
      </c>
      <c r="D55" s="12">
        <f t="shared" si="13"/>
        <v>29.111870636346403</v>
      </c>
      <c r="E55" s="12">
        <f t="shared" si="13"/>
        <v>17.086162390087843</v>
      </c>
      <c r="F55" s="12">
        <f t="shared" si="13"/>
        <v>24.086292263806406</v>
      </c>
      <c r="G55" s="12">
        <f t="shared" si="13"/>
        <v>26.038156714547046</v>
      </c>
      <c r="H55" s="12">
        <f t="shared" si="13"/>
        <v>347.8196838273297</v>
      </c>
    </row>
    <row r="56" spans="1:8" ht="15.5" x14ac:dyDescent="0.4">
      <c r="A56" s="5" t="s">
        <v>18</v>
      </c>
      <c r="B56" s="12">
        <f>AVERAGE(B54:B55)</f>
        <v>61.677652518000698</v>
      </c>
      <c r="C56" s="12">
        <f t="shared" ref="C56:H56" si="14">AVERAGE(C54:C55)</f>
        <v>61.483995459627195</v>
      </c>
      <c r="D56" s="12">
        <f t="shared" si="14"/>
        <v>73.609618493244625</v>
      </c>
      <c r="E56" s="12">
        <f t="shared" si="14"/>
        <v>41.228780744081703</v>
      </c>
      <c r="F56" s="12">
        <f t="shared" si="14"/>
        <v>61.164819886187175</v>
      </c>
      <c r="G56" s="12">
        <f t="shared" si="14"/>
        <v>26.038156714547046</v>
      </c>
      <c r="H56" s="12">
        <f t="shared" si="14"/>
        <v>347.8196838273297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98.350060737771571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2.6559419604132106</v>
      </c>
      <c r="C62" s="12">
        <f t="shared" ref="C62:F62" si="15">((C17/C15)-1)*100</f>
        <v>2.6210374679007886</v>
      </c>
      <c r="D62" s="12"/>
      <c r="E62" s="12"/>
      <c r="F62" s="12">
        <f t="shared" si="15"/>
        <v>3.6263153910212731</v>
      </c>
      <c r="G62" s="12"/>
      <c r="H62" s="12"/>
    </row>
    <row r="63" spans="1:8" ht="15.5" x14ac:dyDescent="0.4">
      <c r="A63" s="5" t="s">
        <v>22</v>
      </c>
      <c r="B63" s="12">
        <f>((B38/B37)-1)*100</f>
        <v>-7.2546310515971602</v>
      </c>
      <c r="C63" s="12">
        <f t="shared" ref="C63:H63" si="16">((C38/C37)-1)*100</f>
        <v>0.23791710263265653</v>
      </c>
      <c r="D63" s="12"/>
      <c r="E63" s="12"/>
      <c r="F63" s="12">
        <f t="shared" si="16"/>
        <v>2.0301113999803277</v>
      </c>
      <c r="G63" s="12">
        <f t="shared" si="16"/>
        <v>-54.396624858972899</v>
      </c>
      <c r="H63" s="12">
        <f t="shared" si="16"/>
        <v>-58.752709121780498</v>
      </c>
    </row>
    <row r="64" spans="1:8" ht="15.5" x14ac:dyDescent="0.4">
      <c r="A64" s="5" t="s">
        <v>23</v>
      </c>
      <c r="B64" s="12">
        <f>((B40/B39)-1)*100</f>
        <v>-9.6541640189051652</v>
      </c>
      <c r="C64" s="12">
        <f t="shared" ref="C64:F64" si="17">((C40/C39)-1)*100</f>
        <v>-2.3222532378057159</v>
      </c>
      <c r="D64" s="12"/>
      <c r="E64" s="12"/>
      <c r="F64" s="12">
        <f t="shared" si="17"/>
        <v>-1.5403461804251894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>B22/(B16*3)</f>
        <v>102380.86489903337</v>
      </c>
      <c r="C67" s="12">
        <f t="shared" ref="C67:F67" si="18">C22/(C16*3)</f>
        <v>82000</v>
      </c>
      <c r="D67" s="12">
        <f t="shared" si="18"/>
        <v>82000</v>
      </c>
      <c r="E67" s="12">
        <f t="shared" si="18"/>
        <v>82000</v>
      </c>
      <c r="F67" s="12">
        <f t="shared" si="18"/>
        <v>307571.52</v>
      </c>
      <c r="G67" s="12"/>
      <c r="H67" s="12"/>
    </row>
    <row r="68" spans="1:8" ht="15.5" x14ac:dyDescent="0.4">
      <c r="A68" s="5" t="s">
        <v>31</v>
      </c>
      <c r="B68" s="12">
        <f>B23/(B17*3)</f>
        <v>96085.335463749638</v>
      </c>
      <c r="C68" s="12">
        <f t="shared" ref="C68:F68" si="19">C23/(C17*3)</f>
        <v>82062.594003916718</v>
      </c>
      <c r="D68" s="12">
        <f t="shared" si="19"/>
        <v>80847.570001801752</v>
      </c>
      <c r="E68" s="12">
        <f t="shared" si="19"/>
        <v>85729.559735150178</v>
      </c>
      <c r="F68" s="12">
        <f t="shared" si="19"/>
        <v>301628.87200467562</v>
      </c>
      <c r="G68" s="12"/>
      <c r="H68" s="12"/>
    </row>
    <row r="69" spans="1:8" ht="15.5" x14ac:dyDescent="0.4">
      <c r="A69" s="5" t="s">
        <v>25</v>
      </c>
      <c r="B69" s="12">
        <f>(B68/B67)*B51</f>
        <v>90.965135348634334</v>
      </c>
      <c r="C69" s="12">
        <f t="shared" ref="C69:F69" si="20">(C68/C67)*C51</f>
        <v>100.11373337462226</v>
      </c>
      <c r="D69" s="12">
        <f t="shared" si="20"/>
        <v>117.56029047670729</v>
      </c>
      <c r="E69" s="12">
        <f t="shared" si="20"/>
        <v>71.06085856914639</v>
      </c>
      <c r="F69" s="12">
        <f t="shared" si="20"/>
        <v>97.134679490533642</v>
      </c>
      <c r="G69" s="12"/>
      <c r="H69" s="12"/>
    </row>
    <row r="70" spans="1:8" ht="15.5" x14ac:dyDescent="0.4">
      <c r="A70" s="13" t="s">
        <v>32</v>
      </c>
      <c r="B70" s="12">
        <f>B22/B16</f>
        <v>307142.59469710011</v>
      </c>
      <c r="C70" s="12">
        <f t="shared" ref="C70:F70" si="21">C22/C16</f>
        <v>245999.99999999997</v>
      </c>
      <c r="D70" s="12">
        <f t="shared" si="21"/>
        <v>245999.99999999997</v>
      </c>
      <c r="E70" s="12">
        <f t="shared" si="21"/>
        <v>246000</v>
      </c>
      <c r="F70" s="12">
        <f t="shared" si="21"/>
        <v>922714.56</v>
      </c>
      <c r="G70" s="12"/>
      <c r="H70" s="12"/>
    </row>
    <row r="71" spans="1:8" ht="15.5" x14ac:dyDescent="0.4">
      <c r="A71" s="13" t="s">
        <v>33</v>
      </c>
      <c r="B71" s="12">
        <f>B23/B17</f>
        <v>288256.0063912489</v>
      </c>
      <c r="C71" s="12">
        <f t="shared" ref="C71:F71" si="22">C23/C17</f>
        <v>246187.78201175015</v>
      </c>
      <c r="D71" s="12">
        <f t="shared" si="22"/>
        <v>242542.71000540527</v>
      </c>
      <c r="E71" s="12">
        <f t="shared" si="22"/>
        <v>257188.67920545052</v>
      </c>
      <c r="F71" s="12">
        <f t="shared" si="22"/>
        <v>904886.6160140268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93.850632658126273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99.999999999999972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4"/>
      <c r="C76" s="14"/>
      <c r="D76" s="14"/>
      <c r="E76" s="14"/>
      <c r="F76" s="14"/>
      <c r="G76" s="5"/>
      <c r="H76" s="5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  <row r="79" spans="1:8" ht="15.5" x14ac:dyDescent="0.4">
      <c r="A79" s="5"/>
      <c r="B79" s="5"/>
      <c r="C79" s="5"/>
      <c r="D79" s="5"/>
      <c r="E79" s="5"/>
      <c r="F79" s="5"/>
      <c r="G79" s="5"/>
      <c r="H79" s="5"/>
    </row>
    <row r="80" spans="1:8" ht="15.5" x14ac:dyDescent="0.4">
      <c r="A80" s="5"/>
      <c r="B80" s="5"/>
      <c r="C80" s="5"/>
      <c r="D80" s="5"/>
      <c r="E80" s="5"/>
      <c r="F80" s="5"/>
      <c r="G80" s="5"/>
      <c r="H80" s="5"/>
    </row>
    <row r="81" spans="1:8" ht="15.5" x14ac:dyDescent="0.4">
      <c r="A81" s="5"/>
      <c r="B81" s="5"/>
      <c r="C81" s="5"/>
      <c r="D81" s="5"/>
      <c r="E81" s="5"/>
      <c r="F81" s="5"/>
      <c r="G81" s="5"/>
      <c r="H81" s="5"/>
    </row>
    <row r="82" spans="1:8" ht="15.5" x14ac:dyDescent="0.4">
      <c r="A82" s="5"/>
      <c r="B82" s="5"/>
      <c r="C82" s="5"/>
      <c r="D82" s="5"/>
      <c r="E82" s="5"/>
      <c r="F82" s="5"/>
      <c r="G82" s="5"/>
      <c r="H82" s="5"/>
    </row>
    <row r="83" spans="1:8" ht="15.5" x14ac:dyDescent="0.4">
      <c r="A83" s="5"/>
      <c r="B83" s="5"/>
      <c r="C83" s="5"/>
      <c r="D83" s="5"/>
      <c r="E83" s="5"/>
      <c r="F83" s="5"/>
      <c r="G83" s="5"/>
      <c r="H83" s="5"/>
    </row>
    <row r="84" spans="1:8" ht="15.5" x14ac:dyDescent="0.4">
      <c r="A84" s="5"/>
      <c r="B84" s="5"/>
      <c r="C84" s="5"/>
      <c r="D84" s="5"/>
      <c r="E84" s="5"/>
      <c r="F84" s="5"/>
      <c r="G84" s="5"/>
      <c r="H84" s="5"/>
    </row>
    <row r="85" spans="1:8" ht="15.5" x14ac:dyDescent="0.4">
      <c r="A85" s="5"/>
      <c r="B85" s="5"/>
      <c r="C85" s="5"/>
      <c r="D85" s="5"/>
      <c r="E85" s="5"/>
      <c r="F85" s="5"/>
      <c r="G85" s="5"/>
      <c r="H85" s="5"/>
    </row>
    <row r="86" spans="1:8" ht="15.5" x14ac:dyDescent="0.4">
      <c r="A86" s="5"/>
      <c r="B86" s="5"/>
      <c r="C86" s="5"/>
      <c r="D86" s="5"/>
      <c r="E86" s="5"/>
      <c r="F86" s="5"/>
      <c r="G86" s="5"/>
      <c r="H86" s="5"/>
    </row>
    <row r="87" spans="1:8" ht="15.5" x14ac:dyDescent="0.4">
      <c r="A87" s="5"/>
      <c r="B87" s="5"/>
      <c r="C87" s="5"/>
      <c r="D87" s="5"/>
      <c r="E87" s="5"/>
      <c r="F87" s="5"/>
      <c r="G87" s="5"/>
      <c r="H87" s="5"/>
    </row>
    <row r="88" spans="1:8" ht="15.5" x14ac:dyDescent="0.4">
      <c r="A88" s="5"/>
      <c r="B88" s="5"/>
      <c r="C88" s="5"/>
      <c r="D88" s="5"/>
      <c r="E88" s="5"/>
      <c r="F88" s="5"/>
      <c r="G88" s="5"/>
      <c r="H88" s="5"/>
    </row>
    <row r="89" spans="1:8" ht="15.5" x14ac:dyDescent="0.4">
      <c r="A89" s="5"/>
      <c r="B89" s="5"/>
      <c r="C89" s="5"/>
      <c r="D89" s="5"/>
      <c r="E89" s="5"/>
      <c r="F89" s="5"/>
      <c r="G89" s="5"/>
      <c r="H89" s="5"/>
    </row>
    <row r="90" spans="1:8" ht="15.5" x14ac:dyDescent="0.4">
      <c r="A90" s="5"/>
      <c r="B90" s="5"/>
      <c r="C90" s="5"/>
      <c r="D90" s="5"/>
      <c r="E90" s="5"/>
      <c r="F90" s="5"/>
      <c r="G90" s="5"/>
      <c r="H90" s="5"/>
    </row>
    <row r="91" spans="1:8" ht="15.5" x14ac:dyDescent="0.4">
      <c r="A91" s="5"/>
      <c r="B91" s="5"/>
      <c r="C91" s="5"/>
      <c r="D91" s="5"/>
      <c r="E91" s="5"/>
      <c r="F91" s="5"/>
      <c r="G91" s="5"/>
      <c r="H91" s="5"/>
    </row>
    <row r="92" spans="1:8" ht="15.5" x14ac:dyDescent="0.4">
      <c r="A92" s="5"/>
      <c r="B92" s="5"/>
      <c r="C92" s="5"/>
      <c r="D92" s="5"/>
      <c r="E92" s="5"/>
      <c r="F92" s="5"/>
      <c r="G92" s="5"/>
      <c r="H92" s="5"/>
    </row>
    <row r="93" spans="1:8" ht="15.5" x14ac:dyDescent="0.4">
      <c r="A93" s="5"/>
      <c r="B93" s="5"/>
      <c r="C93" s="5"/>
      <c r="D93" s="5"/>
      <c r="E93" s="5"/>
      <c r="F93" s="5"/>
      <c r="G93" s="5"/>
      <c r="H93" s="5"/>
    </row>
    <row r="94" spans="1:8" ht="15.5" x14ac:dyDescent="0.4">
      <c r="A94" s="5"/>
      <c r="B94" s="5"/>
      <c r="C94" s="5"/>
      <c r="D94" s="5"/>
      <c r="E94" s="5"/>
      <c r="F94" s="5"/>
      <c r="G94" s="5"/>
      <c r="H94" s="5"/>
    </row>
    <row r="95" spans="1:8" ht="15.5" x14ac:dyDescent="0.4">
      <c r="A95" s="5"/>
      <c r="B95" s="5"/>
      <c r="C95" s="5"/>
      <c r="D95" s="5"/>
      <c r="E95" s="5"/>
      <c r="F95" s="5"/>
      <c r="G95" s="5"/>
      <c r="H95" s="5"/>
    </row>
    <row r="96" spans="1:8" ht="15.5" x14ac:dyDescent="0.4">
      <c r="A96" s="5"/>
      <c r="B96" s="5"/>
      <c r="C96" s="5"/>
      <c r="D96" s="5"/>
      <c r="E96" s="5"/>
      <c r="F96" s="5"/>
      <c r="G96" s="5"/>
      <c r="H96" s="5"/>
    </row>
    <row r="97" spans="1:8" ht="15.5" x14ac:dyDescent="0.4">
      <c r="A97" s="5"/>
      <c r="B97" s="5"/>
      <c r="C97" s="5"/>
      <c r="D97" s="5"/>
      <c r="E97" s="5"/>
      <c r="F97" s="5"/>
      <c r="G97" s="5"/>
      <c r="H97" s="5"/>
    </row>
    <row r="98" spans="1:8" ht="15.5" x14ac:dyDescent="0.4">
      <c r="A98" s="5"/>
      <c r="B98" s="5"/>
      <c r="C98" s="5"/>
      <c r="D98" s="5"/>
      <c r="E98" s="5"/>
      <c r="F98" s="5"/>
      <c r="G98" s="5"/>
      <c r="H98" s="5"/>
    </row>
    <row r="99" spans="1:8" ht="15.5" x14ac:dyDescent="0.4">
      <c r="A99" s="5"/>
      <c r="B99" s="5"/>
      <c r="C99" s="5"/>
      <c r="D99" s="5"/>
      <c r="E99" s="5"/>
      <c r="F99" s="5"/>
      <c r="G99" s="5"/>
      <c r="H99" s="5"/>
    </row>
    <row r="100" spans="1:8" ht="15.5" x14ac:dyDescent="0.4">
      <c r="A100" s="5"/>
      <c r="B100" s="5"/>
      <c r="C100" s="5"/>
      <c r="D100" s="5"/>
      <c r="E100" s="5"/>
      <c r="F100" s="5"/>
      <c r="G100" s="5"/>
      <c r="H100" s="5"/>
    </row>
    <row r="101" spans="1:8" ht="15.5" x14ac:dyDescent="0.4">
      <c r="A101" s="5"/>
      <c r="B101" s="5"/>
      <c r="C101" s="5"/>
      <c r="D101" s="5"/>
      <c r="E101" s="5"/>
      <c r="F101" s="5"/>
      <c r="G101" s="5"/>
      <c r="H101" s="5"/>
    </row>
    <row r="102" spans="1:8" ht="15.5" x14ac:dyDescent="0.4">
      <c r="A102" s="5"/>
      <c r="B102" s="5"/>
      <c r="C102" s="5"/>
      <c r="D102" s="5"/>
      <c r="E102" s="5"/>
      <c r="F102" s="5"/>
      <c r="G102" s="5"/>
      <c r="H102" s="5"/>
    </row>
    <row r="103" spans="1:8" ht="15.5" x14ac:dyDescent="0.4">
      <c r="A103" s="5"/>
      <c r="B103" s="5"/>
      <c r="C103" s="5"/>
      <c r="D103" s="5"/>
      <c r="E103" s="5"/>
      <c r="F103" s="5"/>
      <c r="G103" s="5"/>
      <c r="H103" s="5"/>
    </row>
    <row r="104" spans="1:8" ht="15.5" x14ac:dyDescent="0.4">
      <c r="A104" s="5"/>
      <c r="B104" s="5"/>
      <c r="C104" s="5"/>
      <c r="D104" s="5"/>
      <c r="E104" s="5"/>
      <c r="F104" s="5"/>
      <c r="G104" s="5"/>
      <c r="H104" s="5"/>
    </row>
    <row r="105" spans="1:8" ht="15.5" x14ac:dyDescent="0.4">
      <c r="A105" s="5"/>
      <c r="B105" s="5"/>
      <c r="C105" s="5"/>
      <c r="D105" s="5"/>
      <c r="E105" s="5"/>
      <c r="F105" s="5"/>
      <c r="G105" s="5"/>
      <c r="H105" s="5"/>
    </row>
    <row r="106" spans="1:8" ht="15.5" x14ac:dyDescent="0.4">
      <c r="A106" s="5"/>
      <c r="B106" s="5"/>
      <c r="C106" s="5"/>
      <c r="D106" s="5"/>
      <c r="E106" s="5"/>
      <c r="F106" s="5"/>
      <c r="G106" s="5"/>
      <c r="H106" s="5"/>
    </row>
    <row r="107" spans="1:8" ht="15.5" x14ac:dyDescent="0.4">
      <c r="A107" s="5"/>
      <c r="B107" s="5"/>
      <c r="C107" s="5"/>
      <c r="D107" s="5"/>
      <c r="E107" s="5"/>
      <c r="F107" s="5"/>
      <c r="G107" s="5"/>
      <c r="H107" s="5"/>
    </row>
    <row r="108" spans="1:8" ht="15.5" x14ac:dyDescent="0.4">
      <c r="A108" s="5"/>
      <c r="B108" s="5"/>
      <c r="C108" s="5"/>
      <c r="D108" s="5"/>
      <c r="E108" s="5"/>
      <c r="F108" s="5"/>
      <c r="G108" s="5"/>
      <c r="H108" s="5"/>
    </row>
    <row r="109" spans="1:8" ht="15.5" x14ac:dyDescent="0.4">
      <c r="A109" s="5"/>
      <c r="B109" s="5"/>
      <c r="C109" s="5"/>
      <c r="D109" s="5"/>
      <c r="E109" s="5"/>
      <c r="F109" s="5"/>
      <c r="G109" s="5"/>
      <c r="H109" s="5"/>
    </row>
    <row r="110" spans="1:8" ht="15.5" x14ac:dyDescent="0.4">
      <c r="A110" s="5"/>
      <c r="B110" s="5"/>
      <c r="C110" s="5"/>
      <c r="D110" s="5"/>
      <c r="E110" s="5"/>
      <c r="F110" s="5"/>
      <c r="G110" s="5"/>
      <c r="H110" s="5"/>
    </row>
    <row r="111" spans="1:8" ht="15.5" x14ac:dyDescent="0.4">
      <c r="A111" s="5"/>
      <c r="B111" s="5"/>
      <c r="C111" s="5"/>
      <c r="D111" s="5"/>
      <c r="E111" s="5"/>
      <c r="F111" s="5"/>
      <c r="G111" s="5"/>
      <c r="H111" s="5"/>
    </row>
    <row r="112" spans="1:8" ht="15.5" x14ac:dyDescent="0.4">
      <c r="A112" s="5"/>
      <c r="B112" s="5"/>
      <c r="C112" s="5"/>
      <c r="D112" s="5"/>
      <c r="E112" s="5"/>
      <c r="F112" s="5"/>
      <c r="G112" s="5"/>
      <c r="H112" s="5"/>
    </row>
    <row r="113" spans="1:8" ht="15.5" x14ac:dyDescent="0.4">
      <c r="A113" s="5"/>
      <c r="B113" s="5"/>
      <c r="C113" s="5"/>
      <c r="D113" s="5"/>
      <c r="E113" s="5"/>
      <c r="F113" s="5"/>
      <c r="G113" s="5"/>
      <c r="H113" s="5"/>
    </row>
    <row r="114" spans="1:8" ht="15.5" x14ac:dyDescent="0.4">
      <c r="A114" s="5"/>
      <c r="B114" s="5"/>
      <c r="C114" s="5"/>
      <c r="D114" s="5"/>
      <c r="E114" s="5"/>
      <c r="F114" s="5"/>
      <c r="G114" s="5"/>
      <c r="H114" s="5"/>
    </row>
    <row r="115" spans="1:8" ht="15.5" x14ac:dyDescent="0.4">
      <c r="A115" s="5"/>
      <c r="B115" s="5"/>
      <c r="C115" s="5"/>
      <c r="D115" s="5"/>
      <c r="E115" s="5"/>
      <c r="F115" s="5"/>
      <c r="G115" s="5"/>
      <c r="H115" s="5"/>
    </row>
    <row r="116" spans="1:8" ht="15.5" x14ac:dyDescent="0.4">
      <c r="A116" s="5"/>
      <c r="B116" s="5"/>
      <c r="C116" s="5"/>
      <c r="D116" s="5"/>
      <c r="E116" s="5"/>
      <c r="F116" s="5"/>
      <c r="G116" s="5"/>
      <c r="H116" s="5"/>
    </row>
    <row r="117" spans="1:8" ht="15.5" x14ac:dyDescent="0.4">
      <c r="A117" s="5"/>
      <c r="B117" s="5"/>
      <c r="C117" s="5"/>
      <c r="D117" s="5"/>
      <c r="E117" s="5"/>
      <c r="F117" s="5"/>
      <c r="G117" s="5"/>
      <c r="H117" s="5"/>
    </row>
    <row r="118" spans="1:8" ht="15.5" x14ac:dyDescent="0.4">
      <c r="A118" s="5"/>
      <c r="B118" s="5"/>
      <c r="C118" s="5"/>
      <c r="D118" s="5"/>
      <c r="E118" s="5"/>
      <c r="F118" s="5"/>
      <c r="G118" s="5"/>
      <c r="H118" s="5"/>
    </row>
    <row r="119" spans="1:8" ht="15.5" x14ac:dyDescent="0.4">
      <c r="A119" s="5"/>
      <c r="B119" s="5"/>
      <c r="C119" s="5"/>
      <c r="D119" s="5"/>
      <c r="E119" s="5"/>
      <c r="F119" s="5"/>
      <c r="G119" s="5"/>
      <c r="H119" s="5"/>
    </row>
    <row r="120" spans="1:8" ht="15.5" x14ac:dyDescent="0.4">
      <c r="A120" s="5"/>
      <c r="B120" s="5"/>
      <c r="C120" s="5"/>
      <c r="D120" s="5"/>
      <c r="E120" s="5"/>
      <c r="F120" s="5"/>
      <c r="G120" s="5"/>
      <c r="H120" s="5"/>
    </row>
    <row r="121" spans="1:8" ht="15.5" x14ac:dyDescent="0.4">
      <c r="A121" s="5"/>
      <c r="B121" s="5"/>
      <c r="C121" s="5"/>
      <c r="D121" s="5"/>
      <c r="E121" s="5"/>
      <c r="F121" s="5"/>
      <c r="G121" s="5"/>
      <c r="H121" s="5"/>
    </row>
    <row r="122" spans="1:8" ht="15.5" x14ac:dyDescent="0.4">
      <c r="A122" s="5"/>
      <c r="B122" s="5"/>
      <c r="C122" s="5"/>
      <c r="D122" s="5"/>
      <c r="E122" s="5"/>
      <c r="F122" s="5"/>
      <c r="G122" s="5"/>
      <c r="H122" s="5"/>
    </row>
    <row r="123" spans="1:8" ht="15.5" x14ac:dyDescent="0.4">
      <c r="A123" s="5"/>
      <c r="B123" s="5"/>
      <c r="C123" s="5"/>
      <c r="D123" s="5"/>
      <c r="E123" s="5"/>
      <c r="F123" s="5"/>
      <c r="G123" s="5"/>
      <c r="H123" s="5"/>
    </row>
    <row r="124" spans="1:8" ht="15.5" x14ac:dyDescent="0.4">
      <c r="A124" s="5"/>
      <c r="B124" s="5"/>
      <c r="C124" s="5"/>
      <c r="D124" s="5"/>
      <c r="E124" s="5"/>
      <c r="F124" s="5"/>
      <c r="G124" s="5"/>
      <c r="H124" s="5"/>
    </row>
    <row r="125" spans="1:8" ht="15.5" x14ac:dyDescent="0.4">
      <c r="A125" s="5"/>
      <c r="B125" s="5"/>
      <c r="C125" s="5"/>
      <c r="D125" s="5"/>
      <c r="E125" s="5"/>
      <c r="F125" s="5"/>
      <c r="G125" s="5"/>
      <c r="H125" s="5"/>
    </row>
    <row r="126" spans="1:8" ht="15.5" x14ac:dyDescent="0.4">
      <c r="A126" s="5"/>
      <c r="B126" s="5"/>
      <c r="C126" s="5"/>
      <c r="D126" s="5"/>
      <c r="E126" s="5"/>
      <c r="F126" s="5"/>
      <c r="G126" s="5"/>
      <c r="H126" s="5"/>
    </row>
    <row r="127" spans="1:8" ht="15.5" x14ac:dyDescent="0.4">
      <c r="A127" s="5"/>
      <c r="B127" s="5"/>
      <c r="C127" s="5"/>
      <c r="D127" s="5"/>
      <c r="E127" s="5"/>
      <c r="F127" s="5"/>
      <c r="G127" s="5"/>
      <c r="H127" s="5"/>
    </row>
    <row r="128" spans="1:8" ht="15.5" x14ac:dyDescent="0.4">
      <c r="A128" s="5"/>
      <c r="B128" s="5"/>
      <c r="C128" s="5"/>
      <c r="D128" s="5"/>
      <c r="E128" s="5"/>
      <c r="F128" s="5"/>
      <c r="G128" s="5"/>
      <c r="H128" s="5"/>
    </row>
    <row r="129" spans="1:8" ht="15.5" x14ac:dyDescent="0.4">
      <c r="A129" s="5"/>
      <c r="B129" s="5"/>
      <c r="C129" s="5"/>
      <c r="D129" s="5"/>
      <c r="E129" s="5"/>
      <c r="F129" s="5"/>
      <c r="G129" s="5"/>
      <c r="H129" s="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r:id="rId1"/>
  <ignoredErrors>
    <ignoredError sqref="C15:C16 C17:C18 C21:C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L8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0" width="13.54296875" style="3" bestFit="1" customWidth="1"/>
    <col min="11" max="12" width="11.54296875" style="3" bestFit="1" customWidth="1"/>
    <col min="13" max="16384" width="11.453125" style="3"/>
  </cols>
  <sheetData>
    <row r="9" spans="1:8" s="2" customFormat="1" ht="21" customHeight="1" x14ac:dyDescent="0.4">
      <c r="A9" s="21" t="s">
        <v>0</v>
      </c>
      <c r="B9" s="21" t="s">
        <v>34</v>
      </c>
      <c r="C9" s="23" t="s">
        <v>45</v>
      </c>
      <c r="D9" s="23"/>
      <c r="E9" s="23"/>
      <c r="F9" s="23"/>
      <c r="G9" s="23"/>
      <c r="H9" s="23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53</v>
      </c>
      <c r="B15" s="8">
        <f>+SUM(C15+F15)</f>
        <v>128589.33333333337</v>
      </c>
      <c r="C15" s="8">
        <f>+SUM(D15:E15)</f>
        <v>124141.6666666667</v>
      </c>
      <c r="D15" s="8">
        <v>92986.666666666701</v>
      </c>
      <c r="E15" s="8">
        <v>31155</v>
      </c>
      <c r="F15" s="8">
        <v>4447.666666666667</v>
      </c>
      <c r="G15" s="8"/>
      <c r="H15" s="8"/>
    </row>
    <row r="16" spans="1:8" ht="15.5" x14ac:dyDescent="0.4">
      <c r="A16" s="7" t="s">
        <v>86</v>
      </c>
      <c r="B16" s="8">
        <f t="shared" ref="B16:B18" si="0">+SUM(C16+F16)</f>
        <v>131733</v>
      </c>
      <c r="C16" s="8">
        <f>+SUM(D16:E16)</f>
        <v>127107</v>
      </c>
      <c r="D16" s="8">
        <v>79508</v>
      </c>
      <c r="E16" s="8">
        <v>47599</v>
      </c>
      <c r="F16" s="8">
        <v>4626</v>
      </c>
      <c r="G16" s="8"/>
      <c r="H16" s="8"/>
    </row>
    <row r="17" spans="1:8" ht="15.5" x14ac:dyDescent="0.4">
      <c r="A17" s="7" t="s">
        <v>87</v>
      </c>
      <c r="B17" s="8">
        <f t="shared" si="0"/>
        <v>130995.66666666666</v>
      </c>
      <c r="C17" s="8">
        <f t="shared" ref="C17:C18" si="1">+SUM(D17:E17)</f>
        <v>126368.33333333333</v>
      </c>
      <c r="D17" s="8">
        <v>95463</v>
      </c>
      <c r="E17" s="8">
        <v>30905.333333333332</v>
      </c>
      <c r="F17" s="8">
        <v>4627.333333333333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v>79886.916666666672</v>
      </c>
      <c r="E18" s="8">
        <v>47823.666666666664</v>
      </c>
      <c r="F18" s="8">
        <v>4644.25</v>
      </c>
      <c r="G18" s="8"/>
      <c r="H18" s="8"/>
    </row>
    <row r="19" spans="1:8" ht="15.5" x14ac:dyDescent="0.4">
      <c r="A19" s="5"/>
      <c r="B19" s="8"/>
      <c r="C19" s="8"/>
      <c r="D19" s="8"/>
      <c r="E19" s="20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53</v>
      </c>
      <c r="B21" s="8">
        <f>+C21+F21+G21+H21</f>
        <v>40768887200</v>
      </c>
      <c r="C21" s="8">
        <f>+SUM(D21:E21)</f>
        <v>30536665600</v>
      </c>
      <c r="D21" s="8">
        <v>22902499200</v>
      </c>
      <c r="E21" s="8">
        <v>7634166400</v>
      </c>
      <c r="F21" s="11">
        <v>4010585200</v>
      </c>
      <c r="G21" s="8">
        <v>4727636400</v>
      </c>
      <c r="H21" s="8">
        <v>1494000000</v>
      </c>
    </row>
    <row r="22" spans="1:8" ht="15.5" x14ac:dyDescent="0.4">
      <c r="A22" s="7" t="s">
        <v>86</v>
      </c>
      <c r="B22" s="8">
        <f t="shared" ref="B22:B25" si="2">+C22+F22+G22+H22</f>
        <v>37865407273.815994</v>
      </c>
      <c r="C22" s="8">
        <f>+SUM(D22:E22)</f>
        <v>31268322000</v>
      </c>
      <c r="D22" s="8">
        <v>19558968000</v>
      </c>
      <c r="E22" s="8">
        <v>11709354000</v>
      </c>
      <c r="F22" s="8">
        <v>4268477554.5599999</v>
      </c>
      <c r="G22" s="8">
        <v>2284106719.2560005</v>
      </c>
      <c r="H22" s="8">
        <v>44501000</v>
      </c>
    </row>
    <row r="23" spans="1:8" ht="15.5" x14ac:dyDescent="0.4">
      <c r="A23" s="7" t="s">
        <v>87</v>
      </c>
      <c r="B23" s="8">
        <f t="shared" si="2"/>
        <v>37524590300</v>
      </c>
      <c r="C23" s="8">
        <f t="shared" ref="C23:C24" si="3">+SUM(D23:E23)</f>
        <v>31189356020</v>
      </c>
      <c r="D23" s="8">
        <v>23080123454.799999</v>
      </c>
      <c r="E23" s="8">
        <v>8109232565.1999998</v>
      </c>
      <c r="F23" s="11">
        <v>4159629540</v>
      </c>
      <c r="G23" s="8">
        <v>1704136349.9999998</v>
      </c>
      <c r="H23" s="8">
        <v>471468390</v>
      </c>
    </row>
    <row r="24" spans="1:8" ht="15.5" x14ac:dyDescent="0.4">
      <c r="A24" s="7" t="s">
        <v>79</v>
      </c>
      <c r="B24" s="8">
        <f t="shared" si="2"/>
        <v>150098361351</v>
      </c>
      <c r="C24" s="8">
        <f t="shared" si="3"/>
        <v>125667214000</v>
      </c>
      <c r="D24" s="8">
        <v>78608726000</v>
      </c>
      <c r="E24" s="8">
        <v>47058488000</v>
      </c>
      <c r="F24" s="8">
        <v>17141268381.120001</v>
      </c>
      <c r="G24" s="8">
        <v>7111874969.8800011</v>
      </c>
      <c r="H24" s="8">
        <v>178004000</v>
      </c>
    </row>
    <row r="25" spans="1:8" ht="15.5" x14ac:dyDescent="0.4">
      <c r="A25" s="7" t="s">
        <v>88</v>
      </c>
      <c r="B25" s="8">
        <f t="shared" si="2"/>
        <v>37053121910</v>
      </c>
      <c r="C25" s="8">
        <f>+C23</f>
        <v>31189356020</v>
      </c>
      <c r="D25" s="8">
        <f>+D23</f>
        <v>23080123454.799999</v>
      </c>
      <c r="E25" s="8">
        <f>+E23</f>
        <v>8109232565.1999998</v>
      </c>
      <c r="F25" s="8">
        <f t="shared" ref="F25:G25" si="4">F23</f>
        <v>4159629540</v>
      </c>
      <c r="G25" s="8">
        <f t="shared" si="4"/>
        <v>1704136349.9999998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86</v>
      </c>
      <c r="B28" s="8">
        <f>B22</f>
        <v>37865407273.815994</v>
      </c>
      <c r="C28" s="8"/>
      <c r="D28" s="8"/>
      <c r="E28" s="8"/>
      <c r="F28" s="8"/>
      <c r="G28" s="8"/>
      <c r="H28" s="8"/>
    </row>
    <row r="29" spans="1:8" ht="15.5" x14ac:dyDescent="0.4">
      <c r="A29" s="7" t="s">
        <v>87</v>
      </c>
      <c r="B29" s="8">
        <v>37524590300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54</v>
      </c>
      <c r="B32" s="10">
        <v>1.0586</v>
      </c>
      <c r="C32" s="10">
        <v>1.0586</v>
      </c>
      <c r="D32" s="10">
        <v>1.0586</v>
      </c>
      <c r="E32" s="10">
        <v>1.0586</v>
      </c>
      <c r="F32" s="10">
        <v>1.0586</v>
      </c>
      <c r="G32" s="10">
        <v>1.0586</v>
      </c>
      <c r="H32" s="10">
        <v>1.0586</v>
      </c>
    </row>
    <row r="33" spans="1:12" ht="15.5" x14ac:dyDescent="0.4">
      <c r="A33" s="7" t="s">
        <v>89</v>
      </c>
      <c r="B33" s="10">
        <v>1.0788</v>
      </c>
      <c r="C33" s="10">
        <v>1.0788</v>
      </c>
      <c r="D33" s="10">
        <v>1.0788</v>
      </c>
      <c r="E33" s="10">
        <v>1.0788</v>
      </c>
      <c r="F33" s="10">
        <v>1.0788</v>
      </c>
      <c r="G33" s="10">
        <v>1.0788</v>
      </c>
      <c r="H33" s="10">
        <v>1.0788</v>
      </c>
    </row>
    <row r="34" spans="1:12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12" ht="15.5" x14ac:dyDescent="0.4">
      <c r="A35" s="5"/>
      <c r="B35" s="8"/>
      <c r="C35" s="8"/>
      <c r="D35" s="8"/>
      <c r="E35" s="8"/>
      <c r="F35" s="8"/>
      <c r="G35" s="8"/>
      <c r="H35" s="8"/>
    </row>
    <row r="36" spans="1:12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12" ht="15.5" x14ac:dyDescent="0.4">
      <c r="A37" s="5" t="s">
        <v>55</v>
      </c>
      <c r="B37" s="8">
        <f>B21/B32</f>
        <v>38512079350.085022</v>
      </c>
      <c r="C37" s="8">
        <f t="shared" ref="C37:H37" si="5">C21/C32</f>
        <v>28846273946.722088</v>
      </c>
      <c r="D37" s="8">
        <f t="shared" si="5"/>
        <v>21634705460.041565</v>
      </c>
      <c r="E37" s="8">
        <f t="shared" si="5"/>
        <v>7211568486.680522</v>
      </c>
      <c r="F37" s="8">
        <f t="shared" si="5"/>
        <v>3788574721.3300586</v>
      </c>
      <c r="G37" s="8">
        <f t="shared" si="5"/>
        <v>4465932741.3565083</v>
      </c>
      <c r="H37" s="8">
        <f t="shared" si="5"/>
        <v>1411297940.6763651</v>
      </c>
    </row>
    <row r="38" spans="1:12" ht="15.5" x14ac:dyDescent="0.4">
      <c r="A38" s="5" t="s">
        <v>90</v>
      </c>
      <c r="B38" s="8">
        <f>B23/B33</f>
        <v>34783639506.859474</v>
      </c>
      <c r="C38" s="8">
        <f t="shared" ref="C38:H38" si="6">C23/C33</f>
        <v>28911156859.473488</v>
      </c>
      <c r="D38" s="8">
        <f t="shared" si="6"/>
        <v>21394256076.01038</v>
      </c>
      <c r="E38" s="8">
        <f t="shared" si="6"/>
        <v>7516900783.4631071</v>
      </c>
      <c r="F38" s="8">
        <f t="shared" si="6"/>
        <v>3855793047.8309231</v>
      </c>
      <c r="G38" s="8">
        <f t="shared" si="6"/>
        <v>1579659204.6718574</v>
      </c>
      <c r="H38" s="8">
        <f t="shared" si="6"/>
        <v>437030394.88320357</v>
      </c>
    </row>
    <row r="39" spans="1:12" ht="15.5" x14ac:dyDescent="0.4">
      <c r="A39" s="5" t="s">
        <v>56</v>
      </c>
      <c r="B39" s="8">
        <f>B37/B15</f>
        <v>299496.68725828745</v>
      </c>
      <c r="C39" s="8">
        <f t="shared" ref="C39:F39" si="7">C37/C15</f>
        <v>232365.76986014968</v>
      </c>
      <c r="D39" s="8">
        <f t="shared" si="7"/>
        <v>232664.59843749882</v>
      </c>
      <c r="E39" s="8">
        <f t="shared" si="7"/>
        <v>231473.87214509779</v>
      </c>
      <c r="F39" s="8">
        <f t="shared" si="7"/>
        <v>851811.74878139666</v>
      </c>
      <c r="G39" s="8"/>
      <c r="H39" s="8"/>
    </row>
    <row r="40" spans="1:12" ht="15.5" x14ac:dyDescent="0.4">
      <c r="A40" s="5" t="s">
        <v>91</v>
      </c>
      <c r="B40" s="8">
        <f>B38/B17</f>
        <v>265532.74922727322</v>
      </c>
      <c r="C40" s="8">
        <f t="shared" ref="C40:F40" si="8">C38/C17</f>
        <v>228784.82367265128</v>
      </c>
      <c r="D40" s="8">
        <f t="shared" si="8"/>
        <v>224110.45196579178</v>
      </c>
      <c r="E40" s="8">
        <f t="shared" si="8"/>
        <v>243223.41721374221</v>
      </c>
      <c r="F40" s="8">
        <f t="shared" si="8"/>
        <v>833264.59757187509</v>
      </c>
      <c r="G40" s="8"/>
      <c r="H40" s="8"/>
    </row>
    <row r="41" spans="1:12" ht="15.5" x14ac:dyDescent="0.4">
      <c r="A41" s="5"/>
      <c r="B41" s="18"/>
      <c r="C41" s="18"/>
      <c r="D41" s="18"/>
      <c r="E41" s="18"/>
      <c r="F41" s="18"/>
      <c r="G41" s="18"/>
      <c r="H41" s="18"/>
    </row>
    <row r="42" spans="1:12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12" ht="15.5" x14ac:dyDescent="0.4">
      <c r="A43" s="5"/>
      <c r="B43" s="18"/>
      <c r="C43" s="18"/>
      <c r="D43" s="18"/>
      <c r="E43" s="18"/>
      <c r="F43" s="18"/>
      <c r="G43" s="18"/>
      <c r="H43" s="18"/>
    </row>
    <row r="44" spans="1:12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12" ht="15.5" x14ac:dyDescent="0.4">
      <c r="A45" s="5" t="s">
        <v>9</v>
      </c>
      <c r="B45" s="12">
        <f>(B16/B34)*100</f>
        <v>87.540702542496774</v>
      </c>
      <c r="C45" s="12">
        <f>(C16/C34)*100</f>
        <v>93.339550731768213</v>
      </c>
      <c r="D45" s="12"/>
      <c r="E45" s="12"/>
      <c r="F45" s="12">
        <f>(F16/F34)*100</f>
        <v>32.33834323663055</v>
      </c>
      <c r="G45" s="12"/>
      <c r="H45" s="12"/>
      <c r="I45" s="4"/>
      <c r="J45" s="4"/>
      <c r="K45" s="4"/>
      <c r="L45" s="4"/>
    </row>
    <row r="46" spans="1:12" ht="15.5" x14ac:dyDescent="0.4">
      <c r="A46" s="5" t="s">
        <v>10</v>
      </c>
      <c r="B46" s="12">
        <f>(B17/B34)*100</f>
        <v>87.050721459487946</v>
      </c>
      <c r="C46" s="12">
        <f>(C17/C34)*100</f>
        <v>92.797119435244809</v>
      </c>
      <c r="D46" s="12"/>
      <c r="E46" s="12"/>
      <c r="F46" s="12">
        <f>(F17/F34)*100</f>
        <v>32.347663986950948</v>
      </c>
      <c r="G46" s="12"/>
      <c r="H46" s="12"/>
      <c r="I46" s="4"/>
      <c r="J46" s="4"/>
      <c r="K46" s="4"/>
      <c r="L46" s="4"/>
    </row>
    <row r="47" spans="1:12" ht="15.5" x14ac:dyDescent="0.4">
      <c r="A47" s="5"/>
      <c r="B47" s="12"/>
      <c r="C47" s="12"/>
      <c r="D47" s="12"/>
      <c r="E47" s="12"/>
      <c r="F47" s="12"/>
      <c r="G47" s="12"/>
      <c r="H47" s="12"/>
      <c r="I47" s="4"/>
      <c r="J47" s="4"/>
      <c r="K47" s="4"/>
      <c r="L47" s="4"/>
    </row>
    <row r="48" spans="1:12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  <c r="I48" s="4"/>
      <c r="J48" s="4"/>
      <c r="K48" s="4"/>
      <c r="L48" s="4"/>
    </row>
    <row r="49" spans="1:12" ht="15.5" x14ac:dyDescent="0.4">
      <c r="A49" s="5" t="s">
        <v>12</v>
      </c>
      <c r="B49" s="12">
        <f>B17/B16*100</f>
        <v>99.440281984519189</v>
      </c>
      <c r="C49" s="12">
        <f t="shared" ref="C49:F49" si="9">C17/C16*100</f>
        <v>99.418862323344371</v>
      </c>
      <c r="D49" s="12">
        <f t="shared" si="9"/>
        <v>120.06716305277456</v>
      </c>
      <c r="E49" s="12">
        <f t="shared" si="9"/>
        <v>64.928534913198462</v>
      </c>
      <c r="F49" s="12">
        <f t="shared" si="9"/>
        <v>100.02882259691597</v>
      </c>
      <c r="G49" s="12"/>
      <c r="H49" s="12"/>
      <c r="I49" s="4"/>
      <c r="J49" s="4"/>
      <c r="K49" s="4"/>
      <c r="L49" s="4"/>
    </row>
    <row r="50" spans="1:12" ht="15.5" x14ac:dyDescent="0.4">
      <c r="A50" s="5" t="s">
        <v>13</v>
      </c>
      <c r="B50" s="12">
        <f>B23/B22*100</f>
        <v>99.099925239542657</v>
      </c>
      <c r="C50" s="12">
        <f t="shared" ref="C50:H50" si="10">C23/C22*100</f>
        <v>99.747456931011527</v>
      </c>
      <c r="D50" s="12">
        <f t="shared" si="10"/>
        <v>118.00276709282412</v>
      </c>
      <c r="E50" s="12">
        <f t="shared" si="10"/>
        <v>69.254312109788458</v>
      </c>
      <c r="F50" s="12">
        <f t="shared" si="10"/>
        <v>97.449956965482514</v>
      </c>
      <c r="G50" s="12">
        <f t="shared" si="10"/>
        <v>74.60843819745368</v>
      </c>
      <c r="H50" s="12">
        <f t="shared" si="10"/>
        <v>1059.4557200961776</v>
      </c>
      <c r="I50" s="4"/>
      <c r="J50" s="4"/>
      <c r="K50" s="4"/>
      <c r="L50" s="4"/>
    </row>
    <row r="51" spans="1:12" ht="15.5" x14ac:dyDescent="0.4">
      <c r="A51" s="5" t="s">
        <v>14</v>
      </c>
      <c r="B51" s="12">
        <f>AVERAGE(B49:B50)</f>
        <v>99.270103612030923</v>
      </c>
      <c r="C51" s="12">
        <f t="shared" ref="C51:H51" si="11">AVERAGE(C49:C50)</f>
        <v>99.583159627177949</v>
      </c>
      <c r="D51" s="12">
        <f t="shared" si="11"/>
        <v>119.03496507279934</v>
      </c>
      <c r="E51" s="12">
        <f t="shared" si="11"/>
        <v>67.09142351149346</v>
      </c>
      <c r="F51" s="12">
        <f t="shared" si="11"/>
        <v>98.739389781199236</v>
      </c>
      <c r="G51" s="12">
        <f t="shared" si="11"/>
        <v>74.60843819745368</v>
      </c>
      <c r="H51" s="12">
        <f t="shared" si="11"/>
        <v>1059.4557200961776</v>
      </c>
      <c r="I51" s="4"/>
      <c r="J51" s="4"/>
      <c r="K51" s="4"/>
      <c r="L51" s="4"/>
    </row>
    <row r="52" spans="1:12" ht="15.5" x14ac:dyDescent="0.4">
      <c r="A52" s="5"/>
      <c r="B52" s="12"/>
      <c r="C52" s="12"/>
      <c r="D52" s="12"/>
      <c r="E52" s="12"/>
      <c r="F52" s="12"/>
      <c r="G52" s="12"/>
      <c r="H52" s="12"/>
      <c r="I52" s="4"/>
      <c r="J52" s="4"/>
      <c r="K52" s="4"/>
      <c r="L52" s="4"/>
    </row>
    <row r="53" spans="1:12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  <c r="I53" s="4"/>
      <c r="J53" s="4"/>
      <c r="K53" s="4"/>
      <c r="L53" s="4"/>
    </row>
    <row r="54" spans="1:12" ht="15.5" x14ac:dyDescent="0.4">
      <c r="A54" s="5" t="s">
        <v>16</v>
      </c>
      <c r="B54" s="12">
        <f>B17/B18*100</f>
        <v>98.973088755101486</v>
      </c>
      <c r="C54" s="12">
        <f t="shared" ref="C54:F54" si="12">C17/C18*100</f>
        <v>98.94899078450166</v>
      </c>
      <c r="D54" s="12">
        <f t="shared" si="12"/>
        <v>119.49766492844572</v>
      </c>
      <c r="E54" s="12">
        <f t="shared" si="12"/>
        <v>64.623512765646012</v>
      </c>
      <c r="F54" s="12">
        <f t="shared" si="12"/>
        <v>99.635750300550853</v>
      </c>
      <c r="G54" s="12"/>
      <c r="H54" s="12"/>
      <c r="I54" s="4"/>
      <c r="J54" s="4"/>
      <c r="K54" s="4"/>
      <c r="L54" s="4"/>
    </row>
    <row r="55" spans="1:12" ht="15.5" x14ac:dyDescent="0.4">
      <c r="A55" s="5" t="s">
        <v>17</v>
      </c>
      <c r="B55" s="12">
        <f>B23/B24*100</f>
        <v>24.999999974849825</v>
      </c>
      <c r="C55" s="12">
        <f t="shared" ref="C55:H55" si="13">C23/C24*100</f>
        <v>24.819008098643771</v>
      </c>
      <c r="D55" s="12">
        <f t="shared" si="13"/>
        <v>29.360765183753262</v>
      </c>
      <c r="E55" s="12">
        <f t="shared" si="13"/>
        <v>17.232242066935939</v>
      </c>
      <c r="F55" s="12">
        <f t="shared" si="13"/>
        <v>24.266754638656511</v>
      </c>
      <c r="G55" s="12">
        <f t="shared" si="13"/>
        <v>23.961843497211451</v>
      </c>
      <c r="H55" s="12">
        <f t="shared" si="13"/>
        <v>264.86393002404441</v>
      </c>
      <c r="I55" s="4"/>
      <c r="J55" s="4"/>
      <c r="K55" s="4"/>
      <c r="L55" s="4"/>
    </row>
    <row r="56" spans="1:12" ht="15.5" x14ac:dyDescent="0.4">
      <c r="A56" s="5" t="s">
        <v>18</v>
      </c>
      <c r="B56" s="12">
        <f>AVERAGE(B54:B55)</f>
        <v>61.986544364975657</v>
      </c>
      <c r="C56" s="12">
        <f t="shared" ref="C56:H56" si="14">AVERAGE(C54:C55)</f>
        <v>61.883999441572712</v>
      </c>
      <c r="D56" s="12">
        <f t="shared" si="14"/>
        <v>74.429215056099494</v>
      </c>
      <c r="E56" s="12">
        <f t="shared" si="14"/>
        <v>40.927877416290976</v>
      </c>
      <c r="F56" s="12">
        <f t="shared" si="14"/>
        <v>61.951252469603681</v>
      </c>
      <c r="G56" s="12">
        <f t="shared" si="14"/>
        <v>23.961843497211451</v>
      </c>
      <c r="H56" s="12">
        <f t="shared" si="14"/>
        <v>264.86393002404441</v>
      </c>
      <c r="I56" s="4"/>
      <c r="J56" s="4"/>
      <c r="K56" s="4"/>
      <c r="L56" s="4"/>
    </row>
    <row r="57" spans="1:12" ht="15.5" x14ac:dyDescent="0.4">
      <c r="A57" s="5"/>
      <c r="B57" s="12"/>
      <c r="C57" s="12"/>
      <c r="D57" s="12"/>
      <c r="E57" s="12"/>
      <c r="F57" s="12"/>
      <c r="G57" s="12"/>
      <c r="H57" s="12"/>
      <c r="I57" s="4"/>
      <c r="J57" s="4"/>
      <c r="K57" s="4"/>
      <c r="L57" s="4"/>
    </row>
    <row r="58" spans="1:12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  <c r="I58" s="4"/>
      <c r="J58" s="4"/>
      <c r="K58" s="4"/>
      <c r="L58" s="4"/>
    </row>
    <row r="59" spans="1:12" ht="15.5" x14ac:dyDescent="0.4">
      <c r="A59" s="5" t="s">
        <v>19</v>
      </c>
      <c r="B59" s="12">
        <f>(B25/B23)*100</f>
        <v>98.743574849903155</v>
      </c>
      <c r="C59" s="12"/>
      <c r="D59" s="12"/>
      <c r="E59" s="12"/>
      <c r="F59" s="12"/>
      <c r="G59" s="12"/>
      <c r="H59" s="12"/>
      <c r="I59" s="4"/>
      <c r="J59" s="4"/>
      <c r="K59" s="4"/>
      <c r="L59" s="4"/>
    </row>
    <row r="60" spans="1:12" ht="15.5" x14ac:dyDescent="0.4">
      <c r="A60" s="5"/>
      <c r="B60" s="12"/>
      <c r="C60" s="12"/>
      <c r="D60" s="12"/>
      <c r="E60" s="12"/>
      <c r="F60" s="12"/>
      <c r="G60" s="12"/>
      <c r="H60" s="12"/>
      <c r="I60" s="4"/>
      <c r="J60" s="4"/>
      <c r="K60" s="4"/>
      <c r="L60" s="4"/>
    </row>
    <row r="61" spans="1:12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  <c r="I61" s="4"/>
      <c r="J61" s="4"/>
      <c r="K61" s="4"/>
      <c r="L61" s="4"/>
    </row>
    <row r="62" spans="1:12" ht="15.5" x14ac:dyDescent="0.4">
      <c r="A62" s="5" t="s">
        <v>21</v>
      </c>
      <c r="B62" s="12">
        <f>((B17/B15)-1)*100</f>
        <v>1.8713319922854854</v>
      </c>
      <c r="C62" s="12">
        <f t="shared" ref="C62:F62" si="15">((C17/C15)-1)*100</f>
        <v>1.7936497281331398</v>
      </c>
      <c r="D62" s="12"/>
      <c r="E62" s="12"/>
      <c r="F62" s="12">
        <f t="shared" si="15"/>
        <v>4.0395713107996611</v>
      </c>
      <c r="G62" s="12"/>
      <c r="H62" s="12"/>
      <c r="I62" s="4"/>
      <c r="J62" s="4"/>
      <c r="K62" s="4"/>
      <c r="L62" s="4"/>
    </row>
    <row r="63" spans="1:12" ht="15.5" x14ac:dyDescent="0.4">
      <c r="A63" s="5" t="s">
        <v>22</v>
      </c>
      <c r="B63" s="12">
        <f>((B38/B37)-1)*100</f>
        <v>-9.6812218559611871</v>
      </c>
      <c r="C63" s="12">
        <f t="shared" ref="C63:H63" si="16">((C38/C37)-1)*100</f>
        <v>0.2249264943931184</v>
      </c>
      <c r="D63" s="12"/>
      <c r="E63" s="12"/>
      <c r="F63" s="12">
        <f t="shared" si="16"/>
        <v>1.7742378452355378</v>
      </c>
      <c r="G63" s="12">
        <f t="shared" si="16"/>
        <v>-64.628683498891149</v>
      </c>
      <c r="H63" s="12">
        <f t="shared" si="16"/>
        <v>-69.033442033242352</v>
      </c>
      <c r="I63" s="4"/>
      <c r="J63" s="4"/>
      <c r="K63" s="4"/>
      <c r="L63" s="4"/>
    </row>
    <row r="64" spans="1:12" ht="15.5" x14ac:dyDescent="0.4">
      <c r="A64" s="5" t="s">
        <v>23</v>
      </c>
      <c r="B64" s="12">
        <f>((B40/B39)-1)*100</f>
        <v>-11.340338466489797</v>
      </c>
      <c r="C64" s="12">
        <f t="shared" ref="C64:F64" si="17">((C40/C39)-1)*100</f>
        <v>-1.5410816273212724</v>
      </c>
      <c r="D64" s="12"/>
      <c r="E64" s="12"/>
      <c r="F64" s="12">
        <f t="shared" si="17"/>
        <v>-2.1773767779154407</v>
      </c>
      <c r="G64" s="12"/>
      <c r="H64" s="12"/>
      <c r="I64" s="4"/>
      <c r="J64" s="4"/>
      <c r="K64" s="4"/>
      <c r="L64" s="4"/>
    </row>
    <row r="65" spans="1:12" ht="15.5" x14ac:dyDescent="0.4">
      <c r="A65" s="5"/>
      <c r="B65" s="12"/>
      <c r="C65" s="12"/>
      <c r="D65" s="12"/>
      <c r="E65" s="12"/>
      <c r="F65" s="12"/>
      <c r="G65" s="12"/>
      <c r="H65" s="12"/>
      <c r="I65" s="4"/>
      <c r="J65" s="4"/>
      <c r="K65" s="4"/>
      <c r="L65" s="4"/>
    </row>
    <row r="66" spans="1:12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  <c r="I66" s="4"/>
      <c r="J66" s="4"/>
      <c r="K66" s="4"/>
      <c r="L66" s="4"/>
    </row>
    <row r="67" spans="1:12" ht="15.5" x14ac:dyDescent="0.4">
      <c r="A67" s="5" t="s">
        <v>30</v>
      </c>
      <c r="B67" s="12">
        <f>B22/(B16*3)</f>
        <v>95813.51995783388</v>
      </c>
      <c r="C67" s="12">
        <f t="shared" ref="C67:D67" si="18">C22/(C16*3)</f>
        <v>82000</v>
      </c>
      <c r="D67" s="12">
        <f t="shared" si="18"/>
        <v>82000</v>
      </c>
      <c r="E67" s="12">
        <f t="shared" ref="E67:F67" si="19">E22/(E16*3)</f>
        <v>82000</v>
      </c>
      <c r="F67" s="12">
        <f t="shared" si="19"/>
        <v>307571.52</v>
      </c>
      <c r="G67" s="12"/>
      <c r="H67" s="12"/>
      <c r="I67" s="4"/>
      <c r="J67" s="4"/>
      <c r="K67" s="4"/>
      <c r="L67" s="4"/>
    </row>
    <row r="68" spans="1:12" ht="15.5" x14ac:dyDescent="0.4">
      <c r="A68" s="5" t="s">
        <v>31</v>
      </c>
      <c r="B68" s="12">
        <f>B23/(B17*3)</f>
        <v>95485.576622127453</v>
      </c>
      <c r="C68" s="12">
        <f t="shared" ref="C68:D68" si="20">C23/(C17*3)</f>
        <v>82271.022592685404</v>
      </c>
      <c r="D68" s="12">
        <f t="shared" si="20"/>
        <v>80590.118526898732</v>
      </c>
      <c r="E68" s="12">
        <f t="shared" ref="E68:F68" si="21">E23/(E17*3)</f>
        <v>87463.140830061689</v>
      </c>
      <c r="F68" s="12">
        <f t="shared" si="21"/>
        <v>299641.94928684627</v>
      </c>
      <c r="G68" s="12"/>
      <c r="H68" s="12"/>
      <c r="I68" s="4"/>
      <c r="J68" s="4"/>
      <c r="K68" s="4"/>
      <c r="L68" s="4"/>
    </row>
    <row r="69" spans="1:12" ht="15.5" x14ac:dyDescent="0.4">
      <c r="A69" s="5" t="s">
        <v>25</v>
      </c>
      <c r="B69" s="12">
        <f>(B68/B67)*B51</f>
        <v>98.930329340834348</v>
      </c>
      <c r="C69" s="12">
        <f t="shared" ref="C69:D69" si="22">(C68/C67)*C51</f>
        <v>99.912297262665305</v>
      </c>
      <c r="D69" s="12">
        <f t="shared" si="22"/>
        <v>116.98831639100183</v>
      </c>
      <c r="E69" s="12">
        <f t="shared" ref="E69:F69" si="23">(E68/E67)*E51</f>
        <v>71.56130028140322</v>
      </c>
      <c r="F69" s="12">
        <f t="shared" si="23"/>
        <v>96.193767307949216</v>
      </c>
      <c r="G69" s="12"/>
      <c r="H69" s="12"/>
      <c r="I69" s="4"/>
      <c r="J69" s="4"/>
      <c r="K69" s="4"/>
      <c r="L69" s="4"/>
    </row>
    <row r="70" spans="1:12" ht="15.5" x14ac:dyDescent="0.4">
      <c r="A70" s="13" t="s">
        <v>32</v>
      </c>
      <c r="B70" s="12">
        <f>B22/B16</f>
        <v>287440.55987350165</v>
      </c>
      <c r="C70" s="12">
        <f t="shared" ref="C70:D70" si="24">C22/C16</f>
        <v>246000</v>
      </c>
      <c r="D70" s="12">
        <f t="shared" si="24"/>
        <v>246000</v>
      </c>
      <c r="E70" s="12">
        <f t="shared" ref="E70:F70" si="25">E22/E16</f>
        <v>246000</v>
      </c>
      <c r="F70" s="12">
        <f t="shared" si="25"/>
        <v>922714.55999999994</v>
      </c>
      <c r="G70" s="12"/>
      <c r="H70" s="12"/>
      <c r="I70" s="4"/>
      <c r="J70" s="4"/>
      <c r="K70" s="4"/>
      <c r="L70" s="4"/>
    </row>
    <row r="71" spans="1:12" ht="15.5" x14ac:dyDescent="0.4">
      <c r="A71" s="13" t="s">
        <v>33</v>
      </c>
      <c r="B71" s="12">
        <f>B23/B17</f>
        <v>286456.72986638237</v>
      </c>
      <c r="C71" s="12">
        <f t="shared" ref="C71:D71" si="26">C23/C17</f>
        <v>246813.06777805623</v>
      </c>
      <c r="D71" s="12">
        <f t="shared" si="26"/>
        <v>241770.35558069617</v>
      </c>
      <c r="E71" s="12">
        <f t="shared" ref="E71:F71" si="27">E23/E17</f>
        <v>262389.42249018507</v>
      </c>
      <c r="F71" s="12">
        <f t="shared" si="27"/>
        <v>898925.84786053887</v>
      </c>
      <c r="G71" s="12"/>
      <c r="H71" s="12"/>
      <c r="I71" s="4"/>
      <c r="J71" s="4"/>
      <c r="K71" s="4"/>
      <c r="L71" s="4"/>
    </row>
    <row r="72" spans="1:12" ht="15.5" x14ac:dyDescent="0.4">
      <c r="A72" s="5"/>
      <c r="B72" s="12"/>
      <c r="C72" s="12"/>
      <c r="D72" s="12"/>
      <c r="E72" s="12"/>
      <c r="F72" s="12"/>
      <c r="G72" s="12"/>
      <c r="H72" s="12"/>
      <c r="I72" s="4"/>
      <c r="J72" s="4"/>
      <c r="K72" s="4"/>
      <c r="L72" s="4"/>
    </row>
    <row r="73" spans="1:12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  <c r="I73" s="4"/>
      <c r="J73" s="4"/>
      <c r="K73" s="4"/>
      <c r="L73" s="4"/>
    </row>
    <row r="74" spans="1:12" ht="15.5" x14ac:dyDescent="0.4">
      <c r="A74" s="5" t="s">
        <v>27</v>
      </c>
      <c r="B74" s="12">
        <f>(B29/B28)*100</f>
        <v>99.099925239542657</v>
      </c>
      <c r="C74" s="12"/>
      <c r="D74" s="12"/>
      <c r="E74" s="12"/>
      <c r="F74" s="12"/>
      <c r="G74" s="12"/>
      <c r="H74" s="12"/>
      <c r="I74" s="4"/>
      <c r="J74" s="4"/>
      <c r="K74" s="4"/>
      <c r="L74" s="4"/>
    </row>
    <row r="75" spans="1:12" ht="15.5" x14ac:dyDescent="0.4">
      <c r="A75" s="5" t="s">
        <v>28</v>
      </c>
      <c r="B75" s="12">
        <f>(B23/B29)*100</f>
        <v>100</v>
      </c>
      <c r="C75" s="12"/>
      <c r="D75" s="12"/>
      <c r="E75" s="12"/>
      <c r="F75" s="12"/>
      <c r="G75" s="12"/>
      <c r="H75" s="12"/>
      <c r="I75" s="4"/>
      <c r="J75" s="4"/>
      <c r="K75" s="4"/>
      <c r="L75" s="4"/>
    </row>
    <row r="76" spans="1:12" ht="16" thickBot="1" x14ac:dyDescent="0.45">
      <c r="A76" s="14"/>
      <c r="B76" s="14"/>
      <c r="C76" s="14"/>
      <c r="D76" s="14"/>
      <c r="E76" s="14"/>
      <c r="F76" s="14"/>
      <c r="G76" s="14"/>
      <c r="H76" s="14"/>
    </row>
    <row r="77" spans="1:12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12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  <row r="79" spans="1:12" ht="15.5" x14ac:dyDescent="0.4">
      <c r="A79" s="5"/>
      <c r="B79" s="5"/>
      <c r="C79" s="5"/>
      <c r="D79" s="5"/>
      <c r="E79" s="5"/>
      <c r="F79" s="5"/>
      <c r="G79" s="5"/>
      <c r="H79" s="5"/>
    </row>
    <row r="80" spans="1:12" ht="15.5" x14ac:dyDescent="0.4">
      <c r="A80" s="5"/>
      <c r="B80" s="5"/>
      <c r="C80" s="5"/>
      <c r="D80" s="5"/>
      <c r="E80" s="5"/>
      <c r="F80" s="5"/>
      <c r="G80" s="5"/>
      <c r="H80" s="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scale="37" orientation="portrait" r:id="rId1"/>
  <ignoredErrors>
    <ignoredError sqref="C15:C18 C21:C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H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9" spans="1:8" s="2" customFormat="1" ht="21" customHeight="1" x14ac:dyDescent="0.4">
      <c r="A9" s="21" t="s">
        <v>0</v>
      </c>
      <c r="B9" s="21" t="s">
        <v>34</v>
      </c>
      <c r="C9" s="23" t="s">
        <v>45</v>
      </c>
      <c r="D9" s="23"/>
      <c r="E9" s="23"/>
      <c r="F9" s="23"/>
      <c r="G9" s="23"/>
      <c r="H9" s="23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57</v>
      </c>
      <c r="B15" s="8">
        <f>+C15+F15</f>
        <v>127699.66666666667</v>
      </c>
      <c r="C15" s="8">
        <f>+D15+E15</f>
        <v>123274.33333333334</v>
      </c>
      <c r="D15" s="8">
        <f>(+'I Trimestre'!D15+'II Trimestre'!D15)/2</f>
        <v>92137.166666666686</v>
      </c>
      <c r="E15" s="8">
        <f>(+'I Trimestre'!E15+'II Trimestre'!E15)/2</f>
        <v>31137.166666666664</v>
      </c>
      <c r="F15" s="8">
        <f>(+'I Trimestre'!F15+'II Trimestre'!F15)/2</f>
        <v>4425.3333333333339</v>
      </c>
      <c r="G15" s="8"/>
      <c r="H15" s="8"/>
    </row>
    <row r="16" spans="1:8" ht="15.5" x14ac:dyDescent="0.4">
      <c r="A16" s="7" t="s">
        <v>92</v>
      </c>
      <c r="B16" s="8">
        <f t="shared" ref="B16:B18" si="0">+C16+F16</f>
        <v>130955.66666666667</v>
      </c>
      <c r="C16" s="8">
        <f>+D16+E16</f>
        <v>126361.66666666667</v>
      </c>
      <c r="D16" s="8">
        <f>(+'I Trimestre'!D16+'II Trimestre'!D16)/2</f>
        <v>79041.333333333343</v>
      </c>
      <c r="E16" s="8">
        <f>(+'I Trimestre'!E16+'II Trimestre'!E16)/2</f>
        <v>47320.333333333328</v>
      </c>
      <c r="F16" s="8">
        <f>(+'I Trimestre'!F16+'II Trimestre'!F16)/2</f>
        <v>4594</v>
      </c>
      <c r="G16" s="8"/>
      <c r="H16" s="8"/>
    </row>
    <row r="17" spans="1:8" ht="15.5" x14ac:dyDescent="0.4">
      <c r="A17" s="7" t="s">
        <v>93</v>
      </c>
      <c r="B17" s="8">
        <f t="shared" si="0"/>
        <v>130586.83333333331</v>
      </c>
      <c r="C17" s="8">
        <f t="shared" ref="C17:C18" si="1">+D17+E17</f>
        <v>125991.83333333331</v>
      </c>
      <c r="D17" s="8">
        <f>(+'I Trimestre'!D17+'II Trimestre'!D17)/2</f>
        <v>94907.666666666657</v>
      </c>
      <c r="E17" s="8">
        <f>(+'I Trimestre'!E17+'II Trimestre'!E17)/2</f>
        <v>31084.166666666664</v>
      </c>
      <c r="F17" s="8">
        <f>(+'I Trimestre'!F17+'II Trimestre'!F17)/2</f>
        <v>4595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f>'II Trimestre'!D18</f>
        <v>79886.916666666672</v>
      </c>
      <c r="E18" s="8">
        <f>'II Trimestre'!E18</f>
        <v>47823.666666666664</v>
      </c>
      <c r="F18" s="8">
        <f>'II Trimestre'!F18</f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57</v>
      </c>
      <c r="B21" s="8">
        <f>+C21+F21+G21+H21</f>
        <v>81039622300</v>
      </c>
      <c r="C21" s="8">
        <f>+SUM(D21:E21)</f>
        <v>61244058600</v>
      </c>
      <c r="D21" s="8">
        <f>+'I Trimestre'!D21+'II Trimestre'!D21</f>
        <v>45625970020</v>
      </c>
      <c r="E21" s="8">
        <f>+'I Trimestre'!E21+'II Trimestre'!E21</f>
        <v>15618088580</v>
      </c>
      <c r="F21" s="8">
        <f>+'I Trimestre'!F21+'II Trimestre'!F21</f>
        <v>8038222700</v>
      </c>
      <c r="G21" s="8">
        <f>+'I Trimestre'!G21+'II Trimestre'!G21</f>
        <v>8769328200</v>
      </c>
      <c r="H21" s="8">
        <f>+'I Trimestre'!H21+'II Trimestre'!H21</f>
        <v>2988012800</v>
      </c>
    </row>
    <row r="22" spans="1:8" ht="15.5" x14ac:dyDescent="0.4">
      <c r="A22" s="7" t="s">
        <v>92</v>
      </c>
      <c r="B22" s="8">
        <f t="shared" ref="B22:B23" si="2">+C22+F22+G22+H22</f>
        <v>77848718347.160004</v>
      </c>
      <c r="C22" s="8">
        <f>+SUM(D22:E22)</f>
        <v>62169940000</v>
      </c>
      <c r="D22" s="8">
        <f>+'I Trimestre'!D22+'II Trimestre'!D22</f>
        <v>38888336000</v>
      </c>
      <c r="E22" s="8">
        <f>+'I Trimestre'!E22+'II Trimestre'!E22</f>
        <v>23281604000</v>
      </c>
      <c r="F22" s="8">
        <f>+'I Trimestre'!F22+'II Trimestre'!F22</f>
        <v>8477901377.2800007</v>
      </c>
      <c r="G22" s="8">
        <f>+'I Trimestre'!G22+'II Trimestre'!G22</f>
        <v>7111874969.8800011</v>
      </c>
      <c r="H22" s="8">
        <f>+'I Trimestre'!H22+'II Trimestre'!H22</f>
        <v>89002000</v>
      </c>
    </row>
    <row r="23" spans="1:8" ht="15.5" x14ac:dyDescent="0.4">
      <c r="A23" s="7" t="s">
        <v>93</v>
      </c>
      <c r="B23" s="8">
        <f t="shared" si="2"/>
        <v>75049180700</v>
      </c>
      <c r="C23" s="8">
        <f t="shared" ref="C23:C24" si="3">+SUM(D23:E23)</f>
        <v>62114316320</v>
      </c>
      <c r="D23" s="8">
        <f>+'I Trimestre'!D23+'II Trimestre'!D23</f>
        <v>45964594076.800003</v>
      </c>
      <c r="E23" s="8">
        <f>+'I Trimestre'!E23+'II Trimestre'!E23</f>
        <v>16149722243.200001</v>
      </c>
      <c r="F23" s="8">
        <f>+'I Trimestre'!F23+'II Trimestre'!F23</f>
        <v>8288325540</v>
      </c>
      <c r="G23" s="8">
        <f>+'I Trimestre'!G23+'II Trimestre'!G23</f>
        <v>3555937500</v>
      </c>
      <c r="H23" s="8">
        <f>+'I Trimestre'!H23+'II Trimestre'!H23</f>
        <v>1090601340</v>
      </c>
    </row>
    <row r="24" spans="1:8" ht="15.5" x14ac:dyDescent="0.4">
      <c r="A24" s="7" t="s">
        <v>79</v>
      </c>
      <c r="B24" s="8">
        <f>+C24+F24+G24+H24</f>
        <v>150098361351</v>
      </c>
      <c r="C24" s="8">
        <f t="shared" si="3"/>
        <v>125667214000</v>
      </c>
      <c r="D24" s="8">
        <f>+'II Trimestre'!D24</f>
        <v>78608726000</v>
      </c>
      <c r="E24" s="8">
        <f>+'II Trimestre'!E24</f>
        <v>47058488000</v>
      </c>
      <c r="F24" s="8">
        <f>+'II Trimestre'!F24</f>
        <v>17141268381.120001</v>
      </c>
      <c r="G24" s="8">
        <f>+'II Trimestre'!G24</f>
        <v>7111874969.8800011</v>
      </c>
      <c r="H24" s="8">
        <f>+'II Trimestre'!H24</f>
        <v>178004000</v>
      </c>
    </row>
    <row r="25" spans="1:8" ht="15.5" x14ac:dyDescent="0.4">
      <c r="A25" s="7" t="s">
        <v>94</v>
      </c>
      <c r="B25" s="8">
        <f>+C25+F25+G25</f>
        <v>73958579360</v>
      </c>
      <c r="C25" s="8">
        <f>+C23</f>
        <v>62114316320</v>
      </c>
      <c r="D25" s="8">
        <f t="shared" ref="D25" si="4">+D23</f>
        <v>45964594076.800003</v>
      </c>
      <c r="E25" s="8">
        <f t="shared" ref="E25:G25" si="5">+E23</f>
        <v>16149722243.200001</v>
      </c>
      <c r="F25" s="8">
        <f t="shared" si="5"/>
        <v>8288325540</v>
      </c>
      <c r="G25" s="8">
        <f t="shared" si="5"/>
        <v>3555937500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92</v>
      </c>
      <c r="B28" s="8">
        <f>B22</f>
        <v>77848718347.160004</v>
      </c>
      <c r="C28" s="8"/>
      <c r="D28" s="8"/>
      <c r="E28" s="8"/>
      <c r="F28" s="8"/>
      <c r="G28" s="8"/>
      <c r="H28" s="8"/>
    </row>
    <row r="29" spans="1:8" ht="15.5" x14ac:dyDescent="0.4">
      <c r="A29" s="7" t="s">
        <v>93</v>
      </c>
      <c r="B29" s="8">
        <f>+'I Trimestre'!B29+'II Trimestre'!B29</f>
        <v>75049180700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58</v>
      </c>
      <c r="B32" s="10">
        <v>1.0586</v>
      </c>
      <c r="C32" s="10">
        <v>1.0586</v>
      </c>
      <c r="D32" s="10">
        <v>1.0586</v>
      </c>
      <c r="E32" s="10">
        <v>1.0586</v>
      </c>
      <c r="F32" s="10">
        <v>1.0586</v>
      </c>
      <c r="G32" s="10">
        <v>1.0586</v>
      </c>
      <c r="H32" s="10">
        <v>1.0586</v>
      </c>
    </row>
    <row r="33" spans="1:8" ht="15.5" x14ac:dyDescent="0.4">
      <c r="A33" s="7" t="s">
        <v>95</v>
      </c>
      <c r="B33" s="10">
        <v>1.0788</v>
      </c>
      <c r="C33" s="10">
        <v>1.0788</v>
      </c>
      <c r="D33" s="10">
        <v>1.0788</v>
      </c>
      <c r="E33" s="10">
        <v>1.0788</v>
      </c>
      <c r="F33" s="10">
        <v>1.0788</v>
      </c>
      <c r="G33" s="10">
        <v>1.0788</v>
      </c>
      <c r="H33" s="10">
        <v>1.0788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59</v>
      </c>
      <c r="B37" s="8">
        <f>B21/B32</f>
        <v>76553582372.945404</v>
      </c>
      <c r="C37" s="8">
        <f t="shared" ref="C37:H37" si="6">C21/C32</f>
        <v>57853824485.16909</v>
      </c>
      <c r="D37" s="8">
        <f t="shared" si="6"/>
        <v>43100292858.492348</v>
      </c>
      <c r="E37" s="8">
        <f t="shared" si="6"/>
        <v>14753531626.676743</v>
      </c>
      <c r="F37" s="8">
        <f t="shared" si="6"/>
        <v>7593257793.3119211</v>
      </c>
      <c r="G37" s="8">
        <f t="shared" si="6"/>
        <v>8283892121.6701307</v>
      </c>
      <c r="H37" s="8">
        <f t="shared" si="6"/>
        <v>2822607972.7942567</v>
      </c>
    </row>
    <row r="38" spans="1:8" ht="15.5" x14ac:dyDescent="0.4">
      <c r="A38" s="5" t="s">
        <v>96</v>
      </c>
      <c r="B38" s="8">
        <f>B23/B33</f>
        <v>69567279106.414536</v>
      </c>
      <c r="C38" s="8">
        <f t="shared" ref="C38:H38" si="7">C23/C33</f>
        <v>57577230552.465706</v>
      </c>
      <c r="D38" s="8">
        <f t="shared" si="7"/>
        <v>42607150608.824623</v>
      </c>
      <c r="E38" s="8">
        <f t="shared" si="7"/>
        <v>14970079943.641083</v>
      </c>
      <c r="F38" s="8">
        <f t="shared" si="7"/>
        <v>7682912068.965517</v>
      </c>
      <c r="G38" s="8">
        <f t="shared" si="7"/>
        <v>3296197163.5150166</v>
      </c>
      <c r="H38" s="8">
        <f t="shared" si="7"/>
        <v>1010939321.4682981</v>
      </c>
    </row>
    <row r="39" spans="1:8" ht="15.5" x14ac:dyDescent="0.4">
      <c r="A39" s="5" t="s">
        <v>60</v>
      </c>
      <c r="B39" s="8">
        <f>B37/B15</f>
        <v>599481.45810570172</v>
      </c>
      <c r="C39" s="8">
        <f t="shared" ref="C39:F39" si="8">C37/C15</f>
        <v>469309.57094476884</v>
      </c>
      <c r="D39" s="8">
        <f t="shared" si="8"/>
        <v>467784.00528008788</v>
      </c>
      <c r="E39" s="8">
        <f t="shared" si="8"/>
        <v>473823.83196962078</v>
      </c>
      <c r="F39" s="8">
        <f t="shared" si="8"/>
        <v>1715861.2066839228</v>
      </c>
      <c r="G39" s="8"/>
      <c r="H39" s="8"/>
    </row>
    <row r="40" spans="1:8" ht="15.5" x14ac:dyDescent="0.4">
      <c r="A40" s="5" t="s">
        <v>97</v>
      </c>
      <c r="B40" s="8">
        <f>B38/B17</f>
        <v>532728.12680003128</v>
      </c>
      <c r="C40" s="8">
        <f t="shared" ref="C40:F40" si="9">C38/C17</f>
        <v>456991.76707854646</v>
      </c>
      <c r="D40" s="8">
        <f t="shared" si="9"/>
        <v>448932.65323305066</v>
      </c>
      <c r="E40" s="8">
        <f t="shared" si="9"/>
        <v>481598.2395209056</v>
      </c>
      <c r="F40" s="8">
        <f t="shared" si="9"/>
        <v>1672015.684214476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87.024140207245168</v>
      </c>
      <c r="C45" s="12">
        <f>(C16/C34)*100</f>
        <v>92.792223845926017</v>
      </c>
      <c r="D45" s="12"/>
      <c r="E45" s="12"/>
      <c r="F45" s="12">
        <f>(F16/F34)*100</f>
        <v>32.11464522894093</v>
      </c>
      <c r="G45" s="12"/>
      <c r="H45" s="12"/>
    </row>
    <row r="46" spans="1:8" ht="15.5" x14ac:dyDescent="0.4">
      <c r="A46" s="5" t="s">
        <v>10</v>
      </c>
      <c r="B46" s="12">
        <f>(B17/B34)*100</f>
        <v>86.77903891052307</v>
      </c>
      <c r="C46" s="12">
        <f>(C17/C34)*100</f>
        <v>92.520641028465391</v>
      </c>
      <c r="D46" s="12"/>
      <c r="E46" s="12"/>
      <c r="F46" s="12">
        <f>(F17/F34)*100</f>
        <v>32.121635791681229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99.718352521336712</v>
      </c>
      <c r="C49" s="12">
        <f t="shared" ref="C49:F49" si="10">C17/C16*100</f>
        <v>99.707321576955025</v>
      </c>
      <c r="D49" s="12">
        <f t="shared" si="10"/>
        <v>120.07346367301494</v>
      </c>
      <c r="E49" s="12">
        <f t="shared" si="10"/>
        <v>65.68881594240672</v>
      </c>
      <c r="F49" s="12">
        <f t="shared" si="10"/>
        <v>100.0217675228559</v>
      </c>
      <c r="G49" s="12"/>
      <c r="H49" s="12"/>
    </row>
    <row r="50" spans="1:8" ht="15.5" x14ac:dyDescent="0.4">
      <c r="A50" s="5" t="s">
        <v>13</v>
      </c>
      <c r="B50" s="12">
        <f>B23/B22*100</f>
        <v>96.403874454713957</v>
      </c>
      <c r="C50" s="12">
        <f t="shared" ref="C50:H50" si="11">C23/C22*100</f>
        <v>99.910529622515327</v>
      </c>
      <c r="D50" s="12">
        <f t="shared" si="11"/>
        <v>118.19635089760592</v>
      </c>
      <c r="E50" s="12">
        <f t="shared" si="11"/>
        <v>69.366879718424897</v>
      </c>
      <c r="F50" s="12">
        <f t="shared" si="11"/>
        <v>97.763882488795559</v>
      </c>
      <c r="G50" s="12">
        <f t="shared" si="11"/>
        <v>50.000000211758497</v>
      </c>
      <c r="H50" s="12">
        <f t="shared" si="11"/>
        <v>1225.3672277027481</v>
      </c>
    </row>
    <row r="51" spans="1:8" ht="15.5" x14ac:dyDescent="0.4">
      <c r="A51" s="5" t="s">
        <v>14</v>
      </c>
      <c r="B51" s="12">
        <f>AVERAGE(B49:B50)</f>
        <v>98.061113488025342</v>
      </c>
      <c r="C51" s="12">
        <f t="shared" ref="C51:H51" si="12">AVERAGE(C49:C50)</f>
        <v>99.808925599735176</v>
      </c>
      <c r="D51" s="12">
        <f t="shared" si="12"/>
        <v>119.13490728531043</v>
      </c>
      <c r="E51" s="12">
        <f t="shared" si="12"/>
        <v>67.527847830415809</v>
      </c>
      <c r="F51" s="12">
        <f t="shared" si="12"/>
        <v>98.892825005825728</v>
      </c>
      <c r="G51" s="12">
        <f t="shared" si="12"/>
        <v>50.000000211758497</v>
      </c>
      <c r="H51" s="12">
        <f t="shared" si="12"/>
        <v>1225.3672277027481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98.664196874815019</v>
      </c>
      <c r="C54" s="12">
        <f t="shared" ref="C54:F54" si="13">C17/C18*100</f>
        <v>98.654183580452397</v>
      </c>
      <c r="D54" s="12">
        <f t="shared" si="13"/>
        <v>118.80251563929427</v>
      </c>
      <c r="E54" s="12">
        <f t="shared" si="13"/>
        <v>64.997455931860799</v>
      </c>
      <c r="F54" s="12">
        <f t="shared" si="13"/>
        <v>98.939548904559402</v>
      </c>
      <c r="G54" s="12"/>
      <c r="H54" s="12"/>
    </row>
    <row r="55" spans="1:8" ht="15.5" x14ac:dyDescent="0.4">
      <c r="A55" s="5" t="s">
        <v>17</v>
      </c>
      <c r="B55" s="12">
        <f>B23/B24*100</f>
        <v>50.00000001632263</v>
      </c>
      <c r="C55" s="12">
        <f t="shared" ref="C55:H55" si="14">C23/C24*100</f>
        <v>49.42762264149502</v>
      </c>
      <c r="D55" s="12">
        <f t="shared" si="14"/>
        <v>58.472635820099669</v>
      </c>
      <c r="E55" s="12">
        <f t="shared" si="14"/>
        <v>34.318404457023782</v>
      </c>
      <c r="F55" s="12">
        <f t="shared" si="14"/>
        <v>48.353046902462914</v>
      </c>
      <c r="G55" s="12">
        <f t="shared" si="14"/>
        <v>50.000000211758497</v>
      </c>
      <c r="H55" s="12">
        <f t="shared" si="14"/>
        <v>612.68361385137405</v>
      </c>
    </row>
    <row r="56" spans="1:8" ht="15.5" x14ac:dyDescent="0.4">
      <c r="A56" s="5" t="s">
        <v>18</v>
      </c>
      <c r="B56" s="12">
        <f>AVERAGE(B54:B55)</f>
        <v>74.332098445568818</v>
      </c>
      <c r="C56" s="12">
        <f t="shared" ref="C56:H56" si="15">AVERAGE(C54:C55)</f>
        <v>74.040903110973716</v>
      </c>
      <c r="D56" s="12">
        <f t="shared" si="15"/>
        <v>88.637575729696977</v>
      </c>
      <c r="E56" s="12">
        <f t="shared" si="15"/>
        <v>49.657930194442287</v>
      </c>
      <c r="F56" s="12">
        <f t="shared" si="15"/>
        <v>73.646297903511154</v>
      </c>
      <c r="G56" s="12">
        <f t="shared" si="15"/>
        <v>50.000000211758497</v>
      </c>
      <c r="H56" s="12">
        <f t="shared" si="15"/>
        <v>612.68361385137405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98.546817793575187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2.2609038394775016</v>
      </c>
      <c r="C62" s="12">
        <f t="shared" ref="C62:F62" si="16">((C17/C15)-1)*100</f>
        <v>2.2044329314293343</v>
      </c>
      <c r="D62" s="12"/>
      <c r="E62" s="12"/>
      <c r="F62" s="12">
        <f t="shared" si="16"/>
        <v>3.8339861404037112</v>
      </c>
      <c r="G62" s="12"/>
      <c r="H62" s="12"/>
    </row>
    <row r="63" spans="1:8" ht="15.5" x14ac:dyDescent="0.4">
      <c r="A63" s="5" t="s">
        <v>22</v>
      </c>
      <c r="B63" s="12">
        <f>((B38/B37)-1)*100</f>
        <v>-9.1260304873725708</v>
      </c>
      <c r="C63" s="12">
        <f t="shared" ref="C63:H63" si="17">((C38/C37)-1)*100</f>
        <v>-0.47809100809625971</v>
      </c>
      <c r="D63" s="12"/>
      <c r="E63" s="12"/>
      <c r="F63" s="12">
        <f t="shared" si="17"/>
        <v>1.1807089670070603</v>
      </c>
      <c r="G63" s="12">
        <f t="shared" si="17"/>
        <v>-60.209559527068492</v>
      </c>
      <c r="H63" s="12">
        <f t="shared" si="17"/>
        <v>-64.184210800357349</v>
      </c>
    </row>
    <row r="64" spans="1:8" ht="15.5" x14ac:dyDescent="0.4">
      <c r="A64" s="5" t="s">
        <v>23</v>
      </c>
      <c r="B64" s="12">
        <f>((B40/B39)-1)*100</f>
        <v>-11.135178645325238</v>
      </c>
      <c r="C64" s="12">
        <f t="shared" ref="C64:F64" si="18">((C40/C39)-1)*100</f>
        <v>-2.6246649607902461</v>
      </c>
      <c r="D64" s="12"/>
      <c r="E64" s="12"/>
      <c r="F64" s="12">
        <f t="shared" si="18"/>
        <v>-2.5553070550608625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>B22/(B16*6)</f>
        <v>99077.701037704872</v>
      </c>
      <c r="C67" s="12">
        <f t="shared" ref="C67:F67" si="19">C22/(C16*6)</f>
        <v>82000</v>
      </c>
      <c r="D67" s="12">
        <f t="shared" si="19"/>
        <v>81999.999999999985</v>
      </c>
      <c r="E67" s="12">
        <f t="shared" si="19"/>
        <v>82000</v>
      </c>
      <c r="F67" s="12">
        <f t="shared" si="19"/>
        <v>307571.52</v>
      </c>
      <c r="G67" s="12"/>
      <c r="H67" s="12"/>
    </row>
    <row r="68" spans="1:8" ht="15.5" x14ac:dyDescent="0.4">
      <c r="A68" s="5" t="s">
        <v>31</v>
      </c>
      <c r="B68" s="12">
        <f>B23/(B17*6)</f>
        <v>95784.517198645612</v>
      </c>
      <c r="C68" s="12">
        <f t="shared" ref="C68:F68" si="20">C23/(C17*6)</f>
        <v>82167.119720722651</v>
      </c>
      <c r="D68" s="12">
        <f t="shared" si="20"/>
        <v>80718.091051302501</v>
      </c>
      <c r="E68" s="12">
        <f t="shared" si="20"/>
        <v>86591.363465858827</v>
      </c>
      <c r="F68" s="12">
        <f t="shared" si="20"/>
        <v>300628.42002176278</v>
      </c>
      <c r="G68" s="12"/>
      <c r="H68" s="12"/>
    </row>
    <row r="69" spans="1:8" ht="15.5" x14ac:dyDescent="0.4">
      <c r="A69" s="5" t="s">
        <v>25</v>
      </c>
      <c r="B69" s="12">
        <f>(B68/B67)*B51</f>
        <v>94.80171938827705</v>
      </c>
      <c r="C69" s="12">
        <f t="shared" ref="C69:F69" si="21">(C68/C67)*C51</f>
        <v>100.01234071890414</v>
      </c>
      <c r="D69" s="12">
        <f t="shared" si="21"/>
        <v>117.27246699566062</v>
      </c>
      <c r="E69" s="12">
        <f t="shared" si="21"/>
        <v>71.308883116472458</v>
      </c>
      <c r="F69" s="12">
        <f t="shared" si="21"/>
        <v>96.660424648517719</v>
      </c>
      <c r="G69" s="12"/>
      <c r="H69" s="12"/>
    </row>
    <row r="70" spans="1:8" ht="15.5" x14ac:dyDescent="0.4">
      <c r="A70" s="13" t="s">
        <v>35</v>
      </c>
      <c r="B70" s="12">
        <f>B22/B16</f>
        <v>594466.2062262292</v>
      </c>
      <c r="C70" s="12">
        <f t="shared" ref="C70:F70" si="22">C22/C16</f>
        <v>492000</v>
      </c>
      <c r="D70" s="12">
        <f t="shared" si="22"/>
        <v>491999.99999999994</v>
      </c>
      <c r="E70" s="12">
        <f t="shared" si="22"/>
        <v>492000.00000000006</v>
      </c>
      <c r="F70" s="12">
        <f t="shared" si="22"/>
        <v>1845429.12</v>
      </c>
      <c r="G70" s="12"/>
      <c r="H70" s="12"/>
    </row>
    <row r="71" spans="1:8" ht="15.5" x14ac:dyDescent="0.4">
      <c r="A71" s="13" t="s">
        <v>36</v>
      </c>
      <c r="B71" s="12">
        <f>B23/B17</f>
        <v>574707.10319187364</v>
      </c>
      <c r="C71" s="12">
        <f t="shared" ref="C71:F71" si="23">C23/C17</f>
        <v>493002.71832433593</v>
      </c>
      <c r="D71" s="12">
        <f t="shared" si="23"/>
        <v>484308.54630781506</v>
      </c>
      <c r="E71" s="12">
        <f t="shared" si="23"/>
        <v>519548.18079515302</v>
      </c>
      <c r="F71" s="12">
        <f t="shared" si="23"/>
        <v>1803770.5201305768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96.403874454713957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100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4"/>
      <c r="C76" s="14"/>
      <c r="D76" s="14"/>
      <c r="E76" s="14"/>
      <c r="F76" s="14"/>
      <c r="G76" s="14"/>
      <c r="H76" s="14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H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9" spans="1:8" s="2" customFormat="1" ht="21" customHeight="1" x14ac:dyDescent="0.4">
      <c r="A9" s="21" t="s">
        <v>0</v>
      </c>
      <c r="B9" s="21" t="s">
        <v>34</v>
      </c>
      <c r="C9" s="23" t="s">
        <v>45</v>
      </c>
      <c r="D9" s="23"/>
      <c r="E9" s="23"/>
      <c r="F9" s="23"/>
      <c r="G9" s="23"/>
      <c r="H9" s="23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6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61</v>
      </c>
      <c r="B15" s="8">
        <f>+C15+F15</f>
        <v>128466.99999999999</v>
      </c>
      <c r="C15" s="8">
        <f>+D15+E15</f>
        <v>124002.66666666666</v>
      </c>
      <c r="D15" s="8">
        <v>92922.333333333328</v>
      </c>
      <c r="E15" s="8">
        <v>31080.333333333332</v>
      </c>
      <c r="F15" s="8">
        <v>4464.333333333333</v>
      </c>
      <c r="G15" s="8"/>
      <c r="H15" s="8"/>
    </row>
    <row r="16" spans="1:8" ht="15.5" x14ac:dyDescent="0.4">
      <c r="A16" s="7" t="s">
        <v>98</v>
      </c>
      <c r="B16" s="8">
        <f t="shared" ref="B16:B18" si="0">+C16+F16</f>
        <v>133231.33333333331</v>
      </c>
      <c r="C16" s="8">
        <f>+D16+E16</f>
        <v>128556.33333333333</v>
      </c>
      <c r="D16" s="8">
        <v>80416.333333333328</v>
      </c>
      <c r="E16" s="8">
        <v>48140</v>
      </c>
      <c r="F16" s="8">
        <v>4675</v>
      </c>
      <c r="G16" s="8"/>
      <c r="H16" s="8"/>
    </row>
    <row r="17" spans="1:8" ht="15.5" x14ac:dyDescent="0.4">
      <c r="A17" s="7" t="s">
        <v>99</v>
      </c>
      <c r="B17" s="8">
        <f t="shared" si="0"/>
        <v>132815.33333333331</v>
      </c>
      <c r="C17" s="8">
        <f t="shared" ref="C17:C18" si="1">+D17+E17</f>
        <v>128112.66666666666</v>
      </c>
      <c r="D17" s="8">
        <v>96724.333333333328</v>
      </c>
      <c r="E17" s="8">
        <v>31388.333333333332</v>
      </c>
      <c r="F17" s="8">
        <v>4702.666666666667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v>79886.916666666672</v>
      </c>
      <c r="E18" s="8">
        <v>47823.666666666664</v>
      </c>
      <c r="F18" s="8"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61</v>
      </c>
      <c r="B21" s="8">
        <f>+C21+F21+G21+H21</f>
        <v>40828264500</v>
      </c>
      <c r="C21" s="8">
        <f>+D21+E21</f>
        <v>30522511490</v>
      </c>
      <c r="D21" s="8">
        <v>22891883617.5</v>
      </c>
      <c r="E21" s="8">
        <v>7630627872.500001</v>
      </c>
      <c r="F21" s="11">
        <v>4046090610.0000005</v>
      </c>
      <c r="G21" s="8">
        <v>4765662400</v>
      </c>
      <c r="H21" s="8">
        <v>1494000000</v>
      </c>
    </row>
    <row r="22" spans="1:8" ht="15.5" x14ac:dyDescent="0.4">
      <c r="A22" s="7" t="s">
        <v>98</v>
      </c>
      <c r="B22" s="8">
        <f t="shared" ref="B22:B24" si="2">+C22+F22+G22+H22</f>
        <v>35983049568</v>
      </c>
      <c r="C22" s="8">
        <f>+D22+E22</f>
        <v>31624858000</v>
      </c>
      <c r="D22" s="8">
        <v>19782418000</v>
      </c>
      <c r="E22" s="8">
        <v>11842440000</v>
      </c>
      <c r="F22" s="8">
        <v>4313690568</v>
      </c>
      <c r="G22" s="8">
        <v>0</v>
      </c>
      <c r="H22" s="8">
        <v>44501000</v>
      </c>
    </row>
    <row r="23" spans="1:8" ht="15.5" x14ac:dyDescent="0.4">
      <c r="A23" s="7" t="s">
        <v>99</v>
      </c>
      <c r="B23" s="8">
        <f t="shared" si="2"/>
        <v>37524589800</v>
      </c>
      <c r="C23" s="8">
        <f t="shared" ref="C23:C24" si="3">+D23+E23</f>
        <v>31423969199.999996</v>
      </c>
      <c r="D23" s="8">
        <v>23253737207.999996</v>
      </c>
      <c r="E23" s="8">
        <v>8170231992.000001</v>
      </c>
      <c r="F23" s="11">
        <v>4838547600</v>
      </c>
      <c r="G23" s="8">
        <v>971796000</v>
      </c>
      <c r="H23" s="8">
        <v>290277000</v>
      </c>
    </row>
    <row r="24" spans="1:8" ht="13.5" customHeight="1" x14ac:dyDescent="0.4">
      <c r="A24" s="7" t="s">
        <v>79</v>
      </c>
      <c r="B24" s="8">
        <f t="shared" si="2"/>
        <v>150098361351</v>
      </c>
      <c r="C24" s="8">
        <f t="shared" si="3"/>
        <v>125667214000</v>
      </c>
      <c r="D24" s="8">
        <v>78608726000</v>
      </c>
      <c r="E24" s="8">
        <v>47058488000</v>
      </c>
      <c r="F24" s="8">
        <v>17141268381.120001</v>
      </c>
      <c r="G24" s="8">
        <v>7111874969.8800011</v>
      </c>
      <c r="H24" s="8">
        <v>178004000</v>
      </c>
    </row>
    <row r="25" spans="1:8" ht="15.5" x14ac:dyDescent="0.4">
      <c r="A25" s="7" t="s">
        <v>100</v>
      </c>
      <c r="B25" s="8">
        <f>+C25+F25+G25</f>
        <v>37234312800</v>
      </c>
      <c r="C25" s="8">
        <f>+C23</f>
        <v>31423969199.999996</v>
      </c>
      <c r="D25" s="8">
        <f>+D23</f>
        <v>23253737207.999996</v>
      </c>
      <c r="E25" s="8">
        <f>+E23</f>
        <v>8170231992.000001</v>
      </c>
      <c r="F25" s="8">
        <f t="shared" ref="F25:G25" si="4">F23</f>
        <v>4838547600</v>
      </c>
      <c r="G25" s="8">
        <f t="shared" si="4"/>
        <v>971796000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98</v>
      </c>
      <c r="B28" s="8">
        <f>B22</f>
        <v>35983049568</v>
      </c>
      <c r="C28" s="8"/>
      <c r="D28" s="8"/>
      <c r="E28" s="8"/>
      <c r="F28" s="8"/>
      <c r="G28" s="8"/>
      <c r="H28" s="8"/>
    </row>
    <row r="29" spans="1:8" ht="15.5" x14ac:dyDescent="0.4">
      <c r="A29" s="7" t="s">
        <v>99</v>
      </c>
      <c r="B29" s="8">
        <v>37524590800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62</v>
      </c>
      <c r="B32" s="10">
        <v>1.0641</v>
      </c>
      <c r="C32" s="10">
        <v>1.0641</v>
      </c>
      <c r="D32" s="10">
        <v>1.0641</v>
      </c>
      <c r="E32" s="10">
        <v>1.0641</v>
      </c>
      <c r="F32" s="10">
        <v>1.0641</v>
      </c>
      <c r="G32" s="10">
        <v>1.0641</v>
      </c>
      <c r="H32" s="10">
        <v>1.0641</v>
      </c>
    </row>
    <row r="33" spans="1:8" ht="15.5" x14ac:dyDescent="0.4">
      <c r="A33" s="7" t="s">
        <v>101</v>
      </c>
      <c r="B33" s="10">
        <v>1.0863</v>
      </c>
      <c r="C33" s="10">
        <v>1.0863</v>
      </c>
      <c r="D33" s="10">
        <v>1.0863</v>
      </c>
      <c r="E33" s="10">
        <v>1.0863</v>
      </c>
      <c r="F33" s="10">
        <v>1.0863</v>
      </c>
      <c r="G33" s="10">
        <v>1.0863</v>
      </c>
      <c r="H33" s="10">
        <v>1.0863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63</v>
      </c>
      <c r="B37" s="8">
        <f>B21/B32</f>
        <v>38368822948.970963</v>
      </c>
      <c r="C37" s="8">
        <f t="shared" ref="C37:H37" si="5">C21/C32</f>
        <v>28683875096.325531</v>
      </c>
      <c r="D37" s="8">
        <f t="shared" si="5"/>
        <v>21512906322.244148</v>
      </c>
      <c r="E37" s="8">
        <f t="shared" si="5"/>
        <v>7170968774.0813837</v>
      </c>
      <c r="F37" s="8">
        <f t="shared" si="5"/>
        <v>3802359374.1189742</v>
      </c>
      <c r="G37" s="8">
        <f t="shared" si="5"/>
        <v>4478585095.3857718</v>
      </c>
      <c r="H37" s="8">
        <f t="shared" si="5"/>
        <v>1404003383.1406822</v>
      </c>
    </row>
    <row r="38" spans="1:8" ht="15.5" x14ac:dyDescent="0.4">
      <c r="A38" s="5" t="s">
        <v>102</v>
      </c>
      <c r="B38" s="8">
        <f>B23/B33</f>
        <v>34543486882.076775</v>
      </c>
      <c r="C38" s="8">
        <f t="shared" ref="C38:H38" si="6">C23/C33</f>
        <v>28927523888.428608</v>
      </c>
      <c r="D38" s="8">
        <f t="shared" si="6"/>
        <v>21406367677.437168</v>
      </c>
      <c r="E38" s="8">
        <f t="shared" si="6"/>
        <v>7521156210.9914398</v>
      </c>
      <c r="F38" s="8">
        <f t="shared" si="6"/>
        <v>4454154101.0770502</v>
      </c>
      <c r="G38" s="8">
        <f t="shared" si="6"/>
        <v>894592653.96299362</v>
      </c>
      <c r="H38" s="8">
        <f t="shared" si="6"/>
        <v>267216238.60811928</v>
      </c>
    </row>
    <row r="39" spans="1:8" ht="15.5" x14ac:dyDescent="0.4">
      <c r="A39" s="5" t="s">
        <v>64</v>
      </c>
      <c r="B39" s="8">
        <f>B37/B15</f>
        <v>298666.76227335399</v>
      </c>
      <c r="C39" s="8">
        <f t="shared" ref="C39:F39" si="7">C37/C15</f>
        <v>231316.59880695201</v>
      </c>
      <c r="D39" s="8">
        <f t="shared" si="7"/>
        <v>231514.91735654668</v>
      </c>
      <c r="E39" s="8">
        <f t="shared" si="7"/>
        <v>230723.6765183144</v>
      </c>
      <c r="F39" s="8">
        <f t="shared" si="7"/>
        <v>851719.41479555913</v>
      </c>
      <c r="G39" s="8"/>
      <c r="H39" s="8"/>
    </row>
    <row r="40" spans="1:8" ht="15.5" x14ac:dyDescent="0.4">
      <c r="A40" s="5" t="s">
        <v>103</v>
      </c>
      <c r="B40" s="8">
        <f>B38/B17</f>
        <v>260086.58800999468</v>
      </c>
      <c r="C40" s="8">
        <f t="shared" ref="C40:F40" si="8">C38/C17</f>
        <v>225797.53150946778</v>
      </c>
      <c r="D40" s="8">
        <f t="shared" si="8"/>
        <v>221313.15812398642</v>
      </c>
      <c r="E40" s="8">
        <f t="shared" si="8"/>
        <v>239616.29727578527</v>
      </c>
      <c r="F40" s="8">
        <f t="shared" si="8"/>
        <v>947154.96904105111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5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88.536391949424726</v>
      </c>
      <c r="C45" s="12">
        <f>(C16/C34)*100</f>
        <v>94.40385184967603</v>
      </c>
      <c r="D45" s="12"/>
      <c r="E45" s="12"/>
      <c r="F45" s="12">
        <f>(F16/F34)*100</f>
        <v>32.680880810905279</v>
      </c>
      <c r="G45" s="12"/>
      <c r="H45" s="12"/>
    </row>
    <row r="46" spans="1:8" ht="15.5" x14ac:dyDescent="0.4">
      <c r="A46" s="5" t="s">
        <v>10</v>
      </c>
      <c r="B46" s="12">
        <f>(B17/B34)*100</f>
        <v>88.259946926099673</v>
      </c>
      <c r="C46" s="12">
        <f>(C17/C34)*100</f>
        <v>94.078050380509666</v>
      </c>
      <c r="D46" s="12"/>
      <c r="E46" s="12"/>
      <c r="F46" s="12">
        <f>(F17/F34)*100</f>
        <v>32.874286380053597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5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99.687761137270016</v>
      </c>
      <c r="C49" s="12">
        <f t="shared" ref="C49:F49" si="9">C17/C16*100</f>
        <v>99.654885406916293</v>
      </c>
      <c r="D49" s="12">
        <f t="shared" si="9"/>
        <v>120.27946229828932</v>
      </c>
      <c r="E49" s="12">
        <f t="shared" si="9"/>
        <v>65.202188062595198</v>
      </c>
      <c r="F49" s="12">
        <f t="shared" si="9"/>
        <v>100.59180035650625</v>
      </c>
      <c r="G49" s="12"/>
      <c r="H49" s="12"/>
    </row>
    <row r="50" spans="1:8" ht="15.5" x14ac:dyDescent="0.4">
      <c r="A50" s="5" t="s">
        <v>13</v>
      </c>
      <c r="B50" s="12">
        <f>B23/B22*100</f>
        <v>104.28407333593788</v>
      </c>
      <c r="C50" s="12">
        <f t="shared" ref="C50:H50" si="10">C23/C22*100</f>
        <v>99.364775645791028</v>
      </c>
      <c r="D50" s="12">
        <f t="shared" si="10"/>
        <v>117.5474970147734</v>
      </c>
      <c r="E50" s="12">
        <f t="shared" si="10"/>
        <v>68.991120005674517</v>
      </c>
      <c r="F50" s="12">
        <f t="shared" si="10"/>
        <v>112.16723878837107</v>
      </c>
      <c r="G50" s="12" t="s">
        <v>104</v>
      </c>
      <c r="H50" s="12">
        <f t="shared" si="10"/>
        <v>652.29320689422718</v>
      </c>
    </row>
    <row r="51" spans="1:8" ht="15.5" x14ac:dyDescent="0.4">
      <c r="A51" s="5" t="s">
        <v>14</v>
      </c>
      <c r="B51" s="12">
        <f>AVERAGE(B49:B50)</f>
        <v>101.98591723660394</v>
      </c>
      <c r="C51" s="12">
        <f t="shared" ref="C51:H51" si="11">AVERAGE(C49:C50)</f>
        <v>99.509830526353653</v>
      </c>
      <c r="D51" s="12">
        <f t="shared" si="11"/>
        <v>118.91347965653136</v>
      </c>
      <c r="E51" s="12">
        <f t="shared" si="11"/>
        <v>67.096654034134858</v>
      </c>
      <c r="F51" s="12">
        <f t="shared" si="11"/>
        <v>106.37951957243865</v>
      </c>
      <c r="G51" s="12" t="s">
        <v>104</v>
      </c>
      <c r="H51" s="12">
        <f t="shared" si="11"/>
        <v>652.29320689422718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5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100.3479283592464</v>
      </c>
      <c r="C54" s="12">
        <f t="shared" ref="C54:F54" si="12">C17/C18*100</f>
        <v>100.31483947754263</v>
      </c>
      <c r="D54" s="12">
        <f t="shared" si="12"/>
        <v>121.07656343393734</v>
      </c>
      <c r="E54" s="12">
        <f t="shared" si="12"/>
        <v>65.633472966662254</v>
      </c>
      <c r="F54" s="12">
        <f t="shared" si="12"/>
        <v>101.25782777987118</v>
      </c>
      <c r="G54" s="12"/>
      <c r="H54" s="12"/>
    </row>
    <row r="55" spans="1:8" ht="15.5" x14ac:dyDescent="0.4">
      <c r="A55" s="5" t="s">
        <v>17</v>
      </c>
      <c r="B55" s="12">
        <f>B23/B24*100</f>
        <v>24.999999641734931</v>
      </c>
      <c r="C55" s="12">
        <f t="shared" ref="C55:H55" si="13">C23/C24*100</f>
        <v>25.005702123705863</v>
      </c>
      <c r="D55" s="12">
        <f t="shared" si="13"/>
        <v>29.581623302227282</v>
      </c>
      <c r="E55" s="12">
        <f t="shared" si="13"/>
        <v>17.361866773110094</v>
      </c>
      <c r="F55" s="12">
        <f t="shared" si="13"/>
        <v>28.227477059570148</v>
      </c>
      <c r="G55" s="12">
        <f t="shared" si="13"/>
        <v>13.664413450963654</v>
      </c>
      <c r="H55" s="12">
        <f t="shared" si="13"/>
        <v>163.0733017235568</v>
      </c>
    </row>
    <row r="56" spans="1:8" ht="15.5" x14ac:dyDescent="0.4">
      <c r="A56" s="5" t="s">
        <v>18</v>
      </c>
      <c r="B56" s="12">
        <f>AVERAGE(B54:B55)</f>
        <v>62.673964000490663</v>
      </c>
      <c r="C56" s="12">
        <f t="shared" ref="C56:H56" si="14">AVERAGE(C54:C55)</f>
        <v>62.660270800624247</v>
      </c>
      <c r="D56" s="12">
        <f t="shared" si="14"/>
        <v>75.329093368082312</v>
      </c>
      <c r="E56" s="12">
        <f t="shared" si="14"/>
        <v>41.497669869886174</v>
      </c>
      <c r="F56" s="12">
        <f t="shared" si="14"/>
        <v>64.742652419720656</v>
      </c>
      <c r="G56" s="12">
        <f t="shared" si="14"/>
        <v>13.664413450963654</v>
      </c>
      <c r="H56" s="12">
        <f t="shared" si="14"/>
        <v>163.0733017235568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5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99.226435248067659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5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3.3847862356350955</v>
      </c>
      <c r="C62" s="12">
        <f t="shared" ref="C62:F62" si="15">((C17/C15)-1)*100</f>
        <v>3.3144448506483792</v>
      </c>
      <c r="D62" s="12"/>
      <c r="E62" s="12"/>
      <c r="F62" s="12">
        <f t="shared" si="15"/>
        <v>5.3386097214963124</v>
      </c>
      <c r="G62" s="12"/>
      <c r="H62" s="12"/>
    </row>
    <row r="63" spans="1:8" ht="15.5" x14ac:dyDescent="0.4">
      <c r="A63" s="5" t="s">
        <v>22</v>
      </c>
      <c r="B63" s="12">
        <f>((B38/B37)-1)*100</f>
        <v>-9.9699072655466523</v>
      </c>
      <c r="C63" s="12">
        <f t="shared" ref="C63:H63" si="16">((C38/C37)-1)*100</f>
        <v>0.84942774044602931</v>
      </c>
      <c r="D63" s="12"/>
      <c r="E63" s="12"/>
      <c r="F63" s="12">
        <f t="shared" si="16"/>
        <v>17.141849647210172</v>
      </c>
      <c r="G63" s="12">
        <f t="shared" si="16"/>
        <v>-80.025105364533971</v>
      </c>
      <c r="H63" s="12">
        <f t="shared" si="16"/>
        <v>-80.967550234076327</v>
      </c>
    </row>
    <row r="64" spans="1:8" ht="15.5" x14ac:dyDescent="0.4">
      <c r="A64" s="5" t="s">
        <v>23</v>
      </c>
      <c r="B64" s="12">
        <f>((B40/B39)-1)*100</f>
        <v>-12.917464926361276</v>
      </c>
      <c r="C64" s="12">
        <f t="shared" ref="C64:F64" si="17">((C40/C39)-1)*100</f>
        <v>-2.385936558789814</v>
      </c>
      <c r="D64" s="12"/>
      <c r="E64" s="12"/>
      <c r="F64" s="12">
        <f t="shared" si="17"/>
        <v>11.20504623795615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5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 t="shared" ref="B67:B68" si="18">B22/(B16*3)</f>
        <v>90026.494188053868</v>
      </c>
      <c r="C67" s="12">
        <f t="shared" ref="C67:F67" si="19">C22/(C16*3)</f>
        <v>82000</v>
      </c>
      <c r="D67" s="12">
        <f t="shared" si="19"/>
        <v>82000</v>
      </c>
      <c r="E67" s="12">
        <f t="shared" si="19"/>
        <v>82000</v>
      </c>
      <c r="F67" s="12">
        <f t="shared" si="19"/>
        <v>307571.52</v>
      </c>
      <c r="G67" s="12"/>
      <c r="H67" s="12"/>
    </row>
    <row r="68" spans="1:8" ht="15.5" x14ac:dyDescent="0.4">
      <c r="A68" s="5" t="s">
        <v>31</v>
      </c>
      <c r="B68" s="12">
        <f t="shared" si="18"/>
        <v>94177.35351841907</v>
      </c>
      <c r="C68" s="12">
        <f t="shared" ref="C68:F68" si="20">C23/(C17*3)</f>
        <v>81761.286159578274</v>
      </c>
      <c r="D68" s="12">
        <f t="shared" si="20"/>
        <v>80137.49455669547</v>
      </c>
      <c r="E68" s="12">
        <f t="shared" si="20"/>
        <v>86765.061243561839</v>
      </c>
      <c r="F68" s="12">
        <f t="shared" si="20"/>
        <v>342964.81428976468</v>
      </c>
      <c r="G68" s="12"/>
      <c r="H68" s="12"/>
    </row>
    <row r="69" spans="1:8" ht="15.5" x14ac:dyDescent="0.4">
      <c r="A69" s="5" t="s">
        <v>25</v>
      </c>
      <c r="B69" s="12">
        <f>(B68/B67)*B51</f>
        <v>106.68819071671003</v>
      </c>
      <c r="C69" s="12">
        <f t="shared" ref="C69:F69" si="21">(C68/C67)*C51</f>
        <v>99.220143040930964</v>
      </c>
      <c r="D69" s="12">
        <f t="shared" si="21"/>
        <v>116.21254059381708</v>
      </c>
      <c r="E69" s="12">
        <f t="shared" si="21"/>
        <v>70.995674347680392</v>
      </c>
      <c r="F69" s="12">
        <f t="shared" si="21"/>
        <v>118.62097041493244</v>
      </c>
      <c r="G69" s="12"/>
      <c r="H69" s="12"/>
    </row>
    <row r="70" spans="1:8" ht="15.5" x14ac:dyDescent="0.4">
      <c r="A70" s="13" t="s">
        <v>32</v>
      </c>
      <c r="B70" s="12">
        <f t="shared" ref="B70:B71" si="22">B22/B16</f>
        <v>270079.48256416165</v>
      </c>
      <c r="C70" s="12">
        <f t="shared" ref="C70:F70" si="23">C22/C16</f>
        <v>246000</v>
      </c>
      <c r="D70" s="12">
        <f t="shared" si="23"/>
        <v>246000.00000000003</v>
      </c>
      <c r="E70" s="12">
        <f t="shared" si="23"/>
        <v>246000</v>
      </c>
      <c r="F70" s="12">
        <f t="shared" si="23"/>
        <v>922714.56</v>
      </c>
      <c r="G70" s="12"/>
      <c r="H70" s="12"/>
    </row>
    <row r="71" spans="1:8" ht="15.5" x14ac:dyDescent="0.4">
      <c r="A71" s="13" t="s">
        <v>33</v>
      </c>
      <c r="B71" s="12">
        <f t="shared" si="22"/>
        <v>282532.06055525719</v>
      </c>
      <c r="C71" s="12">
        <f t="shared" ref="C71:F71" si="24">C23/C17</f>
        <v>245283.85847873485</v>
      </c>
      <c r="D71" s="12">
        <f t="shared" si="24"/>
        <v>240412.48367008643</v>
      </c>
      <c r="E71" s="12">
        <f t="shared" si="24"/>
        <v>260295.18373068553</v>
      </c>
      <c r="F71" s="12">
        <f t="shared" si="24"/>
        <v>1028894.442869294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5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104.28407611502418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99.999997335080877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4"/>
      <c r="C76" s="14"/>
      <c r="D76" s="14"/>
      <c r="E76" s="14"/>
      <c r="F76" s="14"/>
      <c r="G76" s="14"/>
      <c r="H76" s="14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H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9" spans="1:8" s="2" customFormat="1" ht="21" customHeight="1" x14ac:dyDescent="0.4">
      <c r="A9" s="21" t="s">
        <v>0</v>
      </c>
      <c r="B9" s="21" t="s">
        <v>34</v>
      </c>
      <c r="C9" s="23" t="s">
        <v>45</v>
      </c>
      <c r="D9" s="23"/>
      <c r="E9" s="23"/>
      <c r="F9" s="23"/>
      <c r="G9" s="23"/>
      <c r="H9" s="23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69</v>
      </c>
      <c r="B15" s="8">
        <f>+C15+F15</f>
        <v>127955.44444444444</v>
      </c>
      <c r="C15" s="8">
        <f>+SUM(D15:E15)</f>
        <v>123517.11111111111</v>
      </c>
      <c r="D15" s="8">
        <f>(+'I Trimestre'!D15+'II Trimestre'!D15+'III Trimestre'!D15)/3</f>
        <v>92398.888888888891</v>
      </c>
      <c r="E15" s="8">
        <f>(+'I Trimestre'!E15+'II Trimestre'!E15+'III Trimestre'!E15)/3</f>
        <v>31118.222222222219</v>
      </c>
      <c r="F15" s="8">
        <f>(+'I Trimestre'!F15+'II Trimestre'!F15+'III Trimestre'!F15)/3</f>
        <v>4438.333333333333</v>
      </c>
      <c r="G15" s="8"/>
      <c r="H15" s="8"/>
    </row>
    <row r="16" spans="1:8" ht="15.5" x14ac:dyDescent="0.4">
      <c r="A16" s="7" t="s">
        <v>105</v>
      </c>
      <c r="B16" s="8">
        <f t="shared" ref="B16:B18" si="0">+C16+F16</f>
        <v>131714.22222222222</v>
      </c>
      <c r="C16" s="8">
        <f t="shared" ref="C16:C18" si="1">+SUM(D16:E16)</f>
        <v>127093.22222222222</v>
      </c>
      <c r="D16" s="8">
        <f>(+'I Trimestre'!D16+'II Trimestre'!D16+'III Trimestre'!D16)/3</f>
        <v>79499.666666666672</v>
      </c>
      <c r="E16" s="8">
        <f>(+'I Trimestre'!E16+'II Trimestre'!E16+'III Trimestre'!E16)/3</f>
        <v>47593.555555555555</v>
      </c>
      <c r="F16" s="8">
        <f>(+'I Trimestre'!F16+'II Trimestre'!F16+'III Trimestre'!F16)/3</f>
        <v>4621</v>
      </c>
      <c r="G16" s="8"/>
      <c r="H16" s="8"/>
    </row>
    <row r="17" spans="1:8" ht="15.5" x14ac:dyDescent="0.4">
      <c r="A17" s="7" t="s">
        <v>106</v>
      </c>
      <c r="B17" s="8">
        <f t="shared" si="0"/>
        <v>131329.66666666663</v>
      </c>
      <c r="C17" s="8">
        <f t="shared" si="1"/>
        <v>126698.77777777775</v>
      </c>
      <c r="D17" s="8">
        <f>(+'I Trimestre'!D17+'II Trimestre'!D17+'III Trimestre'!D17)/3</f>
        <v>95513.222222222204</v>
      </c>
      <c r="E17" s="8">
        <f>(+'I Trimestre'!E17+'II Trimestre'!E17+'III Trimestre'!E17)/3</f>
        <v>31185.555555555551</v>
      </c>
      <c r="F17" s="8">
        <f>(+'I Trimestre'!F17+'II Trimestre'!F17+'III Trimestre'!F17)/3</f>
        <v>4630.8888888888896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f>(+'I Trimestre'!D18+'II Trimestre'!D18+'III Trimestre'!D18)/3</f>
        <v>79886.916666666672</v>
      </c>
      <c r="E18" s="8">
        <f>(+'I Trimestre'!E18+'II Trimestre'!E18+'III Trimestre'!E18)/3</f>
        <v>47823.666666666664</v>
      </c>
      <c r="F18" s="8">
        <f>(+'I Trimestre'!F18+'II Trimestre'!F18+'III Trimestre'!F18)/3</f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69</v>
      </c>
      <c r="B21" s="8">
        <f>+C21+F21+G21+H21</f>
        <v>121867886800</v>
      </c>
      <c r="C21" s="8">
        <f>+SUM(D21:E21)</f>
        <v>91766570090</v>
      </c>
      <c r="D21" s="8">
        <f>+'I Trimestre'!D21+'II Trimestre'!D21+'III Trimestre'!D21</f>
        <v>68517853637.5</v>
      </c>
      <c r="E21" s="8">
        <f>+'I Trimestre'!E21+'II Trimestre'!E21+'III Trimestre'!E21</f>
        <v>23248716452.5</v>
      </c>
      <c r="F21" s="8">
        <f>+'I Trimestre'!F21+'II Trimestre'!F21+'III Trimestre'!F21</f>
        <v>12084313310</v>
      </c>
      <c r="G21" s="8">
        <f>+'I Trimestre'!G21+'II Trimestre'!G21+'III Trimestre'!G21</f>
        <v>13534990600</v>
      </c>
      <c r="H21" s="8">
        <f>+'I Trimestre'!H21+'II Trimestre'!H21+'III Trimestre'!H21</f>
        <v>4482012800</v>
      </c>
    </row>
    <row r="22" spans="1:8" ht="15.5" x14ac:dyDescent="0.4">
      <c r="A22" s="7" t="s">
        <v>105</v>
      </c>
      <c r="B22" s="8">
        <f t="shared" ref="B22:B24" si="2">+C22+F22+G22+H22</f>
        <v>113831767915.16</v>
      </c>
      <c r="C22" s="8">
        <f t="shared" ref="C22:C24" si="3">+SUM(D22:E22)</f>
        <v>93794798000</v>
      </c>
      <c r="D22" s="8">
        <f>+'I Trimestre'!D22+'II Trimestre'!D22+'III Trimestre'!D22</f>
        <v>58670754000</v>
      </c>
      <c r="E22" s="8">
        <f>+'I Trimestre'!E22+'II Trimestre'!E22+'III Trimestre'!E22</f>
        <v>35124044000</v>
      </c>
      <c r="F22" s="8">
        <f>+'I Trimestre'!F22+'II Trimestre'!F22+'III Trimestre'!F22</f>
        <v>12791591945.280001</v>
      </c>
      <c r="G22" s="8">
        <f>+'I Trimestre'!G22+'II Trimestre'!G22+'III Trimestre'!G22</f>
        <v>7111874969.8800011</v>
      </c>
      <c r="H22" s="8">
        <f>+'I Trimestre'!H22+'II Trimestre'!H22+'III Trimestre'!H22</f>
        <v>133503000</v>
      </c>
    </row>
    <row r="23" spans="1:8" ht="15.5" x14ac:dyDescent="0.4">
      <c r="A23" s="7" t="s">
        <v>106</v>
      </c>
      <c r="B23" s="8">
        <f t="shared" si="2"/>
        <v>112573770500</v>
      </c>
      <c r="C23" s="8">
        <f t="shared" si="3"/>
        <v>93538285520</v>
      </c>
      <c r="D23" s="8">
        <f>+'I Trimestre'!D23+'II Trimestre'!D23+'III Trimestre'!D23</f>
        <v>69218331284.800003</v>
      </c>
      <c r="E23" s="8">
        <f>+'I Trimestre'!E23+'II Trimestre'!E23+'III Trimestre'!E23</f>
        <v>24319954235.200001</v>
      </c>
      <c r="F23" s="8">
        <f>+'I Trimestre'!F23+'II Trimestre'!F23+'III Trimestre'!F23</f>
        <v>13126873140</v>
      </c>
      <c r="G23" s="8">
        <f>+'I Trimestre'!G23+'II Trimestre'!G23+'III Trimestre'!G23</f>
        <v>4527733500</v>
      </c>
      <c r="H23" s="8">
        <f>+'I Trimestre'!H23+'II Trimestre'!H23+'III Trimestre'!H23</f>
        <v>1380878340</v>
      </c>
    </row>
    <row r="24" spans="1:8" ht="15.5" x14ac:dyDescent="0.4">
      <c r="A24" s="7" t="s">
        <v>79</v>
      </c>
      <c r="B24" s="8">
        <f t="shared" si="2"/>
        <v>150098361351</v>
      </c>
      <c r="C24" s="8">
        <f t="shared" si="3"/>
        <v>125667214000</v>
      </c>
      <c r="D24" s="8">
        <f>+'III Trimestre'!D24</f>
        <v>78608726000</v>
      </c>
      <c r="E24" s="8">
        <f>+'III Trimestre'!E24</f>
        <v>47058488000</v>
      </c>
      <c r="F24" s="8">
        <f>+'III Trimestre'!F24</f>
        <v>17141268381.120001</v>
      </c>
      <c r="G24" s="8">
        <f>+'III Trimestre'!G24</f>
        <v>7111874969.8800011</v>
      </c>
      <c r="H24" s="8">
        <f>+'III Trimestre'!H24</f>
        <v>178004000</v>
      </c>
    </row>
    <row r="25" spans="1:8" ht="15.5" x14ac:dyDescent="0.4">
      <c r="A25" s="7" t="s">
        <v>107</v>
      </c>
      <c r="B25" s="8">
        <f>+C25+F25+G25</f>
        <v>111192892160</v>
      </c>
      <c r="C25" s="8">
        <f>+C23</f>
        <v>93538285520</v>
      </c>
      <c r="D25" s="8">
        <f>+D23</f>
        <v>69218331284.800003</v>
      </c>
      <c r="E25" s="8">
        <f>+E23</f>
        <v>24319954235.200001</v>
      </c>
      <c r="F25" s="8">
        <f t="shared" ref="F25:G25" si="4">F23</f>
        <v>13126873140</v>
      </c>
      <c r="G25" s="8">
        <f t="shared" si="4"/>
        <v>4527733500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105</v>
      </c>
      <c r="B28" s="8">
        <f>B22</f>
        <v>113831767915.16</v>
      </c>
      <c r="C28" s="8"/>
      <c r="D28" s="8"/>
      <c r="E28" s="8"/>
      <c r="F28" s="8"/>
      <c r="G28" s="8"/>
      <c r="H28" s="8"/>
    </row>
    <row r="29" spans="1:8" ht="15.5" x14ac:dyDescent="0.4">
      <c r="A29" s="7" t="s">
        <v>106</v>
      </c>
      <c r="B29" s="8">
        <f>+'I Trimestre'!B29+'II Trimestre'!B29+'III Trimestre'!B29</f>
        <v>112573771500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70</v>
      </c>
      <c r="B32" s="10">
        <v>1.0641</v>
      </c>
      <c r="C32" s="10">
        <v>1.0641</v>
      </c>
      <c r="D32" s="10">
        <v>1.0641</v>
      </c>
      <c r="E32" s="10">
        <v>1.0641</v>
      </c>
      <c r="F32" s="10">
        <v>1.0641</v>
      </c>
      <c r="G32" s="10">
        <v>1.0641</v>
      </c>
      <c r="H32" s="10">
        <v>1.0641</v>
      </c>
    </row>
    <row r="33" spans="1:8" ht="15.5" x14ac:dyDescent="0.4">
      <c r="A33" s="7" t="s">
        <v>108</v>
      </c>
      <c r="B33" s="10">
        <v>1.0863</v>
      </c>
      <c r="C33" s="10">
        <v>1.0863</v>
      </c>
      <c r="D33" s="10">
        <v>1.0863</v>
      </c>
      <c r="E33" s="10">
        <v>1.0863</v>
      </c>
      <c r="F33" s="10">
        <v>1.0863</v>
      </c>
      <c r="G33" s="10">
        <v>1.0863</v>
      </c>
      <c r="H33" s="10">
        <v>1.0863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71</v>
      </c>
      <c r="B37" s="8">
        <f>B21/B32</f>
        <v>114526723804.15375</v>
      </c>
      <c r="C37" s="8">
        <f t="shared" ref="C37:H37" si="5">C21/C32</f>
        <v>86238671262.099426</v>
      </c>
      <c r="D37" s="8">
        <f t="shared" si="5"/>
        <v>64390427250.72831</v>
      </c>
      <c r="E37" s="8">
        <f t="shared" si="5"/>
        <v>21848244011.371109</v>
      </c>
      <c r="F37" s="8">
        <f t="shared" si="5"/>
        <v>11356369993.421671</v>
      </c>
      <c r="G37" s="8">
        <f t="shared" si="5"/>
        <v>12719660370.265951</v>
      </c>
      <c r="H37" s="8">
        <f t="shared" si="5"/>
        <v>4212022178.3666945</v>
      </c>
    </row>
    <row r="38" spans="1:8" ht="15.5" x14ac:dyDescent="0.4">
      <c r="A38" s="5" t="s">
        <v>109</v>
      </c>
      <c r="B38" s="8">
        <f>B23/B33</f>
        <v>103630461658.84193</v>
      </c>
      <c r="C38" s="8">
        <f t="shared" ref="C38:H38" si="6">C23/C33</f>
        <v>86107231446.193497</v>
      </c>
      <c r="D38" s="8">
        <f t="shared" si="6"/>
        <v>63719351270.183189</v>
      </c>
      <c r="E38" s="8">
        <f t="shared" si="6"/>
        <v>22387880176.010311</v>
      </c>
      <c r="F38" s="8">
        <f t="shared" si="6"/>
        <v>12084022038.111019</v>
      </c>
      <c r="G38" s="8">
        <f t="shared" si="6"/>
        <v>4168032311.5161557</v>
      </c>
      <c r="H38" s="8">
        <f t="shared" si="6"/>
        <v>1271175863.0212648</v>
      </c>
    </row>
    <row r="39" spans="1:8" ht="15.5" x14ac:dyDescent="0.4">
      <c r="A39" s="5" t="s">
        <v>72</v>
      </c>
      <c r="B39" s="8">
        <f>B37/B15</f>
        <v>895051.5884760092</v>
      </c>
      <c r="C39" s="8">
        <f t="shared" ref="C39:F39" si="7">C37/C15</f>
        <v>698192.10056267038</v>
      </c>
      <c r="D39" s="8">
        <f t="shared" si="7"/>
        <v>696874.47571105324</v>
      </c>
      <c r="E39" s="8">
        <f t="shared" si="7"/>
        <v>702104.50505005999</v>
      </c>
      <c r="F39" s="8">
        <f t="shared" si="7"/>
        <v>2558701.4630315444</v>
      </c>
      <c r="G39" s="8"/>
      <c r="H39" s="8"/>
    </row>
    <row r="40" spans="1:8" ht="15.5" x14ac:dyDescent="0.4">
      <c r="A40" s="5" t="s">
        <v>110</v>
      </c>
      <c r="B40" s="8">
        <f>B38/B17</f>
        <v>789086.45920704864</v>
      </c>
      <c r="C40" s="8">
        <f t="shared" ref="C40:F40" si="8">C38/C17</f>
        <v>679621.64242200146</v>
      </c>
      <c r="D40" s="8">
        <f t="shared" si="8"/>
        <v>667125.97258977382</v>
      </c>
      <c r="E40" s="8">
        <f t="shared" si="8"/>
        <v>717892.6197459395</v>
      </c>
      <c r="F40" s="8">
        <f t="shared" si="8"/>
        <v>2609438.9928259309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87.528224121305016</v>
      </c>
      <c r="C45" s="12">
        <f>(C16/C34)*100</f>
        <v>93.329433180509341</v>
      </c>
      <c r="D45" s="12"/>
      <c r="E45" s="12"/>
      <c r="F45" s="12">
        <f>(F16/F34)*100</f>
        <v>32.303390422929048</v>
      </c>
      <c r="G45" s="12"/>
      <c r="H45" s="12"/>
    </row>
    <row r="46" spans="1:8" ht="15.5" x14ac:dyDescent="0.4">
      <c r="A46" s="5" t="s">
        <v>10</v>
      </c>
      <c r="B46" s="12">
        <f>(B17/B34)*100</f>
        <v>87.272674915715257</v>
      </c>
      <c r="C46" s="12">
        <f>(C17/C34)*100</f>
        <v>93.039777479146807</v>
      </c>
      <c r="D46" s="12"/>
      <c r="E46" s="12"/>
      <c r="F46" s="12">
        <f>(F17/F34)*100</f>
        <v>32.372519321138689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99.708037940726868</v>
      </c>
      <c r="C49" s="12">
        <f t="shared" ref="C49:F49" si="9">C17/C16*100</f>
        <v>99.689641636628906</v>
      </c>
      <c r="D49" s="12">
        <f t="shared" si="9"/>
        <v>120.1429216334939</v>
      </c>
      <c r="E49" s="12">
        <f t="shared" si="9"/>
        <v>65.524744246419914</v>
      </c>
      <c r="F49" s="12">
        <f t="shared" si="9"/>
        <v>100.21399889393831</v>
      </c>
      <c r="G49" s="12"/>
      <c r="H49" s="12"/>
    </row>
    <row r="50" spans="1:8" ht="15.5" x14ac:dyDescent="0.4">
      <c r="A50" s="5" t="s">
        <v>13</v>
      </c>
      <c r="B50" s="12">
        <f>B23/B22*100</f>
        <v>98.894862622095431</v>
      </c>
      <c r="C50" s="12">
        <f t="shared" ref="C50:H50" si="10">C23/C22*100</f>
        <v>99.726517370398298</v>
      </c>
      <c r="D50" s="12">
        <f t="shared" si="10"/>
        <v>117.97757241163119</v>
      </c>
      <c r="E50" s="12">
        <f t="shared" si="10"/>
        <v>69.240188388330225</v>
      </c>
      <c r="F50" s="12">
        <f t="shared" si="10"/>
        <v>102.62110608401416</v>
      </c>
      <c r="G50" s="12">
        <f t="shared" si="10"/>
        <v>63.664413662722154</v>
      </c>
      <c r="H50" s="12">
        <f t="shared" si="10"/>
        <v>1034.3425540999078</v>
      </c>
    </row>
    <row r="51" spans="1:8" ht="15.5" x14ac:dyDescent="0.4">
      <c r="A51" s="5" t="s">
        <v>14</v>
      </c>
      <c r="B51" s="12">
        <f>AVERAGE(B49:B50)</f>
        <v>99.301450281411149</v>
      </c>
      <c r="C51" s="12">
        <f t="shared" ref="C51:H51" si="11">AVERAGE(C49:C50)</f>
        <v>99.708079503513602</v>
      </c>
      <c r="D51" s="12">
        <f t="shared" si="11"/>
        <v>119.06024702256255</v>
      </c>
      <c r="E51" s="12">
        <f t="shared" si="11"/>
        <v>67.382466317375076</v>
      </c>
      <c r="F51" s="12">
        <f t="shared" si="11"/>
        <v>101.41755248897624</v>
      </c>
      <c r="G51" s="12">
        <f t="shared" si="11"/>
        <v>63.664413662722154</v>
      </c>
      <c r="H51" s="12">
        <f t="shared" si="11"/>
        <v>1034.3425540999078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99.225440702958807</v>
      </c>
      <c r="C54" s="12">
        <f t="shared" ref="C54:F54" si="12">C17/C18*100</f>
        <v>99.207735546149138</v>
      </c>
      <c r="D54" s="12">
        <f t="shared" si="12"/>
        <v>119.56053157084195</v>
      </c>
      <c r="E54" s="12">
        <f t="shared" si="12"/>
        <v>65.209461610127946</v>
      </c>
      <c r="F54" s="12">
        <f t="shared" si="12"/>
        <v>99.712308529663346</v>
      </c>
      <c r="G54" s="12"/>
      <c r="H54" s="12"/>
    </row>
    <row r="55" spans="1:8" ht="15.5" x14ac:dyDescent="0.4">
      <c r="A55" s="5" t="s">
        <v>17</v>
      </c>
      <c r="B55" s="12">
        <f>B23/B24*100</f>
        <v>74.999999658057561</v>
      </c>
      <c r="C55" s="12">
        <f t="shared" ref="C55:H55" si="13">C23/C24*100</f>
        <v>74.433324765200894</v>
      </c>
      <c r="D55" s="12">
        <f t="shared" si="13"/>
        <v>88.054259122326954</v>
      </c>
      <c r="E55" s="12">
        <f t="shared" si="13"/>
        <v>51.680271230133869</v>
      </c>
      <c r="F55" s="12">
        <f t="shared" si="13"/>
        <v>76.58052396203307</v>
      </c>
      <c r="G55" s="12">
        <f t="shared" si="13"/>
        <v>63.664413662722154</v>
      </c>
      <c r="H55" s="12">
        <f t="shared" si="13"/>
        <v>775.75691557493087</v>
      </c>
    </row>
    <row r="56" spans="1:8" ht="15.5" x14ac:dyDescent="0.4">
      <c r="A56" s="5" t="s">
        <v>18</v>
      </c>
      <c r="B56" s="12">
        <f>AVERAGE(B54:B55)</f>
        <v>87.112720180508177</v>
      </c>
      <c r="C56" s="12">
        <f t="shared" ref="C56:H56" si="14">AVERAGE(C54:C55)</f>
        <v>86.820530155675016</v>
      </c>
      <c r="D56" s="12">
        <f t="shared" si="14"/>
        <v>103.80739534658446</v>
      </c>
      <c r="E56" s="12">
        <f t="shared" si="14"/>
        <v>58.444866420130907</v>
      </c>
      <c r="F56" s="12">
        <f t="shared" si="14"/>
        <v>88.146416245848201</v>
      </c>
      <c r="G56" s="12">
        <f t="shared" si="14"/>
        <v>63.664413662722154</v>
      </c>
      <c r="H56" s="12">
        <f t="shared" si="14"/>
        <v>775.75691557493087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98.773356942859081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2.6370290352804915</v>
      </c>
      <c r="C62" s="12">
        <f t="shared" ref="C62:F62" si="15">((C17/C15)-1)*100</f>
        <v>2.5758914194524252</v>
      </c>
      <c r="D62" s="12"/>
      <c r="E62" s="12"/>
      <c r="F62" s="12">
        <f t="shared" si="15"/>
        <v>4.3384653899111614</v>
      </c>
      <c r="G62" s="12"/>
      <c r="H62" s="12"/>
    </row>
    <row r="63" spans="1:8" ht="15.5" x14ac:dyDescent="0.4">
      <c r="A63" s="5" t="s">
        <v>22</v>
      </c>
      <c r="B63" s="12">
        <f>((B38/B37)-1)*100</f>
        <v>-9.5141655880639284</v>
      </c>
      <c r="C63" s="12">
        <f t="shared" ref="C63:H63" si="16">((C38/C37)-1)*100</f>
        <v>-0.15241400868347688</v>
      </c>
      <c r="D63" s="12"/>
      <c r="E63" s="12"/>
      <c r="F63" s="12">
        <f t="shared" si="16"/>
        <v>6.4074351673188756</v>
      </c>
      <c r="G63" s="12">
        <f t="shared" si="16"/>
        <v>-67.231575449455121</v>
      </c>
      <c r="H63" s="12">
        <f t="shared" si="16"/>
        <v>-69.820295117387261</v>
      </c>
    </row>
    <row r="64" spans="1:8" ht="15.5" x14ac:dyDescent="0.4">
      <c r="A64" s="5" t="s">
        <v>23</v>
      </c>
      <c r="B64" s="12">
        <f>((B40/B39)-1)*100</f>
        <v>-11.838996839208537</v>
      </c>
      <c r="C64" s="12">
        <f t="shared" ref="C64:F64" si="17">((C40/C39)-1)*100</f>
        <v>-2.6597920723684831</v>
      </c>
      <c r="D64" s="12"/>
      <c r="E64" s="12"/>
      <c r="F64" s="12">
        <f t="shared" si="17"/>
        <v>1.9829405863657446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>B22/(B16*9)</f>
        <v>96025.880876071766</v>
      </c>
      <c r="C67" s="12">
        <f t="shared" ref="C67:F67" si="18">C22/(C16*9)</f>
        <v>82000</v>
      </c>
      <c r="D67" s="12">
        <f t="shared" si="18"/>
        <v>82000</v>
      </c>
      <c r="E67" s="12">
        <f t="shared" si="18"/>
        <v>82000</v>
      </c>
      <c r="F67" s="12">
        <f t="shared" si="18"/>
        <v>307571.52</v>
      </c>
      <c r="G67" s="12"/>
      <c r="H67" s="12"/>
    </row>
    <row r="68" spans="1:8" ht="15.5" x14ac:dyDescent="0.4">
      <c r="A68" s="5" t="s">
        <v>31</v>
      </c>
      <c r="B68" s="12">
        <f>B23/(B17*9)</f>
        <v>95242.735626290785</v>
      </c>
      <c r="C68" s="12">
        <f t="shared" ref="C68:F68" si="19">C23/(C17*9)</f>
        <v>82030.332240335585</v>
      </c>
      <c r="D68" s="12">
        <f t="shared" si="19"/>
        <v>80522.10489158571</v>
      </c>
      <c r="E68" s="12">
        <f t="shared" si="19"/>
        <v>86649.639203334897</v>
      </c>
      <c r="F68" s="12">
        <f t="shared" si="19"/>
        <v>314959.28643408988</v>
      </c>
      <c r="G68" s="12"/>
      <c r="H68" s="12"/>
    </row>
    <row r="69" spans="1:8" ht="15.5" x14ac:dyDescent="0.4">
      <c r="A69" s="5" t="s">
        <v>25</v>
      </c>
      <c r="B69" s="12">
        <f>(B68/B67)*B51</f>
        <v>98.491590914595093</v>
      </c>
      <c r="C69" s="12">
        <f t="shared" ref="C69:F69" si="20">(C68/C67)*C51</f>
        <v>99.744962057548975</v>
      </c>
      <c r="D69" s="12">
        <f t="shared" si="20"/>
        <v>116.91441096547423</v>
      </c>
      <c r="E69" s="12">
        <f t="shared" si="20"/>
        <v>71.203248719895328</v>
      </c>
      <c r="F69" s="12">
        <f t="shared" si="20"/>
        <v>103.85356863931945</v>
      </c>
      <c r="G69" s="12"/>
      <c r="H69" s="12"/>
    </row>
    <row r="70" spans="1:8" ht="15.5" x14ac:dyDescent="0.4">
      <c r="A70" s="13" t="s">
        <v>37</v>
      </c>
      <c r="B70" s="12">
        <f>B22/B16</f>
        <v>864232.92788464588</v>
      </c>
      <c r="C70" s="12">
        <f t="shared" ref="C70:F70" si="21">C22/C16</f>
        <v>738000</v>
      </c>
      <c r="D70" s="12">
        <f t="shared" si="21"/>
        <v>738000</v>
      </c>
      <c r="E70" s="12">
        <f t="shared" si="21"/>
        <v>738000</v>
      </c>
      <c r="F70" s="12">
        <f t="shared" si="21"/>
        <v>2768143.68</v>
      </c>
      <c r="G70" s="12"/>
      <c r="H70" s="12"/>
    </row>
    <row r="71" spans="1:8" ht="15.5" x14ac:dyDescent="0.4">
      <c r="A71" s="13" t="s">
        <v>38</v>
      </c>
      <c r="B71" s="12">
        <f>B23/B17</f>
        <v>857184.62063661707</v>
      </c>
      <c r="C71" s="12">
        <f t="shared" ref="C71:F71" si="22">C23/C17</f>
        <v>738272.99016302021</v>
      </c>
      <c r="D71" s="12">
        <f t="shared" si="22"/>
        <v>724698.94402427133</v>
      </c>
      <c r="E71" s="12">
        <f t="shared" si="22"/>
        <v>779846.75283001398</v>
      </c>
      <c r="F71" s="12">
        <f t="shared" si="22"/>
        <v>2834633.5779068088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98.894863500584833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99.999999111693612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4"/>
      <c r="C76" s="14"/>
      <c r="D76" s="14"/>
      <c r="E76" s="14"/>
      <c r="F76" s="14"/>
      <c r="G76" s="14"/>
      <c r="H76" s="14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H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9" spans="1:8" s="2" customFormat="1" ht="15.5" x14ac:dyDescent="0.35">
      <c r="A9" s="21" t="s">
        <v>0</v>
      </c>
      <c r="B9" s="21" t="s">
        <v>34</v>
      </c>
      <c r="C9" s="26" t="s">
        <v>45</v>
      </c>
      <c r="D9" s="26"/>
      <c r="E9" s="26"/>
      <c r="F9" s="26"/>
      <c r="G9" s="26"/>
      <c r="H9" s="26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65</v>
      </c>
      <c r="B15" s="8">
        <f>+C15+F15</f>
        <v>129195.33333333333</v>
      </c>
      <c r="C15" s="8">
        <f>+SUM(D15:E15)</f>
        <v>124672.33333333333</v>
      </c>
      <c r="D15" s="8">
        <v>93455.333333333328</v>
      </c>
      <c r="E15" s="8">
        <v>31217</v>
      </c>
      <c r="F15" s="8">
        <v>4523</v>
      </c>
      <c r="G15" s="8"/>
      <c r="H15" s="8"/>
    </row>
    <row r="16" spans="1:8" ht="15.5" x14ac:dyDescent="0.4">
      <c r="A16" s="7" t="s">
        <v>111</v>
      </c>
      <c r="B16" s="8">
        <f t="shared" ref="B16:B18" si="0">+C16+F16</f>
        <v>134276.66666666669</v>
      </c>
      <c r="C16" s="8">
        <f t="shared" ref="C16:C18" si="1">+SUM(D16:E16)</f>
        <v>129562.66666666667</v>
      </c>
      <c r="D16" s="8">
        <v>81048.666666666672</v>
      </c>
      <c r="E16" s="8">
        <v>48514</v>
      </c>
      <c r="F16" s="8">
        <v>4714</v>
      </c>
      <c r="G16" s="8"/>
      <c r="H16" s="8"/>
    </row>
    <row r="17" spans="1:8" ht="15.5" x14ac:dyDescent="0.4">
      <c r="A17" s="7" t="s">
        <v>112</v>
      </c>
      <c r="B17" s="8">
        <f t="shared" si="0"/>
        <v>134395.66666666666</v>
      </c>
      <c r="C17" s="8">
        <f t="shared" si="1"/>
        <v>129635</v>
      </c>
      <c r="D17" s="8">
        <v>98223.666666666672</v>
      </c>
      <c r="E17" s="8">
        <v>31411.333333333332</v>
      </c>
      <c r="F17" s="8">
        <v>4760.666666666667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 t="shared" si="1"/>
        <v>127710.58333333334</v>
      </c>
      <c r="D18" s="8">
        <v>79886.916666666672</v>
      </c>
      <c r="E18" s="8">
        <v>47823.666666666664</v>
      </c>
      <c r="F18" s="8"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65</v>
      </c>
      <c r="B21" s="8">
        <f>+C21+F21+G21+H21</f>
        <v>52755310590</v>
      </c>
      <c r="C21" s="8">
        <f>+SUM(D21:E21)</f>
        <v>40429209680</v>
      </c>
      <c r="D21" s="8">
        <v>29446868272.5</v>
      </c>
      <c r="E21" s="8">
        <v>10982341407.5</v>
      </c>
      <c r="F21" s="11">
        <v>5416501609.999999</v>
      </c>
      <c r="G21" s="8">
        <v>5415599300</v>
      </c>
      <c r="H21" s="8">
        <v>1494000000</v>
      </c>
    </row>
    <row r="22" spans="1:8" ht="15.5" x14ac:dyDescent="0.4">
      <c r="A22" s="7" t="s">
        <v>111</v>
      </c>
      <c r="B22" s="8">
        <f t="shared" ref="B22:B24" si="2">+C22+F22+G22+H22</f>
        <v>36266593435.839996</v>
      </c>
      <c r="C22" s="8">
        <f>+SUM(D22:E22)</f>
        <v>31872416000</v>
      </c>
      <c r="D22" s="8">
        <v>19937972000</v>
      </c>
      <c r="E22" s="8">
        <v>11934444000</v>
      </c>
      <c r="F22" s="11">
        <v>4349676435.8400002</v>
      </c>
      <c r="G22" s="8">
        <v>0</v>
      </c>
      <c r="H22" s="8">
        <v>44501000</v>
      </c>
    </row>
    <row r="23" spans="1:8" ht="15.5" x14ac:dyDescent="0.4">
      <c r="A23" s="7" t="s">
        <v>112</v>
      </c>
      <c r="B23" s="8">
        <f t="shared" si="2"/>
        <v>37524590100</v>
      </c>
      <c r="C23" s="8">
        <f>+SUM(D23:E23)</f>
        <v>31995158500</v>
      </c>
      <c r="D23" s="8">
        <v>23676417290</v>
      </c>
      <c r="E23" s="8">
        <v>8318741210.000001</v>
      </c>
      <c r="F23" s="11">
        <v>4705710900</v>
      </c>
      <c r="G23" s="8">
        <v>634265300</v>
      </c>
      <c r="H23" s="8">
        <v>189455400</v>
      </c>
    </row>
    <row r="24" spans="1:8" ht="15.5" x14ac:dyDescent="0.4">
      <c r="A24" s="7" t="s">
        <v>79</v>
      </c>
      <c r="B24" s="8">
        <f t="shared" si="2"/>
        <v>150098361351</v>
      </c>
      <c r="C24" s="8">
        <f>+SUM(D24:E24)</f>
        <v>125667214000</v>
      </c>
      <c r="D24" s="8">
        <v>78608726000</v>
      </c>
      <c r="E24" s="8">
        <v>47058488000</v>
      </c>
      <c r="F24" s="8">
        <v>17141268381.120001</v>
      </c>
      <c r="G24" s="8">
        <v>7111874969.8800011</v>
      </c>
      <c r="H24" s="8">
        <v>178004000</v>
      </c>
    </row>
    <row r="25" spans="1:8" ht="15.5" x14ac:dyDescent="0.4">
      <c r="A25" s="7" t="s">
        <v>113</v>
      </c>
      <c r="B25" s="8">
        <f>+C25+F25+G25</f>
        <v>37335134700</v>
      </c>
      <c r="C25" s="8">
        <f>+C23</f>
        <v>31995158500</v>
      </c>
      <c r="D25" s="8">
        <f t="shared" ref="D25:G25" si="3">+D23</f>
        <v>23676417290</v>
      </c>
      <c r="E25" s="8">
        <f t="shared" si="3"/>
        <v>8318741210.000001</v>
      </c>
      <c r="F25" s="8">
        <f t="shared" si="3"/>
        <v>4705710900</v>
      </c>
      <c r="G25" s="8">
        <f t="shared" si="3"/>
        <v>634265300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111</v>
      </c>
      <c r="B28" s="8">
        <f>B22</f>
        <v>36266593435.839996</v>
      </c>
      <c r="C28" s="8"/>
      <c r="D28" s="8"/>
      <c r="E28" s="8"/>
      <c r="F28" s="8"/>
      <c r="G28" s="8"/>
      <c r="H28" s="8"/>
    </row>
    <row r="29" spans="1:8" ht="15.5" x14ac:dyDescent="0.4">
      <c r="A29" s="7" t="s">
        <v>112</v>
      </c>
      <c r="B29" s="8">
        <v>37524590100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66</v>
      </c>
      <c r="B32" s="10">
        <v>1.0706</v>
      </c>
      <c r="C32" s="10">
        <v>1.0706</v>
      </c>
      <c r="D32" s="10">
        <v>1.0706</v>
      </c>
      <c r="E32" s="10">
        <v>1.0706</v>
      </c>
      <c r="F32" s="10">
        <v>1.0706</v>
      </c>
      <c r="G32" s="10">
        <v>1.0706</v>
      </c>
      <c r="H32" s="10">
        <v>1.0706</v>
      </c>
    </row>
    <row r="33" spans="1:8" ht="15.5" x14ac:dyDescent="0.4">
      <c r="A33" s="7" t="s">
        <v>114</v>
      </c>
      <c r="B33" s="10">
        <v>1.0863</v>
      </c>
      <c r="C33" s="10">
        <v>1.0863</v>
      </c>
      <c r="D33" s="10">
        <v>1.0863</v>
      </c>
      <c r="E33" s="10">
        <v>1.0863</v>
      </c>
      <c r="F33" s="10">
        <v>1.0863</v>
      </c>
      <c r="G33" s="10">
        <v>1.0863</v>
      </c>
      <c r="H33" s="10">
        <v>1.0863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67</v>
      </c>
      <c r="B37" s="8">
        <f>B21/B32</f>
        <v>49276396964.319077</v>
      </c>
      <c r="C37" s="8">
        <f t="shared" ref="C37:H37" si="4">C21/C32</f>
        <v>37763132523.81842</v>
      </c>
      <c r="D37" s="8">
        <f t="shared" si="4"/>
        <v>27505014265.365215</v>
      </c>
      <c r="E37" s="8">
        <f t="shared" si="4"/>
        <v>10258118258.453203</v>
      </c>
      <c r="F37" s="8">
        <f t="shared" si="4"/>
        <v>5059314038.8567152</v>
      </c>
      <c r="G37" s="8">
        <f t="shared" si="4"/>
        <v>5058471231.0853729</v>
      </c>
      <c r="H37" s="8">
        <f t="shared" si="4"/>
        <v>1395479170.5585654</v>
      </c>
    </row>
    <row r="38" spans="1:8" ht="15.5" x14ac:dyDescent="0.4">
      <c r="A38" s="5" t="s">
        <v>115</v>
      </c>
      <c r="B38" s="8">
        <f>B23/B33</f>
        <v>34543487158.243576</v>
      </c>
      <c r="C38" s="8">
        <f t="shared" ref="C38:H38" si="5">C23/C33</f>
        <v>29453335634.723373</v>
      </c>
      <c r="D38" s="8">
        <f t="shared" si="5"/>
        <v>21795468369.695293</v>
      </c>
      <c r="E38" s="8">
        <f t="shared" si="5"/>
        <v>7657867265.0280771</v>
      </c>
      <c r="F38" s="8">
        <f t="shared" si="5"/>
        <v>4331870477.7685719</v>
      </c>
      <c r="G38" s="8">
        <f t="shared" si="5"/>
        <v>583876737.54947984</v>
      </c>
      <c r="H38" s="8">
        <f t="shared" si="5"/>
        <v>174404308.2021541</v>
      </c>
    </row>
    <row r="39" spans="1:8" ht="15.5" x14ac:dyDescent="0.4">
      <c r="A39" s="5" t="s">
        <v>68</v>
      </c>
      <c r="B39" s="8">
        <f>B37/B15</f>
        <v>381410.03775409132</v>
      </c>
      <c r="C39" s="8">
        <f t="shared" ref="C39:F39" si="6">C37/C15</f>
        <v>302899.05959209142</v>
      </c>
      <c r="D39" s="8">
        <f t="shared" si="6"/>
        <v>294311.87375108129</v>
      </c>
      <c r="E39" s="8">
        <f t="shared" si="6"/>
        <v>328606.79304395692</v>
      </c>
      <c r="F39" s="8">
        <f t="shared" si="6"/>
        <v>1118574.8482990747</v>
      </c>
      <c r="G39" s="8"/>
      <c r="H39" s="8"/>
    </row>
    <row r="40" spans="1:8" ht="15.5" x14ac:dyDescent="0.4">
      <c r="A40" s="5" t="s">
        <v>116</v>
      </c>
      <c r="B40" s="8">
        <f>B38/B17</f>
        <v>257028.28085908209</v>
      </c>
      <c r="C40" s="8">
        <f t="shared" ref="C40:F40" si="7">C38/C17</f>
        <v>227202.03366932829</v>
      </c>
      <c r="D40" s="8">
        <f t="shared" si="7"/>
        <v>221896.30166893205</v>
      </c>
      <c r="E40" s="8">
        <f t="shared" si="7"/>
        <v>243793.1298160349</v>
      </c>
      <c r="F40" s="8">
        <f t="shared" si="7"/>
        <v>909929.38197071245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89.231048674703075</v>
      </c>
      <c r="C45" s="12">
        <f>(C16/C34)*100</f>
        <v>95.142841057349386</v>
      </c>
      <c r="D45" s="12"/>
      <c r="E45" s="12"/>
      <c r="F45" s="12">
        <f>(F16/F34)*100</f>
        <v>32.953512757777006</v>
      </c>
      <c r="G45" s="12"/>
      <c r="H45" s="12"/>
    </row>
    <row r="46" spans="1:8" ht="15.5" x14ac:dyDescent="0.4">
      <c r="A46" s="5" t="s">
        <v>10</v>
      </c>
      <c r="B46" s="12">
        <f>(B17/B34)*100</f>
        <v>89.310127900125366</v>
      </c>
      <c r="C46" s="12">
        <f>(C17/C34)*100</f>
        <v>95.195958201458396</v>
      </c>
      <c r="D46" s="12"/>
      <c r="E46" s="12"/>
      <c r="F46" s="12">
        <f>(F17/F34)*100</f>
        <v>33.27973901899103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100.08862299232926</v>
      </c>
      <c r="C49" s="12">
        <f t="shared" ref="C49:F49" si="8">C17/C16*100</f>
        <v>100.05582883958341</v>
      </c>
      <c r="D49" s="12">
        <f t="shared" si="8"/>
        <v>121.190971679567</v>
      </c>
      <c r="E49" s="12">
        <f t="shared" si="8"/>
        <v>64.74694589877835</v>
      </c>
      <c r="F49" s="12">
        <f t="shared" si="8"/>
        <v>100.98995898741339</v>
      </c>
      <c r="G49" s="12"/>
      <c r="H49" s="12"/>
    </row>
    <row r="50" spans="1:8" ht="15.5" x14ac:dyDescent="0.4">
      <c r="A50" s="5" t="s">
        <v>13</v>
      </c>
      <c r="B50" s="12">
        <f>B23/B22*100</f>
        <v>103.46874780611957</v>
      </c>
      <c r="C50" s="12">
        <f t="shared" ref="C50:H50" si="9">C23/C22*100</f>
        <v>100.3851057290417</v>
      </c>
      <c r="D50" s="12">
        <f t="shared" si="9"/>
        <v>118.75037887504305</v>
      </c>
      <c r="E50" s="12">
        <f t="shared" si="9"/>
        <v>69.703634371236745</v>
      </c>
      <c r="F50" s="12">
        <f t="shared" si="9"/>
        <v>108.18530916981284</v>
      </c>
      <c r="G50" s="12" t="s">
        <v>104</v>
      </c>
      <c r="H50" s="12">
        <f t="shared" si="9"/>
        <v>425.73290487854206</v>
      </c>
    </row>
    <row r="51" spans="1:8" ht="15.5" x14ac:dyDescent="0.4">
      <c r="A51" s="5" t="s">
        <v>14</v>
      </c>
      <c r="B51" s="12">
        <f>AVERAGE(B49:B50)</f>
        <v>101.77868539922441</v>
      </c>
      <c r="C51" s="12">
        <f t="shared" ref="C51:H51" si="10">AVERAGE(C49:C50)</f>
        <v>100.22046728431255</v>
      </c>
      <c r="D51" s="12">
        <f t="shared" si="10"/>
        <v>119.97067527730502</v>
      </c>
      <c r="E51" s="12">
        <f t="shared" si="10"/>
        <v>67.225290135007555</v>
      </c>
      <c r="F51" s="12">
        <f t="shared" si="10"/>
        <v>104.58763407861312</v>
      </c>
      <c r="G51" s="12" t="s">
        <v>104</v>
      </c>
      <c r="H51" s="12">
        <f t="shared" si="10"/>
        <v>425.73290487854206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101.5419409189187</v>
      </c>
      <c r="C54" s="12">
        <f t="shared" ref="C54:F54" si="11">C17/C18*100</f>
        <v>101.50685762795695</v>
      </c>
      <c r="D54" s="12">
        <f t="shared" si="11"/>
        <v>122.953383063351</v>
      </c>
      <c r="E54" s="12">
        <f t="shared" si="11"/>
        <v>65.681566309567785</v>
      </c>
      <c r="F54" s="12">
        <f t="shared" si="11"/>
        <v>102.50668389226823</v>
      </c>
      <c r="G54" s="12"/>
      <c r="H54" s="12"/>
    </row>
    <row r="55" spans="1:8" ht="15.5" x14ac:dyDescent="0.4">
      <c r="A55" s="5" t="s">
        <v>17</v>
      </c>
      <c r="B55" s="12">
        <f>B23/B24*100</f>
        <v>24.999999841603866</v>
      </c>
      <c r="C55" s="12">
        <f t="shared" ref="C55:H55" si="12">C23/C24*100</f>
        <v>25.460227438478899</v>
      </c>
      <c r="D55" s="12">
        <f t="shared" si="12"/>
        <v>30.119324526389089</v>
      </c>
      <c r="E55" s="12">
        <f t="shared" si="12"/>
        <v>17.677451111476429</v>
      </c>
      <c r="F55" s="12">
        <f t="shared" si="12"/>
        <v>27.45252448869558</v>
      </c>
      <c r="G55" s="12">
        <f t="shared" si="12"/>
        <v>8.9183977880126033</v>
      </c>
      <c r="H55" s="12">
        <f t="shared" si="12"/>
        <v>106.43322621963551</v>
      </c>
    </row>
    <row r="56" spans="1:8" ht="15.5" x14ac:dyDescent="0.4">
      <c r="A56" s="5" t="s">
        <v>18</v>
      </c>
      <c r="B56" s="12">
        <f>AVERAGE(B54:B55)</f>
        <v>63.270970380261282</v>
      </c>
      <c r="C56" s="12">
        <f t="shared" ref="C56:H56" si="13">AVERAGE(C54:C55)</f>
        <v>63.483542533217921</v>
      </c>
      <c r="D56" s="12">
        <f t="shared" si="13"/>
        <v>76.536353794870038</v>
      </c>
      <c r="E56" s="12">
        <f t="shared" si="13"/>
        <v>41.679508710522107</v>
      </c>
      <c r="F56" s="12">
        <f t="shared" si="13"/>
        <v>64.979604190481908</v>
      </c>
      <c r="G56" s="12">
        <f t="shared" si="13"/>
        <v>8.9183977880126033</v>
      </c>
      <c r="H56" s="12">
        <f t="shared" si="13"/>
        <v>106.43322621963551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99.495116670175165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4.025171187813803</v>
      </c>
      <c r="C62" s="12">
        <f t="shared" ref="C62:F62" si="14">((C17/C15)-1)*100</f>
        <v>3.9805677282048757</v>
      </c>
      <c r="D62" s="12"/>
      <c r="E62" s="12"/>
      <c r="F62" s="12">
        <f t="shared" si="14"/>
        <v>5.2546245117547352</v>
      </c>
      <c r="G62" s="12"/>
      <c r="H62" s="12"/>
    </row>
    <row r="63" spans="1:8" ht="15.5" x14ac:dyDescent="0.4">
      <c r="A63" s="5" t="s">
        <v>22</v>
      </c>
      <c r="B63" s="12">
        <f>((B38/B37)-1)*100</f>
        <v>-29.898512703239167</v>
      </c>
      <c r="C63" s="12">
        <f t="shared" ref="C63:H63" si="15">((C38/C37)-1)*100</f>
        <v>-22.005051842173817</v>
      </c>
      <c r="D63" s="12"/>
      <c r="E63" s="12"/>
      <c r="F63" s="12">
        <f t="shared" si="15"/>
        <v>-14.378304163394617</v>
      </c>
      <c r="G63" s="12">
        <f t="shared" si="15"/>
        <v>-88.457446709167115</v>
      </c>
      <c r="H63" s="12">
        <f t="shared" si="15"/>
        <v>-87.502191943693035</v>
      </c>
    </row>
    <row r="64" spans="1:8" ht="15.5" x14ac:dyDescent="0.4">
      <c r="A64" s="5" t="s">
        <v>23</v>
      </c>
      <c r="B64" s="12">
        <f>((B40/B39)-1)*100</f>
        <v>-32.611033948509395</v>
      </c>
      <c r="C64" s="12">
        <f t="shared" ref="C64:F64" si="16">((C40/C39)-1)*100</f>
        <v>-24.990842171878292</v>
      </c>
      <c r="D64" s="12"/>
      <c r="E64" s="12"/>
      <c r="F64" s="12">
        <f t="shared" si="16"/>
        <v>-18.652794370053314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>B22/(B16*3)</f>
        <v>90029.524702330993</v>
      </c>
      <c r="C67" s="12">
        <f t="shared" ref="C67:F67" si="17">C22/(C16*3)</f>
        <v>82000</v>
      </c>
      <c r="D67" s="12">
        <f t="shared" si="17"/>
        <v>82000</v>
      </c>
      <c r="E67" s="12">
        <f t="shared" si="17"/>
        <v>82000</v>
      </c>
      <c r="F67" s="12">
        <f t="shared" si="17"/>
        <v>307571.52</v>
      </c>
      <c r="G67" s="12"/>
      <c r="H67" s="12"/>
    </row>
    <row r="68" spans="1:8" ht="15.5" x14ac:dyDescent="0.4">
      <c r="A68" s="5" t="s">
        <v>31</v>
      </c>
      <c r="B68" s="12">
        <f>B23/(B17*3)</f>
        <v>93069.940499073637</v>
      </c>
      <c r="C68" s="12">
        <f t="shared" ref="C68:F68" si="18">C23/(C17*3)</f>
        <v>82269.85639166378</v>
      </c>
      <c r="D68" s="12">
        <f t="shared" si="18"/>
        <v>80348.650834320317</v>
      </c>
      <c r="E68" s="12">
        <f t="shared" si="18"/>
        <v>88277.492306386237</v>
      </c>
      <c r="F68" s="12">
        <f t="shared" si="18"/>
        <v>329485.42921159504</v>
      </c>
      <c r="G68" s="12"/>
      <c r="H68" s="12"/>
    </row>
    <row r="69" spans="1:8" ht="15.5" x14ac:dyDescent="0.4">
      <c r="A69" s="5" t="s">
        <v>25</v>
      </c>
      <c r="B69" s="12">
        <f>(B68/B67)*B51</f>
        <v>105.21588584966163</v>
      </c>
      <c r="C69" s="12">
        <f t="shared" ref="C69:F69" si="19">(C68/C67)*C51</f>
        <v>100.55028598763208</v>
      </c>
      <c r="D69" s="12">
        <f t="shared" si="19"/>
        <v>117.55465729529031</v>
      </c>
      <c r="E69" s="12">
        <f t="shared" si="19"/>
        <v>72.371707715703806</v>
      </c>
      <c r="F69" s="12">
        <f t="shared" si="19"/>
        <v>112.03931204234088</v>
      </c>
      <c r="G69" s="12"/>
      <c r="H69" s="12"/>
    </row>
    <row r="70" spans="1:8" ht="15.5" x14ac:dyDescent="0.4">
      <c r="A70" s="13" t="s">
        <v>32</v>
      </c>
      <c r="B70" s="12">
        <f>B22/B16</f>
        <v>270088.57410699298</v>
      </c>
      <c r="C70" s="12">
        <f t="shared" ref="C70:F70" si="20">C22/C16</f>
        <v>246000</v>
      </c>
      <c r="D70" s="12">
        <f t="shared" si="20"/>
        <v>245999.99999999997</v>
      </c>
      <c r="E70" s="12">
        <f t="shared" si="20"/>
        <v>246000</v>
      </c>
      <c r="F70" s="12">
        <f t="shared" si="20"/>
        <v>922714.56</v>
      </c>
      <c r="G70" s="12"/>
      <c r="H70" s="12"/>
    </row>
    <row r="71" spans="1:8" ht="15.5" x14ac:dyDescent="0.4">
      <c r="A71" s="13" t="s">
        <v>33</v>
      </c>
      <c r="B71" s="12">
        <f>B23/B17</f>
        <v>279209.8214972209</v>
      </c>
      <c r="C71" s="12">
        <f t="shared" ref="C71:F71" si="21">C23/C17</f>
        <v>246809.56917499131</v>
      </c>
      <c r="D71" s="12">
        <f t="shared" si="21"/>
        <v>241045.95250296092</v>
      </c>
      <c r="E71" s="12">
        <f t="shared" si="21"/>
        <v>264832.47691915871</v>
      </c>
      <c r="F71" s="12">
        <f t="shared" si="21"/>
        <v>988456.28763478494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103.46874780611957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100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7"/>
      <c r="C76" s="17"/>
      <c r="D76" s="17"/>
      <c r="E76" s="17"/>
      <c r="F76" s="17"/>
      <c r="G76" s="17"/>
      <c r="H76" s="17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  <row r="80" spans="1:8" ht="15.5" x14ac:dyDescent="0.4">
      <c r="A80" s="5"/>
      <c r="B80" s="5"/>
      <c r="C80" s="5"/>
      <c r="D80" s="5"/>
      <c r="E80" s="5"/>
      <c r="F80" s="5"/>
      <c r="G80" s="5"/>
      <c r="H80" s="5"/>
    </row>
    <row r="81" spans="1:8" ht="15.5" x14ac:dyDescent="0.4">
      <c r="A81" s="5"/>
      <c r="B81" s="5"/>
      <c r="C81" s="5"/>
      <c r="D81" s="5"/>
      <c r="E81" s="5"/>
      <c r="F81" s="5"/>
      <c r="G81" s="5"/>
      <c r="H81" s="5"/>
    </row>
    <row r="82" spans="1:8" ht="15.5" x14ac:dyDescent="0.4">
      <c r="A82" s="5"/>
      <c r="B82" s="5"/>
      <c r="C82" s="5"/>
      <c r="D82" s="5"/>
      <c r="E82" s="5"/>
      <c r="F82" s="5"/>
      <c r="G82" s="5"/>
      <c r="H82" s="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horizontalDpi="300" verticalDpi="300" r:id="rId1"/>
  <ignoredErrors>
    <ignoredError sqref="C15:C18 C21 C22:C2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H8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" customWidth="1"/>
    <col min="2" max="8" width="24" style="3" customWidth="1"/>
    <col min="9" max="16384" width="11.453125" style="3"/>
  </cols>
  <sheetData>
    <row r="9" spans="1:8" s="2" customFormat="1" ht="15.5" x14ac:dyDescent="0.35">
      <c r="A9" s="21" t="s">
        <v>0</v>
      </c>
      <c r="B9" s="21" t="s">
        <v>34</v>
      </c>
      <c r="C9" s="26" t="s">
        <v>45</v>
      </c>
      <c r="D9" s="26"/>
      <c r="E9" s="26"/>
      <c r="F9" s="26"/>
      <c r="G9" s="26"/>
      <c r="H9" s="26"/>
    </row>
    <row r="10" spans="1:8" s="2" customFormat="1" ht="47" thickBot="1" x14ac:dyDescent="0.4">
      <c r="A10" s="22"/>
      <c r="B10" s="22"/>
      <c r="C10" s="19" t="s">
        <v>46</v>
      </c>
      <c r="D10" s="19" t="s">
        <v>47</v>
      </c>
      <c r="E10" s="19" t="s">
        <v>48</v>
      </c>
      <c r="F10" s="19" t="s">
        <v>42</v>
      </c>
      <c r="G10" s="19" t="s">
        <v>43</v>
      </c>
      <c r="H10" s="19" t="s">
        <v>44</v>
      </c>
    </row>
    <row r="11" spans="1:8" ht="16" thickTop="1" x14ac:dyDescent="0.4">
      <c r="A11" s="5"/>
      <c r="B11" s="5"/>
      <c r="C11" s="15"/>
      <c r="D11" s="5"/>
      <c r="E11" s="5"/>
      <c r="F11" s="5"/>
      <c r="G11" s="5"/>
      <c r="H11" s="5"/>
    </row>
    <row r="12" spans="1:8" ht="15.5" x14ac:dyDescent="0.4">
      <c r="A12" s="6" t="s">
        <v>1</v>
      </c>
      <c r="B12" s="5"/>
      <c r="C12" s="5"/>
      <c r="D12" s="5"/>
      <c r="E12" s="5"/>
      <c r="F12" s="5"/>
      <c r="G12" s="5"/>
      <c r="H12" s="5"/>
    </row>
    <row r="13" spans="1:8" ht="15.5" x14ac:dyDescent="0.4">
      <c r="A13" s="5"/>
      <c r="B13" s="5"/>
      <c r="C13" s="5"/>
      <c r="D13" s="5"/>
      <c r="E13" s="5"/>
      <c r="F13" s="5"/>
      <c r="G13" s="5"/>
      <c r="H13" s="5"/>
    </row>
    <row r="14" spans="1:8" ht="15.5" x14ac:dyDescent="0.4">
      <c r="A14" s="6" t="s">
        <v>41</v>
      </c>
      <c r="B14" s="5"/>
      <c r="C14" s="5"/>
      <c r="D14" s="5"/>
      <c r="E14" s="5"/>
      <c r="F14" s="5"/>
      <c r="G14" s="5"/>
      <c r="H14" s="5"/>
    </row>
    <row r="15" spans="1:8" ht="15.5" x14ac:dyDescent="0.4">
      <c r="A15" s="7" t="s">
        <v>73</v>
      </c>
      <c r="B15" s="8">
        <f>+C15+F15</f>
        <v>128265.41666666666</v>
      </c>
      <c r="C15" s="8">
        <f>+SUM(D15:E15)</f>
        <v>123805.91666666666</v>
      </c>
      <c r="D15" s="8">
        <f>(+'I Trimestre'!D15+'II Trimestre'!D15+'III Trimestre'!D15+'IV Trimestre'!D15)/4</f>
        <v>92663</v>
      </c>
      <c r="E15" s="8">
        <f>(+'I Trimestre'!E15+'II Trimestre'!E15+'III Trimestre'!E15+'IV Trimestre'!E15)/4</f>
        <v>31142.916666666664</v>
      </c>
      <c r="F15" s="8">
        <f>(+'I Trimestre'!F15+'II Trimestre'!F15+'III Trimestre'!F15+'IV Trimestre'!F15)/4</f>
        <v>4459.5</v>
      </c>
      <c r="G15" s="8"/>
      <c r="H15" s="8"/>
    </row>
    <row r="16" spans="1:8" ht="15.5" x14ac:dyDescent="0.4">
      <c r="A16" s="7" t="s">
        <v>117</v>
      </c>
      <c r="B16" s="8">
        <f t="shared" ref="B16:B18" si="0">+C16+F16</f>
        <v>132354.83333333334</v>
      </c>
      <c r="C16" s="8">
        <f>+SUM(D16:E16)</f>
        <v>127710.58333333334</v>
      </c>
      <c r="D16" s="8">
        <f>(+'I Trimestre'!D16+'II Trimestre'!D16+'III Trimestre'!D16+'IV Trimestre'!D16)/4</f>
        <v>79886.916666666672</v>
      </c>
      <c r="E16" s="8">
        <f>(+'I Trimestre'!E16+'II Trimestre'!E16+'III Trimestre'!E16+'IV Trimestre'!E16)/4</f>
        <v>47823.666666666664</v>
      </c>
      <c r="F16" s="8">
        <f>(+'I Trimestre'!F16+'II Trimestre'!F16+'III Trimestre'!F16+'IV Trimestre'!F16)/4</f>
        <v>4644.25</v>
      </c>
      <c r="G16" s="8"/>
      <c r="H16" s="8"/>
    </row>
    <row r="17" spans="1:8" ht="15.5" x14ac:dyDescent="0.4">
      <c r="A17" s="7" t="s">
        <v>118</v>
      </c>
      <c r="B17" s="8">
        <f t="shared" si="0"/>
        <v>132096.16666666666</v>
      </c>
      <c r="C17" s="8">
        <f>+SUM(D17:E17)</f>
        <v>127432.83333333333</v>
      </c>
      <c r="D17" s="8">
        <f>(+'I Trimestre'!D17+'II Trimestre'!D17+'III Trimestre'!D17+'IV Trimestre'!D17)/4</f>
        <v>96190.833333333328</v>
      </c>
      <c r="E17" s="8">
        <f>(+'I Trimestre'!E17+'II Trimestre'!E17+'III Trimestre'!E17+'IV Trimestre'!E17)/4</f>
        <v>31241.999999999996</v>
      </c>
      <c r="F17" s="8">
        <f>(+'I Trimestre'!F17+'II Trimestre'!F17+'III Trimestre'!F17+'IV Trimestre'!F17)/4</f>
        <v>4663.3333333333339</v>
      </c>
      <c r="G17" s="8"/>
      <c r="H17" s="8"/>
    </row>
    <row r="18" spans="1:8" ht="15.5" x14ac:dyDescent="0.4">
      <c r="A18" s="7" t="s">
        <v>79</v>
      </c>
      <c r="B18" s="8">
        <f t="shared" si="0"/>
        <v>132354.83333333334</v>
      </c>
      <c r="C18" s="8">
        <f>+SUM(D18:E18)</f>
        <v>127710.58333333334</v>
      </c>
      <c r="D18" s="8">
        <f>'IV Trimestre'!D18</f>
        <v>79886.916666666672</v>
      </c>
      <c r="E18" s="8">
        <f>'IV Trimestre'!E18</f>
        <v>47823.666666666664</v>
      </c>
      <c r="F18" s="8">
        <f>'IV Trimestre'!F18</f>
        <v>4644.25</v>
      </c>
      <c r="G18" s="8"/>
      <c r="H18" s="8"/>
    </row>
    <row r="19" spans="1:8" ht="15.5" x14ac:dyDescent="0.4">
      <c r="A19" s="5"/>
      <c r="B19" s="8"/>
      <c r="C19" s="8"/>
      <c r="D19" s="8"/>
      <c r="E19" s="8"/>
      <c r="F19" s="8"/>
      <c r="G19" s="8"/>
      <c r="H19" s="8"/>
    </row>
    <row r="20" spans="1:8" ht="15.5" x14ac:dyDescent="0.4">
      <c r="A20" s="9" t="s">
        <v>2</v>
      </c>
      <c r="B20" s="8"/>
      <c r="C20" s="8"/>
      <c r="D20" s="8"/>
      <c r="E20" s="8"/>
      <c r="F20" s="8"/>
      <c r="G20" s="8"/>
      <c r="H20" s="8"/>
    </row>
    <row r="21" spans="1:8" ht="15.5" x14ac:dyDescent="0.4">
      <c r="A21" s="7" t="s">
        <v>73</v>
      </c>
      <c r="B21" s="8">
        <f>+C21+F21+G21+H21</f>
        <v>174623197390</v>
      </c>
      <c r="C21" s="8">
        <f>+SUM(D21:E21)</f>
        <v>132195779770</v>
      </c>
      <c r="D21" s="8">
        <f>+'I Trimestre'!D21+'II Trimestre'!D21+'III Trimestre'!D21+'IV Trimestre'!D21</f>
        <v>97964721910</v>
      </c>
      <c r="E21" s="8">
        <f>+'I Trimestre'!E21+'II Trimestre'!E21+'III Trimestre'!E21+'IV Trimestre'!E21</f>
        <v>34231057860</v>
      </c>
      <c r="F21" s="8">
        <f>+'I Trimestre'!F21+'II Trimestre'!F21+'III Trimestre'!F21+'IV Trimestre'!F21</f>
        <v>17500814920</v>
      </c>
      <c r="G21" s="8">
        <f>+'I Trimestre'!G21+'II Trimestre'!G21+'III Trimestre'!G21+'IV Trimestre'!G21</f>
        <v>18950589900</v>
      </c>
      <c r="H21" s="8">
        <f>+'I Trimestre'!H21+'II Trimestre'!H21+'III Trimestre'!H21+'IV Trimestre'!H21</f>
        <v>5976012800</v>
      </c>
    </row>
    <row r="22" spans="1:8" ht="15.5" x14ac:dyDescent="0.4">
      <c r="A22" s="7" t="s">
        <v>117</v>
      </c>
      <c r="B22" s="8">
        <f t="shared" ref="B22:B24" si="1">+C22+F22+G22+H22</f>
        <v>150098361351</v>
      </c>
      <c r="C22" s="8">
        <f>+SUM(D22:E22)</f>
        <v>125667214000</v>
      </c>
      <c r="D22" s="8">
        <f>+'I Trimestre'!D22+'II Trimestre'!D22+'III Trimestre'!D22+'IV Trimestre'!D22</f>
        <v>78608726000</v>
      </c>
      <c r="E22" s="8">
        <f>+'I Trimestre'!E22+'II Trimestre'!E22+'III Trimestre'!E22+'IV Trimestre'!E22</f>
        <v>47058488000</v>
      </c>
      <c r="F22" s="8">
        <f>+'I Trimestre'!F22+'II Trimestre'!F22+'III Trimestre'!F22+'IV Trimestre'!F22</f>
        <v>17141268381.120001</v>
      </c>
      <c r="G22" s="8">
        <f>+'I Trimestre'!G22+'II Trimestre'!G22+'III Trimestre'!G22+'IV Trimestre'!G22</f>
        <v>7111874969.8800011</v>
      </c>
      <c r="H22" s="8">
        <f>+'I Trimestre'!H22+'II Trimestre'!H22+'III Trimestre'!H22+'IV Trimestre'!H22</f>
        <v>178004000</v>
      </c>
    </row>
    <row r="23" spans="1:8" ht="15.5" x14ac:dyDescent="0.4">
      <c r="A23" s="7" t="s">
        <v>118</v>
      </c>
      <c r="B23" s="8">
        <f t="shared" si="1"/>
        <v>150098360600</v>
      </c>
      <c r="C23" s="8">
        <f>+SUM(D23:E23)</f>
        <v>125533444020</v>
      </c>
      <c r="D23" s="8">
        <f>+'I Trimestre'!D23+'II Trimestre'!D23+'III Trimestre'!D23+'IV Trimestre'!D23</f>
        <v>92894748574.800003</v>
      </c>
      <c r="E23" s="8">
        <f>+'I Trimestre'!E23+'II Trimestre'!E23+'III Trimestre'!E23+'IV Trimestre'!E23</f>
        <v>32638695445.200001</v>
      </c>
      <c r="F23" s="8">
        <f>+'I Trimestre'!F23+'II Trimestre'!F23+'III Trimestre'!F23+'IV Trimestre'!F23</f>
        <v>17832584040</v>
      </c>
      <c r="G23" s="8">
        <f>+'I Trimestre'!G23+'II Trimestre'!G23+'III Trimestre'!G23+'IV Trimestre'!G23</f>
        <v>5161998800</v>
      </c>
      <c r="H23" s="8">
        <f>+'I Trimestre'!H23+'II Trimestre'!H23+'III Trimestre'!H23+'IV Trimestre'!H23</f>
        <v>1570333740</v>
      </c>
    </row>
    <row r="24" spans="1:8" ht="15.5" x14ac:dyDescent="0.4">
      <c r="A24" s="7" t="s">
        <v>79</v>
      </c>
      <c r="B24" s="8">
        <f t="shared" si="1"/>
        <v>150098361351</v>
      </c>
      <c r="C24" s="8">
        <f>+SUM(D24:E24)</f>
        <v>125667214000</v>
      </c>
      <c r="D24" s="8">
        <f>+'IV Trimestre'!D24</f>
        <v>78608726000</v>
      </c>
      <c r="E24" s="8">
        <f>+'IV Trimestre'!E24</f>
        <v>47058488000</v>
      </c>
      <c r="F24" s="8">
        <f>+'IV Trimestre'!F24</f>
        <v>17141268381.120001</v>
      </c>
      <c r="G24" s="8">
        <f>+'IV Trimestre'!G24</f>
        <v>7111874969.8800011</v>
      </c>
      <c r="H24" s="8">
        <f>+'IV Trimestre'!H24</f>
        <v>178004000</v>
      </c>
    </row>
    <row r="25" spans="1:8" ht="15.5" x14ac:dyDescent="0.4">
      <c r="A25" s="7" t="s">
        <v>119</v>
      </c>
      <c r="B25" s="8">
        <f>+C25+F25+G25</f>
        <v>148528026860</v>
      </c>
      <c r="C25" s="8">
        <f>+SUM(D25:E25)</f>
        <v>125533444020</v>
      </c>
      <c r="D25" s="8">
        <f t="shared" ref="D25" si="2">+D23</f>
        <v>92894748574.800003</v>
      </c>
      <c r="E25" s="8">
        <f t="shared" ref="E25" si="3">+E23</f>
        <v>32638695445.200001</v>
      </c>
      <c r="F25" s="8">
        <f t="shared" ref="F25:G25" si="4">+F23</f>
        <v>17832584040</v>
      </c>
      <c r="G25" s="8">
        <f t="shared" si="4"/>
        <v>5161998800</v>
      </c>
      <c r="H25" s="8"/>
    </row>
    <row r="26" spans="1:8" ht="15.5" x14ac:dyDescent="0.4">
      <c r="A26" s="5"/>
      <c r="B26" s="8"/>
      <c r="C26" s="8"/>
      <c r="D26" s="8"/>
      <c r="E26" s="8"/>
      <c r="F26" s="8"/>
      <c r="G26" s="8"/>
      <c r="H26" s="8"/>
    </row>
    <row r="27" spans="1:8" ht="15.5" x14ac:dyDescent="0.4">
      <c r="A27" s="9" t="s">
        <v>3</v>
      </c>
      <c r="B27" s="8"/>
      <c r="C27" s="8"/>
      <c r="D27" s="8"/>
      <c r="E27" s="8"/>
      <c r="F27" s="8"/>
      <c r="G27" s="8"/>
      <c r="H27" s="8"/>
    </row>
    <row r="28" spans="1:8" ht="15.5" x14ac:dyDescent="0.4">
      <c r="A28" s="7" t="s">
        <v>117</v>
      </c>
      <c r="B28" s="8">
        <f>B22</f>
        <v>150098361351</v>
      </c>
      <c r="C28" s="8"/>
      <c r="D28" s="8"/>
      <c r="E28" s="8"/>
      <c r="F28" s="8"/>
      <c r="G28" s="8"/>
      <c r="H28" s="8"/>
    </row>
    <row r="29" spans="1:8" ht="15.5" x14ac:dyDescent="0.4">
      <c r="A29" s="7" t="s">
        <v>118</v>
      </c>
      <c r="B29" s="8">
        <f>+'I Trimestre'!B29+'II Trimestre'!B29+'III Trimestre'!B29+'IV Trimestre'!B29</f>
        <v>150098361600</v>
      </c>
      <c r="C29" s="8"/>
      <c r="D29" s="8"/>
      <c r="E29" s="8"/>
      <c r="F29" s="8"/>
      <c r="G29" s="8"/>
      <c r="H29" s="8"/>
    </row>
    <row r="30" spans="1:8" ht="15.5" x14ac:dyDescent="0.4">
      <c r="A30" s="5"/>
      <c r="B30" s="18"/>
      <c r="C30" s="18"/>
      <c r="D30" s="18"/>
      <c r="E30" s="18"/>
      <c r="F30" s="18"/>
      <c r="G30" s="18"/>
      <c r="H30" s="18"/>
    </row>
    <row r="31" spans="1:8" ht="15.5" x14ac:dyDescent="0.4">
      <c r="A31" s="6" t="s">
        <v>4</v>
      </c>
      <c r="B31" s="18"/>
      <c r="C31" s="18"/>
      <c r="D31" s="18"/>
      <c r="E31" s="18"/>
      <c r="F31" s="18"/>
      <c r="G31" s="18"/>
      <c r="H31" s="18"/>
    </row>
    <row r="32" spans="1:8" ht="15.5" x14ac:dyDescent="0.4">
      <c r="A32" s="7" t="s">
        <v>74</v>
      </c>
      <c r="B32" s="10">
        <v>1.0706</v>
      </c>
      <c r="C32" s="10">
        <v>1.0706</v>
      </c>
      <c r="D32" s="10">
        <v>1.0706</v>
      </c>
      <c r="E32" s="10">
        <v>1.0706</v>
      </c>
      <c r="F32" s="10">
        <v>1.0706</v>
      </c>
      <c r="G32" s="10">
        <v>1.0706</v>
      </c>
      <c r="H32" s="10">
        <v>1.0706</v>
      </c>
    </row>
    <row r="33" spans="1:8" ht="15.5" x14ac:dyDescent="0.4">
      <c r="A33" s="7" t="s">
        <v>120</v>
      </c>
      <c r="B33" s="10">
        <v>1.0863</v>
      </c>
      <c r="C33" s="10">
        <v>1.0863</v>
      </c>
      <c r="D33" s="10">
        <v>1.0863</v>
      </c>
      <c r="E33" s="10">
        <v>1.0863</v>
      </c>
      <c r="F33" s="10">
        <v>1.0863</v>
      </c>
      <c r="G33" s="10">
        <v>1.0863</v>
      </c>
      <c r="H33" s="10">
        <v>1.0863</v>
      </c>
    </row>
    <row r="34" spans="1:8" ht="15.5" x14ac:dyDescent="0.4">
      <c r="A34" s="7" t="s">
        <v>5</v>
      </c>
      <c r="B34" s="11">
        <f>+C34+F34</f>
        <v>150482</v>
      </c>
      <c r="C34" s="11">
        <v>136177</v>
      </c>
      <c r="D34" s="11"/>
      <c r="E34" s="11"/>
      <c r="F34" s="11">
        <v>14305</v>
      </c>
      <c r="G34" s="8"/>
      <c r="H34" s="8"/>
    </row>
    <row r="35" spans="1:8" ht="15.5" x14ac:dyDescent="0.4">
      <c r="A35" s="5"/>
      <c r="B35" s="8"/>
      <c r="C35" s="8"/>
      <c r="D35" s="8"/>
      <c r="E35" s="8"/>
      <c r="F35" s="8"/>
      <c r="G35" s="8"/>
      <c r="H35" s="8"/>
    </row>
    <row r="36" spans="1:8" ht="15.5" x14ac:dyDescent="0.4">
      <c r="A36" s="6" t="s">
        <v>6</v>
      </c>
      <c r="B36" s="8"/>
      <c r="C36" s="8"/>
      <c r="D36" s="8"/>
      <c r="E36" s="8"/>
      <c r="F36" s="8"/>
      <c r="G36" s="8"/>
      <c r="H36" s="8"/>
    </row>
    <row r="37" spans="1:8" ht="15.5" x14ac:dyDescent="0.4">
      <c r="A37" s="5" t="s">
        <v>75</v>
      </c>
      <c r="B37" s="8">
        <f>B21/B32</f>
        <v>163107787586.40015</v>
      </c>
      <c r="C37" s="8">
        <f t="shared" ref="C37:H37" si="5">C21/C32</f>
        <v>123478217606.94937</v>
      </c>
      <c r="D37" s="8">
        <f t="shared" si="5"/>
        <v>91504503932.374374</v>
      </c>
      <c r="E37" s="8">
        <f t="shared" si="5"/>
        <v>31973713674.575005</v>
      </c>
      <c r="F37" s="8">
        <f t="shared" si="5"/>
        <v>16346735400.709883</v>
      </c>
      <c r="G37" s="8">
        <f t="shared" si="5"/>
        <v>17700905940.594059</v>
      </c>
      <c r="H37" s="8">
        <f t="shared" si="5"/>
        <v>5581928638.1468334</v>
      </c>
    </row>
    <row r="38" spans="1:8" ht="15.5" x14ac:dyDescent="0.4">
      <c r="A38" s="5" t="s">
        <v>121</v>
      </c>
      <c r="B38" s="8">
        <f>B23/B33</f>
        <v>138173948817.08551</v>
      </c>
      <c r="C38" s="8">
        <f t="shared" ref="C38:H38" si="6">C23/C33</f>
        <v>115560567080.91687</v>
      </c>
      <c r="D38" s="8">
        <f t="shared" si="6"/>
        <v>85514819639.878479</v>
      </c>
      <c r="E38" s="8">
        <f t="shared" si="6"/>
        <v>30045747441.038387</v>
      </c>
      <c r="F38" s="8">
        <f t="shared" si="6"/>
        <v>16415892515.879591</v>
      </c>
      <c r="G38" s="8">
        <f t="shared" si="6"/>
        <v>4751909049.0656357</v>
      </c>
      <c r="H38" s="8">
        <f t="shared" si="6"/>
        <v>1445580171.223419</v>
      </c>
    </row>
    <row r="39" spans="1:8" ht="15.5" x14ac:dyDescent="0.4">
      <c r="A39" s="5" t="s">
        <v>76</v>
      </c>
      <c r="B39" s="8">
        <f>B37/B15</f>
        <v>1271642.7531692435</v>
      </c>
      <c r="C39" s="8">
        <f t="shared" ref="C39:F39" si="7">C37/C15</f>
        <v>997353.1227865339</v>
      </c>
      <c r="D39" s="8">
        <f t="shared" si="7"/>
        <v>987497.74918116594</v>
      </c>
      <c r="E39" s="8">
        <f t="shared" si="7"/>
        <v>1026676.9171558543</v>
      </c>
      <c r="F39" s="8">
        <f t="shared" si="7"/>
        <v>3665598.2510841759</v>
      </c>
      <c r="G39" s="8"/>
      <c r="H39" s="8"/>
    </row>
    <row r="40" spans="1:8" ht="15.5" x14ac:dyDescent="0.4">
      <c r="A40" s="5" t="s">
        <v>122</v>
      </c>
      <c r="B40" s="8">
        <f>B38/B17</f>
        <v>1046010.2840512822</v>
      </c>
      <c r="C40" s="8">
        <f t="shared" ref="C40:F40" si="8">C38/C17</f>
        <v>906835.10723361617</v>
      </c>
      <c r="D40" s="8">
        <f t="shared" si="8"/>
        <v>889012.15091401793</v>
      </c>
      <c r="E40" s="8">
        <f t="shared" si="8"/>
        <v>961710.11590289965</v>
      </c>
      <c r="F40" s="8">
        <f t="shared" si="8"/>
        <v>3520205.6860356517</v>
      </c>
      <c r="G40" s="8"/>
      <c r="H40" s="8"/>
    </row>
    <row r="41" spans="1:8" ht="15.5" x14ac:dyDescent="0.4">
      <c r="A41" s="5"/>
      <c r="B41" s="18"/>
      <c r="C41" s="18"/>
      <c r="D41" s="18"/>
      <c r="E41" s="18"/>
      <c r="F41" s="18"/>
      <c r="G41" s="18"/>
      <c r="H41" s="18"/>
    </row>
    <row r="42" spans="1:8" ht="15.5" x14ac:dyDescent="0.4">
      <c r="A42" s="6" t="s">
        <v>7</v>
      </c>
      <c r="B42" s="18"/>
      <c r="C42" s="18"/>
      <c r="D42" s="18"/>
      <c r="E42" s="18"/>
      <c r="F42" s="18"/>
      <c r="G42" s="18"/>
      <c r="H42" s="18"/>
    </row>
    <row r="43" spans="1:8" ht="15.5" x14ac:dyDescent="0.4">
      <c r="A43" s="5"/>
      <c r="B43" s="18"/>
      <c r="C43" s="18"/>
      <c r="D43" s="18"/>
      <c r="E43" s="18"/>
      <c r="F43" s="18"/>
      <c r="G43" s="18"/>
      <c r="H43" s="18"/>
    </row>
    <row r="44" spans="1:8" ht="15.5" x14ac:dyDescent="0.4">
      <c r="A44" s="6" t="s">
        <v>8</v>
      </c>
      <c r="B44" s="18"/>
      <c r="C44" s="18"/>
      <c r="D44" s="18"/>
      <c r="E44" s="18"/>
      <c r="F44" s="18"/>
      <c r="G44" s="18"/>
      <c r="H44" s="18"/>
    </row>
    <row r="45" spans="1:8" ht="15.5" x14ac:dyDescent="0.4">
      <c r="A45" s="5" t="s">
        <v>9</v>
      </c>
      <c r="B45" s="12">
        <f>(B16/B34)*100</f>
        <v>87.953930259654527</v>
      </c>
      <c r="C45" s="12">
        <f>(C16/C34)*100</f>
        <v>93.782785149719373</v>
      </c>
      <c r="D45" s="12"/>
      <c r="E45" s="12"/>
      <c r="F45" s="12">
        <f>(F16/F34)*100</f>
        <v>32.465921006641032</v>
      </c>
      <c r="G45" s="12"/>
      <c r="H45" s="12"/>
    </row>
    <row r="46" spans="1:8" ht="15.5" x14ac:dyDescent="0.4">
      <c r="A46" s="5" t="s">
        <v>10</v>
      </c>
      <c r="B46" s="12">
        <f>(B17/B34)*100</f>
        <v>87.782038161817795</v>
      </c>
      <c r="C46" s="12">
        <f>(C17/C34)*100</f>
        <v>93.578822659724707</v>
      </c>
      <c r="D46" s="12"/>
      <c r="E46" s="12"/>
      <c r="F46" s="12">
        <f>(F17/F34)*100</f>
        <v>32.599324245601771</v>
      </c>
      <c r="G46" s="12"/>
      <c r="H46" s="12"/>
    </row>
    <row r="47" spans="1:8" ht="15.5" x14ac:dyDescent="0.4">
      <c r="A47" s="5"/>
      <c r="B47" s="12"/>
      <c r="C47" s="12"/>
      <c r="D47" s="12"/>
      <c r="E47" s="12"/>
      <c r="F47" s="12"/>
      <c r="G47" s="12"/>
      <c r="H47" s="12"/>
    </row>
    <row r="48" spans="1:8" ht="15.5" x14ac:dyDescent="0.4">
      <c r="A48" s="6" t="s">
        <v>11</v>
      </c>
      <c r="B48" s="12"/>
      <c r="C48" s="12"/>
      <c r="D48" s="12"/>
      <c r="E48" s="12"/>
      <c r="F48" s="12"/>
      <c r="G48" s="12"/>
      <c r="H48" s="12"/>
    </row>
    <row r="49" spans="1:8" ht="15.5" x14ac:dyDescent="0.4">
      <c r="A49" s="5" t="s">
        <v>12</v>
      </c>
      <c r="B49" s="12">
        <f>B17/B16*100</f>
        <v>99.80456575694879</v>
      </c>
      <c r="C49" s="12">
        <f t="shared" ref="C49:F49" si="9">C17/C16*100</f>
        <v>99.782516066601104</v>
      </c>
      <c r="D49" s="12">
        <f t="shared" si="9"/>
        <v>120.40874444396923</v>
      </c>
      <c r="E49" s="12">
        <f t="shared" si="9"/>
        <v>65.327487784987909</v>
      </c>
      <c r="F49" s="12">
        <f t="shared" si="9"/>
        <v>100.41090237031456</v>
      </c>
      <c r="G49" s="12"/>
      <c r="H49" s="12"/>
    </row>
    <row r="50" spans="1:8" ht="15.5" x14ac:dyDescent="0.4">
      <c r="A50" s="5" t="s">
        <v>13</v>
      </c>
      <c r="B50" s="12">
        <f>B23/B22*100</f>
        <v>99.999999499661428</v>
      </c>
      <c r="C50" s="12">
        <f t="shared" ref="C50:G50" si="10">C23/C22*100</f>
        <v>99.893552203679789</v>
      </c>
      <c r="D50" s="12">
        <f t="shared" si="10"/>
        <v>118.17358364871605</v>
      </c>
      <c r="E50" s="12">
        <f t="shared" si="10"/>
        <v>69.357722341610298</v>
      </c>
      <c r="F50" s="12">
        <f t="shared" si="10"/>
        <v>104.03304845072864</v>
      </c>
      <c r="G50" s="12">
        <f t="shared" si="10"/>
        <v>72.582811450734752</v>
      </c>
      <c r="H50" s="12">
        <f>H23/H22*100</f>
        <v>882.19014179456644</v>
      </c>
    </row>
    <row r="51" spans="1:8" ht="15.5" x14ac:dyDescent="0.4">
      <c r="A51" s="5" t="s">
        <v>14</v>
      </c>
      <c r="B51" s="12">
        <f>AVERAGE(B49:B50)</f>
        <v>99.902282628305102</v>
      </c>
      <c r="C51" s="12">
        <f t="shared" ref="C51:F51" si="11">AVERAGE(C49:C50)</f>
        <v>99.838034135140447</v>
      </c>
      <c r="D51" s="12">
        <f t="shared" si="11"/>
        <v>119.29116404634263</v>
      </c>
      <c r="E51" s="12">
        <f t="shared" si="11"/>
        <v>67.342605063299104</v>
      </c>
      <c r="F51" s="12">
        <f t="shared" si="11"/>
        <v>102.22197541052159</v>
      </c>
      <c r="G51" s="12">
        <f t="shared" ref="G51" si="12">AVERAGE(G49:G50)</f>
        <v>72.582811450734752</v>
      </c>
      <c r="H51" s="12">
        <f t="shared" ref="H51" si="13">AVERAGE(H49:H50)</f>
        <v>882.19014179456644</v>
      </c>
    </row>
    <row r="52" spans="1:8" ht="15.5" x14ac:dyDescent="0.4">
      <c r="A52" s="5"/>
      <c r="B52" s="12"/>
      <c r="C52" s="12"/>
      <c r="D52" s="12"/>
      <c r="E52" s="12"/>
      <c r="F52" s="12"/>
      <c r="G52" s="12"/>
      <c r="H52" s="12"/>
    </row>
    <row r="53" spans="1:8" ht="15.5" x14ac:dyDescent="0.4">
      <c r="A53" s="6" t="s">
        <v>15</v>
      </c>
      <c r="B53" s="12"/>
      <c r="C53" s="12"/>
      <c r="D53" s="12"/>
      <c r="E53" s="12"/>
      <c r="F53" s="12"/>
      <c r="G53" s="12"/>
      <c r="H53" s="12"/>
    </row>
    <row r="54" spans="1:8" ht="15.5" x14ac:dyDescent="0.4">
      <c r="A54" s="5" t="s">
        <v>16</v>
      </c>
      <c r="B54" s="12">
        <f>B17/B18*100</f>
        <v>99.80456575694879</v>
      </c>
      <c r="C54" s="12">
        <f t="shared" ref="C54:F54" si="14">C17/C18*100</f>
        <v>99.782516066601104</v>
      </c>
      <c r="D54" s="12">
        <f t="shared" si="14"/>
        <v>120.40874444396923</v>
      </c>
      <c r="E54" s="12">
        <f t="shared" si="14"/>
        <v>65.327487784987909</v>
      </c>
      <c r="F54" s="12">
        <f t="shared" si="14"/>
        <v>100.41090237031456</v>
      </c>
      <c r="G54" s="12"/>
      <c r="H54" s="12"/>
    </row>
    <row r="55" spans="1:8" ht="15.5" x14ac:dyDescent="0.4">
      <c r="A55" s="5" t="s">
        <v>17</v>
      </c>
      <c r="B55" s="12">
        <f>B23/B24*100</f>
        <v>99.999999499661428</v>
      </c>
      <c r="C55" s="12">
        <f t="shared" ref="C55:H55" si="15">C23/C24*100</f>
        <v>99.893552203679789</v>
      </c>
      <c r="D55" s="12">
        <f t="shared" si="15"/>
        <v>118.17358364871605</v>
      </c>
      <c r="E55" s="12">
        <f t="shared" si="15"/>
        <v>69.357722341610298</v>
      </c>
      <c r="F55" s="12">
        <f t="shared" si="15"/>
        <v>104.03304845072864</v>
      </c>
      <c r="G55" s="12">
        <f t="shared" si="15"/>
        <v>72.582811450734752</v>
      </c>
      <c r="H55" s="12">
        <f t="shared" si="15"/>
        <v>882.19014179456644</v>
      </c>
    </row>
    <row r="56" spans="1:8" ht="15.5" x14ac:dyDescent="0.4">
      <c r="A56" s="5" t="s">
        <v>18</v>
      </c>
      <c r="B56" s="12">
        <f>AVERAGE(B54:B55)</f>
        <v>99.902282628305102</v>
      </c>
      <c r="C56" s="12">
        <f t="shared" ref="C56:F56" si="16">AVERAGE(C54:C55)</f>
        <v>99.838034135140447</v>
      </c>
      <c r="D56" s="12">
        <f t="shared" si="16"/>
        <v>119.29116404634263</v>
      </c>
      <c r="E56" s="12">
        <f t="shared" si="16"/>
        <v>67.342605063299104</v>
      </c>
      <c r="F56" s="12">
        <f t="shared" si="16"/>
        <v>102.22197541052159</v>
      </c>
      <c r="G56" s="12">
        <f t="shared" ref="G56" si="17">AVERAGE(G54:G55)</f>
        <v>72.582811450734752</v>
      </c>
      <c r="H56" s="12">
        <f t="shared" ref="H56" si="18">AVERAGE(H54:H55)</f>
        <v>882.19014179456644</v>
      </c>
    </row>
    <row r="57" spans="1:8" ht="15.5" x14ac:dyDescent="0.4">
      <c r="A57" s="5"/>
      <c r="B57" s="12"/>
      <c r="C57" s="12"/>
      <c r="D57" s="12"/>
      <c r="E57" s="12"/>
      <c r="F57" s="12"/>
      <c r="G57" s="12"/>
      <c r="H57" s="12"/>
    </row>
    <row r="58" spans="1:8" ht="15.5" x14ac:dyDescent="0.4">
      <c r="A58" s="6" t="s">
        <v>29</v>
      </c>
      <c r="B58" s="12"/>
      <c r="C58" s="12"/>
      <c r="D58" s="12"/>
      <c r="E58" s="12"/>
      <c r="F58" s="12"/>
      <c r="G58" s="12"/>
      <c r="H58" s="12"/>
    </row>
    <row r="59" spans="1:8" ht="15.5" x14ac:dyDescent="0.4">
      <c r="A59" s="5" t="s">
        <v>19</v>
      </c>
      <c r="B59" s="12">
        <f>(B25/B23)*100</f>
        <v>98.953796874447676</v>
      </c>
      <c r="C59" s="12"/>
      <c r="D59" s="12"/>
      <c r="E59" s="12"/>
      <c r="F59" s="12"/>
      <c r="G59" s="12"/>
      <c r="H59" s="12"/>
    </row>
    <row r="60" spans="1:8" ht="15.5" x14ac:dyDescent="0.4">
      <c r="A60" s="5"/>
      <c r="B60" s="12"/>
      <c r="C60" s="12"/>
      <c r="D60" s="12"/>
      <c r="E60" s="12"/>
      <c r="F60" s="12"/>
      <c r="G60" s="12"/>
      <c r="H60" s="12"/>
    </row>
    <row r="61" spans="1:8" ht="15.5" x14ac:dyDescent="0.4">
      <c r="A61" s="6" t="s">
        <v>20</v>
      </c>
      <c r="B61" s="12"/>
      <c r="C61" s="12"/>
      <c r="D61" s="12"/>
      <c r="E61" s="12"/>
      <c r="F61" s="12"/>
      <c r="G61" s="12"/>
      <c r="H61" s="12"/>
    </row>
    <row r="62" spans="1:8" ht="15.5" x14ac:dyDescent="0.4">
      <c r="A62" s="5" t="s">
        <v>21</v>
      </c>
      <c r="B62" s="12">
        <f>((B17/B15)-1)*100</f>
        <v>2.9865805604914364</v>
      </c>
      <c r="C62" s="12">
        <f t="shared" ref="C62:F62" si="19">((C17/C15)-1)*100</f>
        <v>2.9295180426891276</v>
      </c>
      <c r="D62" s="12"/>
      <c r="E62" s="12"/>
      <c r="F62" s="12">
        <f t="shared" si="19"/>
        <v>4.5707665283851062</v>
      </c>
      <c r="G62" s="12"/>
      <c r="H62" s="12"/>
    </row>
    <row r="63" spans="1:8" ht="15.5" x14ac:dyDescent="0.4">
      <c r="A63" s="5" t="s">
        <v>22</v>
      </c>
      <c r="B63" s="12">
        <f>((B38/B37)-1)*100</f>
        <v>-15.286724894178882</v>
      </c>
      <c r="C63" s="12">
        <f t="shared" ref="C63:H63" si="20">((C38/C37)-1)*100</f>
        <v>-6.4121840106533101</v>
      </c>
      <c r="D63" s="12"/>
      <c r="E63" s="12"/>
      <c r="F63" s="12">
        <f t="shared" si="20"/>
        <v>0.42306377068233036</v>
      </c>
      <c r="G63" s="12">
        <f t="shared" si="20"/>
        <v>-73.154430259030249</v>
      </c>
      <c r="H63" s="12">
        <f t="shared" si="20"/>
        <v>-74.102496378324489</v>
      </c>
    </row>
    <row r="64" spans="1:8" ht="15.5" x14ac:dyDescent="0.4">
      <c r="A64" s="5" t="s">
        <v>23</v>
      </c>
      <c r="B64" s="12">
        <f>((B40/B39)-1)*100</f>
        <v>-17.743384968430021</v>
      </c>
      <c r="C64" s="12">
        <f>((C40/C39)-1)*100</f>
        <v>-9.0758241474210077</v>
      </c>
      <c r="D64" s="12"/>
      <c r="E64" s="12"/>
      <c r="F64" s="12">
        <f t="shared" ref="F64" si="21">((F40/F39)-1)*100</f>
        <v>-3.9664075299447044</v>
      </c>
      <c r="G64" s="12"/>
      <c r="H64" s="12"/>
    </row>
    <row r="65" spans="1:8" ht="15.5" x14ac:dyDescent="0.4">
      <c r="A65" s="5"/>
      <c r="B65" s="12"/>
      <c r="C65" s="12"/>
      <c r="D65" s="12"/>
      <c r="E65" s="12"/>
      <c r="F65" s="12"/>
      <c r="G65" s="12"/>
      <c r="H65" s="12"/>
    </row>
    <row r="66" spans="1:8" ht="15.5" x14ac:dyDescent="0.4">
      <c r="A66" s="6" t="s">
        <v>24</v>
      </c>
      <c r="B66" s="12"/>
      <c r="C66" s="12"/>
      <c r="D66" s="12"/>
      <c r="E66" s="12"/>
      <c r="F66" s="12"/>
      <c r="G66" s="12"/>
      <c r="H66" s="12"/>
    </row>
    <row r="67" spans="1:8" ht="15.5" x14ac:dyDescent="0.4">
      <c r="A67" s="5" t="s">
        <v>30</v>
      </c>
      <c r="B67" s="12">
        <f>B22/(B16*12)</f>
        <v>94505.024593611364</v>
      </c>
      <c r="C67" s="12">
        <f t="shared" ref="C67:E67" si="22">C22/(C16*12)</f>
        <v>82000</v>
      </c>
      <c r="D67" s="12">
        <f t="shared" si="22"/>
        <v>82000</v>
      </c>
      <c r="E67" s="12">
        <f t="shared" si="22"/>
        <v>82000</v>
      </c>
      <c r="F67" s="12">
        <f>F22/(F16*12)</f>
        <v>307571.52</v>
      </c>
      <c r="G67" s="12"/>
      <c r="H67" s="12"/>
    </row>
    <row r="68" spans="1:8" ht="15.5" x14ac:dyDescent="0.4">
      <c r="A68" s="5" t="s">
        <v>31</v>
      </c>
      <c r="B68" s="12">
        <f>B23/(B17*12)</f>
        <v>94690.080963742323</v>
      </c>
      <c r="C68" s="12">
        <f t="shared" ref="C68:F68" si="23">C23/(C17*12)</f>
        <v>82091.248082323102</v>
      </c>
      <c r="D68" s="12">
        <f t="shared" si="23"/>
        <v>80477.824961491482</v>
      </c>
      <c r="E68" s="12">
        <f t="shared" si="23"/>
        <v>87058.808242109997</v>
      </c>
      <c r="F68" s="12">
        <f t="shared" si="23"/>
        <v>318666.61972837738</v>
      </c>
      <c r="G68" s="12"/>
      <c r="H68" s="12"/>
    </row>
    <row r="69" spans="1:8" ht="15.5" x14ac:dyDescent="0.4">
      <c r="A69" s="5" t="s">
        <v>25</v>
      </c>
      <c r="B69" s="12">
        <f>(B68/B67)*B51</f>
        <v>100.09790771671169</v>
      </c>
      <c r="C69" s="12">
        <f t="shared" ref="C69:F69" si="24">(C68/C67)*C51</f>
        <v>99.949132051698243</v>
      </c>
      <c r="D69" s="12">
        <f t="shared" si="24"/>
        <v>117.07674901919668</v>
      </c>
      <c r="E69" s="12">
        <f t="shared" si="24"/>
        <v>71.497157813779296</v>
      </c>
      <c r="F69" s="12">
        <f t="shared" si="24"/>
        <v>105.90945275436499</v>
      </c>
      <c r="G69" s="12"/>
      <c r="H69" s="12"/>
    </row>
    <row r="70" spans="1:8" ht="15.5" x14ac:dyDescent="0.4">
      <c r="A70" s="13" t="s">
        <v>39</v>
      </c>
      <c r="B70" s="12">
        <f>B22/B16</f>
        <v>1134060.2951233364</v>
      </c>
      <c r="C70" s="12">
        <f t="shared" ref="C70:F70" si="25">C22/C16</f>
        <v>983999.99999999988</v>
      </c>
      <c r="D70" s="12">
        <f t="shared" si="25"/>
        <v>983999.99999999988</v>
      </c>
      <c r="E70" s="12">
        <f t="shared" si="25"/>
        <v>984000</v>
      </c>
      <c r="F70" s="12">
        <f t="shared" si="25"/>
        <v>3690858.24</v>
      </c>
      <c r="G70" s="12"/>
      <c r="H70" s="12"/>
    </row>
    <row r="71" spans="1:8" ht="15.5" x14ac:dyDescent="0.4">
      <c r="A71" s="13" t="s">
        <v>40</v>
      </c>
      <c r="B71" s="12">
        <f>B23/B17</f>
        <v>1136280.971564908</v>
      </c>
      <c r="C71" s="12">
        <f t="shared" ref="C71:F71" si="26">C23/C17</f>
        <v>985094.97698787728</v>
      </c>
      <c r="D71" s="12">
        <f t="shared" si="26"/>
        <v>965733.89953789779</v>
      </c>
      <c r="E71" s="12">
        <f t="shared" si="26"/>
        <v>1044705.6989053199</v>
      </c>
      <c r="F71" s="12">
        <f t="shared" si="26"/>
        <v>3823999.4367405283</v>
      </c>
      <c r="G71" s="12"/>
      <c r="H71" s="12"/>
    </row>
    <row r="72" spans="1:8" ht="15.5" x14ac:dyDescent="0.4">
      <c r="A72" s="5"/>
      <c r="B72" s="12"/>
      <c r="C72" s="12"/>
      <c r="D72" s="12"/>
      <c r="E72" s="12"/>
      <c r="F72" s="12"/>
      <c r="G72" s="12"/>
      <c r="H72" s="12"/>
    </row>
    <row r="73" spans="1:8" ht="15.5" x14ac:dyDescent="0.4">
      <c r="A73" s="6" t="s">
        <v>26</v>
      </c>
      <c r="B73" s="12"/>
      <c r="C73" s="12"/>
      <c r="D73" s="12"/>
      <c r="E73" s="12"/>
      <c r="F73" s="12"/>
      <c r="G73" s="12"/>
      <c r="H73" s="12"/>
    </row>
    <row r="74" spans="1:8" ht="15.5" x14ac:dyDescent="0.4">
      <c r="A74" s="5" t="s">
        <v>27</v>
      </c>
      <c r="B74" s="12">
        <f>(B29/B28)*100</f>
        <v>100.00000016589121</v>
      </c>
      <c r="C74" s="12"/>
      <c r="D74" s="12"/>
      <c r="E74" s="12"/>
      <c r="F74" s="12"/>
      <c r="G74" s="12"/>
      <c r="H74" s="12"/>
    </row>
    <row r="75" spans="1:8" ht="15.5" x14ac:dyDescent="0.4">
      <c r="A75" s="5" t="s">
        <v>28</v>
      </c>
      <c r="B75" s="12">
        <f>(B23/B29)*100</f>
        <v>99.999999333770205</v>
      </c>
      <c r="C75" s="12"/>
      <c r="D75" s="12"/>
      <c r="E75" s="12"/>
      <c r="F75" s="12"/>
      <c r="G75" s="12"/>
      <c r="H75" s="12"/>
    </row>
    <row r="76" spans="1:8" ht="16" thickBot="1" x14ac:dyDescent="0.45">
      <c r="A76" s="14"/>
      <c r="B76" s="14"/>
      <c r="C76" s="14"/>
      <c r="D76" s="14"/>
      <c r="E76" s="14"/>
      <c r="F76" s="14"/>
      <c r="G76" s="14"/>
      <c r="H76" s="14"/>
    </row>
    <row r="77" spans="1:8" ht="16" thickTop="1" x14ac:dyDescent="0.35">
      <c r="A77" s="24" t="s">
        <v>84</v>
      </c>
      <c r="B77" s="24"/>
      <c r="C77" s="24"/>
      <c r="D77" s="24"/>
      <c r="E77" s="24"/>
      <c r="F77" s="24"/>
      <c r="G77" s="24"/>
      <c r="H77" s="24"/>
    </row>
    <row r="78" spans="1:8" ht="42" customHeight="1" x14ac:dyDescent="0.35">
      <c r="A78" s="25" t="s">
        <v>85</v>
      </c>
      <c r="B78" s="25"/>
      <c r="C78" s="25"/>
      <c r="D78" s="25"/>
      <c r="E78" s="25"/>
      <c r="F78" s="25"/>
      <c r="G78" s="25"/>
      <c r="H78" s="25"/>
    </row>
    <row r="80" spans="1:8" ht="15.5" x14ac:dyDescent="0.4">
      <c r="A80" s="5"/>
      <c r="B80" s="5"/>
      <c r="C80" s="5"/>
      <c r="D80" s="5"/>
      <c r="E80" s="5"/>
      <c r="F80" s="5"/>
      <c r="G80" s="5"/>
      <c r="H80" s="5"/>
    </row>
  </sheetData>
  <mergeCells count="5">
    <mergeCell ref="A9:A10"/>
    <mergeCell ref="B9:B10"/>
    <mergeCell ref="C9:H9"/>
    <mergeCell ref="A77:H77"/>
    <mergeCell ref="A78:H78"/>
  </mergeCells>
  <pageMargins left="0.7" right="0.7" top="0.75" bottom="0.75" header="0.3" footer="0.3"/>
  <pageSetup orientation="portrait" r:id="rId1"/>
  <ignoredErrors>
    <ignoredError sqref="D17:F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dcterms:created xsi:type="dcterms:W3CDTF">2012-04-23T14:39:07Z</dcterms:created>
  <dcterms:modified xsi:type="dcterms:W3CDTF">2023-02-17T21:25:52Z</dcterms:modified>
</cp:coreProperties>
</file>