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dicadores Anuales 2019\Analista - Karla Arias Quirós\"/>
    </mc:Choice>
  </mc:AlternateContent>
  <bookViews>
    <workbookView xWindow="0" yWindow="0" windowWidth="28800" windowHeight="12330" tabRatio="738" activeTab="6"/>
  </bookViews>
  <sheets>
    <sheet name="I Trimestre" sheetId="1" r:id="rId1"/>
    <sheet name="II trimestre" sheetId="2" r:id="rId2"/>
    <sheet name="I Semestre" sheetId="6" r:id="rId3"/>
    <sheet name="III Trimestre" sheetId="3" r:id="rId4"/>
    <sheet name="III Trimestre Acumulado" sheetId="7" r:id="rId5"/>
    <sheet name="IV Trimestre" sheetId="4" r:id="rId6"/>
    <sheet name="Anual" sheetId="5" r:id="rId7"/>
  </sheets>
  <calcPr calcId="162913"/>
</workbook>
</file>

<file path=xl/calcChain.xml><?xml version="1.0" encoding="utf-8"?>
<calcChain xmlns="http://schemas.openxmlformats.org/spreadsheetml/2006/main">
  <c r="C71" i="4" l="1"/>
  <c r="C70" i="4"/>
  <c r="C68" i="4"/>
  <c r="C67" i="4"/>
  <c r="C71" i="7"/>
  <c r="C70" i="7"/>
  <c r="C68" i="7"/>
  <c r="C67" i="7"/>
  <c r="C71" i="3"/>
  <c r="C70" i="3"/>
  <c r="C68" i="3"/>
  <c r="C69" i="3" s="1"/>
  <c r="C67" i="3"/>
  <c r="C71" i="6"/>
  <c r="C70" i="6"/>
  <c r="C68" i="6"/>
  <c r="C67" i="6"/>
  <c r="C71" i="2"/>
  <c r="C70" i="2"/>
  <c r="C68" i="2"/>
  <c r="C69" i="2" s="1"/>
  <c r="C67" i="2"/>
  <c r="D67" i="2"/>
  <c r="E67" i="2"/>
  <c r="F67" i="2"/>
  <c r="C71" i="1"/>
  <c r="C70" i="1"/>
  <c r="C68" i="1"/>
  <c r="C67" i="1"/>
  <c r="D68" i="5"/>
  <c r="D67" i="5"/>
  <c r="C67" i="5"/>
  <c r="C71" i="5"/>
  <c r="C70" i="5"/>
  <c r="C68" i="5"/>
  <c r="F70" i="5"/>
  <c r="F68" i="5"/>
  <c r="F69" i="5"/>
  <c r="E70" i="5" l="1"/>
  <c r="D70" i="5"/>
  <c r="F67" i="5"/>
  <c r="C16" i="5"/>
  <c r="F17" i="5"/>
  <c r="F68" i="7"/>
  <c r="F67" i="7"/>
  <c r="F68" i="6"/>
  <c r="F67" i="6"/>
  <c r="D71" i="6"/>
  <c r="D70" i="6"/>
  <c r="D68" i="6"/>
  <c r="F68" i="2"/>
  <c r="F69" i="2"/>
  <c r="F70" i="2"/>
  <c r="F71" i="2"/>
  <c r="E71" i="2"/>
  <c r="D71" i="2"/>
  <c r="B71" i="2"/>
  <c r="E70" i="2"/>
  <c r="D70" i="2"/>
  <c r="B70" i="2"/>
  <c r="E68" i="2"/>
  <c r="D68" i="2"/>
  <c r="B68" i="2"/>
  <c r="B69" i="2" s="1"/>
  <c r="E69" i="2"/>
  <c r="D69" i="2"/>
  <c r="B67" i="2"/>
  <c r="E71" i="1"/>
  <c r="D71" i="1"/>
  <c r="B71" i="1"/>
  <c r="E70" i="1"/>
  <c r="D70" i="1"/>
  <c r="B70" i="1"/>
  <c r="B69" i="1"/>
  <c r="E68" i="1"/>
  <c r="D68" i="1"/>
  <c r="B68" i="1"/>
  <c r="E67" i="1"/>
  <c r="E69" i="1" s="1"/>
  <c r="D67" i="1"/>
  <c r="D69" i="1" s="1"/>
  <c r="C69" i="1"/>
  <c r="B67" i="1"/>
  <c r="F17" i="7"/>
  <c r="F69" i="4"/>
  <c r="F68" i="4" l="1"/>
  <c r="F67" i="4"/>
  <c r="B69" i="4" l="1"/>
  <c r="F70" i="4"/>
  <c r="D69" i="4"/>
  <c r="B37" i="4" l="1"/>
  <c r="E17" i="5" l="1"/>
  <c r="F24" i="5"/>
  <c r="D25" i="4"/>
  <c r="E25" i="4"/>
  <c r="F25" i="4"/>
  <c r="C25" i="4"/>
  <c r="B25" i="4" l="1"/>
  <c r="B18" i="4" l="1"/>
  <c r="B16" i="4"/>
  <c r="C62" i="2" l="1"/>
  <c r="D62" i="2"/>
  <c r="E62" i="2"/>
  <c r="C63" i="2"/>
  <c r="D63" i="2"/>
  <c r="E63" i="2"/>
  <c r="C64" i="2"/>
  <c r="D64" i="2"/>
  <c r="E64" i="2"/>
  <c r="C49" i="2"/>
  <c r="C51" i="2" s="1"/>
  <c r="D49" i="2"/>
  <c r="E49" i="2"/>
  <c r="F49" i="2"/>
  <c r="C50" i="2"/>
  <c r="D50" i="2"/>
  <c r="D51" i="2" s="1"/>
  <c r="E50" i="2"/>
  <c r="E51" i="2" s="1"/>
  <c r="F50" i="2"/>
  <c r="F51" i="2" s="1"/>
  <c r="C54" i="2"/>
  <c r="C56" i="2" s="1"/>
  <c r="D54" i="2"/>
  <c r="D56" i="2" s="1"/>
  <c r="E54" i="2"/>
  <c r="F54" i="2"/>
  <c r="C55" i="2"/>
  <c r="D55" i="2"/>
  <c r="E55" i="2"/>
  <c r="E56" i="2" s="1"/>
  <c r="F55" i="2"/>
  <c r="F56" i="2" s="1"/>
  <c r="C37" i="2"/>
  <c r="D37" i="2"/>
  <c r="E37" i="2"/>
  <c r="F37" i="2"/>
  <c r="C38" i="2"/>
  <c r="D38" i="2"/>
  <c r="D40" i="2" s="1"/>
  <c r="E38" i="2"/>
  <c r="F38" i="2"/>
  <c r="C39" i="2"/>
  <c r="D39" i="2"/>
  <c r="E39" i="2"/>
  <c r="C40" i="2"/>
  <c r="E40" i="2"/>
  <c r="F40" i="2"/>
  <c r="C69" i="7"/>
  <c r="D69" i="7"/>
  <c r="E69" i="7"/>
  <c r="B69" i="3"/>
  <c r="C69" i="6"/>
  <c r="D69" i="6"/>
  <c r="E69" i="6"/>
  <c r="F69" i="6"/>
  <c r="B69" i="6"/>
  <c r="D69" i="3"/>
  <c r="E69" i="3"/>
  <c r="F69" i="3"/>
  <c r="C49" i="3"/>
  <c r="D49" i="3"/>
  <c r="E49" i="3"/>
  <c r="F49" i="3"/>
  <c r="C50" i="3"/>
  <c r="C51" i="3" s="1"/>
  <c r="D50" i="3"/>
  <c r="D51" i="3" s="1"/>
  <c r="E50" i="3"/>
  <c r="E51" i="3" s="1"/>
  <c r="F50" i="3"/>
  <c r="F51" i="3" s="1"/>
  <c r="C54" i="3"/>
  <c r="D54" i="3"/>
  <c r="E54" i="3"/>
  <c r="E56" i="3" s="1"/>
  <c r="F54" i="3"/>
  <c r="C55" i="3"/>
  <c r="D55" i="3"/>
  <c r="E55" i="3"/>
  <c r="F55" i="3"/>
  <c r="C56" i="3"/>
  <c r="D56" i="3"/>
  <c r="F56" i="3"/>
  <c r="C62" i="3"/>
  <c r="D62" i="3"/>
  <c r="E62" i="3"/>
  <c r="C63" i="3"/>
  <c r="E63" i="3"/>
  <c r="C64" i="3"/>
  <c r="E64" i="3"/>
  <c r="D67" i="3"/>
  <c r="E67" i="3"/>
  <c r="F67" i="3"/>
  <c r="D68" i="3"/>
  <c r="E68" i="3"/>
  <c r="F68" i="3"/>
  <c r="D70" i="3"/>
  <c r="E70" i="3"/>
  <c r="F70" i="3"/>
  <c r="D71" i="3"/>
  <c r="E71" i="3"/>
  <c r="F71" i="3"/>
  <c r="C37" i="3"/>
  <c r="D37" i="3"/>
  <c r="E37" i="3"/>
  <c r="F37" i="3"/>
  <c r="C38" i="3"/>
  <c r="D38" i="3"/>
  <c r="E38" i="3"/>
  <c r="F38" i="3"/>
  <c r="C39" i="3"/>
  <c r="D39" i="3"/>
  <c r="E39" i="3"/>
  <c r="C40" i="3"/>
  <c r="D40" i="3"/>
  <c r="E40" i="3"/>
  <c r="F40" i="3"/>
  <c r="C49" i="6"/>
  <c r="D49" i="6"/>
  <c r="E49" i="6"/>
  <c r="E51" i="6" s="1"/>
  <c r="F49" i="6"/>
  <c r="F51" i="6" s="1"/>
  <c r="C50" i="6"/>
  <c r="D50" i="6"/>
  <c r="E50" i="6"/>
  <c r="F50" i="6"/>
  <c r="C51" i="6"/>
  <c r="D51" i="6"/>
  <c r="C54" i="6"/>
  <c r="D54" i="6"/>
  <c r="E54" i="6"/>
  <c r="F54" i="6"/>
  <c r="C55" i="6"/>
  <c r="C56" i="6" s="1"/>
  <c r="D55" i="6"/>
  <c r="D56" i="6" s="1"/>
  <c r="E55" i="6"/>
  <c r="E56" i="6" s="1"/>
  <c r="F55" i="6"/>
  <c r="F56" i="6" s="1"/>
  <c r="C62" i="6"/>
  <c r="D62" i="6"/>
  <c r="E62" i="6"/>
  <c r="C63" i="6"/>
  <c r="D63" i="6"/>
  <c r="E63" i="6"/>
  <c r="C64" i="6"/>
  <c r="D64" i="6"/>
  <c r="E64" i="6"/>
  <c r="D67" i="6"/>
  <c r="E67" i="6"/>
  <c r="E68" i="6"/>
  <c r="E70" i="6"/>
  <c r="F70" i="6"/>
  <c r="E71" i="6"/>
  <c r="F71" i="6"/>
  <c r="C37" i="6"/>
  <c r="D37" i="6"/>
  <c r="E37" i="6"/>
  <c r="F37" i="6"/>
  <c r="C38" i="6"/>
  <c r="D38" i="6"/>
  <c r="E38" i="6"/>
  <c r="F38" i="6"/>
  <c r="C39" i="6"/>
  <c r="D39" i="6"/>
  <c r="E39" i="6"/>
  <c r="C40" i="6"/>
  <c r="D40" i="6"/>
  <c r="E40" i="6"/>
  <c r="F40" i="6"/>
  <c r="C37" i="1"/>
  <c r="C63" i="1" s="1"/>
  <c r="D37" i="1"/>
  <c r="E37" i="1"/>
  <c r="F37" i="1"/>
  <c r="C38" i="1"/>
  <c r="D38" i="1"/>
  <c r="D40" i="1" s="1"/>
  <c r="D64" i="1" s="1"/>
  <c r="E38" i="1"/>
  <c r="F38" i="1"/>
  <c r="C39" i="1"/>
  <c r="D39" i="1"/>
  <c r="E39" i="1"/>
  <c r="C40" i="1"/>
  <c r="E40" i="1"/>
  <c r="E64" i="1" s="1"/>
  <c r="C62" i="1"/>
  <c r="D62" i="1"/>
  <c r="E62" i="1"/>
  <c r="E63" i="1"/>
  <c r="C64" i="1"/>
  <c r="E54" i="1"/>
  <c r="E56" i="1" s="1"/>
  <c r="F54" i="1"/>
  <c r="F56" i="1" s="1"/>
  <c r="E55" i="1"/>
  <c r="F55" i="1"/>
  <c r="D54" i="1"/>
  <c r="D56" i="1" s="1"/>
  <c r="D55" i="1"/>
  <c r="C54" i="1"/>
  <c r="C56" i="1" s="1"/>
  <c r="C55" i="1"/>
  <c r="C49" i="1"/>
  <c r="D49" i="1"/>
  <c r="D51" i="1" s="1"/>
  <c r="E49" i="1"/>
  <c r="C50" i="1"/>
  <c r="D50" i="1"/>
  <c r="E50" i="1"/>
  <c r="E51" i="1" s="1"/>
  <c r="C51" i="1"/>
  <c r="D63" i="1" l="1"/>
  <c r="F16" i="7"/>
  <c r="D25" i="3"/>
  <c r="E25" i="3"/>
  <c r="F25" i="3"/>
  <c r="C25" i="3"/>
  <c r="F17" i="6" l="1"/>
  <c r="F16" i="6"/>
  <c r="D25" i="2"/>
  <c r="E25" i="2"/>
  <c r="F25" i="2"/>
  <c r="C25" i="2"/>
  <c r="D25" i="1"/>
  <c r="E25" i="1"/>
  <c r="F25" i="1"/>
  <c r="C25" i="1"/>
  <c r="B17" i="4" l="1"/>
  <c r="B15" i="4"/>
  <c r="B25" i="3"/>
  <c r="B16" i="3"/>
  <c r="B17" i="3"/>
  <c r="B18" i="3"/>
  <c r="B15" i="3"/>
  <c r="B25" i="2"/>
  <c r="B16" i="2"/>
  <c r="B17" i="2"/>
  <c r="B18" i="2"/>
  <c r="B15" i="2"/>
  <c r="B25" i="1"/>
  <c r="B18" i="1"/>
  <c r="B17" i="1"/>
  <c r="B16" i="1"/>
  <c r="B15" i="1"/>
  <c r="D67" i="4" l="1"/>
  <c r="E67" i="4"/>
  <c r="D68" i="4"/>
  <c r="E68" i="4"/>
  <c r="D70" i="4"/>
  <c r="E70" i="4"/>
  <c r="D71" i="4"/>
  <c r="E71" i="4"/>
  <c r="F71" i="4"/>
  <c r="C17" i="5" l="1"/>
  <c r="C15" i="5"/>
  <c r="C17" i="7"/>
  <c r="C16" i="7"/>
  <c r="C15" i="7"/>
  <c r="C17" i="6"/>
  <c r="C16" i="6"/>
  <c r="C15" i="6"/>
  <c r="F16" i="5" l="1"/>
  <c r="B23" i="4"/>
  <c r="B71" i="4" l="1"/>
  <c r="B68" i="4"/>
  <c r="B21" i="4"/>
  <c r="B21" i="3" l="1"/>
  <c r="B21" i="2" l="1"/>
  <c r="B24" i="2" l="1"/>
  <c r="B23" i="2"/>
  <c r="B22" i="1" l="1"/>
  <c r="B23" i="1"/>
  <c r="B24" i="1"/>
  <c r="B21" i="1"/>
  <c r="B75" i="1" l="1"/>
  <c r="B59" i="1"/>
  <c r="C54" i="4"/>
  <c r="D54" i="4"/>
  <c r="E54" i="4"/>
  <c r="F54" i="4"/>
  <c r="B54" i="4" l="1"/>
  <c r="B54" i="2"/>
  <c r="B54" i="3"/>
  <c r="F21" i="5" l="1"/>
  <c r="F37" i="5" s="1"/>
  <c r="F18" i="5"/>
  <c r="F15" i="5"/>
  <c r="F54" i="5" l="1"/>
  <c r="F49" i="5"/>
  <c r="F18" i="7"/>
  <c r="D16" i="7"/>
  <c r="E16" i="7"/>
  <c r="F15" i="7"/>
  <c r="D15" i="7"/>
  <c r="E15" i="7"/>
  <c r="B16" i="7" l="1"/>
  <c r="B15" i="7"/>
  <c r="F54" i="7"/>
  <c r="F49" i="7"/>
  <c r="F18" i="6"/>
  <c r="F15" i="6"/>
  <c r="F55" i="4" l="1"/>
  <c r="F56" i="4" s="1"/>
  <c r="F50" i="4"/>
  <c r="F49" i="4"/>
  <c r="E38" i="4"/>
  <c r="F38" i="4"/>
  <c r="E37" i="4"/>
  <c r="E39" i="4" s="1"/>
  <c r="F37" i="4"/>
  <c r="B22" i="4"/>
  <c r="B28" i="4" s="1"/>
  <c r="B24" i="4"/>
  <c r="B54" i="1"/>
  <c r="B70" i="4" l="1"/>
  <c r="B67" i="4"/>
  <c r="F51" i="4"/>
  <c r="F40" i="4"/>
  <c r="E63" i="4"/>
  <c r="B22" i="3" l="1"/>
  <c r="B23" i="3"/>
  <c r="B24" i="3"/>
  <c r="B22" i="2"/>
  <c r="B71" i="3" l="1"/>
  <c r="B68" i="3"/>
  <c r="B70" i="3"/>
  <c r="B67" i="3"/>
  <c r="D49" i="4" l="1"/>
  <c r="D50" i="4"/>
  <c r="F21" i="6"/>
  <c r="F22" i="6"/>
  <c r="F23" i="6"/>
  <c r="F24" i="6"/>
  <c r="F21" i="7"/>
  <c r="F37" i="7" s="1"/>
  <c r="F22" i="7"/>
  <c r="F23" i="7"/>
  <c r="F24" i="7"/>
  <c r="F22" i="5"/>
  <c r="F23" i="5"/>
  <c r="E18" i="7"/>
  <c r="D18" i="7"/>
  <c r="C18" i="7"/>
  <c r="D17" i="7"/>
  <c r="E17" i="7"/>
  <c r="B18" i="7" l="1"/>
  <c r="B17" i="7"/>
  <c r="F71" i="5"/>
  <c r="F71" i="7"/>
  <c r="F70" i="7"/>
  <c r="E54" i="7"/>
  <c r="D54" i="7"/>
  <c r="C54" i="7"/>
  <c r="F38" i="5"/>
  <c r="F40" i="5" s="1"/>
  <c r="F25" i="5"/>
  <c r="F38" i="7"/>
  <c r="F40" i="7" s="1"/>
  <c r="F25" i="7"/>
  <c r="F55" i="7"/>
  <c r="F56" i="7" s="1"/>
  <c r="F25" i="6"/>
  <c r="D51" i="4"/>
  <c r="F55" i="5"/>
  <c r="F56" i="5" s="1"/>
  <c r="F50" i="7"/>
  <c r="F51" i="7" s="1"/>
  <c r="F50" i="5"/>
  <c r="F51" i="5" s="1"/>
  <c r="D18" i="5"/>
  <c r="E18" i="5"/>
  <c r="C18" i="5"/>
  <c r="D16" i="5"/>
  <c r="E16" i="5"/>
  <c r="D17" i="5"/>
  <c r="E15" i="5"/>
  <c r="D15" i="5"/>
  <c r="F69" i="7" l="1"/>
  <c r="B17" i="5"/>
  <c r="B16" i="5"/>
  <c r="B15" i="5"/>
  <c r="B18" i="5"/>
  <c r="B54" i="7"/>
  <c r="B28" i="3"/>
  <c r="E17" i="6"/>
  <c r="E16" i="6"/>
  <c r="E15" i="6"/>
  <c r="D17" i="6"/>
  <c r="B17" i="6" s="1"/>
  <c r="D16" i="6"/>
  <c r="D15" i="6"/>
  <c r="D18" i="6"/>
  <c r="E18" i="6"/>
  <c r="C18" i="6"/>
  <c r="B18" i="6" s="1"/>
  <c r="B15" i="6" l="1"/>
  <c r="B16" i="6"/>
  <c r="B54" i="6" l="1"/>
  <c r="C22" i="5" l="1"/>
  <c r="E22" i="5"/>
  <c r="C23" i="5"/>
  <c r="D23" i="5"/>
  <c r="E23" i="5"/>
  <c r="C21" i="5"/>
  <c r="D21" i="5"/>
  <c r="E21" i="5"/>
  <c r="E37" i="5" s="1"/>
  <c r="D24" i="5"/>
  <c r="E24" i="5"/>
  <c r="C24" i="5"/>
  <c r="C24" i="7"/>
  <c r="D24" i="7"/>
  <c r="E24" i="7"/>
  <c r="C24" i="6"/>
  <c r="D24" i="6"/>
  <c r="E24" i="6"/>
  <c r="E67" i="5" l="1"/>
  <c r="E71" i="5"/>
  <c r="E68" i="5"/>
  <c r="D71" i="5"/>
  <c r="B21" i="5"/>
  <c r="B24" i="5"/>
  <c r="B24" i="6"/>
  <c r="B24" i="7"/>
  <c r="B23" i="5"/>
  <c r="E25" i="5"/>
  <c r="D25" i="5"/>
  <c r="C25" i="5"/>
  <c r="C22" i="7"/>
  <c r="E22" i="7"/>
  <c r="C23" i="7"/>
  <c r="D23" i="7"/>
  <c r="E23" i="7"/>
  <c r="C21" i="7"/>
  <c r="D21" i="7"/>
  <c r="E21" i="7"/>
  <c r="C22" i="6"/>
  <c r="E22" i="6"/>
  <c r="C23" i="6"/>
  <c r="D23" i="6"/>
  <c r="E23" i="6"/>
  <c r="C21" i="6"/>
  <c r="D21" i="6"/>
  <c r="E21" i="6"/>
  <c r="D22" i="5"/>
  <c r="B25" i="5" l="1"/>
  <c r="D68" i="7"/>
  <c r="D71" i="7"/>
  <c r="E67" i="7"/>
  <c r="E70" i="7"/>
  <c r="B68" i="5"/>
  <c r="B71" i="5"/>
  <c r="E71" i="7"/>
  <c r="E68" i="7"/>
  <c r="B22" i="5"/>
  <c r="B21" i="7"/>
  <c r="B23" i="6"/>
  <c r="B21" i="6"/>
  <c r="B23" i="7"/>
  <c r="D25" i="6"/>
  <c r="E25" i="7"/>
  <c r="D25" i="7"/>
  <c r="E25" i="6"/>
  <c r="C25" i="6"/>
  <c r="C25" i="7"/>
  <c r="B28" i="2"/>
  <c r="D22" i="7"/>
  <c r="D22" i="6"/>
  <c r="B28" i="1"/>
  <c r="B25" i="7" l="1"/>
  <c r="B25" i="6"/>
  <c r="B67" i="5"/>
  <c r="B70" i="5"/>
  <c r="D70" i="7"/>
  <c r="D67" i="7"/>
  <c r="B68" i="7"/>
  <c r="B71" i="7"/>
  <c r="B68" i="6"/>
  <c r="B71" i="6"/>
  <c r="B22" i="7"/>
  <c r="B22" i="6"/>
  <c r="B67" i="7" l="1"/>
  <c r="B70" i="7"/>
  <c r="B70" i="6"/>
  <c r="B67" i="6"/>
  <c r="B29" i="5"/>
  <c r="B28" i="5"/>
  <c r="B29" i="7"/>
  <c r="B28" i="7"/>
  <c r="B29" i="6"/>
  <c r="B28" i="6"/>
  <c r="D38" i="4"/>
  <c r="D40" i="4" l="1"/>
  <c r="D55" i="4"/>
  <c r="D56" i="4" l="1"/>
  <c r="D50" i="5"/>
  <c r="D55" i="5"/>
  <c r="D38" i="5"/>
  <c r="D54" i="5"/>
  <c r="D49" i="5"/>
  <c r="D38" i="7"/>
  <c r="D50" i="7"/>
  <c r="D55" i="7"/>
  <c r="D49" i="7"/>
  <c r="D56" i="7" l="1"/>
  <c r="D51" i="7"/>
  <c r="D40" i="7"/>
  <c r="D40" i="5"/>
  <c r="D51" i="5"/>
  <c r="D69" i="5" s="1"/>
  <c r="D56" i="5"/>
  <c r="D37" i="5" l="1"/>
  <c r="D37" i="7"/>
  <c r="D37" i="4"/>
  <c r="B74" i="1"/>
  <c r="E55" i="4"/>
  <c r="C55" i="4"/>
  <c r="E50" i="4"/>
  <c r="C50" i="4"/>
  <c r="D63" i="5" l="1"/>
  <c r="D63" i="7"/>
  <c r="B37" i="6" l="1"/>
  <c r="B74" i="6"/>
  <c r="E37" i="7" l="1"/>
  <c r="C37" i="7"/>
  <c r="B37" i="7"/>
  <c r="B74" i="7"/>
  <c r="E38" i="7"/>
  <c r="C38" i="7"/>
  <c r="C55" i="7" l="1"/>
  <c r="C56" i="7" s="1"/>
  <c r="E55" i="7"/>
  <c r="E56" i="7" s="1"/>
  <c r="E55" i="5"/>
  <c r="E50" i="5"/>
  <c r="C55" i="5"/>
  <c r="C50" i="5"/>
  <c r="B75" i="5"/>
  <c r="E50" i="7"/>
  <c r="C50" i="7"/>
  <c r="C63" i="7"/>
  <c r="E63" i="7"/>
  <c r="C37" i="5" l="1"/>
  <c r="B37" i="5"/>
  <c r="B74" i="5"/>
  <c r="E38" i="5"/>
  <c r="C38" i="5"/>
  <c r="C38" i="4"/>
  <c r="C37" i="4"/>
  <c r="B74" i="4"/>
  <c r="B37" i="3"/>
  <c r="B74" i="3"/>
  <c r="B37" i="2"/>
  <c r="B74" i="2"/>
  <c r="B37" i="1"/>
  <c r="C63" i="4" l="1"/>
  <c r="B62" i="3"/>
  <c r="B49" i="3"/>
  <c r="E40" i="5"/>
  <c r="B39" i="6"/>
  <c r="B39" i="7"/>
  <c r="B39" i="5"/>
  <c r="B39" i="1"/>
  <c r="B50" i="2"/>
  <c r="B75" i="2"/>
  <c r="B55" i="2"/>
  <c r="B59" i="2"/>
  <c r="C62" i="4"/>
  <c r="C56" i="4"/>
  <c r="C49" i="4"/>
  <c r="C51" i="4" s="1"/>
  <c r="C69" i="4" s="1"/>
  <c r="B55" i="4"/>
  <c r="B56" i="4" s="1"/>
  <c r="B50" i="4"/>
  <c r="B75" i="4"/>
  <c r="B49" i="2"/>
  <c r="B62" i="2"/>
  <c r="B55" i="3"/>
  <c r="B50" i="3"/>
  <c r="B75" i="3"/>
  <c r="B62" i="4"/>
  <c r="B49" i="4"/>
  <c r="B51" i="4" s="1"/>
  <c r="E56" i="4"/>
  <c r="E49" i="4"/>
  <c r="E51" i="4" s="1"/>
  <c r="E69" i="4" s="1"/>
  <c r="C39" i="4"/>
  <c r="C63" i="5"/>
  <c r="E63" i="5"/>
  <c r="B39" i="4"/>
  <c r="B39" i="3"/>
  <c r="B39" i="2"/>
  <c r="C40" i="5"/>
  <c r="B59" i="5"/>
  <c r="B38" i="5"/>
  <c r="B50" i="5"/>
  <c r="B55" i="5"/>
  <c r="B59" i="4"/>
  <c r="B38" i="4"/>
  <c r="B63" i="4" s="1"/>
  <c r="C40" i="4"/>
  <c r="E40" i="4"/>
  <c r="B59" i="3"/>
  <c r="B38" i="3"/>
  <c r="B63" i="3" s="1"/>
  <c r="B38" i="2"/>
  <c r="B63" i="2" s="1"/>
  <c r="B38" i="1"/>
  <c r="B50" i="1"/>
  <c r="B55" i="1"/>
  <c r="B51" i="2" l="1"/>
  <c r="D62" i="4"/>
  <c r="D39" i="4"/>
  <c r="E62" i="4"/>
  <c r="E64" i="4"/>
  <c r="E39" i="5"/>
  <c r="E64" i="5" s="1"/>
  <c r="C39" i="7"/>
  <c r="C64" i="4"/>
  <c r="C40" i="7"/>
  <c r="C49" i="7"/>
  <c r="C51" i="7" s="1"/>
  <c r="E39" i="7"/>
  <c r="C39" i="5"/>
  <c r="C64" i="5" s="1"/>
  <c r="E49" i="7"/>
  <c r="E51" i="7" s="1"/>
  <c r="E40" i="7"/>
  <c r="B56" i="3"/>
  <c r="B56" i="2"/>
  <c r="C54" i="5"/>
  <c r="C56" i="5" s="1"/>
  <c r="C62" i="5"/>
  <c r="C49" i="5"/>
  <c r="C51" i="5" s="1"/>
  <c r="C69" i="5" s="1"/>
  <c r="E62" i="5"/>
  <c r="E49" i="5"/>
  <c r="E51" i="5" s="1"/>
  <c r="E69" i="5" s="1"/>
  <c r="E54" i="5"/>
  <c r="E56" i="5" s="1"/>
  <c r="B51" i="3"/>
  <c r="B75" i="6"/>
  <c r="B59" i="6"/>
  <c r="B50" i="6"/>
  <c r="B55" i="6"/>
  <c r="B38" i="6"/>
  <c r="B75" i="7"/>
  <c r="B55" i="7"/>
  <c r="B38" i="7"/>
  <c r="B50" i="7"/>
  <c r="B59" i="7"/>
  <c r="B63" i="5"/>
  <c r="B40" i="5"/>
  <c r="B64" i="5" s="1"/>
  <c r="B40" i="4"/>
  <c r="B64" i="4" s="1"/>
  <c r="B40" i="3"/>
  <c r="B64" i="3" s="1"/>
  <c r="B40" i="2"/>
  <c r="B64" i="2" s="1"/>
  <c r="B63" i="1"/>
  <c r="B40" i="1"/>
  <c r="B64" i="1" s="1"/>
  <c r="B49" i="1"/>
  <c r="B51" i="1" s="1"/>
  <c r="B62" i="1"/>
  <c r="B56" i="1"/>
  <c r="E64" i="7" l="1"/>
  <c r="E62" i="7"/>
  <c r="B62" i="5"/>
  <c r="C64" i="7"/>
  <c r="C62" i="7"/>
  <c r="B54" i="5"/>
  <c r="B56" i="5" s="1"/>
  <c r="B49" i="5"/>
  <c r="B51" i="5" s="1"/>
  <c r="B69" i="5" s="1"/>
  <c r="B40" i="7"/>
  <c r="B64" i="7" s="1"/>
  <c r="B63" i="7"/>
  <c r="B49" i="6"/>
  <c r="B51" i="6" s="1"/>
  <c r="B62" i="6"/>
  <c r="B56" i="6"/>
  <c r="B63" i="6"/>
  <c r="B40" i="6"/>
  <c r="B64" i="6" s="1"/>
  <c r="B49" i="7"/>
  <c r="B51" i="7" s="1"/>
  <c r="B69" i="7" s="1"/>
  <c r="B56" i="7"/>
  <c r="B62" i="7"/>
  <c r="D62" i="7" l="1"/>
  <c r="D39" i="7"/>
  <c r="D64" i="7" s="1"/>
  <c r="D62" i="5"/>
  <c r="D39" i="5"/>
  <c r="D64" i="5" s="1"/>
</calcChain>
</file>

<file path=xl/sharedStrings.xml><?xml version="1.0" encoding="utf-8"?>
<sst xmlns="http://schemas.openxmlformats.org/spreadsheetml/2006/main" count="570" uniqueCount="131">
  <si>
    <t>Indicador</t>
  </si>
  <si>
    <t>Total programa</t>
  </si>
  <si>
    <t>Productos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</si>
  <si>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</si>
  <si>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</si>
  <si>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</si>
  <si>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</si>
  <si>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</si>
  <si>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</si>
  <si>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</si>
  <si>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</si>
  <si>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</si>
  <si>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</si>
  <si>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</si>
  <si>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</si>
  <si>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</si>
  <si>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</si>
  <si>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</si>
  <si>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</si>
  <si>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</si>
  <si>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</si>
  <si>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</si>
  <si>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</si>
  <si>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</si>
  <si>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</si>
  <si>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</si>
  <si>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</si>
  <si>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</si>
  <si>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</si>
  <si>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</si>
  <si>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</si>
  <si>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</si>
  <si>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</si>
  <si>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 xml:space="preserve">Gasto programado mensual por beneficiario (GPB) </t>
  </si>
  <si>
    <t xml:space="preserve">Gasto efectivo mensual por beneficiario (GEB) </t>
  </si>
  <si>
    <t>n.a.</t>
  </si>
  <si>
    <t>n.d.</t>
  </si>
  <si>
    <t xml:space="preserve">Gasto programado anual por beneficiario (GPB) </t>
  </si>
  <si>
    <t xml:space="preserve">Gasto efectivo anual por beneficiario (GEB) </t>
  </si>
  <si>
    <t>Atención de 
denuncias</t>
  </si>
  <si>
    <t>Efectivos 1T 2018</t>
  </si>
  <si>
    <t>IPC (1T 2018)</t>
  </si>
  <si>
    <t>Gasto efectivo real 1T 2018</t>
  </si>
  <si>
    <t>Gasto efectivo real por beneficiario 1T 2018</t>
  </si>
  <si>
    <t>Efectivos 2T 2018</t>
  </si>
  <si>
    <t>IPC (2T 2018)</t>
  </si>
  <si>
    <t>Gasto efectivo real 2T 2018</t>
  </si>
  <si>
    <t>Gasto efectivo real por beneficiario 2T 2018</t>
  </si>
  <si>
    <t>Efectivos 3T 2018</t>
  </si>
  <si>
    <t>IPC (3T 2018)</t>
  </si>
  <si>
    <t>Gasto efectivo real 3T 2018</t>
  </si>
  <si>
    <t>Gasto efectivo real por beneficiario 3T 2018</t>
  </si>
  <si>
    <t>Efectivos 4T 2018</t>
  </si>
  <si>
    <t>IPC (4T 2018)</t>
  </si>
  <si>
    <t>Gasto efectivo real 4T 2018</t>
  </si>
  <si>
    <t>Gasto efectivo real por beneficiario 4T 2018</t>
  </si>
  <si>
    <t>Efectivos 1S 2018</t>
  </si>
  <si>
    <t>IPC (1S 2018)</t>
  </si>
  <si>
    <t>Gasto efectivo real 1S 2018</t>
  </si>
  <si>
    <t>Gasto efectivo real por beneficiario 1S 2018</t>
  </si>
  <si>
    <t>Efectivos 3TA 2018</t>
  </si>
  <si>
    <t>IPC (3TA 2018)</t>
  </si>
  <si>
    <t>Gasto efectivo real 3TA 2018</t>
  </si>
  <si>
    <t>Gasto efectivo real por beneficiario 3TA 2018</t>
  </si>
  <si>
    <t>Efectivos  2018</t>
  </si>
  <si>
    <t>IPC ( 2018)</t>
  </si>
  <si>
    <t>Gasto efectivo real  2018</t>
  </si>
  <si>
    <t>Gasto efectivo real por beneficiario  2018</t>
  </si>
  <si>
    <t xml:space="preserve">Gasto mensual programado por beneficiario (GPB) </t>
  </si>
  <si>
    <t xml:space="preserve">Gasto mensual efectivo por beneficiario (GEB) </t>
  </si>
  <si>
    <t xml:space="preserve">Gasto trimestral programado por beneficiario (GPB) </t>
  </si>
  <si>
    <t xml:space="preserve">Gasto trimestral efectivo por beneficiario (GEB) </t>
  </si>
  <si>
    <t xml:space="preserve">Gasto semestral programado por beneficiario (GPB) </t>
  </si>
  <si>
    <t xml:space="preserve">Gasto semestral efectivo por beneficiario (GEB) </t>
  </si>
  <si>
    <t xml:space="preserve">Gasto acumulado programado por beneficiario (GPB) </t>
  </si>
  <si>
    <t xml:space="preserve">Gasto acumulado efectivo por beneficiario (GEB) </t>
  </si>
  <si>
    <t>Centros de Atención Infantil-
Guarderías</t>
  </si>
  <si>
    <t>Protección y apoyo a los niños, niñas 
y adolescentes en los Albergues PANI</t>
  </si>
  <si>
    <t xml:space="preserve">Proyectos fondo de niñez y adolescencia </t>
  </si>
  <si>
    <t>Programados 1T 2019</t>
  </si>
  <si>
    <t>Efectivos 1T 2019</t>
  </si>
  <si>
    <t>Programados año 2019</t>
  </si>
  <si>
    <t>En transferencias 1T 2019</t>
  </si>
  <si>
    <t>IPC (1T 2019)</t>
  </si>
  <si>
    <t>Gasto efectivo real 1T 2019</t>
  </si>
  <si>
    <t>Gasto efectivo real por beneficiario 1T 2019</t>
  </si>
  <si>
    <t>Fuentes:  Informes Trimestrales PANI 2018 y 2019 - Cronogramas de Metas e Inversión - Modificaciones 2019 - IPC, INEC 2018 y 2019</t>
  </si>
  <si>
    <t xml:space="preserve">NOTAS: </t>
  </si>
  <si>
    <r>
      <rPr>
        <b/>
        <sz val="11"/>
        <color theme="1"/>
        <rFont val="Calibri"/>
        <family val="2"/>
      </rPr>
      <t xml:space="preserve">
1.</t>
    </r>
    <r>
      <rPr>
        <sz val="11"/>
        <color theme="1"/>
        <rFont val="Calibri"/>
        <family val="2"/>
      </rPr>
      <t xml:space="preserve"> A partir del año 2019, los recursos destinados para los productos "Juntas de protección de niñez y adolescencia - Promoción" y "Juntas de protección de niñez y adolescencia - Prevención" se destinan para la ejecución del nuevo producto denominado: "Proyectos fondo de niñez y adolescencia". 
</t>
    </r>
    <r>
      <rPr>
        <b/>
        <sz val="11"/>
        <color theme="1"/>
        <rFont val="Calibri"/>
        <family val="2"/>
      </rPr>
      <t xml:space="preserve">2. </t>
    </r>
    <r>
      <rPr>
        <sz val="11"/>
        <color theme="1"/>
        <rFont val="Calibri"/>
        <family val="2"/>
      </rPr>
      <t xml:space="preserve">El producto "Construcciones y Remodelaciones - Obra Pública" no se incorpora en el cálculo de los indicadores, debido a que no forma parte de la programación del año 2019. 
</t>
    </r>
    <r>
      <rPr>
        <b/>
        <sz val="11"/>
        <color theme="1"/>
        <rFont val="Calibri"/>
        <family val="2"/>
      </rPr>
      <t xml:space="preserve">3. </t>
    </r>
    <r>
      <rPr>
        <sz val="11"/>
        <color theme="1"/>
        <rFont val="Calibri"/>
        <family val="2"/>
      </rPr>
      <t xml:space="preserve">Los datos de los insumos para los "beneficiarios efectivos del I Trimestre 2018 y el gasto Fodesaf efectivo del I Trimestre 2018" no coinciden con los datos de los indicadores del año 2018 por las razones expuestas en los puntos 1 y 2. </t>
    </r>
  </si>
  <si>
    <t>Programados 2T 2019</t>
  </si>
  <si>
    <t>Efectivos 2T 2019</t>
  </si>
  <si>
    <t>En transferencias 2T 2019</t>
  </si>
  <si>
    <t>IPC (2T 2019)</t>
  </si>
  <si>
    <t>Gasto efectivo real 2T 2019</t>
  </si>
  <si>
    <t>Gasto efectivo real por beneficiario 2T 2019</t>
  </si>
  <si>
    <r>
      <rPr>
        <b/>
        <sz val="11"/>
        <color theme="1"/>
        <rFont val="Calibri"/>
        <family val="2"/>
      </rPr>
      <t xml:space="preserve">
1.</t>
    </r>
    <r>
      <rPr>
        <sz val="11"/>
        <color theme="1"/>
        <rFont val="Calibri"/>
        <family val="2"/>
      </rPr>
      <t xml:space="preserve"> A partir del año 2019, los recursos destinados para los productos "Juntas de protección de niñez y adolescencia - Promoción" y "Juntas de protección de niñez y adolescencia - Prevención" se destinan para la ejecución del nuevo producto denominado: "Proyectos fondo de niñez y adolescencia". 
</t>
    </r>
    <r>
      <rPr>
        <b/>
        <sz val="11"/>
        <color theme="1"/>
        <rFont val="Calibri"/>
        <family val="2"/>
      </rPr>
      <t xml:space="preserve">2. </t>
    </r>
    <r>
      <rPr>
        <sz val="11"/>
        <color theme="1"/>
        <rFont val="Calibri"/>
        <family val="2"/>
      </rPr>
      <t xml:space="preserve">El producto "Construcciones y Remodelaciones - Obra Pública" no se incorpora en el cálculo de los indicadores, debido a que no forma parte de la programación del año 2019. 
</t>
    </r>
    <r>
      <rPr>
        <b/>
        <sz val="11"/>
        <color theme="1"/>
        <rFont val="Calibri"/>
        <family val="2"/>
      </rPr>
      <t xml:space="preserve">3. </t>
    </r>
    <r>
      <rPr>
        <sz val="11"/>
        <color theme="1"/>
        <rFont val="Calibri"/>
        <family val="2"/>
      </rPr>
      <t xml:space="preserve">Los datos de los insumos para los "beneficiarios efectivos del II Trimestre 2018 y el gasto Fodesaf efectivo del II Trimestre 2018" no coinciden con los datos de los indicadores del año 2018 por las razones expuestas en los puntos 1 y 2. </t>
    </r>
  </si>
  <si>
    <t>Programados 1S 2019</t>
  </si>
  <si>
    <t>Efectivos 1S 2019</t>
  </si>
  <si>
    <t>En transferencias 1S 2019</t>
  </si>
  <si>
    <t>IPC (1S 2019)</t>
  </si>
  <si>
    <t>Gasto efectivo real 1S 2019</t>
  </si>
  <si>
    <t>Gasto efectivo real por beneficiario 1S 2019</t>
  </si>
  <si>
    <t>Programados 3T 2019</t>
  </si>
  <si>
    <t>Efectivos 3T 2019</t>
  </si>
  <si>
    <t>En transferencias 3T 2019</t>
  </si>
  <si>
    <t>IPC (3T 2019)</t>
  </si>
  <si>
    <t>Gasto efectivo real 3T 2019</t>
  </si>
  <si>
    <t>Gasto efectivo real por beneficiario 3T 2019</t>
  </si>
  <si>
    <r>
      <rPr>
        <b/>
        <sz val="11"/>
        <color theme="1"/>
        <rFont val="Calibri"/>
        <family val="2"/>
      </rPr>
      <t xml:space="preserve">
1.</t>
    </r>
    <r>
      <rPr>
        <sz val="11"/>
        <color theme="1"/>
        <rFont val="Calibri"/>
        <family val="2"/>
      </rPr>
      <t xml:space="preserve"> A partir del año 2019, los recursos destinados para los productos "Juntas de protección de niñez y adolescencia - Promoción" y "Juntas de protección de niñez y adolescencia - Prevención" se destinan para la ejecución del nuevo producto denominado: "Proyectos fondo de niñez y adolescencia". 
</t>
    </r>
    <r>
      <rPr>
        <b/>
        <sz val="11"/>
        <color theme="1"/>
        <rFont val="Calibri"/>
        <family val="2"/>
      </rPr>
      <t xml:space="preserve">2. </t>
    </r>
    <r>
      <rPr>
        <sz val="11"/>
        <color theme="1"/>
        <rFont val="Calibri"/>
        <family val="2"/>
      </rPr>
      <t xml:space="preserve">El producto "Construcciones y Remodelaciones - Obra Pública" no se incorpora en el cálculo de los indicadores, debido a que no forma parte de la programación del año 2019. 
</t>
    </r>
    <r>
      <rPr>
        <b/>
        <sz val="11"/>
        <color theme="1"/>
        <rFont val="Calibri"/>
        <family val="2"/>
      </rPr>
      <t xml:space="preserve">3. </t>
    </r>
    <r>
      <rPr>
        <sz val="11"/>
        <color theme="1"/>
        <rFont val="Calibri"/>
        <family val="2"/>
      </rPr>
      <t xml:space="preserve">Los datos de los insumos para los "beneficiarios efectivos del III Trimestre 2018 y el gasto Fodesaf efectivo del III Trimestre 2018" no coinciden con los datos de los indicadores del año 2018 por las razones expuestas en los puntos 1 y 2. </t>
    </r>
  </si>
  <si>
    <t>Programados 3TA 2019</t>
  </si>
  <si>
    <t>Efectivos 3TA 2019</t>
  </si>
  <si>
    <t>En transferencias 3TA 2019</t>
  </si>
  <si>
    <t>IPC (3TA 2019)</t>
  </si>
  <si>
    <t>Gasto efectivo real 3TA 2019</t>
  </si>
  <si>
    <t>Gasto efectivo real por beneficiario 3TA 2019</t>
  </si>
  <si>
    <t>Programados 4T 2019</t>
  </si>
  <si>
    <t>Efectivos 4T 2019</t>
  </si>
  <si>
    <t>En transferencias 4T 2019</t>
  </si>
  <si>
    <t>IPC (4T 2019)</t>
  </si>
  <si>
    <t>Gasto efectivo real 4T 2019</t>
  </si>
  <si>
    <t>Gasto efectivo real por beneficiario 4T 2019</t>
  </si>
  <si>
    <t>Programados  2019</t>
  </si>
  <si>
    <t>Efectivos  2019</t>
  </si>
  <si>
    <t>En transferencias  2019</t>
  </si>
  <si>
    <t>IPC ( 2019)</t>
  </si>
  <si>
    <t>Gasto efectivo real  2019</t>
  </si>
  <si>
    <t>Gasto efectivo real por beneficiario  2019</t>
  </si>
  <si>
    <r>
      <rPr>
        <b/>
        <sz val="11"/>
        <color theme="1"/>
        <rFont val="Calibri"/>
        <family val="2"/>
      </rPr>
      <t xml:space="preserve">
1.</t>
    </r>
    <r>
      <rPr>
        <sz val="11"/>
        <color theme="1"/>
        <rFont val="Calibri"/>
        <family val="2"/>
      </rPr>
      <t xml:space="preserve"> A partir del año 2019, los recursos destinados para los productos "Juntas de protección de niñez y adolescencia - Promoción" y "Juntas de protección de niñez y adolescencia - Prevención" se destinan para la ejecución del nuevo producto denominado: "Proyectos fondo de niñez y adolescencia". 
</t>
    </r>
    <r>
      <rPr>
        <b/>
        <sz val="11"/>
        <color theme="1"/>
        <rFont val="Calibri"/>
        <family val="2"/>
      </rPr>
      <t xml:space="preserve">2. </t>
    </r>
    <r>
      <rPr>
        <sz val="11"/>
        <color theme="1"/>
        <rFont val="Calibri"/>
        <family val="2"/>
      </rPr>
      <t xml:space="preserve">El producto "Construcciones y Remodelaciones - Obra Pública" no se incorpora en el cálculo de los indicadores, debido a que no forma parte de la programación del año 2019. 
</t>
    </r>
    <r>
      <rPr>
        <b/>
        <sz val="11"/>
        <color theme="1"/>
        <rFont val="Calibri"/>
        <family val="2"/>
      </rPr>
      <t xml:space="preserve">3. </t>
    </r>
    <r>
      <rPr>
        <sz val="11"/>
        <color theme="1"/>
        <rFont val="Calibri"/>
        <family val="2"/>
      </rPr>
      <t xml:space="preserve">Los datos de los insumos para los "beneficiarios efectivos del IV Trimestre 2018 y el gasto Fodesaf efectivo del IV Trimestre 2018" no coinciden con los datos de los indicadores del año 2018 por las razones expuestas en los puntos 1 y 2. </t>
    </r>
  </si>
  <si>
    <t xml:space="preserve">n.d. </t>
  </si>
  <si>
    <r>
      <rPr>
        <b/>
        <sz val="11"/>
        <color theme="1"/>
        <rFont val="Calibri"/>
        <family val="2"/>
      </rPr>
      <t xml:space="preserve">
1.</t>
    </r>
    <r>
      <rPr>
        <sz val="11"/>
        <color theme="1"/>
        <rFont val="Calibri"/>
        <family val="2"/>
      </rPr>
      <t xml:space="preserve"> A partir del año 2019, los recursos destinados para los productos "Juntas de protección de niñez y adolescencia - Promoción" y "Juntas de protección de niñez y adolescencia - Prevención" se destinan para la ejecución del nuevo producto denominado: "Proyectos fondo de niñez y adolescencia". 
</t>
    </r>
    <r>
      <rPr>
        <b/>
        <sz val="11"/>
        <color theme="1"/>
        <rFont val="Calibri"/>
        <family val="2"/>
      </rPr>
      <t xml:space="preserve">2. </t>
    </r>
    <r>
      <rPr>
        <sz val="11"/>
        <color theme="1"/>
        <rFont val="Calibri"/>
        <family val="2"/>
      </rPr>
      <t xml:space="preserve">El producto "Construcciones y Remodelaciones - Obra Pública" no se incorpora en el cálculo de los indicadores, debido a que no forma parte de la programación del año 2019. 
</t>
    </r>
    <r>
      <rPr>
        <b/>
        <sz val="11"/>
        <color theme="1"/>
        <rFont val="Calibri"/>
        <family val="2"/>
      </rPr>
      <t xml:space="preserve">3. </t>
    </r>
    <r>
      <rPr>
        <sz val="11"/>
        <color theme="1"/>
        <rFont val="Calibri"/>
        <family val="2"/>
      </rPr>
      <t xml:space="preserve">Los datos de los insumos para los "beneficiarios efectivos del I Semestre 2018 y el gasto Fodesaf efectivo del I Semestre 2018" no coinciden con los datos de los indicadores del año 2018 por las razones expuestas en los puntos 1 y 2. </t>
    </r>
  </si>
  <si>
    <r>
      <rPr>
        <b/>
        <sz val="11"/>
        <color theme="1"/>
        <rFont val="Calibri"/>
        <family val="2"/>
      </rPr>
      <t xml:space="preserve">
1.</t>
    </r>
    <r>
      <rPr>
        <sz val="11"/>
        <color theme="1"/>
        <rFont val="Calibri"/>
        <family val="2"/>
      </rPr>
      <t xml:space="preserve"> A partir del año 2019, los recursos destinados para los productos "Juntas de protección de niñez y adolescencia - Promoción" y "Juntas de protección de niñez y adolescencia - Prevención" se destinan para la ejecución del nuevo producto denominado: "Proyectos fondo de niñez y adolescencia". 
</t>
    </r>
    <r>
      <rPr>
        <b/>
        <sz val="11"/>
        <color theme="1"/>
        <rFont val="Calibri"/>
        <family val="2"/>
      </rPr>
      <t xml:space="preserve">2. </t>
    </r>
    <r>
      <rPr>
        <sz val="11"/>
        <color theme="1"/>
        <rFont val="Calibri"/>
        <family val="2"/>
      </rPr>
      <t xml:space="preserve">El producto "Construcciones y Remodelaciones - Obra Pública" no se incorpora en el cálculo de los indicadores, debido a que no forma parte de la programación del año 2019. 
</t>
    </r>
    <r>
      <rPr>
        <b/>
        <sz val="11"/>
        <color theme="1"/>
        <rFont val="Calibri"/>
        <family val="2"/>
      </rPr>
      <t xml:space="preserve">3. </t>
    </r>
    <r>
      <rPr>
        <sz val="11"/>
        <color theme="1"/>
        <rFont val="Calibri"/>
        <family val="2"/>
      </rPr>
      <t xml:space="preserve">Los datos de los insumos para los "beneficiarios efectivos del III Trimestre Acumulado 2018 y el gasto Fodesaf efectivo del III Trimestre Acumulado 2018" no coinciden con los datos de los indicadores del año 2018 por las razones expuestas en los puntos 1 y 2.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</si>
</sst>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____"/>
    <numFmt numFmtId="166" formatCode="#,##0.0"/>
    <numFmt numFmtId="167" formatCode="0.0000"/>
    <numFmt numFmtId="168" formatCode="_(* #,##0.0000_);_(* \(#,##0.0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11"/>
      <color theme="1"/>
      <name val="Calibri"/>
      <family val="2"/>
    </font>
    <font>
      <sz val="10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 applyFill="1"/>
    <xf numFmtId="0" fontId="0" fillId="0" borderId="0" xfId="0" applyFont="1"/>
    <xf numFmtId="0" fontId="0" fillId="0" borderId="0" xfId="0" applyFont="1" applyAlignment="1">
      <alignment horizontal="left" indent="1"/>
    </xf>
    <xf numFmtId="0" fontId="0" fillId="0" borderId="0" xfId="0" applyFont="1" applyFill="1" applyAlignment="1">
      <alignment horizontal="left" indent="1"/>
    </xf>
    <xf numFmtId="0" fontId="0" fillId="0" borderId="3" xfId="0" applyFont="1" applyBorder="1"/>
    <xf numFmtId="0" fontId="2" fillId="0" borderId="0" xfId="0" applyFont="1" applyFill="1"/>
    <xf numFmtId="166" fontId="0" fillId="0" borderId="0" xfId="0" applyNumberFormat="1" applyFont="1" applyFill="1"/>
    <xf numFmtId="0" fontId="0" fillId="0" borderId="3" xfId="0" applyFont="1" applyFill="1" applyBorder="1"/>
    <xf numFmtId="0" fontId="0" fillId="0" borderId="0" xfId="0" applyFont="1" applyFill="1" applyAlignment="1">
      <alignment wrapText="1"/>
    </xf>
    <xf numFmtId="0" fontId="3" fillId="0" borderId="0" xfId="0" applyFont="1" applyFill="1"/>
    <xf numFmtId="0" fontId="6" fillId="0" borderId="0" xfId="0" applyFont="1"/>
    <xf numFmtId="0" fontId="5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horizontal="left" indent="1"/>
    </xf>
    <xf numFmtId="0" fontId="8" fillId="0" borderId="0" xfId="0" applyFont="1" applyAlignment="1">
      <alignment horizontal="left" indent="1"/>
    </xf>
    <xf numFmtId="0" fontId="6" fillId="0" borderId="0" xfId="0" applyFont="1" applyFill="1"/>
    <xf numFmtId="0" fontId="9" fillId="0" borderId="0" xfId="0" applyFont="1"/>
    <xf numFmtId="0" fontId="5" fillId="0" borderId="0" xfId="0" applyFont="1"/>
    <xf numFmtId="0" fontId="4" fillId="0" borderId="0" xfId="0" applyFont="1"/>
    <xf numFmtId="165" fontId="4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indent="1"/>
    </xf>
    <xf numFmtId="167" fontId="0" fillId="0" borderId="0" xfId="0" applyNumberFormat="1" applyFont="1" applyAlignment="1">
      <alignment horizontal="right"/>
    </xf>
    <xf numFmtId="168" fontId="0" fillId="0" borderId="0" xfId="0" applyNumberFormat="1" applyFont="1" applyAlignment="1">
      <alignment horizontal="right"/>
    </xf>
    <xf numFmtId="168" fontId="0" fillId="0" borderId="0" xfId="0" applyNumberFormat="1" applyFont="1" applyFill="1" applyAlignment="1">
      <alignment horizontal="right"/>
    </xf>
    <xf numFmtId="165" fontId="0" fillId="0" borderId="0" xfId="0" applyNumberFormat="1" applyFont="1" applyAlignment="1">
      <alignment horizontal="right"/>
    </xf>
    <xf numFmtId="3" fontId="0" fillId="0" borderId="0" xfId="0" applyNumberFormat="1" applyFont="1" applyAlignment="1">
      <alignment horizontal="right"/>
    </xf>
    <xf numFmtId="3" fontId="0" fillId="0" borderId="0" xfId="0" applyNumberFormat="1" applyFont="1" applyFill="1" applyAlignment="1">
      <alignment horizontal="right"/>
    </xf>
    <xf numFmtId="3" fontId="0" fillId="0" borderId="0" xfId="1" applyNumberFormat="1" applyFont="1" applyAlignment="1">
      <alignment horizontal="right"/>
    </xf>
    <xf numFmtId="0" fontId="0" fillId="0" borderId="0" xfId="0" applyFont="1" applyAlignment="1">
      <alignment horizontal="right"/>
    </xf>
    <xf numFmtId="2" fontId="0" fillId="0" borderId="0" xfId="0" applyNumberFormat="1" applyFont="1" applyAlignment="1">
      <alignment horizontal="right"/>
    </xf>
    <xf numFmtId="4" fontId="0" fillId="0" borderId="0" xfId="0" applyNumberFormat="1" applyFont="1" applyFill="1" applyAlignment="1">
      <alignment horizontal="right"/>
    </xf>
    <xf numFmtId="4" fontId="0" fillId="0" borderId="0" xfId="0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2" fontId="0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3" fontId="0" fillId="0" borderId="0" xfId="1" applyNumberFormat="1" applyFont="1" applyFill="1" applyAlignment="1">
      <alignment horizontal="right"/>
    </xf>
    <xf numFmtId="0" fontId="9" fillId="0" borderId="0" xfId="0" applyFont="1" applyFill="1"/>
    <xf numFmtId="0" fontId="5" fillId="0" borderId="0" xfId="0" applyFont="1" applyFill="1"/>
    <xf numFmtId="3" fontId="0" fillId="0" borderId="0" xfId="0" applyNumberFormat="1" applyFont="1" applyFill="1"/>
    <xf numFmtId="3" fontId="0" fillId="0" borderId="0" xfId="1" applyNumberFormat="1" applyFont="1" applyFill="1"/>
    <xf numFmtId="4" fontId="0" fillId="0" borderId="0" xfId="0" applyNumberFormat="1" applyFont="1" applyFill="1"/>
    <xf numFmtId="2" fontId="0" fillId="0" borderId="0" xfId="0" applyNumberFormat="1" applyFont="1" applyFill="1"/>
    <xf numFmtId="0" fontId="8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02D7C"/>
      <color rgb="FF4071B9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ysClr val="windowText" lastClr="000000"/>
                </a:solidFill>
              </a:rPr>
              <a:t>PANI: Indicadores de Resultado 2019</a:t>
            </a:r>
          </a:p>
        </c:rich>
      </c:tx>
      <c:layout>
        <c:manualLayout>
          <c:xMode val="edge"/>
          <c:yMode val="edge"/>
          <c:x val="0.29813366983142292"/>
          <c:y val="4.1666743507741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Atención de 
denuncias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  <c:pt idx="4">
                  <c:v>Proyectos fondo de niñez y adolescencia </c:v>
                </c:pt>
              </c:strCache>
            </c:strRef>
          </c:cat>
          <c:val>
            <c:numRef>
              <c:f>Anual!$B$49:$F$49</c:f>
              <c:numCache>
                <c:formatCode>#,##0.00</c:formatCode>
                <c:ptCount val="5"/>
                <c:pt idx="0">
                  <c:v>181.19909234178189</c:v>
                </c:pt>
                <c:pt idx="1">
                  <c:v>180.92135985803679</c:v>
                </c:pt>
                <c:pt idx="2">
                  <c:v>400</c:v>
                </c:pt>
                <c:pt idx="3">
                  <c:v>109.3659420289855</c:v>
                </c:pt>
                <c:pt idx="4">
                  <c:v>105.52028218694885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F-496E-976F-6D352FFDCED0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Atención de 
denuncias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  <c:pt idx="4">
                  <c:v>Proyectos fondo de niñez y adolescencia </c:v>
                </c:pt>
              </c:strCache>
            </c:strRef>
          </c:cat>
          <c:val>
            <c:numRef>
              <c:f>Anual!$B$50:$F$50</c:f>
              <c:numCache>
                <c:formatCode>#,##0.00</c:formatCode>
                <c:ptCount val="5"/>
                <c:pt idx="0">
                  <c:v>82.99526270740391</c:v>
                </c:pt>
                <c:pt idx="1">
                  <c:v>81.863043637024703</c:v>
                </c:pt>
                <c:pt idx="2">
                  <c:v>69.654153446068008</c:v>
                </c:pt>
                <c:pt idx="3">
                  <c:v>100.35264459283736</c:v>
                </c:pt>
                <c:pt idx="4">
                  <c:v>79.250648799575202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FF-496E-976F-6D352FFDCED0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Atención de 
denuncias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  <c:pt idx="4">
                  <c:v>Proyectos fondo de niñez y adolescencia </c:v>
                </c:pt>
              </c:strCache>
            </c:strRef>
          </c:cat>
          <c:val>
            <c:numRef>
              <c:f>Anual!$B$51:$F$51</c:f>
              <c:numCache>
                <c:formatCode>#,##0.00</c:formatCode>
                <c:ptCount val="5"/>
                <c:pt idx="0">
                  <c:v>132.09717752459289</c:v>
                </c:pt>
                <c:pt idx="1">
                  <c:v>131.39220174753075</c:v>
                </c:pt>
                <c:pt idx="2">
                  <c:v>234.827076723034</c:v>
                </c:pt>
                <c:pt idx="3">
                  <c:v>104.85929331091143</c:v>
                </c:pt>
                <c:pt idx="4">
                  <c:v>92.385465493262018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FF-496E-976F-6D352FFDC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6423776"/>
        <c:axId val="246424168"/>
      </c:barChart>
      <c:catAx>
        <c:axId val="246423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6424168"/>
        <c:crosses val="autoZero"/>
        <c:auto val="1"/>
        <c:lblAlgn val="ctr"/>
        <c:lblOffset val="100"/>
        <c:noMultiLvlLbl val="0"/>
      </c:catAx>
      <c:valAx>
        <c:axId val="246424168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642377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 sz="1400">
                <a:solidFill>
                  <a:schemeClr val="tx1"/>
                </a:solidFill>
              </a:defRPr>
            </a:pPr>
            <a:r>
              <a:rPr lang="es-CR" sz="1400">
                <a:solidFill>
                  <a:schemeClr val="tx1"/>
                </a:solidFill>
              </a:rPr>
              <a:t>PANI: Indicadores de Expansión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tx1"/>
                    </a:solidFill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Atención de 
denuncias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</c:strCache>
            </c:strRef>
          </c:cat>
          <c:val>
            <c:numRef>
              <c:f>Anual!$B$62:$E$62</c:f>
              <c:numCache>
                <c:formatCode>#,##0.00</c:formatCode>
                <c:ptCount val="4"/>
                <c:pt idx="0">
                  <c:v>77.185014987561516</c:v>
                </c:pt>
                <c:pt idx="1">
                  <c:v>74.610149630430868</c:v>
                </c:pt>
                <c:pt idx="2">
                  <c:v>39.31227767597283</c:v>
                </c:pt>
                <c:pt idx="3">
                  <c:v>5.0643926209537282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5-4135-8F0A-F233885B319E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Atención de 
denuncias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</c:strCache>
            </c:strRef>
          </c:cat>
          <c:val>
            <c:numRef>
              <c:f>Anual!$B$63:$E$63</c:f>
              <c:numCache>
                <c:formatCode>#,##0.00</c:formatCode>
                <c:ptCount val="4"/>
                <c:pt idx="0">
                  <c:v>1.7598215965444641</c:v>
                </c:pt>
                <c:pt idx="1">
                  <c:v>-0.19298723077361135</c:v>
                </c:pt>
                <c:pt idx="2">
                  <c:v>-28.10548560135301</c:v>
                </c:pt>
                <c:pt idx="3">
                  <c:v>14.79396685119716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D5-4135-8F0A-F233885B319E}"/>
            </c:ext>
          </c:extLst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tx1"/>
                    </a:solidFill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Atención de 
denuncias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</c:strCache>
            </c:strRef>
          </c:cat>
          <c:val>
            <c:numRef>
              <c:f>Anual!$B$64:$E$64</c:f>
              <c:numCache>
                <c:formatCode>#,##0.00</c:formatCode>
                <c:ptCount val="4"/>
                <c:pt idx="0">
                  <c:v>-42.568607393978517</c:v>
                </c:pt>
                <c:pt idx="1">
                  <c:v>-42.840085195235332</c:v>
                </c:pt>
                <c:pt idx="2">
                  <c:v>-48.39326755832186</c:v>
                </c:pt>
                <c:pt idx="3">
                  <c:v>9.2605819988369689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D5-4135-8F0A-F233885B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6424952"/>
        <c:axId val="246425344"/>
      </c:barChart>
      <c:catAx>
        <c:axId val="246424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12700" cap="flat" cmpd="sng" algn="ctr">
            <a:noFill/>
            <a:round/>
          </a:ln>
          <a:effectLst/>
        </c:spPr>
        <c:txPr>
          <a:bodyPr rot="-60000000" vert="horz"/>
          <a:lstStyle/>
          <a:p>
            <a:pPr>
              <a:defRPr sz="900">
                <a:solidFill>
                  <a:schemeClr val="tx1"/>
                </a:solidFill>
              </a:defRPr>
            </a:pPr>
            <a:endParaRPr lang="es-CR"/>
          </a:p>
        </c:txPr>
        <c:crossAx val="246425344"/>
        <c:crosses val="autoZero"/>
        <c:auto val="1"/>
        <c:lblAlgn val="ctr"/>
        <c:lblOffset val="100"/>
        <c:noMultiLvlLbl val="0"/>
      </c:catAx>
      <c:valAx>
        <c:axId val="246425344"/>
        <c:scaling>
          <c:orientation val="minMax"/>
          <c:max val="80"/>
          <c:min val="-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246424952"/>
        <c:crosses val="autoZero"/>
        <c:crossBetween val="between"/>
        <c:majorUnit val="10"/>
        <c:min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027089908252507E-2"/>
          <c:y val="0.88222059040586531"/>
          <c:w val="0.97858605550130451"/>
          <c:h val="0.1156250443190467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>
              <a:solidFill>
                <a:schemeClr val="tx1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es-CR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ysClr val="windowText" lastClr="000000"/>
                </a:solidFill>
              </a:rPr>
              <a:t>PANI: Indicadores de Giro de Recursos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DF-4F5A-AC88-8C4483AF6676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EDF-4F5A-AC88-8C4483AF66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Anual!$A$74:$A$75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Anual!$B$74:$B$75</c:f>
              <c:numCache>
                <c:formatCode>#,##0.00</c:formatCode>
                <c:ptCount val="2"/>
                <c:pt idx="0">
                  <c:v>99.52522735182562</c:v>
                </c:pt>
                <c:pt idx="1">
                  <c:v>83.391181226858578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B-4B03-A2DA-CEF033901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0335600"/>
        <c:axId val="490335928"/>
      </c:barChart>
      <c:valAx>
        <c:axId val="490335928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90335600"/>
        <c:crosses val="autoZero"/>
        <c:crossBetween val="between"/>
      </c:valAx>
      <c:catAx>
        <c:axId val="4903356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90335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PANI: Índice de eficiencia (IE) 2019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Atención de 
denuncias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  <c:pt idx="4">
                  <c:v>Proyectos fondo de niñez y adolescencia </c:v>
                </c:pt>
              </c:strCache>
            </c:strRef>
          </c:cat>
          <c:val>
            <c:numRef>
              <c:f>Anual!$B$69:$F$69</c:f>
              <c:numCache>
                <c:formatCode>#,##0.00</c:formatCode>
                <c:ptCount val="5"/>
                <c:pt idx="0">
                  <c:v>60.504938572653927</c:v>
                </c:pt>
                <c:pt idx="1">
                  <c:v>59.452159510976941</c:v>
                </c:pt>
                <c:pt idx="2">
                  <c:v>40.891703088394493</c:v>
                </c:pt>
                <c:pt idx="3">
                  <c:v>96.217407345122794</c:v>
                </c:pt>
                <c:pt idx="4">
                  <c:v>69.385789425962585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D-458E-9F88-533C057E2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gapDepth val="0"/>
        <c:shape val="box"/>
        <c:axId val="248352616"/>
        <c:axId val="248353008"/>
        <c:axId val="0"/>
      </c:bar3DChart>
      <c:catAx>
        <c:axId val="248352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8353008"/>
        <c:crosses val="autoZero"/>
        <c:auto val="1"/>
        <c:lblAlgn val="ctr"/>
        <c:lblOffset val="100"/>
        <c:noMultiLvlLbl val="0"/>
      </c:catAx>
      <c:valAx>
        <c:axId val="24835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835261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CR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PANI: Indicadores de gasto medio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2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Anual!$A$70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(Anual!$B$9,Anual!$C$10:$F$10)</c:f>
              <c:strCache>
                <c:ptCount val="5"/>
                <c:pt idx="0">
                  <c:v>Total programa</c:v>
                </c:pt>
                <c:pt idx="1">
                  <c:v>Atención de 
denuncias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  <c:pt idx="4">
                  <c:v>Proyectos fondo de niñez y adolescencia </c:v>
                </c:pt>
              </c:strCache>
              <c:extLst/>
            </c:strRef>
          </c:cat>
          <c:val>
            <c:numRef>
              <c:f>Anual!$B$70:$F$70</c:f>
              <c:numCache>
                <c:formatCode>#,##0.00</c:formatCode>
                <c:ptCount val="5"/>
                <c:pt idx="0">
                  <c:v>349056.6395030393</c:v>
                </c:pt>
                <c:pt idx="1">
                  <c:v>3426908.9606892681</c:v>
                </c:pt>
                <c:pt idx="2">
                  <c:v>1427597.6401114208</c:v>
                </c:pt>
                <c:pt idx="3">
                  <c:v>4541722.5947826086</c:v>
                </c:pt>
                <c:pt idx="4">
                  <c:v>201653.73428571431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D58-8C04-DFDAF3735ACC}"/>
            </c:ext>
          </c:extLst>
        </c:ser>
        <c:ser>
          <c:idx val="1"/>
          <c:order val="1"/>
          <c:tx>
            <c:strRef>
              <c:f>Anual!$A$71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(Anual!$B$9,Anual!$C$10:$F$10)</c:f>
              <c:strCache>
                <c:ptCount val="5"/>
                <c:pt idx="0">
                  <c:v>Total programa</c:v>
                </c:pt>
                <c:pt idx="1">
                  <c:v>Atención de 
denuncias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  <c:pt idx="4">
                  <c:v>Proyectos fondo de niñez y adolescencia </c:v>
                </c:pt>
              </c:strCache>
              <c:extLst/>
            </c:strRef>
          </c:cat>
          <c:val>
            <c:numRef>
              <c:f>Anual!$B$71:$F$71</c:f>
              <c:numCache>
                <c:formatCode>#,##0.00</c:formatCode>
                <c:ptCount val="5"/>
                <c:pt idx="0">
                  <c:v>159879.6501732711</c:v>
                </c:pt>
                <c:pt idx="1">
                  <c:v>1550602.9692079758</c:v>
                </c:pt>
                <c:pt idx="2">
                  <c:v>248595.26270891368</c:v>
                </c:pt>
                <c:pt idx="3">
                  <c:v>4167420.5418784162</c:v>
                </c:pt>
                <c:pt idx="4">
                  <c:v>151451.3508093766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E-4D58-8C04-DFDAF3735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8353792"/>
        <c:axId val="248354184"/>
        <c:axId val="0"/>
      </c:bar3DChart>
      <c:catAx>
        <c:axId val="24835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8354184"/>
        <c:crosses val="autoZero"/>
        <c:auto val="1"/>
        <c:lblAlgn val="ctr"/>
        <c:lblOffset val="100"/>
        <c:noMultiLvlLbl val="0"/>
      </c:catAx>
      <c:valAx>
        <c:axId val="24835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835379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s-CR"/>
          </a:p>
        </c:txPr>
      </c:dTable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PANI: Indicadores de Avance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4.6609831225317887E-2"/>
          <c:y val="0.1258629772405033"/>
          <c:w val="0.93684363131235004"/>
          <c:h val="0.5636474776110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Atención de 
denuncias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  <c:pt idx="4">
                  <c:v>Proyectos fondo de niñez y adolescencia </c:v>
                </c:pt>
              </c:strCache>
            </c:strRef>
          </c:cat>
          <c:val>
            <c:numRef>
              <c:f>Anual!$B$54:$F$54</c:f>
              <c:numCache>
                <c:formatCode>#,##0.00</c:formatCode>
                <c:ptCount val="5"/>
                <c:pt idx="0">
                  <c:v>181.19909234178189</c:v>
                </c:pt>
                <c:pt idx="1">
                  <c:v>180.92135985803679</c:v>
                </c:pt>
                <c:pt idx="2">
                  <c:v>400</c:v>
                </c:pt>
                <c:pt idx="3">
                  <c:v>109.3659420289855</c:v>
                </c:pt>
                <c:pt idx="4">
                  <c:v>105.52028218694885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4-404D-BF2B-FBC3470BF25C}"/>
            </c:ext>
          </c:extLst>
        </c:ser>
        <c:ser>
          <c:idx val="1"/>
          <c:order val="1"/>
          <c:tx>
            <c:strRef>
              <c:f>Anual!$A$55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Atención de 
denuncias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  <c:pt idx="4">
                  <c:v>Proyectos fondo de niñez y adolescencia </c:v>
                </c:pt>
              </c:strCache>
            </c:strRef>
          </c:cat>
          <c:val>
            <c:numRef>
              <c:f>Anual!$B$55:$F$55</c:f>
              <c:numCache>
                <c:formatCode>#,##0.00</c:formatCode>
                <c:ptCount val="5"/>
                <c:pt idx="0">
                  <c:v>82.995262707403924</c:v>
                </c:pt>
                <c:pt idx="1">
                  <c:v>81.863043637024717</c:v>
                </c:pt>
                <c:pt idx="2">
                  <c:v>69.654153446067994</c:v>
                </c:pt>
                <c:pt idx="3">
                  <c:v>100.35264459283736</c:v>
                </c:pt>
                <c:pt idx="4">
                  <c:v>79.250648799575202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64-404D-BF2B-FBC3470BF25C}"/>
            </c:ext>
          </c:extLst>
        </c:ser>
        <c:ser>
          <c:idx val="2"/>
          <c:order val="2"/>
          <c:tx>
            <c:strRef>
              <c:f>Anual!$A$56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Atención de 
denuncias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  <c:pt idx="4">
                  <c:v>Proyectos fondo de niñez y adolescencia </c:v>
                </c:pt>
              </c:strCache>
            </c:strRef>
          </c:cat>
          <c:val>
            <c:numRef>
              <c:f>Anual!$B$56:$F$56</c:f>
              <c:numCache>
                <c:formatCode>#,##0.00</c:formatCode>
                <c:ptCount val="5"/>
                <c:pt idx="0">
                  <c:v>132.09717752459289</c:v>
                </c:pt>
                <c:pt idx="1">
                  <c:v>131.39220174753075</c:v>
                </c:pt>
                <c:pt idx="2">
                  <c:v>234.827076723034</c:v>
                </c:pt>
                <c:pt idx="3">
                  <c:v>104.85929331091143</c:v>
                </c:pt>
                <c:pt idx="4">
                  <c:v>92.385465493262018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64-404D-BF2B-FBC3470BF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"/>
        <c:axId val="548439192"/>
        <c:axId val="548439584"/>
      </c:barChart>
      <c:catAx>
        <c:axId val="54843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48439584"/>
        <c:crosses val="autoZero"/>
        <c:auto val="1"/>
        <c:lblAlgn val="ctr"/>
        <c:lblOffset val="100"/>
        <c:tickLblSkip val="1"/>
        <c:noMultiLvlLbl val="0"/>
      </c:catAx>
      <c:valAx>
        <c:axId val="54843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48439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943567941216131"/>
          <c:y val="0.91613635050261599"/>
          <c:w val="0.60112859940489316"/>
          <c:h val="5.71069834640384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178594</xdr:rowOff>
    </xdr:from>
    <xdr:ext cx="12287250" cy="40481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31094"/>
          <a:ext cx="12287250" cy="404812"/>
        </a:xfrm>
        <a:prstGeom prst="rect">
          <a:avLst/>
        </a:prstGeom>
      </xdr:spPr>
    </xdr:pic>
    <xdr:clientData/>
  </xdr:oneCellAnchor>
  <xdr:twoCellAnchor>
    <xdr:from>
      <xdr:col>0</xdr:col>
      <xdr:colOff>241526</xdr:colOff>
      <xdr:row>6</xdr:row>
      <xdr:rowOff>54432</xdr:rowOff>
    </xdr:from>
    <xdr:to>
      <xdr:col>6</xdr:col>
      <xdr:colOff>0</xdr:colOff>
      <xdr:row>7</xdr:row>
      <xdr:rowOff>130969</xdr:rowOff>
    </xdr:to>
    <xdr:sp macro="" textlink="">
      <xdr:nvSpPr>
        <xdr:cNvPr id="3" name="CuadroTexto 2"/>
        <xdr:cNvSpPr txBox="1"/>
      </xdr:nvSpPr>
      <xdr:spPr>
        <a:xfrm>
          <a:off x="241526" y="1197432"/>
          <a:ext cx="12021912" cy="267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Patronato Nacional de la Infancia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Programa  Protección y Atención de los Niños, Niñas y Adolescentes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06-05-2019</a:t>
          </a: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11906</xdr:colOff>
      <xdr:row>5</xdr:row>
      <xdr:rowOff>178594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275344" cy="1131094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6</xdr:row>
      <xdr:rowOff>1</xdr:rowOff>
    </xdr:from>
    <xdr:ext cx="12287250" cy="3810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143001"/>
          <a:ext cx="12287250" cy="381000"/>
        </a:xfrm>
        <a:prstGeom prst="rect">
          <a:avLst/>
        </a:prstGeom>
      </xdr:spPr>
    </xdr:pic>
    <xdr:clientData/>
  </xdr:oneCellAnchor>
  <xdr:twoCellAnchor>
    <xdr:from>
      <xdr:col>0</xdr:col>
      <xdr:colOff>202404</xdr:colOff>
      <xdr:row>6</xdr:row>
      <xdr:rowOff>47627</xdr:rowOff>
    </xdr:from>
    <xdr:to>
      <xdr:col>6</xdr:col>
      <xdr:colOff>0</xdr:colOff>
      <xdr:row>7</xdr:row>
      <xdr:rowOff>178594</xdr:rowOff>
    </xdr:to>
    <xdr:sp macro="" textlink="">
      <xdr:nvSpPr>
        <xdr:cNvPr id="3" name="CuadroTexto 2"/>
        <xdr:cNvSpPr txBox="1"/>
      </xdr:nvSpPr>
      <xdr:spPr>
        <a:xfrm>
          <a:off x="202404" y="1190627"/>
          <a:ext cx="12251534" cy="321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Patronato Nacional de la Infancia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Programa  Protección y Atención de los Niños, Niñas y Adolescentes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16-07-2019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11906</xdr:colOff>
      <xdr:row>6</xdr:row>
      <xdr:rowOff>23812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275344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2275344" cy="38099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2275344" cy="380999"/>
        </a:xfrm>
        <a:prstGeom prst="rect">
          <a:avLst/>
        </a:prstGeom>
      </xdr:spPr>
    </xdr:pic>
    <xdr:clientData/>
  </xdr:oneCellAnchor>
  <xdr:twoCellAnchor>
    <xdr:from>
      <xdr:col>0</xdr:col>
      <xdr:colOff>345279</xdr:colOff>
      <xdr:row>6</xdr:row>
      <xdr:rowOff>71440</xdr:rowOff>
    </xdr:from>
    <xdr:to>
      <xdr:col>5</xdr:col>
      <xdr:colOff>1464469</xdr:colOff>
      <xdr:row>7</xdr:row>
      <xdr:rowOff>80250</xdr:rowOff>
    </xdr:to>
    <xdr:sp macro="" textlink="">
      <xdr:nvSpPr>
        <xdr:cNvPr id="3" name="CuadroTexto 2"/>
        <xdr:cNvSpPr txBox="1"/>
      </xdr:nvSpPr>
      <xdr:spPr>
        <a:xfrm>
          <a:off x="345279" y="1214440"/>
          <a:ext cx="11727659" cy="199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Patronato Nacional de la Infancia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Programa  Protección y Atención de los Niños, Niñas y Adolescentes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Semestre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22-08-2019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23813</xdr:colOff>
      <xdr:row>6</xdr:row>
      <xdr:rowOff>35718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275344" cy="1178718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835138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287250" cy="404812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1"/>
          <a:ext cx="12287250" cy="404812"/>
        </a:xfrm>
        <a:prstGeom prst="rect">
          <a:avLst/>
        </a:prstGeom>
      </xdr:spPr>
    </xdr:pic>
    <xdr:clientData/>
  </xdr:oneCellAnchor>
  <xdr:twoCellAnchor>
    <xdr:from>
      <xdr:col>0</xdr:col>
      <xdr:colOff>261935</xdr:colOff>
      <xdr:row>6</xdr:row>
      <xdr:rowOff>83348</xdr:rowOff>
    </xdr:from>
    <xdr:to>
      <xdr:col>6</xdr:col>
      <xdr:colOff>0</xdr:colOff>
      <xdr:row>7</xdr:row>
      <xdr:rowOff>91120</xdr:rowOff>
    </xdr:to>
    <xdr:sp macro="" textlink="">
      <xdr:nvSpPr>
        <xdr:cNvPr id="5" name="CuadroTexto 4"/>
        <xdr:cNvSpPr txBox="1"/>
      </xdr:nvSpPr>
      <xdr:spPr>
        <a:xfrm>
          <a:off x="261935" y="1226348"/>
          <a:ext cx="11953875" cy="198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Patronato Nacional de la Infancia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Programa  Protección y Atención de los Niños, Niñas y Adolescentes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</a:t>
          </a:r>
          <a:r>
            <a:rPr lang="es-CR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18-10-2019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11906</xdr:colOff>
      <xdr:row>6</xdr:row>
      <xdr:rowOff>11906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275344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2287250" cy="388935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2287250" cy="388935"/>
        </a:xfrm>
        <a:prstGeom prst="rect">
          <a:avLst/>
        </a:prstGeom>
      </xdr:spPr>
    </xdr:pic>
    <xdr:clientData/>
  </xdr:oneCellAnchor>
  <xdr:twoCellAnchor>
    <xdr:from>
      <xdr:col>0</xdr:col>
      <xdr:colOff>238123</xdr:colOff>
      <xdr:row>6</xdr:row>
      <xdr:rowOff>59535</xdr:rowOff>
    </xdr:from>
    <xdr:to>
      <xdr:col>6</xdr:col>
      <xdr:colOff>0</xdr:colOff>
      <xdr:row>7</xdr:row>
      <xdr:rowOff>178593</xdr:rowOff>
    </xdr:to>
    <xdr:sp macro="" textlink="">
      <xdr:nvSpPr>
        <xdr:cNvPr id="7" name="CuadroTexto 6"/>
        <xdr:cNvSpPr txBox="1"/>
      </xdr:nvSpPr>
      <xdr:spPr>
        <a:xfrm>
          <a:off x="238123" y="1202535"/>
          <a:ext cx="11953875" cy="3095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Patronato Nacional de la Infancia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Programa  Protección y Atención de los Niños, Niñas y Adolescentes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III Trimestre Acumulado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</a:t>
          </a:r>
          <a:r>
            <a:rPr lang="es-CR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18-10-2019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11906</xdr:colOff>
      <xdr:row>6</xdr:row>
      <xdr:rowOff>35718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275344" cy="1178718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2287250" cy="38893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2287250" cy="388935"/>
        </a:xfrm>
        <a:prstGeom prst="rect">
          <a:avLst/>
        </a:prstGeom>
      </xdr:spPr>
    </xdr:pic>
    <xdr:clientData/>
  </xdr:oneCellAnchor>
  <xdr:twoCellAnchor>
    <xdr:from>
      <xdr:col>0</xdr:col>
      <xdr:colOff>238123</xdr:colOff>
      <xdr:row>6</xdr:row>
      <xdr:rowOff>59535</xdr:rowOff>
    </xdr:from>
    <xdr:to>
      <xdr:col>6</xdr:col>
      <xdr:colOff>0</xdr:colOff>
      <xdr:row>7</xdr:row>
      <xdr:rowOff>178593</xdr:rowOff>
    </xdr:to>
    <xdr:sp macro="" textlink="">
      <xdr:nvSpPr>
        <xdr:cNvPr id="3" name="CuadroTexto 2"/>
        <xdr:cNvSpPr txBox="1"/>
      </xdr:nvSpPr>
      <xdr:spPr>
        <a:xfrm>
          <a:off x="238123" y="1202535"/>
          <a:ext cx="12549188" cy="3095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Patronato Nacional de la Infancia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Programa  Protección y Atención de los Niños, Niñas y Adolescentes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IV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</a:t>
          </a:r>
          <a:r>
            <a:rPr lang="es-CR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28-02-2020</a:t>
          </a: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6</xdr:row>
      <xdr:rowOff>35718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275344" cy="1178718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811326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11907</xdr:colOff>
      <xdr:row>11</xdr:row>
      <xdr:rowOff>2380</xdr:rowOff>
    </xdr:from>
    <xdr:to>
      <xdr:col>30</xdr:col>
      <xdr:colOff>23813</xdr:colOff>
      <xdr:row>30</xdr:row>
      <xdr:rowOff>178593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1850</xdr:colOff>
      <xdr:row>11</xdr:row>
      <xdr:rowOff>2381</xdr:rowOff>
    </xdr:from>
    <xdr:to>
      <xdr:col>18</xdr:col>
      <xdr:colOff>11905</xdr:colOff>
      <xdr:row>30</xdr:row>
      <xdr:rowOff>166687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621505</xdr:colOff>
      <xdr:row>53</xdr:row>
      <xdr:rowOff>1853</xdr:rowOff>
    </xdr:from>
    <xdr:to>
      <xdr:col>16</xdr:col>
      <xdr:colOff>83345</xdr:colOff>
      <xdr:row>70</xdr:row>
      <xdr:rowOff>59531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759355</xdr:colOff>
      <xdr:row>56</xdr:row>
      <xdr:rowOff>9521</xdr:rowOff>
    </xdr:from>
    <xdr:to>
      <xdr:col>27</xdr:col>
      <xdr:colOff>321468</xdr:colOff>
      <xdr:row>74</xdr:row>
      <xdr:rowOff>23812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12964</xdr:colOff>
      <xdr:row>31</xdr:row>
      <xdr:rowOff>169067</xdr:rowOff>
    </xdr:from>
    <xdr:to>
      <xdr:col>30</xdr:col>
      <xdr:colOff>35718</xdr:colOff>
      <xdr:row>54</xdr:row>
      <xdr:rowOff>142874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46303</xdr:colOff>
      <xdr:row>31</xdr:row>
      <xdr:rowOff>188115</xdr:rowOff>
    </xdr:from>
    <xdr:to>
      <xdr:col>18</xdr:col>
      <xdr:colOff>59531</xdr:colOff>
      <xdr:row>52</xdr:row>
      <xdr:rowOff>11906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0</xdr:colOff>
      <xdr:row>6</xdr:row>
      <xdr:rowOff>0</xdr:rowOff>
    </xdr:from>
    <xdr:ext cx="12287250" cy="388935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143000"/>
          <a:ext cx="12287250" cy="388935"/>
        </a:xfrm>
        <a:prstGeom prst="rect">
          <a:avLst/>
        </a:prstGeom>
      </xdr:spPr>
    </xdr:pic>
    <xdr:clientData/>
  </xdr:oneCellAnchor>
  <xdr:twoCellAnchor>
    <xdr:from>
      <xdr:col>0</xdr:col>
      <xdr:colOff>238123</xdr:colOff>
      <xdr:row>6</xdr:row>
      <xdr:rowOff>59535</xdr:rowOff>
    </xdr:from>
    <xdr:to>
      <xdr:col>6</xdr:col>
      <xdr:colOff>0</xdr:colOff>
      <xdr:row>7</xdr:row>
      <xdr:rowOff>178593</xdr:rowOff>
    </xdr:to>
    <xdr:sp macro="" textlink="">
      <xdr:nvSpPr>
        <xdr:cNvPr id="10" name="CuadroTexto 9"/>
        <xdr:cNvSpPr txBox="1"/>
      </xdr:nvSpPr>
      <xdr:spPr>
        <a:xfrm>
          <a:off x="238123" y="1202535"/>
          <a:ext cx="12025315" cy="3095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Patronato Nacional de la Infancia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Programa  Protección y Atención de los Niños, Niñas y Adolescentes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 Anual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</a:t>
          </a:r>
          <a:r>
            <a:rPr lang="es-CR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28-02-2020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11906</xdr:colOff>
      <xdr:row>6</xdr:row>
      <xdr:rowOff>35718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12275344" cy="1178718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4" customWidth="1"/>
    <col min="2" max="6" width="24.7109375" style="4" customWidth="1"/>
    <col min="7" max="16384" width="11.42578125" style="4"/>
  </cols>
  <sheetData>
    <row r="7" spans="1:6" x14ac:dyDescent="0.25">
      <c r="A7" s="3"/>
    </row>
    <row r="9" spans="1:6" s="13" customFormat="1" x14ac:dyDescent="0.25">
      <c r="A9" s="50" t="s">
        <v>0</v>
      </c>
      <c r="B9" s="52" t="s">
        <v>1</v>
      </c>
      <c r="C9" s="54" t="s">
        <v>2</v>
      </c>
      <c r="D9" s="54"/>
      <c r="E9" s="54"/>
      <c r="F9" s="54"/>
    </row>
    <row r="10" spans="1:6" s="16" customFormat="1" ht="60.75" thickBot="1" x14ac:dyDescent="0.3">
      <c r="A10" s="51"/>
      <c r="B10" s="53"/>
      <c r="C10" s="14" t="s">
        <v>39</v>
      </c>
      <c r="D10" s="14" t="s">
        <v>76</v>
      </c>
      <c r="E10" s="14" t="s">
        <v>77</v>
      </c>
      <c r="F10" s="14" t="s">
        <v>78</v>
      </c>
    </row>
    <row r="11" spans="1:6" ht="15.75" thickTop="1" x14ac:dyDescent="0.25"/>
    <row r="12" spans="1:6" x14ac:dyDescent="0.25">
      <c r="A12" s="1" t="s">
        <v>3</v>
      </c>
    </row>
    <row r="14" spans="1:6" x14ac:dyDescent="0.25">
      <c r="A14" s="1" t="s">
        <v>4</v>
      </c>
    </row>
    <row r="15" spans="1:6" x14ac:dyDescent="0.25">
      <c r="A15" s="5" t="s">
        <v>40</v>
      </c>
      <c r="B15" s="31">
        <f>C15+D15+E15+F15</f>
        <v>12218</v>
      </c>
      <c r="C15" s="31">
        <v>8679</v>
      </c>
      <c r="D15" s="32">
        <v>3054</v>
      </c>
      <c r="E15" s="31">
        <v>485</v>
      </c>
      <c r="F15" s="31">
        <v>0</v>
      </c>
    </row>
    <row r="16" spans="1:6" x14ac:dyDescent="0.25">
      <c r="A16" s="5" t="s">
        <v>79</v>
      </c>
      <c r="B16" s="31">
        <f>C16+D16+E16+F16</f>
        <v>12244</v>
      </c>
      <c r="C16" s="31">
        <v>10707</v>
      </c>
      <c r="D16" s="32">
        <v>1077</v>
      </c>
      <c r="E16" s="32">
        <v>460</v>
      </c>
      <c r="F16" s="32">
        <v>0</v>
      </c>
    </row>
    <row r="17" spans="1:6" x14ac:dyDescent="0.25">
      <c r="A17" s="5" t="s">
        <v>80</v>
      </c>
      <c r="B17" s="31">
        <f>C17+D17+E17+F17</f>
        <v>19763</v>
      </c>
      <c r="C17" s="31">
        <v>15285</v>
      </c>
      <c r="D17" s="32">
        <v>4042</v>
      </c>
      <c r="E17" s="31">
        <v>436</v>
      </c>
      <c r="F17" s="32">
        <v>0</v>
      </c>
    </row>
    <row r="18" spans="1:6" s="3" customFormat="1" x14ac:dyDescent="0.25">
      <c r="A18" s="6" t="s">
        <v>81</v>
      </c>
      <c r="B18" s="31">
        <f>C18+D18+E18+F18</f>
        <v>46885</v>
      </c>
      <c r="C18" s="32">
        <v>42828</v>
      </c>
      <c r="D18" s="32">
        <v>1077</v>
      </c>
      <c r="E18" s="32">
        <v>460</v>
      </c>
      <c r="F18" s="32">
        <v>2520</v>
      </c>
    </row>
    <row r="19" spans="1:6" x14ac:dyDescent="0.25">
      <c r="B19" s="31"/>
      <c r="C19" s="31"/>
      <c r="D19" s="31"/>
      <c r="E19" s="31"/>
      <c r="F19" s="32"/>
    </row>
    <row r="20" spans="1:6" x14ac:dyDescent="0.25">
      <c r="A20" s="24" t="s">
        <v>5</v>
      </c>
      <c r="B20" s="31"/>
      <c r="C20" s="31"/>
      <c r="D20" s="31"/>
      <c r="E20" s="31"/>
      <c r="F20" s="32"/>
    </row>
    <row r="21" spans="1:6" x14ac:dyDescent="0.25">
      <c r="A21" s="17" t="s">
        <v>40</v>
      </c>
      <c r="B21" s="31">
        <f>SUM(C21:F21)</f>
        <v>4213639463.04</v>
      </c>
      <c r="C21" s="32">
        <v>2744679110.5</v>
      </c>
      <c r="D21" s="32">
        <v>1033720226</v>
      </c>
      <c r="E21" s="32">
        <v>435240126.54000002</v>
      </c>
      <c r="F21" s="32">
        <v>0</v>
      </c>
    </row>
    <row r="22" spans="1:6" x14ac:dyDescent="0.25">
      <c r="A22" s="17" t="s">
        <v>79</v>
      </c>
      <c r="B22" s="31">
        <f>SUM(C22:F22)</f>
        <v>3688956927.8999996</v>
      </c>
      <c r="C22" s="32">
        <v>2822454941.6999998</v>
      </c>
      <c r="D22" s="32">
        <v>384380664.60000002</v>
      </c>
      <c r="E22" s="32">
        <v>482121321.59999996</v>
      </c>
      <c r="F22" s="32">
        <v>0</v>
      </c>
    </row>
    <row r="23" spans="1:6" x14ac:dyDescent="0.25">
      <c r="A23" s="17" t="s">
        <v>80</v>
      </c>
      <c r="B23" s="31">
        <f>SUM(C23:F23)</f>
        <v>3279630644</v>
      </c>
      <c r="C23" s="32">
        <v>2649117342</v>
      </c>
      <c r="D23" s="32">
        <v>103303411</v>
      </c>
      <c r="E23" s="32">
        <v>526828720</v>
      </c>
      <c r="F23" s="32">
        <v>381171</v>
      </c>
    </row>
    <row r="24" spans="1:6" x14ac:dyDescent="0.25">
      <c r="A24" s="17" t="s">
        <v>81</v>
      </c>
      <c r="B24" s="31">
        <f>SUM(C24:F24)</f>
        <v>16365520543.099997</v>
      </c>
      <c r="C24" s="32">
        <v>12230638080.699997</v>
      </c>
      <c r="D24" s="32">
        <v>1537522658.4000003</v>
      </c>
      <c r="E24" s="32">
        <v>2089192393.6000001</v>
      </c>
      <c r="F24" s="32">
        <v>508167410.39999998</v>
      </c>
    </row>
    <row r="25" spans="1:6" x14ac:dyDescent="0.25">
      <c r="A25" s="17" t="s">
        <v>82</v>
      </c>
      <c r="B25" s="31">
        <f>C25+D25+E25+F25</f>
        <v>3279630644</v>
      </c>
      <c r="C25" s="33">
        <f>+C23</f>
        <v>2649117342</v>
      </c>
      <c r="D25" s="33">
        <f t="shared" ref="D25:F25" si="0">+D23</f>
        <v>103303411</v>
      </c>
      <c r="E25" s="33">
        <f t="shared" si="0"/>
        <v>526828720</v>
      </c>
      <c r="F25" s="33">
        <f t="shared" si="0"/>
        <v>381171</v>
      </c>
    </row>
    <row r="26" spans="1:6" x14ac:dyDescent="0.25">
      <c r="B26" s="31"/>
      <c r="C26" s="31"/>
      <c r="D26" s="31"/>
      <c r="E26" s="31"/>
      <c r="F26" s="31"/>
    </row>
    <row r="27" spans="1:6" x14ac:dyDescent="0.25">
      <c r="A27" s="24" t="s">
        <v>6</v>
      </c>
      <c r="B27" s="31"/>
      <c r="C27" s="31"/>
      <c r="D27" s="31"/>
      <c r="E27" s="31"/>
      <c r="F27" s="31"/>
    </row>
    <row r="28" spans="1:6" x14ac:dyDescent="0.25">
      <c r="A28" s="17" t="s">
        <v>79</v>
      </c>
      <c r="B28" s="31">
        <f>B22</f>
        <v>3688956927.8999996</v>
      </c>
      <c r="C28" s="31"/>
      <c r="D28" s="31"/>
      <c r="E28" s="31"/>
      <c r="F28" s="31"/>
    </row>
    <row r="29" spans="1:6" x14ac:dyDescent="0.25">
      <c r="A29" s="17" t="s">
        <v>80</v>
      </c>
      <c r="B29" s="31">
        <v>3609865136</v>
      </c>
      <c r="C29" s="31"/>
      <c r="D29" s="31"/>
      <c r="E29" s="31"/>
      <c r="F29" s="31"/>
    </row>
    <row r="30" spans="1:6" x14ac:dyDescent="0.25">
      <c r="B30" s="34"/>
      <c r="C30" s="34"/>
      <c r="D30" s="34"/>
      <c r="E30" s="34"/>
      <c r="F30" s="34"/>
    </row>
    <row r="31" spans="1:6" x14ac:dyDescent="0.25">
      <c r="A31" s="1" t="s">
        <v>7</v>
      </c>
      <c r="B31" s="34"/>
      <c r="C31" s="34"/>
      <c r="D31" s="34"/>
      <c r="E31" s="34"/>
      <c r="F31" s="34"/>
    </row>
    <row r="32" spans="1:6" x14ac:dyDescent="0.25">
      <c r="A32" s="17" t="s">
        <v>41</v>
      </c>
      <c r="B32" s="35">
        <v>1.0304675706999999</v>
      </c>
      <c r="C32" s="35">
        <v>1.0304675706999999</v>
      </c>
      <c r="D32" s="35">
        <v>1.0304675706999999</v>
      </c>
      <c r="E32" s="35">
        <v>1.0304675706999999</v>
      </c>
      <c r="F32" s="35">
        <v>1.0304675706999999</v>
      </c>
    </row>
    <row r="33" spans="1:6" x14ac:dyDescent="0.25">
      <c r="A33" s="18" t="s">
        <v>83</v>
      </c>
      <c r="B33" s="35">
        <v>1.0451016243</v>
      </c>
      <c r="C33" s="35">
        <v>1.0451016243</v>
      </c>
      <c r="D33" s="35">
        <v>1.0451016243</v>
      </c>
      <c r="E33" s="35">
        <v>1.0451016243</v>
      </c>
      <c r="F33" s="35">
        <v>1.0451016243</v>
      </c>
    </row>
    <row r="34" spans="1:6" x14ac:dyDescent="0.25">
      <c r="A34" s="18" t="s">
        <v>8</v>
      </c>
      <c r="B34" s="27" t="s">
        <v>36</v>
      </c>
      <c r="C34" s="27" t="s">
        <v>36</v>
      </c>
      <c r="D34" s="27" t="s">
        <v>36</v>
      </c>
      <c r="E34" s="27" t="s">
        <v>36</v>
      </c>
      <c r="F34" s="27" t="s">
        <v>36</v>
      </c>
    </row>
    <row r="35" spans="1:6" x14ac:dyDescent="0.25">
      <c r="B35" s="34"/>
      <c r="C35" s="34"/>
      <c r="D35" s="34"/>
      <c r="E35" s="34"/>
      <c r="F35" s="34"/>
    </row>
    <row r="36" spans="1:6" x14ac:dyDescent="0.25">
      <c r="A36" s="1" t="s">
        <v>9</v>
      </c>
      <c r="B36" s="34"/>
      <c r="C36" s="34"/>
      <c r="D36" s="34"/>
      <c r="E36" s="34"/>
      <c r="F36" s="34"/>
    </row>
    <row r="37" spans="1:6" x14ac:dyDescent="0.25">
      <c r="A37" s="18" t="s">
        <v>42</v>
      </c>
      <c r="B37" s="33">
        <f t="shared" ref="B37" si="1">B21/B32</f>
        <v>4089055864.395287</v>
      </c>
      <c r="C37" s="33">
        <f t="shared" ref="C37:F37" si="2">C21/C32</f>
        <v>2663527886.3123569</v>
      </c>
      <c r="D37" s="33">
        <f t="shared" si="2"/>
        <v>1003156484.8739398</v>
      </c>
      <c r="E37" s="33">
        <f t="shared" si="2"/>
        <v>422371493.20899057</v>
      </c>
      <c r="F37" s="33">
        <f t="shared" si="2"/>
        <v>0</v>
      </c>
    </row>
    <row r="38" spans="1:6" x14ac:dyDescent="0.25">
      <c r="A38" s="18" t="s">
        <v>84</v>
      </c>
      <c r="B38" s="33">
        <f>B23/B33</f>
        <v>3138097356.0314465</v>
      </c>
      <c r="C38" s="33">
        <f t="shared" ref="C38:F38" si="3">C23/C33</f>
        <v>2534794014.6723585</v>
      </c>
      <c r="D38" s="33">
        <f t="shared" si="3"/>
        <v>98845326.232452974</v>
      </c>
      <c r="E38" s="33">
        <f t="shared" si="3"/>
        <v>504093293.65731806</v>
      </c>
      <c r="F38" s="33">
        <f t="shared" si="3"/>
        <v>364721.46931673278</v>
      </c>
    </row>
    <row r="39" spans="1:6" x14ac:dyDescent="0.25">
      <c r="A39" s="18" t="s">
        <v>43</v>
      </c>
      <c r="B39" s="32">
        <f>B37/B15</f>
        <v>334674.73108489829</v>
      </c>
      <c r="C39" s="32">
        <f t="shared" ref="C39:E39" si="4">C37/C15</f>
        <v>306893.40780186164</v>
      </c>
      <c r="D39" s="32">
        <f t="shared" si="4"/>
        <v>328472.98129467573</v>
      </c>
      <c r="E39" s="32">
        <f t="shared" si="4"/>
        <v>870869.05816286721</v>
      </c>
      <c r="F39" s="32" t="s">
        <v>36</v>
      </c>
    </row>
    <row r="40" spans="1:6" x14ac:dyDescent="0.25">
      <c r="A40" s="18" t="s">
        <v>85</v>
      </c>
      <c r="B40" s="31">
        <f>B38/B17</f>
        <v>158786.48768058728</v>
      </c>
      <c r="C40" s="31">
        <f t="shared" ref="C40:E40" si="5">C38/C17</f>
        <v>165835.39513721678</v>
      </c>
      <c r="D40" s="31">
        <f t="shared" si="5"/>
        <v>24454.55869184883</v>
      </c>
      <c r="E40" s="31">
        <f t="shared" si="5"/>
        <v>1156177.2790305461</v>
      </c>
      <c r="F40" s="32" t="s">
        <v>36</v>
      </c>
    </row>
    <row r="41" spans="1:6" x14ac:dyDescent="0.25">
      <c r="B41" s="34"/>
      <c r="C41" s="34"/>
      <c r="D41" s="34"/>
      <c r="E41" s="34"/>
      <c r="F41" s="34"/>
    </row>
    <row r="42" spans="1:6" x14ac:dyDescent="0.25">
      <c r="A42" s="1" t="s">
        <v>10</v>
      </c>
      <c r="B42" s="34"/>
      <c r="C42" s="34"/>
      <c r="D42" s="34"/>
      <c r="E42" s="34"/>
      <c r="F42" s="34"/>
    </row>
    <row r="43" spans="1:6" x14ac:dyDescent="0.25">
      <c r="B43" s="34"/>
      <c r="C43" s="34"/>
      <c r="D43" s="34"/>
      <c r="E43" s="34"/>
      <c r="F43" s="34"/>
    </row>
    <row r="44" spans="1:6" x14ac:dyDescent="0.25">
      <c r="A44" s="1" t="s">
        <v>11</v>
      </c>
      <c r="B44" s="34"/>
      <c r="C44" s="34"/>
      <c r="D44" s="34"/>
      <c r="E44" s="34"/>
      <c r="F44" s="34"/>
    </row>
    <row r="45" spans="1:6" x14ac:dyDescent="0.25">
      <c r="A45" s="4" t="s">
        <v>12</v>
      </c>
      <c r="B45" s="30" t="s">
        <v>35</v>
      </c>
      <c r="C45" s="30" t="s">
        <v>35</v>
      </c>
      <c r="D45" s="30" t="s">
        <v>35</v>
      </c>
      <c r="E45" s="30" t="s">
        <v>35</v>
      </c>
      <c r="F45" s="30" t="s">
        <v>35</v>
      </c>
    </row>
    <row r="46" spans="1:6" x14ac:dyDescent="0.25">
      <c r="A46" s="4" t="s">
        <v>13</v>
      </c>
      <c r="B46" s="30" t="s">
        <v>35</v>
      </c>
      <c r="C46" s="30" t="s">
        <v>35</v>
      </c>
      <c r="D46" s="30" t="s">
        <v>35</v>
      </c>
      <c r="E46" s="30" t="s">
        <v>35</v>
      </c>
      <c r="F46" s="30" t="s">
        <v>35</v>
      </c>
    </row>
    <row r="47" spans="1:6" x14ac:dyDescent="0.25">
      <c r="B47" s="34"/>
      <c r="C47" s="34"/>
      <c r="D47" s="34"/>
      <c r="E47" s="34"/>
      <c r="F47" s="34"/>
    </row>
    <row r="48" spans="1:6" x14ac:dyDescent="0.25">
      <c r="A48" s="1" t="s">
        <v>14</v>
      </c>
      <c r="B48" s="34"/>
      <c r="C48" s="34"/>
      <c r="D48" s="34"/>
      <c r="E48" s="34"/>
      <c r="F48" s="34"/>
    </row>
    <row r="49" spans="1:6" s="3" customFormat="1" x14ac:dyDescent="0.25">
      <c r="A49" s="3" t="s">
        <v>15</v>
      </c>
      <c r="B49" s="36">
        <f>B17/B16*100</f>
        <v>161.40967004246977</v>
      </c>
      <c r="C49" s="36">
        <f t="shared" ref="C49:E49" si="6">C17/C16*100</f>
        <v>142.75707481087139</v>
      </c>
      <c r="D49" s="36">
        <f t="shared" si="6"/>
        <v>375.30176415970288</v>
      </c>
      <c r="E49" s="36">
        <f t="shared" si="6"/>
        <v>94.782608695652172</v>
      </c>
      <c r="F49" s="32" t="s">
        <v>36</v>
      </c>
    </row>
    <row r="50" spans="1:6" s="3" customFormat="1" x14ac:dyDescent="0.25">
      <c r="A50" s="3" t="s">
        <v>16</v>
      </c>
      <c r="B50" s="36">
        <f>B23/B22*100</f>
        <v>88.904010214805751</v>
      </c>
      <c r="C50" s="36">
        <f t="shared" ref="C50:E50" si="7">C23/C22*100</f>
        <v>93.858622961910015</v>
      </c>
      <c r="D50" s="36">
        <f t="shared" si="7"/>
        <v>26.875288096892476</v>
      </c>
      <c r="E50" s="36">
        <f t="shared" si="7"/>
        <v>109.27305978744751</v>
      </c>
      <c r="F50" s="32" t="s">
        <v>36</v>
      </c>
    </row>
    <row r="51" spans="1:6" s="3" customFormat="1" x14ac:dyDescent="0.25">
      <c r="A51" s="3" t="s">
        <v>17</v>
      </c>
      <c r="B51" s="36">
        <f>AVERAGE(B49:B50)</f>
        <v>125.15684012863775</v>
      </c>
      <c r="C51" s="36">
        <f t="shared" ref="C51:E51" si="8">AVERAGE(C49:C50)</f>
        <v>118.3078488863907</v>
      </c>
      <c r="D51" s="36">
        <f t="shared" si="8"/>
        <v>201.08852612829767</v>
      </c>
      <c r="E51" s="36">
        <f t="shared" si="8"/>
        <v>102.02783424154984</v>
      </c>
      <c r="F51" s="32" t="s">
        <v>36</v>
      </c>
    </row>
    <row r="52" spans="1:6" s="3" customFormat="1" x14ac:dyDescent="0.25">
      <c r="B52" s="36"/>
      <c r="C52" s="36"/>
      <c r="D52" s="36"/>
      <c r="E52" s="36"/>
      <c r="F52" s="36"/>
    </row>
    <row r="53" spans="1:6" s="3" customFormat="1" x14ac:dyDescent="0.25">
      <c r="A53" s="8" t="s">
        <v>18</v>
      </c>
      <c r="B53" s="36"/>
      <c r="C53" s="36"/>
      <c r="D53" s="36"/>
      <c r="E53" s="36"/>
      <c r="F53" s="36"/>
    </row>
    <row r="54" spans="1:6" s="3" customFormat="1" x14ac:dyDescent="0.25">
      <c r="A54" s="3" t="s">
        <v>19</v>
      </c>
      <c r="B54" s="36">
        <f>B17/B18*100</f>
        <v>42.15207422416551</v>
      </c>
      <c r="C54" s="36">
        <f>C17/C18*100</f>
        <v>35.689268702717847</v>
      </c>
      <c r="D54" s="36">
        <f>D17/D18*100</f>
        <v>375.30176415970288</v>
      </c>
      <c r="E54" s="36">
        <f>E17/E18*100</f>
        <v>94.782608695652172</v>
      </c>
      <c r="F54" s="36">
        <f>F17/F18*100</f>
        <v>0</v>
      </c>
    </row>
    <row r="55" spans="1:6" s="3" customFormat="1" x14ac:dyDescent="0.25">
      <c r="A55" s="3" t="s">
        <v>20</v>
      </c>
      <c r="B55" s="36">
        <f>B23/B24*100</f>
        <v>20.039879790947147</v>
      </c>
      <c r="C55" s="36">
        <f>C23/C24*100</f>
        <v>21.659682221979239</v>
      </c>
      <c r="D55" s="36">
        <f>D23/D24*100</f>
        <v>6.7188220242231189</v>
      </c>
      <c r="E55" s="36">
        <f>E23/E24*100</f>
        <v>25.21685995094942</v>
      </c>
      <c r="F55" s="36">
        <f>F23/F24*100</f>
        <v>7.5008942368020859E-2</v>
      </c>
    </row>
    <row r="56" spans="1:6" s="3" customFormat="1" x14ac:dyDescent="0.25">
      <c r="A56" s="3" t="s">
        <v>21</v>
      </c>
      <c r="B56" s="36">
        <f>(B54+B55)/2</f>
        <v>31.095977007556328</v>
      </c>
      <c r="C56" s="36">
        <f>(C54+C55)/2</f>
        <v>28.674475462348543</v>
      </c>
      <c r="D56" s="36">
        <f>(D54+D55)/2</f>
        <v>191.01029309196301</v>
      </c>
      <c r="E56" s="36">
        <f>(E54+E55)/2</f>
        <v>59.9997343233008</v>
      </c>
      <c r="F56" s="36">
        <f>(F54+F55)/2</f>
        <v>3.7504471184010429E-2</v>
      </c>
    </row>
    <row r="57" spans="1:6" s="3" customFormat="1" x14ac:dyDescent="0.25">
      <c r="B57" s="36"/>
      <c r="C57" s="36"/>
      <c r="D57" s="36"/>
      <c r="E57" s="36"/>
      <c r="F57" s="36"/>
    </row>
    <row r="58" spans="1:6" s="3" customFormat="1" x14ac:dyDescent="0.25">
      <c r="A58" s="8" t="s">
        <v>32</v>
      </c>
      <c r="B58" s="36"/>
      <c r="C58" s="36"/>
      <c r="D58" s="36"/>
      <c r="E58" s="36"/>
      <c r="F58" s="36"/>
    </row>
    <row r="59" spans="1:6" s="3" customFormat="1" x14ac:dyDescent="0.25">
      <c r="A59" s="3" t="s">
        <v>22</v>
      </c>
      <c r="B59" s="36">
        <f>B25/B23*100</f>
        <v>100</v>
      </c>
      <c r="C59" s="36"/>
      <c r="D59" s="36"/>
      <c r="E59" s="36"/>
      <c r="F59" s="36"/>
    </row>
    <row r="60" spans="1:6" s="3" customFormat="1" x14ac:dyDescent="0.25">
      <c r="B60" s="36"/>
      <c r="C60" s="36"/>
      <c r="D60" s="36"/>
      <c r="E60" s="36"/>
      <c r="F60" s="36"/>
    </row>
    <row r="61" spans="1:6" s="3" customFormat="1" x14ac:dyDescent="0.25">
      <c r="A61" s="8" t="s">
        <v>23</v>
      </c>
      <c r="B61" s="36"/>
      <c r="C61" s="36"/>
      <c r="D61" s="36"/>
      <c r="E61" s="36"/>
      <c r="F61" s="36"/>
    </row>
    <row r="62" spans="1:6" s="3" customFormat="1" x14ac:dyDescent="0.25">
      <c r="A62" s="3" t="s">
        <v>24</v>
      </c>
      <c r="B62" s="36">
        <f>((B17/B15)-1)*100</f>
        <v>61.753151088557857</v>
      </c>
      <c r="C62" s="36">
        <f t="shared" ref="C62:E62" si="9">((C17/C15)-1)*100</f>
        <v>76.114759764949881</v>
      </c>
      <c r="D62" s="36">
        <f t="shared" si="9"/>
        <v>32.351015062213492</v>
      </c>
      <c r="E62" s="36">
        <f t="shared" si="9"/>
        <v>-10.103092783505152</v>
      </c>
      <c r="F62" s="32" t="s">
        <v>36</v>
      </c>
    </row>
    <row r="63" spans="1:6" s="3" customFormat="1" x14ac:dyDescent="0.25">
      <c r="A63" s="3" t="s">
        <v>25</v>
      </c>
      <c r="B63" s="36">
        <f t="shared" ref="B63" si="10">((B38/B37)-1)*100</f>
        <v>-23.25618773380279</v>
      </c>
      <c r="C63" s="36">
        <f t="shared" ref="C63:E63" si="11">((C38/C37)-1)*100</f>
        <v>-4.8332090796402323</v>
      </c>
      <c r="D63" s="36">
        <f t="shared" si="11"/>
        <v>-90.146569580829222</v>
      </c>
      <c r="E63" s="36">
        <f t="shared" si="11"/>
        <v>19.348322924788697</v>
      </c>
      <c r="F63" s="32" t="s">
        <v>36</v>
      </c>
    </row>
    <row r="64" spans="1:6" s="3" customFormat="1" x14ac:dyDescent="0.25">
      <c r="A64" s="3" t="s">
        <v>26</v>
      </c>
      <c r="B64" s="36">
        <f>((B40/B39)-1)*100</f>
        <v>-52.554981618762461</v>
      </c>
      <c r="C64" s="36">
        <f t="shared" ref="C64:E64" si="12">((C40/C39)-1)*100</f>
        <v>-45.963194085848727</v>
      </c>
      <c r="D64" s="36">
        <f t="shared" si="12"/>
        <v>-92.555077560577061</v>
      </c>
      <c r="E64" s="36">
        <f t="shared" si="12"/>
        <v>32.761322519547065</v>
      </c>
      <c r="F64" s="32" t="s">
        <v>36</v>
      </c>
    </row>
    <row r="65" spans="1:6" s="3" customFormat="1" x14ac:dyDescent="0.25">
      <c r="B65" s="36"/>
      <c r="C65" s="36"/>
      <c r="D65" s="36"/>
      <c r="E65" s="36"/>
      <c r="F65" s="36"/>
    </row>
    <row r="66" spans="1:6" s="3" customFormat="1" x14ac:dyDescent="0.25">
      <c r="A66" s="8" t="s">
        <v>27</v>
      </c>
      <c r="B66" s="36"/>
      <c r="C66" s="36"/>
      <c r="D66" s="36"/>
      <c r="E66" s="36"/>
      <c r="F66" s="36"/>
    </row>
    <row r="67" spans="1:6" s="3" customFormat="1" x14ac:dyDescent="0.25">
      <c r="A67" s="3" t="s">
        <v>68</v>
      </c>
      <c r="B67" s="36">
        <f>B22/(B16*3)</f>
        <v>100428.97005063704</v>
      </c>
      <c r="C67" s="36">
        <f>C22/(C16)</f>
        <v>263608.3815914822</v>
      </c>
      <c r="D67" s="36">
        <f t="shared" ref="D67:E67" si="13">D22/(D16*3)</f>
        <v>118966.47000928505</v>
      </c>
      <c r="E67" s="36">
        <f t="shared" si="13"/>
        <v>349363.27652173908</v>
      </c>
      <c r="F67" s="32" t="s">
        <v>36</v>
      </c>
    </row>
    <row r="68" spans="1:6" s="3" customFormat="1" x14ac:dyDescent="0.25">
      <c r="A68" s="3" t="s">
        <v>69</v>
      </c>
      <c r="B68" s="36">
        <f t="shared" ref="B68:E68" si="14">B23/(B17*3)</f>
        <v>55316.005397291236</v>
      </c>
      <c r="C68" s="36">
        <f>C23/(C17)</f>
        <v>173314.84082433759</v>
      </c>
      <c r="D68" s="36">
        <f t="shared" si="14"/>
        <v>8519.166336796965</v>
      </c>
      <c r="E68" s="36">
        <f t="shared" si="14"/>
        <v>402774.25076452602</v>
      </c>
      <c r="F68" s="32" t="s">
        <v>36</v>
      </c>
    </row>
    <row r="69" spans="1:6" s="3" customFormat="1" x14ac:dyDescent="0.25">
      <c r="A69" s="3" t="s">
        <v>28</v>
      </c>
      <c r="B69" s="36">
        <f>(B68/B67)*B51</f>
        <v>68.936049434470206</v>
      </c>
      <c r="C69" s="36">
        <f t="shared" ref="C69:E69" si="15">(C68/C67)*C51</f>
        <v>77.783968302611584</v>
      </c>
      <c r="D69" s="36">
        <f t="shared" si="15"/>
        <v>14.399911188207961</v>
      </c>
      <c r="E69" s="36">
        <f t="shared" si="15"/>
        <v>117.62594197908037</v>
      </c>
      <c r="F69" s="32" t="s">
        <v>36</v>
      </c>
    </row>
    <row r="70" spans="1:6" s="3" customFormat="1" x14ac:dyDescent="0.25">
      <c r="A70" s="3" t="s">
        <v>70</v>
      </c>
      <c r="B70" s="36">
        <f t="shared" ref="B70:E71" si="16">B22/B16</f>
        <v>301286.91015191108</v>
      </c>
      <c r="C70" s="36">
        <f>(C22/C16)*3</f>
        <v>790825.14477444661</v>
      </c>
      <c r="D70" s="36">
        <f t="shared" si="16"/>
        <v>356899.41002785519</v>
      </c>
      <c r="E70" s="36">
        <f t="shared" si="16"/>
        <v>1048089.8295652174</v>
      </c>
      <c r="F70" s="32" t="s">
        <v>36</v>
      </c>
    </row>
    <row r="71" spans="1:6" s="3" customFormat="1" x14ac:dyDescent="0.25">
      <c r="A71" s="3" t="s">
        <v>71</v>
      </c>
      <c r="B71" s="36">
        <f t="shared" si="16"/>
        <v>165948.0161918737</v>
      </c>
      <c r="C71" s="36">
        <f>(C23/C17)*3</f>
        <v>519944.5224730128</v>
      </c>
      <c r="D71" s="36">
        <f t="shared" si="16"/>
        <v>25557.499010390897</v>
      </c>
      <c r="E71" s="36">
        <f t="shared" si="16"/>
        <v>1208322.7522935779</v>
      </c>
      <c r="F71" s="32" t="s">
        <v>36</v>
      </c>
    </row>
    <row r="72" spans="1:6" x14ac:dyDescent="0.25">
      <c r="B72" s="37"/>
      <c r="C72" s="37"/>
      <c r="D72" s="37"/>
      <c r="E72" s="37"/>
      <c r="F72" s="37"/>
    </row>
    <row r="73" spans="1:6" x14ac:dyDescent="0.25">
      <c r="A73" s="1" t="s">
        <v>29</v>
      </c>
      <c r="B73" s="37"/>
      <c r="C73" s="37"/>
      <c r="D73" s="37"/>
      <c r="E73" s="37"/>
      <c r="F73" s="37"/>
    </row>
    <row r="74" spans="1:6" x14ac:dyDescent="0.25">
      <c r="A74" s="4" t="s">
        <v>30</v>
      </c>
      <c r="B74" s="36">
        <f>(B29/B28)*100</f>
        <v>97.855984945180055</v>
      </c>
      <c r="C74" s="37"/>
      <c r="D74" s="37"/>
      <c r="E74" s="37"/>
      <c r="F74" s="37"/>
    </row>
    <row r="75" spans="1:6" x14ac:dyDescent="0.25">
      <c r="A75" s="4" t="s">
        <v>31</v>
      </c>
      <c r="B75" s="36">
        <f>(B23/B29)*100</f>
        <v>90.851888379244983</v>
      </c>
      <c r="C75" s="37"/>
      <c r="D75" s="37"/>
      <c r="E75" s="37"/>
      <c r="F75" s="37"/>
    </row>
    <row r="76" spans="1:6" ht="15.75" thickBot="1" x14ac:dyDescent="0.3">
      <c r="A76" s="7"/>
      <c r="B76" s="7"/>
      <c r="C76" s="7"/>
      <c r="D76" s="7"/>
      <c r="E76" s="7"/>
      <c r="F76" s="7"/>
    </row>
    <row r="77" spans="1:6" s="19" customFormat="1" ht="16.5" customHeight="1" thickTop="1" x14ac:dyDescent="0.25">
      <c r="A77" s="55" t="s">
        <v>86</v>
      </c>
      <c r="B77" s="55"/>
      <c r="C77" s="55"/>
      <c r="D77" s="55"/>
      <c r="E77" s="55"/>
      <c r="F77" s="55"/>
    </row>
    <row r="78" spans="1:6" s="13" customFormat="1" ht="14.25" customHeight="1" x14ac:dyDescent="0.25">
      <c r="A78" s="56"/>
      <c r="B78" s="56"/>
      <c r="C78" s="56"/>
      <c r="D78" s="56"/>
      <c r="E78" s="56"/>
      <c r="F78" s="56"/>
    </row>
    <row r="79" spans="1:6" s="13" customFormat="1" x14ac:dyDescent="0.25">
      <c r="A79" s="20"/>
    </row>
    <row r="80" spans="1:6" s="13" customFormat="1" x14ac:dyDescent="0.25">
      <c r="A80" s="21" t="s">
        <v>87</v>
      </c>
    </row>
    <row r="81" spans="1:6" s="13" customFormat="1" ht="129.75" customHeight="1" x14ac:dyDescent="0.25">
      <c r="A81" s="49" t="s">
        <v>88</v>
      </c>
      <c r="B81" s="49"/>
      <c r="C81" s="49"/>
      <c r="D81" s="49"/>
      <c r="E81" s="49"/>
      <c r="F81" s="49"/>
    </row>
    <row r="83" spans="1:6" x14ac:dyDescent="0.25">
      <c r="A83" s="3"/>
    </row>
    <row r="85" spans="1:6" x14ac:dyDescent="0.25">
      <c r="A85" s="2"/>
    </row>
    <row r="86" spans="1:6" x14ac:dyDescent="0.25">
      <c r="A86" s="2"/>
    </row>
    <row r="87" spans="1:6" x14ac:dyDescent="0.25">
      <c r="A87" s="2"/>
    </row>
  </sheetData>
  <mergeCells count="6">
    <mergeCell ref="A81:F81"/>
    <mergeCell ref="A9:A10"/>
    <mergeCell ref="B9:B10"/>
    <mergeCell ref="C9:F9"/>
    <mergeCell ref="A77:F77"/>
    <mergeCell ref="A78:F78"/>
  </mergeCells>
  <pageMargins left="0.7" right="0.7" top="0.75" bottom="0.75" header="0.3" footer="0.3"/>
  <pageSetup orientation="portrait" r:id="rId1"/>
  <ignoredErrors>
    <ignoredError sqref="C67:C7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4" customWidth="1"/>
    <col min="2" max="6" width="24.7109375" style="4" customWidth="1"/>
    <col min="7" max="16384" width="11.42578125" style="4"/>
  </cols>
  <sheetData>
    <row r="9" spans="1:6" s="13" customFormat="1" x14ac:dyDescent="0.25">
      <c r="A9" s="50" t="s">
        <v>0</v>
      </c>
      <c r="B9" s="52" t="s">
        <v>1</v>
      </c>
      <c r="C9" s="54" t="s">
        <v>2</v>
      </c>
      <c r="D9" s="54"/>
      <c r="E9" s="54"/>
      <c r="F9" s="54"/>
    </row>
    <row r="10" spans="1:6" s="16" customFormat="1" ht="60.75" thickBot="1" x14ac:dyDescent="0.3">
      <c r="A10" s="51"/>
      <c r="B10" s="53"/>
      <c r="C10" s="14" t="s">
        <v>39</v>
      </c>
      <c r="D10" s="14" t="s">
        <v>76</v>
      </c>
      <c r="E10" s="14" t="s">
        <v>77</v>
      </c>
      <c r="F10" s="14" t="s">
        <v>78</v>
      </c>
    </row>
    <row r="11" spans="1:6" ht="15.75" thickTop="1" x14ac:dyDescent="0.25"/>
    <row r="12" spans="1:6" x14ac:dyDescent="0.25">
      <c r="A12" s="1" t="s">
        <v>3</v>
      </c>
    </row>
    <row r="14" spans="1:6" x14ac:dyDescent="0.25">
      <c r="A14" s="1" t="s">
        <v>4</v>
      </c>
    </row>
    <row r="15" spans="1:6" x14ac:dyDescent="0.25">
      <c r="A15" s="17" t="s">
        <v>44</v>
      </c>
      <c r="B15" s="31">
        <f>C15+D15+E15+F15</f>
        <v>11663.333333333334</v>
      </c>
      <c r="C15" s="31">
        <v>8111</v>
      </c>
      <c r="D15" s="32">
        <v>3076.3333333333335</v>
      </c>
      <c r="E15" s="31">
        <v>476</v>
      </c>
      <c r="F15" s="31">
        <v>0</v>
      </c>
    </row>
    <row r="16" spans="1:6" x14ac:dyDescent="0.25">
      <c r="A16" s="17" t="s">
        <v>89</v>
      </c>
      <c r="B16" s="31">
        <f t="shared" ref="B16:B18" si="0">C16+D16+E16+F16</f>
        <v>14764</v>
      </c>
      <c r="C16" s="31">
        <v>10707</v>
      </c>
      <c r="D16" s="32">
        <v>1077</v>
      </c>
      <c r="E16" s="31">
        <v>460</v>
      </c>
      <c r="F16" s="32">
        <v>2520</v>
      </c>
    </row>
    <row r="17" spans="1:6" x14ac:dyDescent="0.25">
      <c r="A17" s="17" t="s">
        <v>90</v>
      </c>
      <c r="B17" s="31">
        <f t="shared" si="0"/>
        <v>25422.333333333332</v>
      </c>
      <c r="C17" s="31">
        <v>20281</v>
      </c>
      <c r="D17" s="32">
        <v>4155</v>
      </c>
      <c r="E17" s="31">
        <v>551</v>
      </c>
      <c r="F17" s="32">
        <v>435.33333333333331</v>
      </c>
    </row>
    <row r="18" spans="1:6" s="3" customFormat="1" x14ac:dyDescent="0.25">
      <c r="A18" s="17" t="s">
        <v>81</v>
      </c>
      <c r="B18" s="31">
        <f t="shared" si="0"/>
        <v>46885</v>
      </c>
      <c r="C18" s="32">
        <v>42828</v>
      </c>
      <c r="D18" s="32">
        <v>1077</v>
      </c>
      <c r="E18" s="32">
        <v>460</v>
      </c>
      <c r="F18" s="32">
        <v>2520</v>
      </c>
    </row>
    <row r="19" spans="1:6" x14ac:dyDescent="0.25">
      <c r="B19" s="31"/>
      <c r="C19" s="31"/>
      <c r="D19" s="31"/>
      <c r="E19" s="31"/>
      <c r="F19" s="32"/>
    </row>
    <row r="20" spans="1:6" x14ac:dyDescent="0.25">
      <c r="A20" s="24" t="s">
        <v>5</v>
      </c>
      <c r="B20" s="31"/>
      <c r="C20" s="31"/>
      <c r="D20" s="31"/>
      <c r="E20" s="31"/>
      <c r="F20" s="32"/>
    </row>
    <row r="21" spans="1:6" x14ac:dyDescent="0.25">
      <c r="A21" s="17" t="s">
        <v>44</v>
      </c>
      <c r="B21" s="31">
        <f>SUM(C21:F21)</f>
        <v>3069376267.9400001</v>
      </c>
      <c r="C21" s="31">
        <v>2208375793.9400001</v>
      </c>
      <c r="D21" s="32">
        <v>433569494</v>
      </c>
      <c r="E21" s="31">
        <v>427430980</v>
      </c>
      <c r="F21" s="32">
        <v>0</v>
      </c>
    </row>
    <row r="22" spans="1:6" x14ac:dyDescent="0.25">
      <c r="A22" s="17" t="s">
        <v>89</v>
      </c>
      <c r="B22" s="31">
        <f>SUM(C22:F22)</f>
        <v>3773651496.2999997</v>
      </c>
      <c r="C22" s="31">
        <v>2822454941.6999998</v>
      </c>
      <c r="D22" s="32">
        <v>384380664.60000002</v>
      </c>
      <c r="E22" s="31">
        <v>482121321.59999996</v>
      </c>
      <c r="F22" s="32">
        <v>84694568.400000006</v>
      </c>
    </row>
    <row r="23" spans="1:6" x14ac:dyDescent="0.25">
      <c r="A23" s="17" t="s">
        <v>90</v>
      </c>
      <c r="B23" s="31">
        <f>SUM(C23:F23)</f>
        <v>2931082532.04</v>
      </c>
      <c r="C23" s="31">
        <v>2186326953.1700001</v>
      </c>
      <c r="D23" s="32">
        <v>287444857.19999999</v>
      </c>
      <c r="E23" s="31">
        <v>454136709.53000003</v>
      </c>
      <c r="F23" s="32">
        <v>3174012.14</v>
      </c>
    </row>
    <row r="24" spans="1:6" x14ac:dyDescent="0.25">
      <c r="A24" s="17" t="s">
        <v>81</v>
      </c>
      <c r="B24" s="31">
        <f>SUM(C24:F24)</f>
        <v>16365520543.099997</v>
      </c>
      <c r="C24" s="31">
        <v>12230638080.699997</v>
      </c>
      <c r="D24" s="32">
        <v>1537522658.4000003</v>
      </c>
      <c r="E24" s="31">
        <v>2089192393.6000001</v>
      </c>
      <c r="F24" s="32">
        <v>508167410.39999998</v>
      </c>
    </row>
    <row r="25" spans="1:6" x14ac:dyDescent="0.25">
      <c r="A25" s="17" t="s">
        <v>91</v>
      </c>
      <c r="B25" s="31">
        <f>C25+D25+E25+F25</f>
        <v>2931082532.04</v>
      </c>
      <c r="C25" s="31">
        <f>+C23</f>
        <v>2186326953.1700001</v>
      </c>
      <c r="D25" s="31">
        <f t="shared" ref="D25:F25" si="1">+D23</f>
        <v>287444857.19999999</v>
      </c>
      <c r="E25" s="31">
        <f t="shared" si="1"/>
        <v>454136709.53000003</v>
      </c>
      <c r="F25" s="31">
        <f t="shared" si="1"/>
        <v>3174012.14</v>
      </c>
    </row>
    <row r="26" spans="1:6" x14ac:dyDescent="0.25">
      <c r="B26" s="31"/>
      <c r="C26" s="31"/>
      <c r="D26" s="31"/>
      <c r="E26" s="31"/>
      <c r="F26" s="31"/>
    </row>
    <row r="27" spans="1:6" x14ac:dyDescent="0.25">
      <c r="A27" s="24" t="s">
        <v>6</v>
      </c>
      <c r="B27" s="31"/>
      <c r="C27" s="31"/>
      <c r="D27" s="31"/>
      <c r="E27" s="31"/>
      <c r="F27" s="31"/>
    </row>
    <row r="28" spans="1:6" x14ac:dyDescent="0.25">
      <c r="A28" s="17" t="s">
        <v>89</v>
      </c>
      <c r="B28" s="31">
        <f>B22</f>
        <v>3773651496.2999997</v>
      </c>
      <c r="C28" s="31"/>
      <c r="D28" s="31"/>
      <c r="E28" s="31"/>
      <c r="F28" s="31"/>
    </row>
    <row r="29" spans="1:6" x14ac:dyDescent="0.25">
      <c r="A29" s="17" t="s">
        <v>90</v>
      </c>
      <c r="B29" s="31">
        <v>4033605279.29</v>
      </c>
      <c r="C29" s="31"/>
      <c r="D29" s="31"/>
      <c r="E29" s="31"/>
      <c r="F29" s="31"/>
    </row>
    <row r="30" spans="1:6" x14ac:dyDescent="0.25">
      <c r="B30" s="34"/>
      <c r="C30" s="34"/>
      <c r="D30" s="34"/>
      <c r="E30" s="34"/>
      <c r="F30" s="34"/>
    </row>
    <row r="31" spans="1:6" x14ac:dyDescent="0.25">
      <c r="A31" s="1" t="s">
        <v>7</v>
      </c>
      <c r="B31" s="34"/>
      <c r="C31" s="34"/>
      <c r="D31" s="34"/>
      <c r="E31" s="34"/>
      <c r="F31" s="34"/>
    </row>
    <row r="32" spans="1:6" x14ac:dyDescent="0.25">
      <c r="A32" s="17" t="s">
        <v>45</v>
      </c>
      <c r="B32" s="38">
        <v>1.0303325644000001</v>
      </c>
      <c r="C32" s="38">
        <v>1.0303325644000001</v>
      </c>
      <c r="D32" s="38">
        <v>1.0303325644000001</v>
      </c>
      <c r="E32" s="38">
        <v>1.0303325644000001</v>
      </c>
      <c r="F32" s="38">
        <v>1.0303325644000001</v>
      </c>
    </row>
    <row r="33" spans="1:6" x14ac:dyDescent="0.25">
      <c r="A33" s="17" t="s">
        <v>92</v>
      </c>
      <c r="B33" s="38">
        <v>1.0552807376</v>
      </c>
      <c r="C33" s="38">
        <v>1.0552807376</v>
      </c>
      <c r="D33" s="38">
        <v>1.0552807376</v>
      </c>
      <c r="E33" s="38">
        <v>1.0552807376</v>
      </c>
      <c r="F33" s="38">
        <v>1.0552807376</v>
      </c>
    </row>
    <row r="34" spans="1:6" x14ac:dyDescent="0.25">
      <c r="A34" s="17" t="s">
        <v>8</v>
      </c>
      <c r="B34" s="28" t="s">
        <v>36</v>
      </c>
      <c r="C34" s="28" t="s">
        <v>36</v>
      </c>
      <c r="D34" s="28" t="s">
        <v>36</v>
      </c>
      <c r="E34" s="28" t="s">
        <v>36</v>
      </c>
      <c r="F34" s="28" t="s">
        <v>36</v>
      </c>
    </row>
    <row r="35" spans="1:6" x14ac:dyDescent="0.25">
      <c r="B35" s="34"/>
      <c r="C35" s="34"/>
      <c r="D35" s="34"/>
      <c r="E35" s="34"/>
      <c r="F35" s="34"/>
    </row>
    <row r="36" spans="1:6" x14ac:dyDescent="0.25">
      <c r="A36" s="1" t="s">
        <v>9</v>
      </c>
      <c r="B36" s="34"/>
      <c r="C36" s="34"/>
      <c r="D36" s="34"/>
      <c r="E36" s="34"/>
      <c r="F36" s="34"/>
    </row>
    <row r="37" spans="1:6" x14ac:dyDescent="0.25">
      <c r="A37" s="18" t="s">
        <v>46</v>
      </c>
      <c r="B37" s="33">
        <f t="shared" ref="B37" si="2">B21/B32</f>
        <v>2979015100.5538769</v>
      </c>
      <c r="C37" s="33">
        <f t="shared" ref="C37:F37" si="3">C21/C32</f>
        <v>2143362124.2729692</v>
      </c>
      <c r="D37" s="33">
        <f t="shared" si="3"/>
        <v>420805387.48426652</v>
      </c>
      <c r="E37" s="33">
        <f t="shared" si="3"/>
        <v>414847588.79664111</v>
      </c>
      <c r="F37" s="33">
        <f t="shared" si="3"/>
        <v>0</v>
      </c>
    </row>
    <row r="38" spans="1:6" x14ac:dyDescent="0.25">
      <c r="A38" s="18" t="s">
        <v>93</v>
      </c>
      <c r="B38" s="33">
        <f t="shared" ref="B38" si="4">B23/B33</f>
        <v>2777538173.117887</v>
      </c>
      <c r="C38" s="33">
        <f t="shared" ref="C38:F38" si="5">C23/C33</f>
        <v>2071796513.7336931</v>
      </c>
      <c r="D38" s="33">
        <f t="shared" si="5"/>
        <v>272387097.53551364</v>
      </c>
      <c r="E38" s="33">
        <f t="shared" si="5"/>
        <v>430346819.90200299</v>
      </c>
      <c r="F38" s="33">
        <f t="shared" si="5"/>
        <v>3007741.9466772233</v>
      </c>
    </row>
    <row r="39" spans="1:6" x14ac:dyDescent="0.25">
      <c r="A39" s="18" t="s">
        <v>47</v>
      </c>
      <c r="B39" s="32">
        <f>B37/B15</f>
        <v>255417.12779827465</v>
      </c>
      <c r="C39" s="32">
        <f t="shared" ref="C39:E39" si="6">C37/C15</f>
        <v>264253.74482467875</v>
      </c>
      <c r="D39" s="32">
        <f t="shared" si="6"/>
        <v>136787.96862637333</v>
      </c>
      <c r="E39" s="32">
        <f t="shared" si="6"/>
        <v>871528.5478921032</v>
      </c>
      <c r="F39" s="32" t="s">
        <v>36</v>
      </c>
    </row>
    <row r="40" spans="1:6" x14ac:dyDescent="0.25">
      <c r="A40" s="18" t="s">
        <v>94</v>
      </c>
      <c r="B40" s="31">
        <f t="shared" ref="B40" si="7">B38/B17</f>
        <v>109255.83174051243</v>
      </c>
      <c r="C40" s="31">
        <f t="shared" ref="C40:F40" si="8">C38/C17</f>
        <v>102154.55420017224</v>
      </c>
      <c r="D40" s="31">
        <f t="shared" si="8"/>
        <v>65556.461500725301</v>
      </c>
      <c r="E40" s="31">
        <f t="shared" si="8"/>
        <v>781028.71125590382</v>
      </c>
      <c r="F40" s="31">
        <f t="shared" si="8"/>
        <v>6909.0550076812178</v>
      </c>
    </row>
    <row r="41" spans="1:6" x14ac:dyDescent="0.25">
      <c r="B41" s="31"/>
      <c r="C41" s="31"/>
      <c r="D41" s="31"/>
      <c r="E41" s="31"/>
      <c r="F41" s="31"/>
    </row>
    <row r="42" spans="1:6" x14ac:dyDescent="0.25">
      <c r="A42" s="1" t="s">
        <v>10</v>
      </c>
      <c r="B42" s="34"/>
      <c r="C42" s="34"/>
      <c r="D42" s="34"/>
      <c r="E42" s="34"/>
      <c r="F42" s="34"/>
    </row>
    <row r="43" spans="1:6" x14ac:dyDescent="0.25">
      <c r="B43" s="34"/>
      <c r="C43" s="34"/>
      <c r="D43" s="34"/>
      <c r="E43" s="34"/>
      <c r="F43" s="34"/>
    </row>
    <row r="44" spans="1:6" x14ac:dyDescent="0.25">
      <c r="A44" s="1" t="s">
        <v>11</v>
      </c>
      <c r="B44" s="34"/>
      <c r="C44" s="34"/>
      <c r="D44" s="34"/>
      <c r="E44" s="34"/>
      <c r="F44" s="34"/>
    </row>
    <row r="45" spans="1:6" x14ac:dyDescent="0.25">
      <c r="A45" s="4" t="s">
        <v>12</v>
      </c>
      <c r="B45" s="30" t="s">
        <v>35</v>
      </c>
      <c r="C45" s="30" t="s">
        <v>35</v>
      </c>
      <c r="D45" s="30" t="s">
        <v>35</v>
      </c>
      <c r="E45" s="30" t="s">
        <v>35</v>
      </c>
      <c r="F45" s="30" t="s">
        <v>35</v>
      </c>
    </row>
    <row r="46" spans="1:6" x14ac:dyDescent="0.25">
      <c r="A46" s="4" t="s">
        <v>13</v>
      </c>
      <c r="B46" s="30" t="s">
        <v>35</v>
      </c>
      <c r="C46" s="30" t="s">
        <v>35</v>
      </c>
      <c r="D46" s="30" t="s">
        <v>35</v>
      </c>
      <c r="E46" s="30" t="s">
        <v>35</v>
      </c>
      <c r="F46" s="30" t="s">
        <v>35</v>
      </c>
    </row>
    <row r="47" spans="1:6" x14ac:dyDescent="0.25">
      <c r="B47" s="34"/>
      <c r="C47" s="34"/>
      <c r="D47" s="34"/>
      <c r="E47" s="34"/>
      <c r="F47" s="34"/>
    </row>
    <row r="48" spans="1:6" x14ac:dyDescent="0.25">
      <c r="A48" s="1" t="s">
        <v>14</v>
      </c>
      <c r="B48" s="34"/>
      <c r="C48" s="34"/>
      <c r="D48" s="34"/>
      <c r="E48" s="34"/>
      <c r="F48" s="34"/>
    </row>
    <row r="49" spans="1:7" x14ac:dyDescent="0.25">
      <c r="A49" s="4" t="s">
        <v>15</v>
      </c>
      <c r="B49" s="37">
        <f>B17/B16*100</f>
        <v>172.19136638670639</v>
      </c>
      <c r="C49" s="37">
        <f t="shared" ref="C49:F49" si="9">C17/C16*100</f>
        <v>189.41813766694685</v>
      </c>
      <c r="D49" s="37">
        <f t="shared" si="9"/>
        <v>385.79387186629526</v>
      </c>
      <c r="E49" s="37">
        <f t="shared" si="9"/>
        <v>119.78260869565219</v>
      </c>
      <c r="F49" s="37">
        <f t="shared" si="9"/>
        <v>17.275132275132275</v>
      </c>
      <c r="G49" s="23"/>
    </row>
    <row r="50" spans="1:7" x14ac:dyDescent="0.25">
      <c r="A50" s="4" t="s">
        <v>16</v>
      </c>
      <c r="B50" s="37">
        <f>B23/B22*100</f>
        <v>77.672316453013096</v>
      </c>
      <c r="C50" s="37">
        <f t="shared" ref="C50:F50" si="10">C23/C22*100</f>
        <v>77.46189038727924</v>
      </c>
      <c r="D50" s="37">
        <f t="shared" si="10"/>
        <v>74.781299808387914</v>
      </c>
      <c r="E50" s="37">
        <f t="shared" si="10"/>
        <v>94.195524898768568</v>
      </c>
      <c r="F50" s="37">
        <f t="shared" si="10"/>
        <v>3.7475982226033753</v>
      </c>
      <c r="G50" s="23"/>
    </row>
    <row r="51" spans="1:7" x14ac:dyDescent="0.25">
      <c r="A51" s="4" t="s">
        <v>17</v>
      </c>
      <c r="B51" s="37">
        <f>AVERAGE(B49:B50)</f>
        <v>124.93184141985975</v>
      </c>
      <c r="C51" s="37">
        <f t="shared" ref="C51:F51" si="11">AVERAGE(C49:C50)</f>
        <v>133.44001402711305</v>
      </c>
      <c r="D51" s="37">
        <f t="shared" si="11"/>
        <v>230.2875858373416</v>
      </c>
      <c r="E51" s="37">
        <f t="shared" si="11"/>
        <v>106.98906679721037</v>
      </c>
      <c r="F51" s="37">
        <f t="shared" si="11"/>
        <v>10.511365248867826</v>
      </c>
      <c r="G51" s="23"/>
    </row>
    <row r="52" spans="1:7" x14ac:dyDescent="0.25">
      <c r="B52" s="37"/>
      <c r="C52" s="37"/>
      <c r="D52" s="37"/>
      <c r="E52" s="37"/>
      <c r="F52" s="37"/>
      <c r="G52" s="23"/>
    </row>
    <row r="53" spans="1:7" x14ac:dyDescent="0.25">
      <c r="A53" s="1" t="s">
        <v>18</v>
      </c>
      <c r="B53" s="37"/>
      <c r="C53" s="37"/>
      <c r="D53" s="37"/>
      <c r="E53" s="37"/>
      <c r="F53" s="37"/>
      <c r="G53" s="22"/>
    </row>
    <row r="54" spans="1:7" x14ac:dyDescent="0.25">
      <c r="A54" s="4" t="s">
        <v>19</v>
      </c>
      <c r="B54" s="37">
        <f>B17/B18*100</f>
        <v>54.222743592478054</v>
      </c>
      <c r="C54" s="37">
        <f t="shared" ref="C54:F54" si="12">C17/C18*100</f>
        <v>47.354534416736712</v>
      </c>
      <c r="D54" s="37">
        <f t="shared" si="12"/>
        <v>385.79387186629526</v>
      </c>
      <c r="E54" s="37">
        <f t="shared" si="12"/>
        <v>119.78260869565219</v>
      </c>
      <c r="F54" s="37">
        <f t="shared" si="12"/>
        <v>17.275132275132275</v>
      </c>
      <c r="G54" s="23"/>
    </row>
    <row r="55" spans="1:7" x14ac:dyDescent="0.25">
      <c r="A55" s="4" t="s">
        <v>20</v>
      </c>
      <c r="B55" s="37">
        <f>B23/B24*100</f>
        <v>17.910108782184739</v>
      </c>
      <c r="C55" s="37">
        <f t="shared" ref="C55:F55" si="13">C23/C24*100</f>
        <v>17.875820858602907</v>
      </c>
      <c r="D55" s="37">
        <f t="shared" si="13"/>
        <v>18.695324952096975</v>
      </c>
      <c r="E55" s="37">
        <f t="shared" si="13"/>
        <v>21.737428822792744</v>
      </c>
      <c r="F55" s="37">
        <f t="shared" si="13"/>
        <v>0.62459970376722929</v>
      </c>
      <c r="G55" s="23"/>
    </row>
    <row r="56" spans="1:7" x14ac:dyDescent="0.25">
      <c r="A56" s="4" t="s">
        <v>21</v>
      </c>
      <c r="B56" s="37">
        <f>(B54+B55)/2</f>
        <v>36.066426187331395</v>
      </c>
      <c r="C56" s="37">
        <f t="shared" ref="C56:F56" si="14">(C54+C55)/2</f>
        <v>32.615177637669809</v>
      </c>
      <c r="D56" s="37">
        <f t="shared" si="14"/>
        <v>202.24459840919613</v>
      </c>
      <c r="E56" s="37">
        <f t="shared" si="14"/>
        <v>70.760018759222461</v>
      </c>
      <c r="F56" s="37">
        <f t="shared" si="14"/>
        <v>8.9498659894497514</v>
      </c>
      <c r="G56" s="23"/>
    </row>
    <row r="57" spans="1:7" x14ac:dyDescent="0.25">
      <c r="B57" s="37"/>
      <c r="C57" s="37"/>
      <c r="D57" s="37"/>
      <c r="E57" s="37"/>
      <c r="F57" s="37"/>
    </row>
    <row r="58" spans="1:7" x14ac:dyDescent="0.25">
      <c r="A58" s="1" t="s">
        <v>32</v>
      </c>
      <c r="B58" s="37"/>
      <c r="C58" s="37"/>
      <c r="D58" s="37"/>
      <c r="E58" s="37"/>
      <c r="F58" s="37"/>
    </row>
    <row r="59" spans="1:7" x14ac:dyDescent="0.25">
      <c r="A59" s="4" t="s">
        <v>22</v>
      </c>
      <c r="B59" s="37">
        <f t="shared" ref="B59" si="15">B25/B23*100</f>
        <v>100</v>
      </c>
      <c r="C59" s="37"/>
      <c r="D59" s="37"/>
      <c r="E59" s="37"/>
      <c r="F59" s="37"/>
    </row>
    <row r="60" spans="1:7" x14ac:dyDescent="0.25">
      <c r="B60" s="37"/>
      <c r="C60" s="37"/>
      <c r="D60" s="37"/>
      <c r="E60" s="37"/>
      <c r="F60" s="37"/>
    </row>
    <row r="61" spans="1:7" x14ac:dyDescent="0.25">
      <c r="A61" s="1" t="s">
        <v>23</v>
      </c>
      <c r="B61" s="37"/>
      <c r="C61" s="37"/>
      <c r="D61" s="37"/>
      <c r="E61" s="37"/>
      <c r="F61" s="37"/>
    </row>
    <row r="62" spans="1:7" x14ac:dyDescent="0.25">
      <c r="A62" s="4" t="s">
        <v>24</v>
      </c>
      <c r="B62" s="37">
        <f>((B17/B15)-1)*100</f>
        <v>117.96799085452983</v>
      </c>
      <c r="C62" s="37">
        <f t="shared" ref="C62:E62" si="16">((C17/C15)-1)*100</f>
        <v>150.04315127604485</v>
      </c>
      <c r="D62" s="37">
        <f t="shared" si="16"/>
        <v>35.063387149203585</v>
      </c>
      <c r="E62" s="37">
        <f t="shared" si="16"/>
        <v>15.756302521008415</v>
      </c>
      <c r="F62" s="32" t="s">
        <v>36</v>
      </c>
    </row>
    <row r="63" spans="1:7" x14ac:dyDescent="0.25">
      <c r="A63" s="4" t="s">
        <v>25</v>
      </c>
      <c r="B63" s="37">
        <f>((B38/B37)-1)*100</f>
        <v>-6.7632059803433009</v>
      </c>
      <c r="C63" s="37">
        <f t="shared" ref="C63:E63" si="17">((C38/C37)-1)*100</f>
        <v>-3.3389416435429142</v>
      </c>
      <c r="D63" s="37">
        <f t="shared" si="17"/>
        <v>-35.270054605539499</v>
      </c>
      <c r="E63" s="37">
        <f t="shared" si="17"/>
        <v>3.7361265977996716</v>
      </c>
      <c r="F63" s="32" t="s">
        <v>36</v>
      </c>
    </row>
    <row r="64" spans="1:7" x14ac:dyDescent="0.25">
      <c r="A64" s="4" t="s">
        <v>26</v>
      </c>
      <c r="B64" s="37">
        <f t="shared" ref="B64" si="18">((B40/B39)-1)*100</f>
        <v>-57.224547671367851</v>
      </c>
      <c r="C64" s="37">
        <f t="shared" ref="C64:E64" si="19">((C40/C39)-1)*100</f>
        <v>-61.342249182524355</v>
      </c>
      <c r="D64" s="37">
        <f t="shared" si="19"/>
        <v>-52.07439502242471</v>
      </c>
      <c r="E64" s="37">
        <f t="shared" si="19"/>
        <v>-10.384035824768345</v>
      </c>
      <c r="F64" s="32" t="s">
        <v>36</v>
      </c>
    </row>
    <row r="65" spans="1:6" x14ac:dyDescent="0.25">
      <c r="B65" s="36"/>
      <c r="C65" s="36"/>
      <c r="D65" s="36"/>
      <c r="E65" s="36"/>
      <c r="F65" s="36"/>
    </row>
    <row r="66" spans="1:6" x14ac:dyDescent="0.25">
      <c r="A66" s="1" t="s">
        <v>27</v>
      </c>
      <c r="B66" s="37"/>
      <c r="C66" s="37"/>
      <c r="D66" s="37"/>
      <c r="E66" s="37"/>
      <c r="F66" s="37"/>
    </row>
    <row r="67" spans="1:6" x14ac:dyDescent="0.25">
      <c r="A67" s="3" t="s">
        <v>68</v>
      </c>
      <c r="B67" s="37">
        <f>B22/(B16*3)</f>
        <v>85199.39258331075</v>
      </c>
      <c r="C67" s="37">
        <f>C22/(C16)</f>
        <v>263608.3815914822</v>
      </c>
      <c r="D67" s="37">
        <f t="shared" ref="D67:E67" si="20">D22/(D16*3)</f>
        <v>118966.47000928505</v>
      </c>
      <c r="E67" s="37">
        <f t="shared" si="20"/>
        <v>349363.27652173908</v>
      </c>
      <c r="F67" s="37">
        <f>F22/F16</f>
        <v>33608.955714285716</v>
      </c>
    </row>
    <row r="68" spans="1:6" x14ac:dyDescent="0.25">
      <c r="A68" s="3" t="s">
        <v>69</v>
      </c>
      <c r="B68" s="37">
        <f t="shared" ref="B68:E68" si="21">B23/(B17*3)</f>
        <v>38431.858235409811</v>
      </c>
      <c r="C68" s="37">
        <f>C23/(C17)</f>
        <v>107801.73330555693</v>
      </c>
      <c r="D68" s="37">
        <f t="shared" si="21"/>
        <v>23060.157015643803</v>
      </c>
      <c r="E68" s="37">
        <f t="shared" si="21"/>
        <v>274734.85150030249</v>
      </c>
      <c r="F68" s="37">
        <f>F23/F17</f>
        <v>7290.9926646248095</v>
      </c>
    </row>
    <row r="69" spans="1:6" x14ac:dyDescent="0.25">
      <c r="A69" s="3" t="s">
        <v>28</v>
      </c>
      <c r="B69" s="37">
        <f>(B68/B67)*B51</f>
        <v>56.354425459569093</v>
      </c>
      <c r="C69" s="37">
        <f t="shared" ref="C69" si="22">(C68/C67)*C51</f>
        <v>54.569830889267266</v>
      </c>
      <c r="D69" s="37">
        <f t="shared" ref="D69:E69" si="23">(D68/D67)*D51</f>
        <v>44.638358083148781</v>
      </c>
      <c r="E69" s="37">
        <f t="shared" si="23"/>
        <v>84.134845743749835</v>
      </c>
      <c r="F69" s="37">
        <f t="shared" ref="F69" si="24">(F68/F67)*F51</f>
        <v>2.2802936091260886</v>
      </c>
    </row>
    <row r="70" spans="1:6" x14ac:dyDescent="0.25">
      <c r="A70" s="3" t="s">
        <v>70</v>
      </c>
      <c r="B70" s="37">
        <f t="shared" ref="B70:E71" si="25">B22/B16</f>
        <v>255598.17774993225</v>
      </c>
      <c r="C70" s="37">
        <f>(C22/C16)*3</f>
        <v>790825.14477444661</v>
      </c>
      <c r="D70" s="37">
        <f t="shared" si="25"/>
        <v>356899.41002785519</v>
      </c>
      <c r="E70" s="37">
        <f t="shared" si="25"/>
        <v>1048089.8295652174</v>
      </c>
      <c r="F70" s="37">
        <f t="shared" ref="F70" si="26">F22/F16</f>
        <v>33608.955714285716</v>
      </c>
    </row>
    <row r="71" spans="1:6" x14ac:dyDescent="0.25">
      <c r="A71" s="3" t="s">
        <v>71</v>
      </c>
      <c r="B71" s="37">
        <f t="shared" si="25"/>
        <v>115295.57470622944</v>
      </c>
      <c r="C71" s="37">
        <f>(C23/C17)*3</f>
        <v>323405.1999166708</v>
      </c>
      <c r="D71" s="37">
        <f t="shared" si="25"/>
        <v>69180.471046931401</v>
      </c>
      <c r="E71" s="37">
        <f t="shared" si="25"/>
        <v>824204.55450090754</v>
      </c>
      <c r="F71" s="37">
        <f t="shared" ref="F71" si="27">F23/F17</f>
        <v>7290.9926646248095</v>
      </c>
    </row>
    <row r="72" spans="1:6" x14ac:dyDescent="0.25">
      <c r="B72" s="37"/>
      <c r="C72" s="37"/>
      <c r="D72" s="37"/>
      <c r="E72" s="37"/>
      <c r="F72" s="37"/>
    </row>
    <row r="73" spans="1:6" x14ac:dyDescent="0.25">
      <c r="A73" s="1" t="s">
        <v>29</v>
      </c>
      <c r="B73" s="37"/>
      <c r="C73" s="37"/>
      <c r="D73" s="37"/>
      <c r="E73" s="37"/>
      <c r="F73" s="37"/>
    </row>
    <row r="74" spans="1:6" x14ac:dyDescent="0.25">
      <c r="A74" s="4" t="s">
        <v>30</v>
      </c>
      <c r="B74" s="36">
        <f>(B29/B28)*100</f>
        <v>106.88865368847335</v>
      </c>
      <c r="C74" s="37"/>
      <c r="D74" s="37"/>
      <c r="E74" s="37"/>
      <c r="F74" s="37"/>
    </row>
    <row r="75" spans="1:6" x14ac:dyDescent="0.25">
      <c r="A75" s="4" t="s">
        <v>31</v>
      </c>
      <c r="B75" s="36">
        <f>(B23/B29)*100</f>
        <v>72.666568220972096</v>
      </c>
      <c r="C75" s="37"/>
      <c r="D75" s="37"/>
      <c r="E75" s="37"/>
      <c r="F75" s="37"/>
    </row>
    <row r="76" spans="1:6" ht="15.75" thickBot="1" x14ac:dyDescent="0.3">
      <c r="A76" s="7"/>
      <c r="B76" s="7"/>
      <c r="C76" s="7"/>
      <c r="D76" s="7"/>
      <c r="E76" s="7"/>
      <c r="F76" s="7"/>
    </row>
    <row r="77" spans="1:6" s="19" customFormat="1" ht="16.5" customHeight="1" thickTop="1" x14ac:dyDescent="0.25">
      <c r="A77" s="55" t="s">
        <v>86</v>
      </c>
      <c r="B77" s="55"/>
      <c r="C77" s="55"/>
      <c r="D77" s="55"/>
      <c r="E77" s="55"/>
      <c r="F77" s="55"/>
    </row>
    <row r="78" spans="1:6" s="13" customFormat="1" ht="14.25" customHeight="1" x14ac:dyDescent="0.25"/>
    <row r="79" spans="1:6" s="13" customFormat="1" x14ac:dyDescent="0.25">
      <c r="A79" s="20"/>
    </row>
    <row r="80" spans="1:6" s="13" customFormat="1" x14ac:dyDescent="0.25">
      <c r="A80" s="21" t="s">
        <v>87</v>
      </c>
    </row>
    <row r="81" spans="1:6" s="13" customFormat="1" ht="129.75" customHeight="1" x14ac:dyDescent="0.25">
      <c r="A81" s="49" t="s">
        <v>95</v>
      </c>
      <c r="B81" s="49"/>
      <c r="C81" s="49"/>
      <c r="D81" s="49"/>
      <c r="E81" s="49"/>
      <c r="F81" s="49"/>
    </row>
    <row r="83" spans="1:6" x14ac:dyDescent="0.25">
      <c r="A83" s="3"/>
    </row>
    <row r="84" spans="1:6" x14ac:dyDescent="0.25">
      <c r="A84" s="3"/>
    </row>
    <row r="85" spans="1:6" x14ac:dyDescent="0.25">
      <c r="A85" s="2"/>
    </row>
    <row r="86" spans="1:6" x14ac:dyDescent="0.25">
      <c r="A86" s="2"/>
    </row>
    <row r="87" spans="1:6" x14ac:dyDescent="0.25">
      <c r="A87" s="2"/>
    </row>
  </sheetData>
  <mergeCells count="5">
    <mergeCell ref="A9:A10"/>
    <mergeCell ref="B9:B10"/>
    <mergeCell ref="C9:F9"/>
    <mergeCell ref="A77:F77"/>
    <mergeCell ref="A81:F81"/>
  </mergeCells>
  <pageMargins left="0.7" right="0.7" top="0.75" bottom="0.75" header="0.3" footer="0.3"/>
  <pageSetup orientation="portrait" r:id="rId1"/>
  <ignoredErrors>
    <ignoredError sqref="F41:F48 F57:F61" evalError="1"/>
    <ignoredError sqref="C67:C7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5703125" style="4" customWidth="1"/>
    <col min="2" max="6" width="24.7109375" style="4" customWidth="1"/>
    <col min="7" max="16384" width="11.42578125" style="4"/>
  </cols>
  <sheetData>
    <row r="9" spans="1:6" s="13" customFormat="1" x14ac:dyDescent="0.25">
      <c r="A9" s="50" t="s">
        <v>0</v>
      </c>
      <c r="B9" s="52" t="s">
        <v>1</v>
      </c>
      <c r="C9" s="54" t="s">
        <v>2</v>
      </c>
      <c r="D9" s="54"/>
      <c r="E9" s="54"/>
      <c r="F9" s="54"/>
    </row>
    <row r="10" spans="1:6" s="16" customFormat="1" ht="60.75" thickBot="1" x14ac:dyDescent="0.3">
      <c r="A10" s="51"/>
      <c r="B10" s="53"/>
      <c r="C10" s="14" t="s">
        <v>39</v>
      </c>
      <c r="D10" s="14" t="s">
        <v>76</v>
      </c>
      <c r="E10" s="14" t="s">
        <v>77</v>
      </c>
      <c r="F10" s="14" t="s">
        <v>78</v>
      </c>
    </row>
    <row r="11" spans="1:6" ht="15.75" thickTop="1" x14ac:dyDescent="0.25"/>
    <row r="12" spans="1:6" x14ac:dyDescent="0.25">
      <c r="A12" s="1" t="s">
        <v>3</v>
      </c>
    </row>
    <row r="14" spans="1:6" x14ac:dyDescent="0.25">
      <c r="A14" s="1" t="s">
        <v>4</v>
      </c>
    </row>
    <row r="15" spans="1:6" x14ac:dyDescent="0.25">
      <c r="A15" s="6" t="s">
        <v>56</v>
      </c>
      <c r="B15" s="32">
        <f>C15+D15+E15+F15</f>
        <v>20335.666666666668</v>
      </c>
      <c r="C15" s="32">
        <f>(+'I Trimestre'!C15+'II trimestre'!C15)</f>
        <v>16790</v>
      </c>
      <c r="D15" s="32">
        <f>(+'I Trimestre'!D15+'II trimestre'!D15)/2</f>
        <v>3065.166666666667</v>
      </c>
      <c r="E15" s="32">
        <f>(+'I Trimestre'!E15+'II trimestre'!E15)/2</f>
        <v>480.5</v>
      </c>
      <c r="F15" s="32">
        <f>(+'I Trimestre'!F15+'II trimestre'!F15)/2</f>
        <v>0</v>
      </c>
    </row>
    <row r="16" spans="1:6" x14ac:dyDescent="0.25">
      <c r="A16" s="5" t="s">
        <v>96</v>
      </c>
      <c r="B16" s="32">
        <f t="shared" ref="B16:B18" si="0">C16+D16+E16+F16</f>
        <v>25471</v>
      </c>
      <c r="C16" s="32">
        <f>(+'I Trimestre'!C16+'II trimestre'!C16)</f>
        <v>21414</v>
      </c>
      <c r="D16" s="32">
        <f>(+'I Trimestre'!D16+'II trimestre'!D16)/2</f>
        <v>1077</v>
      </c>
      <c r="E16" s="32">
        <f>(+'I Trimestre'!E16+'II trimestre'!E16)/2</f>
        <v>460</v>
      </c>
      <c r="F16" s="32">
        <f>(+'I Trimestre'!F16+'II trimestre'!F16)</f>
        <v>2520</v>
      </c>
    </row>
    <row r="17" spans="1:6" x14ac:dyDescent="0.25">
      <c r="A17" s="5" t="s">
        <v>97</v>
      </c>
      <c r="B17" s="32">
        <f t="shared" si="0"/>
        <v>40593.333333333336</v>
      </c>
      <c r="C17" s="32">
        <f>(+'I Trimestre'!C17+'II trimestre'!C17)</f>
        <v>35566</v>
      </c>
      <c r="D17" s="32">
        <f>(+'I Trimestre'!D17+'II trimestre'!D17)/2</f>
        <v>4098.5</v>
      </c>
      <c r="E17" s="32">
        <f>(+'I Trimestre'!E17+'II trimestre'!E17)/2</f>
        <v>493.5</v>
      </c>
      <c r="F17" s="32">
        <f>(+'I Trimestre'!F17+'II trimestre'!F17)</f>
        <v>435.33333333333331</v>
      </c>
    </row>
    <row r="18" spans="1:6" s="3" customFormat="1" x14ac:dyDescent="0.25">
      <c r="A18" s="6" t="s">
        <v>81</v>
      </c>
      <c r="B18" s="32">
        <f t="shared" si="0"/>
        <v>46885</v>
      </c>
      <c r="C18" s="32">
        <f>+'II trimestre'!C18</f>
        <v>42828</v>
      </c>
      <c r="D18" s="32">
        <f>+'II trimestre'!D18</f>
        <v>1077</v>
      </c>
      <c r="E18" s="32">
        <f>+'II trimestre'!E18</f>
        <v>460</v>
      </c>
      <c r="F18" s="32">
        <f>+'II trimestre'!F18</f>
        <v>2520</v>
      </c>
    </row>
    <row r="19" spans="1:6" x14ac:dyDescent="0.25">
      <c r="B19" s="31"/>
      <c r="C19" s="31"/>
      <c r="D19" s="31"/>
      <c r="E19" s="31"/>
      <c r="F19" s="31"/>
    </row>
    <row r="20" spans="1:6" x14ac:dyDescent="0.25">
      <c r="A20" s="24" t="s">
        <v>5</v>
      </c>
      <c r="B20" s="31"/>
      <c r="C20" s="31"/>
      <c r="D20" s="31"/>
      <c r="E20" s="31"/>
      <c r="F20" s="31"/>
    </row>
    <row r="21" spans="1:6" x14ac:dyDescent="0.25">
      <c r="A21" s="5" t="s">
        <v>56</v>
      </c>
      <c r="B21" s="31">
        <f>SUM(C21:F21)</f>
        <v>7283015730.9800005</v>
      </c>
      <c r="C21" s="32">
        <f>+'I Trimestre'!C21+'II trimestre'!C21</f>
        <v>4953054904.4400005</v>
      </c>
      <c r="D21" s="32">
        <f>+'I Trimestre'!D21+'II trimestre'!D21</f>
        <v>1467289720</v>
      </c>
      <c r="E21" s="32">
        <f>+'I Trimestre'!E21+'II trimestre'!E21</f>
        <v>862671106.53999996</v>
      </c>
      <c r="F21" s="32">
        <f>+'I Trimestre'!F21+'II trimestre'!F21</f>
        <v>0</v>
      </c>
    </row>
    <row r="22" spans="1:6" x14ac:dyDescent="0.25">
      <c r="A22" s="5" t="s">
        <v>96</v>
      </c>
      <c r="B22" s="31">
        <f>SUM(C22:F22)</f>
        <v>7462608424.1999989</v>
      </c>
      <c r="C22" s="32">
        <f>+'I Trimestre'!C22+'II trimestre'!C22</f>
        <v>5644909883.3999996</v>
      </c>
      <c r="D22" s="32">
        <f>+'I Trimestre'!D22+'II trimestre'!D22</f>
        <v>768761329.20000005</v>
      </c>
      <c r="E22" s="32">
        <f>+'I Trimestre'!E22+'II trimestre'!E22</f>
        <v>964242643.19999993</v>
      </c>
      <c r="F22" s="32">
        <f>+'I Trimestre'!F22+'II trimestre'!F22</f>
        <v>84694568.400000006</v>
      </c>
    </row>
    <row r="23" spans="1:6" x14ac:dyDescent="0.25">
      <c r="A23" s="5" t="s">
        <v>97</v>
      </c>
      <c r="B23" s="31">
        <f>SUM(C23:F23)</f>
        <v>6210713176.04</v>
      </c>
      <c r="C23" s="32">
        <f>+'I Trimestre'!C23+'II trimestre'!C23</f>
        <v>4835444295.1700001</v>
      </c>
      <c r="D23" s="32">
        <f>+'I Trimestre'!D23+'II trimestre'!D23</f>
        <v>390748268.19999999</v>
      </c>
      <c r="E23" s="32">
        <f>+'I Trimestre'!E23+'II trimestre'!E23</f>
        <v>980965429.52999997</v>
      </c>
      <c r="F23" s="32">
        <f>+'I Trimestre'!F23+'II trimestre'!F23</f>
        <v>3555183.14</v>
      </c>
    </row>
    <row r="24" spans="1:6" x14ac:dyDescent="0.25">
      <c r="A24" s="5" t="s">
        <v>81</v>
      </c>
      <c r="B24" s="31">
        <f>SUM(C24:F24)</f>
        <v>16365520543.099997</v>
      </c>
      <c r="C24" s="32">
        <f>+'II trimestre'!C24</f>
        <v>12230638080.699997</v>
      </c>
      <c r="D24" s="32">
        <f>+'II trimestre'!D24</f>
        <v>1537522658.4000003</v>
      </c>
      <c r="E24" s="32">
        <f>+'II trimestre'!E24</f>
        <v>2089192393.6000001</v>
      </c>
      <c r="F24" s="32">
        <f>+'II trimestre'!F24</f>
        <v>508167410.39999998</v>
      </c>
    </row>
    <row r="25" spans="1:6" x14ac:dyDescent="0.25">
      <c r="A25" s="5" t="s">
        <v>98</v>
      </c>
      <c r="B25" s="31">
        <f>C25+D25+E25+F25</f>
        <v>6210713176.04</v>
      </c>
      <c r="C25" s="32">
        <f t="shared" ref="C25:F25" si="1">C23</f>
        <v>4835444295.1700001</v>
      </c>
      <c r="D25" s="32">
        <f t="shared" si="1"/>
        <v>390748268.19999999</v>
      </c>
      <c r="E25" s="32">
        <f t="shared" si="1"/>
        <v>980965429.52999997</v>
      </c>
      <c r="F25" s="32">
        <f t="shared" si="1"/>
        <v>3555183.14</v>
      </c>
    </row>
    <row r="26" spans="1:6" x14ac:dyDescent="0.25">
      <c r="B26" s="31"/>
      <c r="C26" s="31"/>
      <c r="D26" s="31"/>
      <c r="E26" s="31"/>
      <c r="F26" s="31"/>
    </row>
    <row r="27" spans="1:6" x14ac:dyDescent="0.25">
      <c r="A27" s="24" t="s">
        <v>6</v>
      </c>
      <c r="B27" s="31"/>
      <c r="C27" s="31"/>
      <c r="D27" s="31"/>
      <c r="E27" s="31"/>
      <c r="F27" s="31"/>
    </row>
    <row r="28" spans="1:6" x14ac:dyDescent="0.25">
      <c r="A28" s="5" t="s">
        <v>96</v>
      </c>
      <c r="B28" s="32">
        <f>'I Trimestre'!B28+'II trimestre'!B28</f>
        <v>7462608424.1999989</v>
      </c>
      <c r="C28" s="31"/>
      <c r="D28" s="31"/>
      <c r="E28" s="31"/>
      <c r="F28" s="31"/>
    </row>
    <row r="29" spans="1:6" x14ac:dyDescent="0.25">
      <c r="A29" s="5" t="s">
        <v>97</v>
      </c>
      <c r="B29" s="32">
        <f>'I Trimestre'!B29+'II trimestre'!B29</f>
        <v>7643470415.29</v>
      </c>
      <c r="C29" s="31"/>
      <c r="D29" s="31"/>
      <c r="E29" s="31"/>
      <c r="F29" s="31"/>
    </row>
    <row r="30" spans="1:6" x14ac:dyDescent="0.25">
      <c r="B30" s="34"/>
      <c r="C30" s="34"/>
      <c r="D30" s="34"/>
      <c r="E30" s="34"/>
      <c r="F30" s="34"/>
    </row>
    <row r="31" spans="1:6" x14ac:dyDescent="0.25">
      <c r="A31" s="1" t="s">
        <v>7</v>
      </c>
      <c r="B31" s="34"/>
      <c r="C31" s="34"/>
      <c r="D31" s="34"/>
      <c r="E31" s="34"/>
      <c r="F31" s="34"/>
    </row>
    <row r="32" spans="1:6" x14ac:dyDescent="0.25">
      <c r="A32" s="5" t="s">
        <v>57</v>
      </c>
      <c r="B32" s="38">
        <v>1.0303325644000001</v>
      </c>
      <c r="C32" s="38">
        <v>1.0303325644000001</v>
      </c>
      <c r="D32" s="38">
        <v>1.0303325644000001</v>
      </c>
      <c r="E32" s="38">
        <v>1.0303325644000001</v>
      </c>
      <c r="F32" s="38">
        <v>1.0303325644000001</v>
      </c>
    </row>
    <row r="33" spans="1:6" x14ac:dyDescent="0.25">
      <c r="A33" s="5" t="s">
        <v>99</v>
      </c>
      <c r="B33" s="38">
        <v>1.0552807376</v>
      </c>
      <c r="C33" s="38">
        <v>1.0552807376</v>
      </c>
      <c r="D33" s="38">
        <v>1.0552807376</v>
      </c>
      <c r="E33" s="38">
        <v>1.0552807376</v>
      </c>
      <c r="F33" s="38">
        <v>1.0552807376</v>
      </c>
    </row>
    <row r="34" spans="1:6" x14ac:dyDescent="0.25">
      <c r="A34" s="5" t="s">
        <v>8</v>
      </c>
      <c r="B34" s="28" t="s">
        <v>36</v>
      </c>
      <c r="C34" s="28" t="s">
        <v>36</v>
      </c>
      <c r="D34" s="28" t="s">
        <v>36</v>
      </c>
      <c r="E34" s="28" t="s">
        <v>36</v>
      </c>
      <c r="F34" s="28" t="s">
        <v>36</v>
      </c>
    </row>
    <row r="35" spans="1:6" x14ac:dyDescent="0.25">
      <c r="B35" s="34"/>
      <c r="C35" s="34"/>
      <c r="D35" s="34"/>
      <c r="E35" s="34"/>
      <c r="F35" s="34"/>
    </row>
    <row r="36" spans="1:6" x14ac:dyDescent="0.25">
      <c r="A36" s="1" t="s">
        <v>9</v>
      </c>
      <c r="B36" s="34"/>
      <c r="C36" s="34"/>
      <c r="D36" s="34"/>
      <c r="E36" s="34"/>
      <c r="F36" s="34"/>
    </row>
    <row r="37" spans="1:6" x14ac:dyDescent="0.25">
      <c r="A37" s="5" t="s">
        <v>58</v>
      </c>
      <c r="B37" s="33">
        <f>B21/B32</f>
        <v>7068606761.1782837</v>
      </c>
      <c r="C37" s="33">
        <f t="shared" ref="C37:F37" si="2">C21/C32</f>
        <v>4807239017.3597431</v>
      </c>
      <c r="D37" s="33">
        <f t="shared" si="2"/>
        <v>1424093317.7283938</v>
      </c>
      <c r="E37" s="33">
        <f t="shared" si="2"/>
        <v>837274426.0901475</v>
      </c>
      <c r="F37" s="33">
        <f t="shared" si="2"/>
        <v>0</v>
      </c>
    </row>
    <row r="38" spans="1:6" x14ac:dyDescent="0.25">
      <c r="A38" s="5" t="s">
        <v>100</v>
      </c>
      <c r="B38" s="33">
        <f>B23/B33</f>
        <v>5885365812.859314</v>
      </c>
      <c r="C38" s="33">
        <f t="shared" ref="C38:F38" si="3">C23/C33</f>
        <v>4582140204.8587914</v>
      </c>
      <c r="D38" s="33">
        <f t="shared" si="3"/>
        <v>370278973.43096542</v>
      </c>
      <c r="E38" s="33">
        <f t="shared" si="3"/>
        <v>929577689.21375978</v>
      </c>
      <c r="F38" s="33">
        <f t="shared" si="3"/>
        <v>3368945.355797424</v>
      </c>
    </row>
    <row r="39" spans="1:6" x14ac:dyDescent="0.25">
      <c r="A39" s="5" t="s">
        <v>59</v>
      </c>
      <c r="B39" s="31">
        <f>B37/B15</f>
        <v>347596.50996664073</v>
      </c>
      <c r="C39" s="31">
        <f t="shared" ref="C39:E39" si="4">C37/C15</f>
        <v>286315.60556043737</v>
      </c>
      <c r="D39" s="31">
        <f t="shared" si="4"/>
        <v>464605.50847536087</v>
      </c>
      <c r="E39" s="31">
        <f t="shared" si="4"/>
        <v>1742506.6099690895</v>
      </c>
      <c r="F39" s="31" t="s">
        <v>36</v>
      </c>
    </row>
    <row r="40" spans="1:6" x14ac:dyDescent="0.25">
      <c r="A40" s="5" t="s">
        <v>101</v>
      </c>
      <c r="B40" s="31">
        <f>B38/B17</f>
        <v>144983.55590883511</v>
      </c>
      <c r="C40" s="31">
        <f t="shared" ref="C40:F40" si="5">C38/C17</f>
        <v>128834.84802504614</v>
      </c>
      <c r="D40" s="31">
        <f t="shared" si="5"/>
        <v>90344.997787230794</v>
      </c>
      <c r="E40" s="31">
        <f t="shared" si="5"/>
        <v>1883642.733969118</v>
      </c>
      <c r="F40" s="31">
        <f t="shared" si="5"/>
        <v>7738.7718739603924</v>
      </c>
    </row>
    <row r="41" spans="1:6" x14ac:dyDescent="0.25">
      <c r="B41" s="34"/>
      <c r="C41" s="34"/>
      <c r="D41" s="34"/>
      <c r="E41" s="34"/>
      <c r="F41" s="34"/>
    </row>
    <row r="42" spans="1:6" x14ac:dyDescent="0.25">
      <c r="A42" s="1" t="s">
        <v>10</v>
      </c>
      <c r="B42" s="34"/>
      <c r="C42" s="34"/>
      <c r="D42" s="34"/>
      <c r="E42" s="34"/>
      <c r="F42" s="34"/>
    </row>
    <row r="43" spans="1:6" x14ac:dyDescent="0.25">
      <c r="B43" s="34"/>
      <c r="C43" s="34"/>
      <c r="D43" s="34"/>
      <c r="E43" s="34"/>
      <c r="F43" s="34"/>
    </row>
    <row r="44" spans="1:6" x14ac:dyDescent="0.25">
      <c r="A44" s="1" t="s">
        <v>11</v>
      </c>
      <c r="B44" s="34"/>
      <c r="C44" s="34"/>
      <c r="D44" s="34"/>
      <c r="E44" s="34"/>
      <c r="F44" s="34"/>
    </row>
    <row r="45" spans="1:6" x14ac:dyDescent="0.25">
      <c r="A45" s="4" t="s">
        <v>12</v>
      </c>
      <c r="B45" s="30" t="s">
        <v>35</v>
      </c>
      <c r="C45" s="30" t="s">
        <v>35</v>
      </c>
      <c r="D45" s="30" t="s">
        <v>35</v>
      </c>
      <c r="E45" s="30" t="s">
        <v>35</v>
      </c>
      <c r="F45" s="30" t="s">
        <v>35</v>
      </c>
    </row>
    <row r="46" spans="1:6" x14ac:dyDescent="0.25">
      <c r="A46" s="4" t="s">
        <v>13</v>
      </c>
      <c r="B46" s="30" t="s">
        <v>35</v>
      </c>
      <c r="C46" s="30" t="s">
        <v>35</v>
      </c>
      <c r="D46" s="30" t="s">
        <v>35</v>
      </c>
      <c r="E46" s="30" t="s">
        <v>35</v>
      </c>
      <c r="F46" s="30" t="s">
        <v>35</v>
      </c>
    </row>
    <row r="47" spans="1:6" x14ac:dyDescent="0.25">
      <c r="B47" s="34"/>
      <c r="C47" s="34"/>
      <c r="D47" s="34"/>
      <c r="E47" s="34"/>
      <c r="F47" s="34"/>
    </row>
    <row r="48" spans="1:6" x14ac:dyDescent="0.25">
      <c r="A48" s="1" t="s">
        <v>14</v>
      </c>
      <c r="B48" s="34"/>
      <c r="C48" s="34"/>
      <c r="D48" s="34"/>
      <c r="E48" s="34"/>
      <c r="F48" s="34"/>
    </row>
    <row r="49" spans="1:6" x14ac:dyDescent="0.25">
      <c r="A49" s="4" t="s">
        <v>15</v>
      </c>
      <c r="B49" s="37">
        <f>B17/B16*100</f>
        <v>159.37078769319356</v>
      </c>
      <c r="C49" s="37">
        <f t="shared" ref="C49:F49" si="6">C17/C16*100</f>
        <v>166.08760623890913</v>
      </c>
      <c r="D49" s="37">
        <f t="shared" si="6"/>
        <v>380.54781801299907</v>
      </c>
      <c r="E49" s="37">
        <f t="shared" si="6"/>
        <v>107.28260869565219</v>
      </c>
      <c r="F49" s="37">
        <f t="shared" si="6"/>
        <v>17.275132275132275</v>
      </c>
    </row>
    <row r="50" spans="1:6" x14ac:dyDescent="0.25">
      <c r="A50" s="4" t="s">
        <v>16</v>
      </c>
      <c r="B50" s="37">
        <f>B23/B22*100</f>
        <v>83.224428015004634</v>
      </c>
      <c r="C50" s="37">
        <f t="shared" ref="C50:F50" si="7">C23/C22*100</f>
        <v>85.660256674594621</v>
      </c>
      <c r="D50" s="37">
        <f t="shared" si="7"/>
        <v>50.828293952640195</v>
      </c>
      <c r="E50" s="37">
        <f t="shared" si="7"/>
        <v>101.73429234310802</v>
      </c>
      <c r="F50" s="37">
        <f t="shared" si="7"/>
        <v>4.1976518768115003</v>
      </c>
    </row>
    <row r="51" spans="1:6" x14ac:dyDescent="0.25">
      <c r="A51" s="4" t="s">
        <v>17</v>
      </c>
      <c r="B51" s="37">
        <f>AVERAGE(B49:B50)</f>
        <v>121.2976078540991</v>
      </c>
      <c r="C51" s="37">
        <f t="shared" ref="C51:F51" si="8">AVERAGE(C49:C50)</f>
        <v>125.87393145675188</v>
      </c>
      <c r="D51" s="37">
        <f t="shared" si="8"/>
        <v>215.68805598281963</v>
      </c>
      <c r="E51" s="37">
        <f t="shared" si="8"/>
        <v>104.5084505193801</v>
      </c>
      <c r="F51" s="37">
        <f t="shared" si="8"/>
        <v>10.736392075971889</v>
      </c>
    </row>
    <row r="52" spans="1:6" x14ac:dyDescent="0.25">
      <c r="B52" s="37"/>
      <c r="C52" s="37"/>
      <c r="D52" s="37"/>
      <c r="E52" s="37"/>
      <c r="F52" s="37"/>
    </row>
    <row r="53" spans="1:6" x14ac:dyDescent="0.25">
      <c r="A53" s="1" t="s">
        <v>18</v>
      </c>
      <c r="B53" s="37"/>
      <c r="C53" s="37"/>
      <c r="D53" s="37"/>
      <c r="E53" s="37"/>
      <c r="F53" s="37"/>
    </row>
    <row r="54" spans="1:6" x14ac:dyDescent="0.25">
      <c r="A54" s="4" t="s">
        <v>19</v>
      </c>
      <c r="B54" s="37">
        <f>B17/(B18)*100</f>
        <v>86.580640574455231</v>
      </c>
      <c r="C54" s="37">
        <f t="shared" ref="C54:F54" si="9">C17/(C18)*100</f>
        <v>83.043803119454566</v>
      </c>
      <c r="D54" s="37">
        <f t="shared" si="9"/>
        <v>380.54781801299907</v>
      </c>
      <c r="E54" s="37">
        <f t="shared" si="9"/>
        <v>107.28260869565219</v>
      </c>
      <c r="F54" s="37">
        <f t="shared" si="9"/>
        <v>17.275132275132275</v>
      </c>
    </row>
    <row r="55" spans="1:6" x14ac:dyDescent="0.25">
      <c r="A55" s="4" t="s">
        <v>20</v>
      </c>
      <c r="B55" s="37">
        <f>B23/B24*100</f>
        <v>37.94998857313189</v>
      </c>
      <c r="C55" s="37">
        <f t="shared" ref="C55:F55" si="10">C23/C24*100</f>
        <v>39.535503080582146</v>
      </c>
      <c r="D55" s="37">
        <f t="shared" si="10"/>
        <v>25.41414697632009</v>
      </c>
      <c r="E55" s="37">
        <f t="shared" si="10"/>
        <v>46.954288773742157</v>
      </c>
      <c r="F55" s="37">
        <f t="shared" si="10"/>
        <v>0.6996086461352502</v>
      </c>
    </row>
    <row r="56" spans="1:6" x14ac:dyDescent="0.25">
      <c r="A56" s="4" t="s">
        <v>21</v>
      </c>
      <c r="B56" s="37">
        <f>(B54+B55)/2</f>
        <v>62.26531457379356</v>
      </c>
      <c r="C56" s="37">
        <f t="shared" ref="C56:F56" si="11">(C54+C55)/2</f>
        <v>61.289653100018356</v>
      </c>
      <c r="D56" s="37">
        <f t="shared" si="11"/>
        <v>202.98098249465957</v>
      </c>
      <c r="E56" s="37">
        <f t="shared" si="11"/>
        <v>77.118448734697168</v>
      </c>
      <c r="F56" s="37">
        <f t="shared" si="11"/>
        <v>8.9873704606337625</v>
      </c>
    </row>
    <row r="57" spans="1:6" x14ac:dyDescent="0.25">
      <c r="B57" s="37"/>
      <c r="C57" s="37"/>
      <c r="D57" s="37"/>
      <c r="E57" s="37"/>
      <c r="F57" s="37"/>
    </row>
    <row r="58" spans="1:6" x14ac:dyDescent="0.25">
      <c r="A58" s="1" t="s">
        <v>32</v>
      </c>
      <c r="B58" s="37"/>
      <c r="C58" s="37"/>
      <c r="D58" s="37"/>
      <c r="E58" s="37"/>
      <c r="F58" s="37"/>
    </row>
    <row r="59" spans="1:6" x14ac:dyDescent="0.25">
      <c r="A59" s="4" t="s">
        <v>22</v>
      </c>
      <c r="B59" s="37">
        <f t="shared" ref="B59" si="12">B25/B23*100</f>
        <v>100</v>
      </c>
      <c r="C59" s="37"/>
      <c r="D59" s="37"/>
      <c r="E59" s="37"/>
      <c r="F59" s="37"/>
    </row>
    <row r="60" spans="1:6" x14ac:dyDescent="0.25">
      <c r="B60" s="37"/>
      <c r="C60" s="37"/>
      <c r="D60" s="37"/>
      <c r="E60" s="37"/>
      <c r="F60" s="37"/>
    </row>
    <row r="61" spans="1:6" x14ac:dyDescent="0.25">
      <c r="A61" s="1" t="s">
        <v>23</v>
      </c>
      <c r="B61" s="37"/>
      <c r="C61" s="37"/>
      <c r="D61" s="37"/>
      <c r="E61" s="37"/>
      <c r="F61" s="37"/>
    </row>
    <row r="62" spans="1:6" x14ac:dyDescent="0.25">
      <c r="A62" s="4" t="s">
        <v>24</v>
      </c>
      <c r="B62" s="37">
        <f>((B17/B15)-1)*100</f>
        <v>99.616437457996625</v>
      </c>
      <c r="C62" s="37">
        <f t="shared" ref="C62:E62" si="13">((C17/C15)-1)*100</f>
        <v>111.82846932698034</v>
      </c>
      <c r="D62" s="37">
        <f t="shared" si="13"/>
        <v>33.712141808493271</v>
      </c>
      <c r="E62" s="37">
        <f t="shared" si="13"/>
        <v>2.7055150884495394</v>
      </c>
      <c r="F62" s="31" t="s">
        <v>36</v>
      </c>
    </row>
    <row r="63" spans="1:6" x14ac:dyDescent="0.25">
      <c r="A63" s="4" t="s">
        <v>25</v>
      </c>
      <c r="B63" s="37">
        <f>((B38/B37)-1)*100</f>
        <v>-16.739380026308503</v>
      </c>
      <c r="C63" s="37">
        <f t="shared" ref="C63:E63" si="14">((C38/C37)-1)*100</f>
        <v>-4.6824967863691054</v>
      </c>
      <c r="D63" s="37">
        <f t="shared" si="14"/>
        <v>-73.998967004380972</v>
      </c>
      <c r="E63" s="37">
        <f t="shared" si="14"/>
        <v>11.024254443629001</v>
      </c>
      <c r="F63" s="31" t="s">
        <v>36</v>
      </c>
    </row>
    <row r="64" spans="1:6" x14ac:dyDescent="0.25">
      <c r="A64" s="4" t="s">
        <v>26</v>
      </c>
      <c r="B64" s="37">
        <f>((B40/B39)-1)*100</f>
        <v>-58.289697464813628</v>
      </c>
      <c r="C64" s="37">
        <f t="shared" ref="C64:E64" si="15">((C40/C39)-1)*100</f>
        <v>-55.00250579326147</v>
      </c>
      <c r="D64" s="37">
        <f t="shared" si="15"/>
        <v>-80.554471236532493</v>
      </c>
      <c r="E64" s="37">
        <f t="shared" si="15"/>
        <v>8.0996033640602363</v>
      </c>
      <c r="F64" s="31" t="s">
        <v>36</v>
      </c>
    </row>
    <row r="65" spans="1:6" x14ac:dyDescent="0.25">
      <c r="B65" s="36"/>
      <c r="C65" s="36"/>
      <c r="D65" s="36"/>
      <c r="E65" s="36"/>
      <c r="F65" s="36"/>
    </row>
    <row r="66" spans="1:6" x14ac:dyDescent="0.25">
      <c r="A66" s="1" t="s">
        <v>27</v>
      </c>
      <c r="B66" s="37"/>
      <c r="C66" s="37"/>
      <c r="D66" s="37"/>
      <c r="E66" s="37"/>
      <c r="F66" s="37"/>
    </row>
    <row r="67" spans="1:6" x14ac:dyDescent="0.25">
      <c r="A67" s="3" t="s">
        <v>68</v>
      </c>
      <c r="B67" s="37">
        <f>B22/(B16*6)</f>
        <v>48830.751470299547</v>
      </c>
      <c r="C67" s="37">
        <f>C22/C16</f>
        <v>263608.3815914822</v>
      </c>
      <c r="D67" s="37">
        <f t="shared" ref="D67:E67" si="16">D22/(D16*6)</f>
        <v>118966.47000928505</v>
      </c>
      <c r="E67" s="37">
        <f t="shared" si="16"/>
        <v>349363.27652173908</v>
      </c>
      <c r="F67" s="37">
        <f>F22/F16</f>
        <v>33608.955714285716</v>
      </c>
    </row>
    <row r="68" spans="1:6" x14ac:dyDescent="0.25">
      <c r="A68" s="3" t="s">
        <v>69</v>
      </c>
      <c r="B68" s="37">
        <f>B23/(B17*6)</f>
        <v>25499.725636557727</v>
      </c>
      <c r="C68" s="37">
        <f>C23/C17</f>
        <v>135956.9334524546</v>
      </c>
      <c r="D68" s="37">
        <f>D23/(D17*6)</f>
        <v>15889.889317229881</v>
      </c>
      <c r="E68" s="37">
        <f t="shared" ref="E68" si="17">E23/(E17*6)</f>
        <v>331295.31561296858</v>
      </c>
      <c r="F68" s="37">
        <f>F23/(F17)</f>
        <v>8166.5768912710573</v>
      </c>
    </row>
    <row r="69" spans="1:6" x14ac:dyDescent="0.25">
      <c r="A69" s="3" t="s">
        <v>28</v>
      </c>
      <c r="B69" s="37">
        <f>(B68/B67)*B51</f>
        <v>63.342373965544922</v>
      </c>
      <c r="C69" s="37">
        <f t="shared" ref="C69:F69" si="18">(C68/C67)*C51</f>
        <v>64.919914985804155</v>
      </c>
      <c r="D69" s="37">
        <f t="shared" si="18"/>
        <v>28.808615875952249</v>
      </c>
      <c r="E69" s="37">
        <f t="shared" si="18"/>
        <v>99.103604831476673</v>
      </c>
      <c r="F69" s="37">
        <f t="shared" si="18"/>
        <v>2.6088157028333052</v>
      </c>
    </row>
    <row r="70" spans="1:6" x14ac:dyDescent="0.25">
      <c r="A70" s="3" t="s">
        <v>72</v>
      </c>
      <c r="B70" s="37">
        <f t="shared" ref="B70:F71" si="19">B22/B16</f>
        <v>292984.50882179727</v>
      </c>
      <c r="C70" s="37">
        <f>(C22/C16)*6</f>
        <v>1581650.2895488932</v>
      </c>
      <c r="D70" s="37">
        <f>D22/D16</f>
        <v>713798.82005571038</v>
      </c>
      <c r="E70" s="37">
        <f t="shared" si="19"/>
        <v>2096179.6591304347</v>
      </c>
      <c r="F70" s="37">
        <f t="shared" si="19"/>
        <v>33608.955714285716</v>
      </c>
    </row>
    <row r="71" spans="1:6" x14ac:dyDescent="0.25">
      <c r="A71" s="3" t="s">
        <v>73</v>
      </c>
      <c r="B71" s="37">
        <f t="shared" si="19"/>
        <v>152998.35381934635</v>
      </c>
      <c r="C71" s="37">
        <f>(C23/C17*6)</f>
        <v>815741.60071472754</v>
      </c>
      <c r="D71" s="37">
        <f>D23/D17</f>
        <v>95339.33590337928</v>
      </c>
      <c r="E71" s="37">
        <f t="shared" si="19"/>
        <v>1987771.8936778116</v>
      </c>
      <c r="F71" s="37">
        <f t="shared" si="19"/>
        <v>8166.5768912710573</v>
      </c>
    </row>
    <row r="72" spans="1:6" x14ac:dyDescent="0.25">
      <c r="B72" s="37"/>
      <c r="C72" s="37"/>
      <c r="D72" s="37"/>
      <c r="E72" s="37"/>
      <c r="F72" s="37"/>
    </row>
    <row r="73" spans="1:6" x14ac:dyDescent="0.25">
      <c r="A73" s="1" t="s">
        <v>29</v>
      </c>
      <c r="B73" s="37"/>
      <c r="C73" s="37"/>
      <c r="D73" s="37"/>
      <c r="E73" s="37"/>
      <c r="F73" s="37"/>
    </row>
    <row r="74" spans="1:6" x14ac:dyDescent="0.25">
      <c r="A74" s="4" t="s">
        <v>30</v>
      </c>
      <c r="B74" s="36">
        <f>(B29/B28)*100</f>
        <v>102.4235760582519</v>
      </c>
      <c r="C74" s="37"/>
      <c r="D74" s="37"/>
      <c r="E74" s="37"/>
      <c r="F74" s="37"/>
    </row>
    <row r="75" spans="1:6" x14ac:dyDescent="0.25">
      <c r="A75" s="4" t="s">
        <v>31</v>
      </c>
      <c r="B75" s="36">
        <f>(B23/B29)*100</f>
        <v>81.255147709031334</v>
      </c>
      <c r="C75" s="37"/>
      <c r="D75" s="37"/>
      <c r="E75" s="37"/>
      <c r="F75" s="37"/>
    </row>
    <row r="76" spans="1:6" ht="15.75" thickBot="1" x14ac:dyDescent="0.3">
      <c r="A76" s="7"/>
      <c r="B76" s="7"/>
      <c r="C76" s="7"/>
      <c r="D76" s="7"/>
      <c r="E76" s="7"/>
      <c r="F76" s="7"/>
    </row>
    <row r="77" spans="1:6" s="19" customFormat="1" ht="16.5" customHeight="1" thickTop="1" x14ac:dyDescent="0.25">
      <c r="A77" s="55" t="s">
        <v>86</v>
      </c>
      <c r="B77" s="55"/>
      <c r="C77" s="55"/>
      <c r="D77" s="55"/>
      <c r="E77" s="55"/>
      <c r="F77" s="55"/>
    </row>
    <row r="78" spans="1:6" s="13" customFormat="1" ht="14.25" customHeight="1" x14ac:dyDescent="0.25"/>
    <row r="79" spans="1:6" s="13" customFormat="1" x14ac:dyDescent="0.25">
      <c r="A79" s="20"/>
    </row>
    <row r="80" spans="1:6" s="13" customFormat="1" x14ac:dyDescent="0.25">
      <c r="A80" s="21" t="s">
        <v>87</v>
      </c>
    </row>
    <row r="81" spans="1:6" s="13" customFormat="1" ht="129.75" customHeight="1" x14ac:dyDescent="0.25">
      <c r="A81" s="49" t="s">
        <v>129</v>
      </c>
      <c r="B81" s="49"/>
      <c r="C81" s="49"/>
      <c r="D81" s="49"/>
      <c r="E81" s="49"/>
      <c r="F81" s="49"/>
    </row>
    <row r="85" spans="1:6" x14ac:dyDescent="0.25">
      <c r="A85" s="2"/>
    </row>
    <row r="86" spans="1:6" x14ac:dyDescent="0.25">
      <c r="A86" s="2"/>
    </row>
    <row r="87" spans="1:6" x14ac:dyDescent="0.25">
      <c r="A87" s="2"/>
    </row>
    <row r="89" spans="1:6" x14ac:dyDescent="0.25">
      <c r="A89" s="3"/>
    </row>
  </sheetData>
  <mergeCells count="5">
    <mergeCell ref="A9:A10"/>
    <mergeCell ref="B9:B10"/>
    <mergeCell ref="C9:F9"/>
    <mergeCell ref="A77:F77"/>
    <mergeCell ref="A81:F81"/>
  </mergeCells>
  <pageMargins left="0.7" right="0.7" top="0.75" bottom="0.75" header="0.3" footer="0.3"/>
  <ignoredErrors>
    <ignoredError sqref="F41:F48" evalError="1"/>
    <ignoredError sqref="C67:C71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4" customWidth="1"/>
    <col min="2" max="6" width="24.7109375" style="4" customWidth="1"/>
    <col min="7" max="16384" width="11.42578125" style="4"/>
  </cols>
  <sheetData>
    <row r="9" spans="1:6" s="13" customFormat="1" x14ac:dyDescent="0.25">
      <c r="A9" s="50" t="s">
        <v>0</v>
      </c>
      <c r="B9" s="52" t="s">
        <v>1</v>
      </c>
      <c r="C9" s="54" t="s">
        <v>2</v>
      </c>
      <c r="D9" s="54"/>
      <c r="E9" s="54"/>
      <c r="F9" s="54"/>
    </row>
    <row r="10" spans="1:6" s="16" customFormat="1" ht="60.75" thickBot="1" x14ac:dyDescent="0.3">
      <c r="A10" s="51"/>
      <c r="B10" s="53"/>
      <c r="C10" s="14" t="s">
        <v>39</v>
      </c>
      <c r="D10" s="14" t="s">
        <v>76</v>
      </c>
      <c r="E10" s="14" t="s">
        <v>77</v>
      </c>
      <c r="F10" s="14" t="s">
        <v>78</v>
      </c>
    </row>
    <row r="11" spans="1:6" ht="15.75" thickTop="1" x14ac:dyDescent="0.25"/>
    <row r="12" spans="1:6" x14ac:dyDescent="0.25">
      <c r="A12" s="1" t="s">
        <v>3</v>
      </c>
    </row>
    <row r="14" spans="1:6" x14ac:dyDescent="0.25">
      <c r="A14" s="1" t="s">
        <v>4</v>
      </c>
    </row>
    <row r="15" spans="1:6" x14ac:dyDescent="0.25">
      <c r="A15" s="6" t="s">
        <v>48</v>
      </c>
      <c r="B15" s="31">
        <f>C15+D15+E15+F15</f>
        <v>17660</v>
      </c>
      <c r="C15" s="31">
        <v>14027</v>
      </c>
      <c r="D15" s="32">
        <v>3093</v>
      </c>
      <c r="E15" s="31">
        <v>540</v>
      </c>
      <c r="F15" s="31">
        <v>0</v>
      </c>
    </row>
    <row r="16" spans="1:6" x14ac:dyDescent="0.25">
      <c r="A16" s="6" t="s">
        <v>102</v>
      </c>
      <c r="B16" s="31">
        <f t="shared" ref="B16:B18" si="0">C16+D16+E16+F16</f>
        <v>14764</v>
      </c>
      <c r="C16" s="31">
        <v>10707</v>
      </c>
      <c r="D16" s="32">
        <v>1077</v>
      </c>
      <c r="E16" s="31">
        <v>460</v>
      </c>
      <c r="F16" s="32">
        <v>2520</v>
      </c>
    </row>
    <row r="17" spans="1:6" x14ac:dyDescent="0.25">
      <c r="A17" s="6" t="s">
        <v>103</v>
      </c>
      <c r="B17" s="31">
        <f t="shared" si="0"/>
        <v>30838</v>
      </c>
      <c r="C17" s="31">
        <v>21700</v>
      </c>
      <c r="D17" s="32">
        <v>4425</v>
      </c>
      <c r="E17" s="31">
        <v>434</v>
      </c>
      <c r="F17" s="31">
        <v>4279</v>
      </c>
    </row>
    <row r="18" spans="1:6" s="3" customFormat="1" x14ac:dyDescent="0.25">
      <c r="A18" s="6" t="s">
        <v>81</v>
      </c>
      <c r="B18" s="31">
        <f t="shared" si="0"/>
        <v>46885</v>
      </c>
      <c r="C18" s="32">
        <v>42828</v>
      </c>
      <c r="D18" s="32">
        <v>1077</v>
      </c>
      <c r="E18" s="32">
        <v>460</v>
      </c>
      <c r="F18" s="32">
        <v>2520</v>
      </c>
    </row>
    <row r="19" spans="1:6" x14ac:dyDescent="0.25">
      <c r="A19" s="3"/>
      <c r="B19" s="31"/>
      <c r="C19" s="31"/>
      <c r="D19" s="31"/>
      <c r="E19" s="31"/>
      <c r="F19" s="31"/>
    </row>
    <row r="20" spans="1:6" x14ac:dyDescent="0.25">
      <c r="A20" s="25" t="s">
        <v>5</v>
      </c>
      <c r="B20" s="31"/>
      <c r="C20" s="31"/>
      <c r="D20" s="31"/>
      <c r="E20" s="31"/>
      <c r="F20" s="31"/>
    </row>
    <row r="21" spans="1:6" x14ac:dyDescent="0.25">
      <c r="A21" s="6" t="s">
        <v>48</v>
      </c>
      <c r="B21" s="31">
        <f>SUM(C21:F21)</f>
        <v>2614551444.3299999</v>
      </c>
      <c r="C21" s="31">
        <v>2193612058.5700002</v>
      </c>
      <c r="D21" s="32">
        <v>0</v>
      </c>
      <c r="E21" s="31">
        <v>420939385.75999999</v>
      </c>
      <c r="F21" s="31">
        <v>0</v>
      </c>
    </row>
    <row r="22" spans="1:6" x14ac:dyDescent="0.25">
      <c r="A22" s="6" t="s">
        <v>102</v>
      </c>
      <c r="B22" s="31">
        <f>SUM(C22:F22)</f>
        <v>3943040633.0999994</v>
      </c>
      <c r="C22" s="31">
        <v>2822454941.6999998</v>
      </c>
      <c r="D22" s="32">
        <v>384380664.60000002</v>
      </c>
      <c r="E22" s="31">
        <v>482121321.59999996</v>
      </c>
      <c r="F22" s="31">
        <v>254083705.20000002</v>
      </c>
    </row>
    <row r="23" spans="1:6" x14ac:dyDescent="0.25">
      <c r="A23" s="6" t="s">
        <v>103</v>
      </c>
      <c r="B23" s="31">
        <f>SUM(C23:F23)</f>
        <v>3287916709.5200005</v>
      </c>
      <c r="C23" s="31">
        <v>2373480099.5700002</v>
      </c>
      <c r="D23" s="32">
        <v>345717308.70000005</v>
      </c>
      <c r="E23" s="31">
        <v>515023998.89000005</v>
      </c>
      <c r="F23" s="31">
        <v>53695302.359999999</v>
      </c>
    </row>
    <row r="24" spans="1:6" x14ac:dyDescent="0.25">
      <c r="A24" s="6" t="s">
        <v>81</v>
      </c>
      <c r="B24" s="31">
        <f>SUM(C24:F24)</f>
        <v>16365520543.099997</v>
      </c>
      <c r="C24" s="31">
        <v>12230638080.699997</v>
      </c>
      <c r="D24" s="32">
        <v>1537522658.4000003</v>
      </c>
      <c r="E24" s="31">
        <v>2089192393.6000001</v>
      </c>
      <c r="F24" s="31">
        <v>508167410.39999998</v>
      </c>
    </row>
    <row r="25" spans="1:6" x14ac:dyDescent="0.25">
      <c r="A25" s="6" t="s">
        <v>104</v>
      </c>
      <c r="B25" s="31">
        <f>C25+D25+E25+F25</f>
        <v>3287916709.5200005</v>
      </c>
      <c r="C25" s="32">
        <f>+C23</f>
        <v>2373480099.5700002</v>
      </c>
      <c r="D25" s="32">
        <f t="shared" ref="D25:F25" si="1">+D23</f>
        <v>345717308.70000005</v>
      </c>
      <c r="E25" s="32">
        <f t="shared" si="1"/>
        <v>515023998.89000005</v>
      </c>
      <c r="F25" s="32">
        <f t="shared" si="1"/>
        <v>53695302.359999999</v>
      </c>
    </row>
    <row r="26" spans="1:6" x14ac:dyDescent="0.25">
      <c r="A26" s="3"/>
      <c r="B26" s="31"/>
      <c r="C26" s="31"/>
      <c r="D26" s="31"/>
      <c r="E26" s="31"/>
      <c r="F26" s="31"/>
    </row>
    <row r="27" spans="1:6" x14ac:dyDescent="0.25">
      <c r="A27" s="25" t="s">
        <v>6</v>
      </c>
      <c r="B27" s="31"/>
      <c r="C27" s="31"/>
      <c r="D27" s="31"/>
      <c r="E27" s="31"/>
      <c r="F27" s="31"/>
    </row>
    <row r="28" spans="1:6" x14ac:dyDescent="0.25">
      <c r="A28" s="6" t="s">
        <v>102</v>
      </c>
      <c r="B28" s="32">
        <f>B22</f>
        <v>3943040633.0999994</v>
      </c>
      <c r="C28" s="31"/>
      <c r="D28" s="31"/>
      <c r="E28" s="31"/>
      <c r="F28" s="31"/>
    </row>
    <row r="29" spans="1:6" x14ac:dyDescent="0.25">
      <c r="A29" s="6" t="s">
        <v>103</v>
      </c>
      <c r="B29" s="32">
        <v>4021861641.54</v>
      </c>
      <c r="C29" s="31"/>
      <c r="D29" s="31"/>
      <c r="E29" s="31"/>
      <c r="F29" s="31"/>
    </row>
    <row r="30" spans="1:6" x14ac:dyDescent="0.25">
      <c r="A30" s="3"/>
      <c r="B30" s="34"/>
      <c r="C30" s="34"/>
      <c r="D30" s="34"/>
      <c r="E30" s="34"/>
      <c r="F30" s="34"/>
    </row>
    <row r="31" spans="1:6" x14ac:dyDescent="0.25">
      <c r="A31" s="8" t="s">
        <v>7</v>
      </c>
      <c r="B31" s="34"/>
      <c r="C31" s="34"/>
      <c r="D31" s="34"/>
      <c r="E31" s="34"/>
      <c r="F31" s="34"/>
    </row>
    <row r="32" spans="1:6" x14ac:dyDescent="0.25">
      <c r="A32" s="6" t="s">
        <v>49</v>
      </c>
      <c r="B32" s="39">
        <v>1.0347772084</v>
      </c>
      <c r="C32" s="39">
        <v>1.0347772084</v>
      </c>
      <c r="D32" s="39">
        <v>1.0347772084</v>
      </c>
      <c r="E32" s="39">
        <v>1.0347772084</v>
      </c>
      <c r="F32" s="39">
        <v>1.0347772084</v>
      </c>
    </row>
    <row r="33" spans="1:6" x14ac:dyDescent="0.25">
      <c r="A33" s="6" t="s">
        <v>105</v>
      </c>
      <c r="B33" s="39">
        <v>1.060947463</v>
      </c>
      <c r="C33" s="39">
        <v>1.060947463</v>
      </c>
      <c r="D33" s="39">
        <v>1.060947463</v>
      </c>
      <c r="E33" s="39">
        <v>1.060947463</v>
      </c>
      <c r="F33" s="39">
        <v>1.060947463</v>
      </c>
    </row>
    <row r="34" spans="1:6" x14ac:dyDescent="0.25">
      <c r="A34" s="6" t="s">
        <v>8</v>
      </c>
      <c r="B34" s="27" t="s">
        <v>36</v>
      </c>
      <c r="C34" s="27" t="s">
        <v>36</v>
      </c>
      <c r="D34" s="27" t="s">
        <v>36</v>
      </c>
      <c r="E34" s="27" t="s">
        <v>36</v>
      </c>
      <c r="F34" s="27" t="s">
        <v>36</v>
      </c>
    </row>
    <row r="35" spans="1:6" x14ac:dyDescent="0.25">
      <c r="B35" s="34"/>
      <c r="C35" s="34"/>
      <c r="D35" s="34"/>
      <c r="E35" s="34"/>
      <c r="F35" s="34"/>
    </row>
    <row r="36" spans="1:6" x14ac:dyDescent="0.25">
      <c r="A36" s="8" t="s">
        <v>9</v>
      </c>
      <c r="B36" s="34"/>
      <c r="C36" s="34"/>
      <c r="D36" s="34"/>
      <c r="E36" s="34"/>
      <c r="F36" s="34"/>
    </row>
    <row r="37" spans="1:6" x14ac:dyDescent="0.25">
      <c r="A37" s="5" t="s">
        <v>50</v>
      </c>
      <c r="B37" s="33">
        <f>B21/B32</f>
        <v>2526680548.3401484</v>
      </c>
      <c r="C37" s="33">
        <f t="shared" ref="C37:F37" si="2">C21/C32</f>
        <v>2119888262.6742635</v>
      </c>
      <c r="D37" s="33">
        <f t="shared" si="2"/>
        <v>0</v>
      </c>
      <c r="E37" s="33">
        <f t="shared" si="2"/>
        <v>406792285.66588515</v>
      </c>
      <c r="F37" s="33">
        <f t="shared" si="2"/>
        <v>0</v>
      </c>
    </row>
    <row r="38" spans="1:6" x14ac:dyDescent="0.25">
      <c r="A38" s="5" t="s">
        <v>106</v>
      </c>
      <c r="B38" s="33">
        <f>B23/B33</f>
        <v>3099038193.863894</v>
      </c>
      <c r="C38" s="33">
        <f t="shared" ref="C38:F38" si="3">C23/C33</f>
        <v>2237132546.4680433</v>
      </c>
      <c r="D38" s="33">
        <f t="shared" si="3"/>
        <v>325857142.56050777</v>
      </c>
      <c r="E38" s="33">
        <f t="shared" si="3"/>
        <v>485437796.7347098</v>
      </c>
      <c r="F38" s="33">
        <f t="shared" si="3"/>
        <v>50610708.100632876</v>
      </c>
    </row>
    <row r="39" spans="1:6" x14ac:dyDescent="0.25">
      <c r="A39" s="5" t="s">
        <v>51</v>
      </c>
      <c r="B39" s="32">
        <f t="shared" ref="B39" si="4">B37/B15</f>
        <v>143073.64373387024</v>
      </c>
      <c r="C39" s="32">
        <f t="shared" ref="C39:E39" si="5">C37/C15</f>
        <v>151129.12687490293</v>
      </c>
      <c r="D39" s="32">
        <f t="shared" si="5"/>
        <v>0</v>
      </c>
      <c r="E39" s="32">
        <f t="shared" si="5"/>
        <v>753319.04752941697</v>
      </c>
      <c r="F39" s="32" t="s">
        <v>36</v>
      </c>
    </row>
    <row r="40" spans="1:6" x14ac:dyDescent="0.25">
      <c r="A40" s="5" t="s">
        <v>107</v>
      </c>
      <c r="B40" s="31">
        <f>B38/B17</f>
        <v>100494.13690459478</v>
      </c>
      <c r="C40" s="31">
        <f t="shared" ref="C40:F40" si="6">C38/C17</f>
        <v>103093.66573585453</v>
      </c>
      <c r="D40" s="31">
        <f t="shared" si="6"/>
        <v>73640.032217063897</v>
      </c>
      <c r="E40" s="31">
        <f t="shared" si="6"/>
        <v>1118520.2689739857</v>
      </c>
      <c r="F40" s="31">
        <f t="shared" si="6"/>
        <v>11827.69527941876</v>
      </c>
    </row>
    <row r="41" spans="1:6" x14ac:dyDescent="0.25">
      <c r="B41" s="34"/>
      <c r="C41" s="34"/>
      <c r="D41" s="34"/>
      <c r="E41" s="34"/>
      <c r="F41" s="34"/>
    </row>
    <row r="42" spans="1:6" x14ac:dyDescent="0.25">
      <c r="A42" s="1" t="s">
        <v>10</v>
      </c>
      <c r="B42" s="34"/>
      <c r="C42" s="34"/>
      <c r="D42" s="34"/>
      <c r="E42" s="34"/>
      <c r="F42" s="34"/>
    </row>
    <row r="43" spans="1:6" x14ac:dyDescent="0.25">
      <c r="B43" s="34"/>
      <c r="C43" s="34"/>
      <c r="D43" s="34"/>
      <c r="E43" s="34"/>
      <c r="F43" s="34"/>
    </row>
    <row r="44" spans="1:6" x14ac:dyDescent="0.25">
      <c r="A44" s="1" t="s">
        <v>11</v>
      </c>
      <c r="B44" s="34"/>
      <c r="C44" s="34"/>
      <c r="D44" s="34"/>
      <c r="E44" s="34"/>
      <c r="F44" s="34"/>
    </row>
    <row r="45" spans="1:6" x14ac:dyDescent="0.25">
      <c r="A45" s="4" t="s">
        <v>12</v>
      </c>
      <c r="B45" s="30" t="s">
        <v>35</v>
      </c>
      <c r="C45" s="30" t="s">
        <v>35</v>
      </c>
      <c r="D45" s="30" t="s">
        <v>35</v>
      </c>
      <c r="E45" s="30" t="s">
        <v>35</v>
      </c>
      <c r="F45" s="30" t="s">
        <v>35</v>
      </c>
    </row>
    <row r="46" spans="1:6" x14ac:dyDescent="0.25">
      <c r="A46" s="4" t="s">
        <v>13</v>
      </c>
      <c r="B46" s="30" t="s">
        <v>35</v>
      </c>
      <c r="C46" s="30" t="s">
        <v>35</v>
      </c>
      <c r="D46" s="30" t="s">
        <v>35</v>
      </c>
      <c r="E46" s="30" t="s">
        <v>35</v>
      </c>
      <c r="F46" s="30" t="s">
        <v>35</v>
      </c>
    </row>
    <row r="47" spans="1:6" x14ac:dyDescent="0.25">
      <c r="B47" s="34"/>
      <c r="C47" s="34"/>
      <c r="D47" s="34"/>
      <c r="E47" s="34"/>
      <c r="F47" s="34"/>
    </row>
    <row r="48" spans="1:6" x14ac:dyDescent="0.25">
      <c r="A48" s="1" t="s">
        <v>14</v>
      </c>
      <c r="B48" s="34"/>
      <c r="C48" s="34"/>
      <c r="D48" s="34"/>
      <c r="E48" s="34"/>
      <c r="F48" s="34"/>
    </row>
    <row r="49" spans="1:6" x14ac:dyDescent="0.25">
      <c r="A49" s="4" t="s">
        <v>15</v>
      </c>
      <c r="B49" s="37">
        <f>B17/B16*100</f>
        <v>208.87293416418316</v>
      </c>
      <c r="C49" s="37">
        <f t="shared" ref="C49:F49" si="7">C17/C16*100</f>
        <v>202.67114971513962</v>
      </c>
      <c r="D49" s="37">
        <f t="shared" si="7"/>
        <v>410.86350974930366</v>
      </c>
      <c r="E49" s="37">
        <f t="shared" si="7"/>
        <v>94.347826086956516</v>
      </c>
      <c r="F49" s="37">
        <f t="shared" si="7"/>
        <v>169.80158730158729</v>
      </c>
    </row>
    <row r="50" spans="1:6" x14ac:dyDescent="0.25">
      <c r="A50" s="4" t="s">
        <v>16</v>
      </c>
      <c r="B50" s="37">
        <f>B23/B22*100</f>
        <v>83.38531137415788</v>
      </c>
      <c r="C50" s="37">
        <f t="shared" ref="C50:F50" si="8">C23/C22*100</f>
        <v>84.092754307724164</v>
      </c>
      <c r="D50" s="37">
        <f t="shared" si="8"/>
        <v>89.941388976931393</v>
      </c>
      <c r="E50" s="37">
        <f t="shared" si="8"/>
        <v>106.82456382157235</v>
      </c>
      <c r="F50" s="37">
        <f t="shared" si="8"/>
        <v>21.132918507203822</v>
      </c>
    </row>
    <row r="51" spans="1:6" x14ac:dyDescent="0.25">
      <c r="A51" s="4" t="s">
        <v>17</v>
      </c>
      <c r="B51" s="37">
        <f>AVERAGE(B49:B50)</f>
        <v>146.12912276917052</v>
      </c>
      <c r="C51" s="37">
        <f t="shared" ref="C51:F51" si="9">AVERAGE(C49:C50)</f>
        <v>143.38195201143191</v>
      </c>
      <c r="D51" s="37">
        <f t="shared" si="9"/>
        <v>250.40244936311751</v>
      </c>
      <c r="E51" s="37">
        <f t="shared" si="9"/>
        <v>100.58619495426444</v>
      </c>
      <c r="F51" s="37">
        <f t="shared" si="9"/>
        <v>95.467252904395551</v>
      </c>
    </row>
    <row r="52" spans="1:6" x14ac:dyDescent="0.25">
      <c r="B52" s="37"/>
      <c r="C52" s="37"/>
      <c r="D52" s="37"/>
      <c r="E52" s="37"/>
      <c r="F52" s="37"/>
    </row>
    <row r="53" spans="1:6" x14ac:dyDescent="0.25">
      <c r="A53" s="1" t="s">
        <v>18</v>
      </c>
      <c r="B53" s="37"/>
      <c r="C53" s="37"/>
      <c r="D53" s="37"/>
      <c r="E53" s="37"/>
      <c r="F53" s="37"/>
    </row>
    <row r="54" spans="1:6" x14ac:dyDescent="0.25">
      <c r="A54" s="4" t="s">
        <v>19</v>
      </c>
      <c r="B54" s="37">
        <f>B17/B18*100</f>
        <v>65.77370161032313</v>
      </c>
      <c r="C54" s="37">
        <f t="shared" ref="C54:F54" si="10">C17/C18*100</f>
        <v>50.667787428784905</v>
      </c>
      <c r="D54" s="37">
        <f t="shared" si="10"/>
        <v>410.86350974930366</v>
      </c>
      <c r="E54" s="37">
        <f t="shared" si="10"/>
        <v>94.347826086956516</v>
      </c>
      <c r="F54" s="37">
        <f t="shared" si="10"/>
        <v>169.80158730158729</v>
      </c>
    </row>
    <row r="55" spans="1:6" x14ac:dyDescent="0.25">
      <c r="A55" s="4" t="s">
        <v>20</v>
      </c>
      <c r="B55" s="37">
        <f>B23/B24*100</f>
        <v>20.090511028115426</v>
      </c>
      <c r="C55" s="37">
        <f t="shared" ref="C55:F55" si="11">C23/C24*100</f>
        <v>19.406020224859429</v>
      </c>
      <c r="D55" s="37">
        <f t="shared" si="11"/>
        <v>22.485347244232845</v>
      </c>
      <c r="E55" s="37">
        <f t="shared" si="11"/>
        <v>24.651822420362844</v>
      </c>
      <c r="F55" s="37">
        <f t="shared" si="11"/>
        <v>10.566459253601913</v>
      </c>
    </row>
    <row r="56" spans="1:6" x14ac:dyDescent="0.25">
      <c r="A56" s="4" t="s">
        <v>21</v>
      </c>
      <c r="B56" s="37">
        <f>(B54+B55)/2</f>
        <v>42.93210631921928</v>
      </c>
      <c r="C56" s="37">
        <f t="shared" ref="C56:F56" si="12">(C54+C55)/2</f>
        <v>35.036903826822169</v>
      </c>
      <c r="D56" s="37">
        <f t="shared" si="12"/>
        <v>216.67442849676826</v>
      </c>
      <c r="E56" s="37">
        <f t="shared" si="12"/>
        <v>59.499824253659682</v>
      </c>
      <c r="F56" s="37">
        <f t="shared" si="12"/>
        <v>90.184023277594605</v>
      </c>
    </row>
    <row r="57" spans="1:6" x14ac:dyDescent="0.25">
      <c r="B57" s="37"/>
      <c r="C57" s="37"/>
      <c r="D57" s="37"/>
      <c r="E57" s="37"/>
      <c r="F57" s="37"/>
    </row>
    <row r="58" spans="1:6" x14ac:dyDescent="0.25">
      <c r="A58" s="1" t="s">
        <v>32</v>
      </c>
      <c r="B58" s="37"/>
      <c r="C58" s="37"/>
      <c r="D58" s="37"/>
      <c r="E58" s="37"/>
      <c r="F58" s="37"/>
    </row>
    <row r="59" spans="1:6" x14ac:dyDescent="0.25">
      <c r="A59" s="4" t="s">
        <v>22</v>
      </c>
      <c r="B59" s="37">
        <f t="shared" ref="B59" si="13">B25/B23*100</f>
        <v>100</v>
      </c>
      <c r="C59" s="37"/>
      <c r="D59" s="37"/>
      <c r="E59" s="37"/>
      <c r="F59" s="37"/>
    </row>
    <row r="60" spans="1:6" x14ac:dyDescent="0.25">
      <c r="B60" s="37"/>
      <c r="C60" s="37"/>
      <c r="D60" s="37"/>
      <c r="E60" s="37"/>
      <c r="F60" s="37"/>
    </row>
    <row r="61" spans="1:6" x14ac:dyDescent="0.25">
      <c r="A61" s="1" t="s">
        <v>23</v>
      </c>
      <c r="B61" s="37"/>
      <c r="C61" s="37"/>
      <c r="D61" s="37"/>
      <c r="E61" s="37"/>
      <c r="F61" s="37"/>
    </row>
    <row r="62" spans="1:6" x14ac:dyDescent="0.25">
      <c r="A62" s="4" t="s">
        <v>24</v>
      </c>
      <c r="B62" s="37">
        <f>((B17/B15)-1)*100</f>
        <v>74.620611551528881</v>
      </c>
      <c r="C62" s="37">
        <f t="shared" ref="C62:E62" si="14">((C17/C15)-1)*100</f>
        <v>54.70164682398233</v>
      </c>
      <c r="D62" s="37">
        <f t="shared" si="14"/>
        <v>43.064985451018423</v>
      </c>
      <c r="E62" s="37">
        <f t="shared" si="14"/>
        <v>-19.62962962962963</v>
      </c>
      <c r="F62" s="32" t="s">
        <v>36</v>
      </c>
    </row>
    <row r="63" spans="1:6" x14ac:dyDescent="0.25">
      <c r="A63" s="4" t="s">
        <v>25</v>
      </c>
      <c r="B63" s="37">
        <f>((B38/B37)-1)*100</f>
        <v>22.652552808852079</v>
      </c>
      <c r="C63" s="37">
        <f t="shared" ref="C63:E63" si="15">((C38/C37)-1)*100</f>
        <v>5.5306822467083627</v>
      </c>
      <c r="D63" s="32" t="s">
        <v>36</v>
      </c>
      <c r="E63" s="37">
        <f t="shared" si="15"/>
        <v>19.333088123853791</v>
      </c>
      <c r="F63" s="32" t="s">
        <v>36</v>
      </c>
    </row>
    <row r="64" spans="1:6" x14ac:dyDescent="0.25">
      <c r="A64" s="4" t="s">
        <v>26</v>
      </c>
      <c r="B64" s="37">
        <f t="shared" ref="B64" si="16">((B40/B39)-1)*100</f>
        <v>-29.760552480565284</v>
      </c>
      <c r="C64" s="37">
        <f t="shared" ref="C64:E64" si="17">((C40/C39)-1)*100</f>
        <v>-31.78438341591805</v>
      </c>
      <c r="D64" s="32" t="s">
        <v>36</v>
      </c>
      <c r="E64" s="37">
        <f t="shared" si="17"/>
        <v>48.478957573458636</v>
      </c>
      <c r="F64" s="32" t="s">
        <v>36</v>
      </c>
    </row>
    <row r="65" spans="1:6" x14ac:dyDescent="0.25">
      <c r="B65" s="36"/>
      <c r="C65" s="36"/>
      <c r="D65" s="36"/>
      <c r="E65" s="36"/>
      <c r="F65" s="36"/>
    </row>
    <row r="66" spans="1:6" x14ac:dyDescent="0.25">
      <c r="A66" s="1" t="s">
        <v>27</v>
      </c>
      <c r="B66" s="37"/>
      <c r="C66" s="37"/>
      <c r="D66" s="37"/>
      <c r="E66" s="37"/>
      <c r="F66" s="37"/>
    </row>
    <row r="67" spans="1:6" x14ac:dyDescent="0.25">
      <c r="A67" s="3" t="s">
        <v>68</v>
      </c>
      <c r="B67" s="37">
        <f>B22/(B16*3)</f>
        <v>89023.765761311282</v>
      </c>
      <c r="C67" s="37">
        <f>C22/(C16)</f>
        <v>263608.3815914822</v>
      </c>
      <c r="D67" s="37">
        <f t="shared" ref="D67:F67" si="18">D22/(D16*3)</f>
        <v>118966.47000928505</v>
      </c>
      <c r="E67" s="37">
        <f t="shared" si="18"/>
        <v>349363.27652173908</v>
      </c>
      <c r="F67" s="37">
        <f t="shared" si="18"/>
        <v>33608.955714285716</v>
      </c>
    </row>
    <row r="68" spans="1:6" x14ac:dyDescent="0.25">
      <c r="A68" s="3" t="s">
        <v>69</v>
      </c>
      <c r="B68" s="37">
        <f t="shared" ref="B68:F68" si="19">B23/(B17*3)</f>
        <v>35539.666531768169</v>
      </c>
      <c r="C68" s="37">
        <f>C23/(C17)</f>
        <v>109376.9631138249</v>
      </c>
      <c r="D68" s="37">
        <f t="shared" si="19"/>
        <v>26042.735118644072</v>
      </c>
      <c r="E68" s="37">
        <f t="shared" si="19"/>
        <v>395563.74722734257</v>
      </c>
      <c r="F68" s="37">
        <f t="shared" si="19"/>
        <v>4182.8544332788033</v>
      </c>
    </row>
    <row r="69" spans="1:6" x14ac:dyDescent="0.25">
      <c r="A69" s="3" t="s">
        <v>28</v>
      </c>
      <c r="B69" s="37">
        <f>(B68/B67)*B51</f>
        <v>58.337009779169726</v>
      </c>
      <c r="C69" s="37">
        <f t="shared" ref="C69" si="20">(C68/C67)*C51</f>
        <v>59.492351425480408</v>
      </c>
      <c r="D69" s="37">
        <f t="shared" ref="D69:F69" si="21">(D68/D67)*D51</f>
        <v>54.81514801031242</v>
      </c>
      <c r="E69" s="37">
        <f t="shared" si="21"/>
        <v>113.88790656986249</v>
      </c>
      <c r="F69" s="37">
        <f t="shared" si="21"/>
        <v>11.881524241301063</v>
      </c>
    </row>
    <row r="70" spans="1:6" x14ac:dyDescent="0.25">
      <c r="A70" s="3" t="s">
        <v>70</v>
      </c>
      <c r="B70" s="37">
        <f t="shared" ref="B70:F71" si="22">B22/B16</f>
        <v>267071.29728393385</v>
      </c>
      <c r="C70" s="37">
        <f>(C22/C16)*3</f>
        <v>790825.14477444661</v>
      </c>
      <c r="D70" s="37">
        <f t="shared" si="22"/>
        <v>356899.41002785519</v>
      </c>
      <c r="E70" s="37">
        <f t="shared" si="22"/>
        <v>1048089.8295652174</v>
      </c>
      <c r="F70" s="37">
        <f t="shared" si="22"/>
        <v>100826.86714285715</v>
      </c>
    </row>
    <row r="71" spans="1:6" x14ac:dyDescent="0.25">
      <c r="A71" s="3" t="s">
        <v>71</v>
      </c>
      <c r="B71" s="37">
        <f t="shared" si="22"/>
        <v>106618.99959530451</v>
      </c>
      <c r="C71" s="37">
        <f>(C23/C17)*3</f>
        <v>328130.88934147469</v>
      </c>
      <c r="D71" s="37">
        <f t="shared" si="22"/>
        <v>78128.205355932208</v>
      </c>
      <c r="E71" s="37">
        <f t="shared" si="22"/>
        <v>1186691.2416820277</v>
      </c>
      <c r="F71" s="37">
        <f t="shared" si="22"/>
        <v>12548.563299836411</v>
      </c>
    </row>
    <row r="72" spans="1:6" x14ac:dyDescent="0.25">
      <c r="B72" s="37"/>
      <c r="C72" s="37"/>
      <c r="D72" s="37"/>
      <c r="E72" s="37"/>
      <c r="F72" s="37"/>
    </row>
    <row r="73" spans="1:6" x14ac:dyDescent="0.25">
      <c r="A73" s="1" t="s">
        <v>29</v>
      </c>
      <c r="B73" s="37"/>
      <c r="C73" s="37"/>
      <c r="D73" s="37"/>
      <c r="E73" s="37"/>
      <c r="F73" s="37"/>
    </row>
    <row r="74" spans="1:6" x14ac:dyDescent="0.25">
      <c r="A74" s="4" t="s">
        <v>30</v>
      </c>
      <c r="B74" s="36">
        <f>(B29/B28)*100</f>
        <v>101.99899051960901</v>
      </c>
      <c r="C74" s="37"/>
      <c r="D74" s="37"/>
      <c r="E74" s="37"/>
      <c r="F74" s="37"/>
    </row>
    <row r="75" spans="1:6" x14ac:dyDescent="0.25">
      <c r="A75" s="4" t="s">
        <v>31</v>
      </c>
      <c r="B75" s="36">
        <f>(B23/B29)*100</f>
        <v>81.751114348653559</v>
      </c>
      <c r="C75" s="37"/>
      <c r="D75" s="37"/>
      <c r="E75" s="37"/>
      <c r="F75" s="37"/>
    </row>
    <row r="76" spans="1:6" ht="15.75" thickBot="1" x14ac:dyDescent="0.3">
      <c r="A76" s="7"/>
      <c r="B76" s="7"/>
      <c r="C76" s="7"/>
      <c r="D76" s="7"/>
      <c r="E76" s="7"/>
      <c r="F76" s="7"/>
    </row>
    <row r="77" spans="1:6" s="19" customFormat="1" ht="16.5" customHeight="1" thickTop="1" x14ac:dyDescent="0.25">
      <c r="A77" s="55" t="s">
        <v>86</v>
      </c>
      <c r="B77" s="55"/>
      <c r="C77" s="55"/>
      <c r="D77" s="55"/>
      <c r="E77" s="55"/>
      <c r="F77" s="55"/>
    </row>
    <row r="78" spans="1:6" s="13" customFormat="1" ht="14.25" customHeight="1" x14ac:dyDescent="0.25"/>
    <row r="79" spans="1:6" s="13" customFormat="1" x14ac:dyDescent="0.25">
      <c r="A79" s="20"/>
    </row>
    <row r="80" spans="1:6" s="13" customFormat="1" x14ac:dyDescent="0.25">
      <c r="A80" s="21" t="s">
        <v>87</v>
      </c>
    </row>
    <row r="81" spans="1:6" s="13" customFormat="1" ht="129.75" customHeight="1" x14ac:dyDescent="0.25">
      <c r="A81" s="49" t="s">
        <v>108</v>
      </c>
      <c r="B81" s="49"/>
      <c r="C81" s="49"/>
      <c r="D81" s="49"/>
      <c r="E81" s="49"/>
      <c r="F81" s="49"/>
    </row>
    <row r="85" spans="1:6" x14ac:dyDescent="0.25">
      <c r="A85" s="2"/>
    </row>
    <row r="86" spans="1:6" x14ac:dyDescent="0.25">
      <c r="A86" s="2"/>
    </row>
    <row r="87" spans="1:6" x14ac:dyDescent="0.25">
      <c r="A87" s="2"/>
    </row>
    <row r="89" spans="1:6" x14ac:dyDescent="0.25">
      <c r="A89" s="3"/>
    </row>
  </sheetData>
  <mergeCells count="5">
    <mergeCell ref="A9:A10"/>
    <mergeCell ref="B9:B10"/>
    <mergeCell ref="C9:F9"/>
    <mergeCell ref="A77:F77"/>
    <mergeCell ref="A81:F81"/>
  </mergeCells>
  <pageMargins left="0.7" right="0.7" top="0.75" bottom="0.75" header="0.3" footer="0.3"/>
  <pageSetup paperSize="9" orientation="portrait" r:id="rId1"/>
  <ignoredErrors>
    <ignoredError sqref="C67:C7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4" customWidth="1"/>
    <col min="2" max="6" width="24.7109375" style="4" customWidth="1"/>
    <col min="7" max="16384" width="11.42578125" style="4"/>
  </cols>
  <sheetData>
    <row r="9" spans="1:6" s="19" customFormat="1" x14ac:dyDescent="0.25">
      <c r="A9" s="57" t="s">
        <v>0</v>
      </c>
      <c r="B9" s="59" t="s">
        <v>1</v>
      </c>
      <c r="C9" s="61" t="s">
        <v>2</v>
      </c>
      <c r="D9" s="61"/>
      <c r="E9" s="61"/>
      <c r="F9" s="61"/>
    </row>
    <row r="10" spans="1:6" s="15" customFormat="1" ht="60.75" thickBot="1" x14ac:dyDescent="0.3">
      <c r="A10" s="58"/>
      <c r="B10" s="60"/>
      <c r="C10" s="14" t="s">
        <v>39</v>
      </c>
      <c r="D10" s="14" t="s">
        <v>76</v>
      </c>
      <c r="E10" s="14" t="s">
        <v>77</v>
      </c>
      <c r="F10" s="14" t="s">
        <v>78</v>
      </c>
    </row>
    <row r="11" spans="1:6" ht="15.75" thickTop="1" x14ac:dyDescent="0.25"/>
    <row r="12" spans="1:6" x14ac:dyDescent="0.25">
      <c r="A12" s="8" t="s">
        <v>3</v>
      </c>
    </row>
    <row r="13" spans="1:6" x14ac:dyDescent="0.25">
      <c r="A13" s="3"/>
    </row>
    <row r="14" spans="1:6" x14ac:dyDescent="0.25">
      <c r="A14" s="8" t="s">
        <v>4</v>
      </c>
    </row>
    <row r="15" spans="1:6" x14ac:dyDescent="0.25">
      <c r="A15" s="6" t="s">
        <v>60</v>
      </c>
      <c r="B15" s="32">
        <f>C15+D15+E15+F15</f>
        <v>34391.777777777781</v>
      </c>
      <c r="C15" s="32">
        <f>(+'I Trimestre'!C15+'II trimestre'!C15+'III Trimestre'!C15)</f>
        <v>30817</v>
      </c>
      <c r="D15" s="32">
        <f>(+'I Trimestre'!D15+'II trimestre'!D15+'III Trimestre'!D15)/3</f>
        <v>3074.4444444444448</v>
      </c>
      <c r="E15" s="32">
        <f>(+'I Trimestre'!E15+'II trimestre'!E15+'III Trimestre'!E15)/3</f>
        <v>500.33333333333331</v>
      </c>
      <c r="F15" s="32">
        <f>(+'I Trimestre'!F15+'II trimestre'!F15+'III Trimestre'!F15)/3</f>
        <v>0</v>
      </c>
    </row>
    <row r="16" spans="1:6" x14ac:dyDescent="0.25">
      <c r="A16" s="6" t="s">
        <v>109</v>
      </c>
      <c r="B16" s="32">
        <f t="shared" ref="B16:B18" si="0">C16+D16+E16+F16</f>
        <v>36178</v>
      </c>
      <c r="C16" s="32">
        <f>(+'I Trimestre'!C16+'II trimestre'!C16+'III Trimestre'!C16)</f>
        <v>32121</v>
      </c>
      <c r="D16" s="32">
        <f>(+'I Trimestre'!D16+'II trimestre'!D16+'III Trimestre'!D16)/3</f>
        <v>1077</v>
      </c>
      <c r="E16" s="32">
        <f>(+'I Trimestre'!E16+'II trimestre'!E16+'III Trimestre'!E16)/3</f>
        <v>460</v>
      </c>
      <c r="F16" s="32">
        <f>(+'I Trimestre'!F16+'II trimestre'!F16+'III Trimestre'!F16)/2</f>
        <v>2520</v>
      </c>
    </row>
    <row r="17" spans="1:6" x14ac:dyDescent="0.25">
      <c r="A17" s="6" t="s">
        <v>110</v>
      </c>
      <c r="B17" s="32">
        <f t="shared" si="0"/>
        <v>64304.166666666664</v>
      </c>
      <c r="C17" s="32">
        <f>(+'I Trimestre'!C17+'II trimestre'!C17+'III Trimestre'!C17)</f>
        <v>57266</v>
      </c>
      <c r="D17" s="32">
        <f>(+'I Trimestre'!D17+'II trimestre'!D17+'III Trimestre'!D17)/3</f>
        <v>4207.333333333333</v>
      </c>
      <c r="E17" s="32">
        <f>(+'I Trimestre'!E17+'II trimestre'!E17+'III Trimestre'!E17)/3</f>
        <v>473.66666666666669</v>
      </c>
      <c r="F17" s="32">
        <f>(+'I Trimestre'!F17+'II trimestre'!F17+'III Trimestre'!F17)/2</f>
        <v>2357.1666666666665</v>
      </c>
    </row>
    <row r="18" spans="1:6" s="3" customFormat="1" x14ac:dyDescent="0.25">
      <c r="A18" s="6" t="s">
        <v>81</v>
      </c>
      <c r="B18" s="32">
        <f t="shared" si="0"/>
        <v>46885</v>
      </c>
      <c r="C18" s="32">
        <f>+'III Trimestre'!C18</f>
        <v>42828</v>
      </c>
      <c r="D18" s="32">
        <f>+'III Trimestre'!D18</f>
        <v>1077</v>
      </c>
      <c r="E18" s="32">
        <f>+'III Trimestre'!E18</f>
        <v>460</v>
      </c>
      <c r="F18" s="32">
        <f>+'III Trimestre'!F18</f>
        <v>2520</v>
      </c>
    </row>
    <row r="19" spans="1:6" x14ac:dyDescent="0.25">
      <c r="A19" s="3"/>
      <c r="B19" s="31"/>
      <c r="C19" s="31"/>
      <c r="D19" s="31"/>
      <c r="E19" s="31"/>
      <c r="F19" s="31"/>
    </row>
    <row r="20" spans="1:6" x14ac:dyDescent="0.25">
      <c r="A20" s="25" t="s">
        <v>5</v>
      </c>
      <c r="B20" s="31"/>
      <c r="C20" s="31"/>
      <c r="D20" s="31"/>
      <c r="E20" s="31"/>
      <c r="F20" s="31"/>
    </row>
    <row r="21" spans="1:6" x14ac:dyDescent="0.25">
      <c r="A21" s="6" t="s">
        <v>60</v>
      </c>
      <c r="B21" s="31">
        <f>SUM(C21:F21)</f>
        <v>9897567175.3099995</v>
      </c>
      <c r="C21" s="32">
        <f>+'I Trimestre'!C21+'II trimestre'!C21+'III Trimestre'!C21</f>
        <v>7146666963.0100002</v>
      </c>
      <c r="D21" s="32">
        <f>+'I Trimestre'!D21+'II trimestre'!D21+'III Trimestre'!D21</f>
        <v>1467289720</v>
      </c>
      <c r="E21" s="32">
        <f>+'I Trimestre'!E21+'II trimestre'!E21+'III Trimestre'!E21</f>
        <v>1283610492.3</v>
      </c>
      <c r="F21" s="32">
        <f>+'I Trimestre'!F21+'II trimestre'!F21+'III Trimestre'!F21</f>
        <v>0</v>
      </c>
    </row>
    <row r="22" spans="1:6" x14ac:dyDescent="0.25">
      <c r="A22" s="6" t="s">
        <v>109</v>
      </c>
      <c r="B22" s="31">
        <f>SUM(C22:F22)</f>
        <v>11405649057.299999</v>
      </c>
      <c r="C22" s="32">
        <f>+'I Trimestre'!C22+'II trimestre'!C22+'III Trimestre'!C22</f>
        <v>8467364825.0999994</v>
      </c>
      <c r="D22" s="32">
        <f>+'I Trimestre'!D22+'II trimestre'!D22+'III Trimestre'!D22</f>
        <v>1153141993.8000002</v>
      </c>
      <c r="E22" s="32">
        <f>+'I Trimestre'!E22+'II trimestre'!E22+'III Trimestre'!E22</f>
        <v>1446363964.8</v>
      </c>
      <c r="F22" s="32">
        <f>+'I Trimestre'!F22+'II trimestre'!F22+'III Trimestre'!F22</f>
        <v>338778273.60000002</v>
      </c>
    </row>
    <row r="23" spans="1:6" x14ac:dyDescent="0.25">
      <c r="A23" s="6" t="s">
        <v>110</v>
      </c>
      <c r="B23" s="31">
        <f>SUM(C23:F23)</f>
        <v>9498629885.5599995</v>
      </c>
      <c r="C23" s="32">
        <f>+'I Trimestre'!C23+'II trimestre'!C23+'III Trimestre'!C23</f>
        <v>7208924394.7399998</v>
      </c>
      <c r="D23" s="32">
        <f>+'I Trimestre'!D23+'II trimestre'!D23+'III Trimestre'!D23</f>
        <v>736465576.9000001</v>
      </c>
      <c r="E23" s="32">
        <f>+'I Trimestre'!E23+'II trimestre'!E23+'III Trimestre'!E23</f>
        <v>1495989428.4200001</v>
      </c>
      <c r="F23" s="32">
        <f>+'I Trimestre'!F23+'II trimestre'!F23+'III Trimestre'!F23</f>
        <v>57250485.5</v>
      </c>
    </row>
    <row r="24" spans="1:6" x14ac:dyDescent="0.25">
      <c r="A24" s="6" t="s">
        <v>81</v>
      </c>
      <c r="B24" s="31">
        <f>SUM(C24:F24)</f>
        <v>16365520543.099997</v>
      </c>
      <c r="C24" s="32">
        <f>+'III Trimestre'!C24</f>
        <v>12230638080.699997</v>
      </c>
      <c r="D24" s="32">
        <f>+'III Trimestre'!D24</f>
        <v>1537522658.4000003</v>
      </c>
      <c r="E24" s="32">
        <f>+'III Trimestre'!E24</f>
        <v>2089192393.6000001</v>
      </c>
      <c r="F24" s="32">
        <f>+'III Trimestre'!F24</f>
        <v>508167410.39999998</v>
      </c>
    </row>
    <row r="25" spans="1:6" x14ac:dyDescent="0.25">
      <c r="A25" s="6" t="s">
        <v>111</v>
      </c>
      <c r="B25" s="31">
        <f>C25+D25+E25+F25</f>
        <v>9498629885.5599995</v>
      </c>
      <c r="C25" s="32">
        <f t="shared" ref="C25:F25" si="1">C23</f>
        <v>7208924394.7399998</v>
      </c>
      <c r="D25" s="32">
        <f t="shared" si="1"/>
        <v>736465576.9000001</v>
      </c>
      <c r="E25" s="32">
        <f t="shared" si="1"/>
        <v>1495989428.4200001</v>
      </c>
      <c r="F25" s="32">
        <f t="shared" si="1"/>
        <v>57250485.5</v>
      </c>
    </row>
    <row r="26" spans="1:6" x14ac:dyDescent="0.25">
      <c r="A26" s="3"/>
      <c r="B26" s="31"/>
      <c r="C26" s="31"/>
      <c r="D26" s="31"/>
      <c r="E26" s="31"/>
      <c r="F26" s="31"/>
    </row>
    <row r="27" spans="1:6" x14ac:dyDescent="0.25">
      <c r="A27" s="8" t="s">
        <v>6</v>
      </c>
      <c r="B27" s="31"/>
      <c r="C27" s="31"/>
      <c r="D27" s="31"/>
      <c r="E27" s="31"/>
      <c r="F27" s="31"/>
    </row>
    <row r="28" spans="1:6" x14ac:dyDescent="0.25">
      <c r="A28" s="6" t="s">
        <v>109</v>
      </c>
      <c r="B28" s="32">
        <f>'I Trimestre'!B28+'II trimestre'!B28+'III Trimestre'!B28</f>
        <v>11405649057.299999</v>
      </c>
      <c r="C28" s="31"/>
      <c r="D28" s="31"/>
      <c r="E28" s="31"/>
      <c r="F28" s="31"/>
    </row>
    <row r="29" spans="1:6" x14ac:dyDescent="0.25">
      <c r="A29" s="6" t="s">
        <v>110</v>
      </c>
      <c r="B29" s="32">
        <f>'I Trimestre'!B29+'II trimestre'!B29+'III Trimestre'!B29</f>
        <v>11665332056.83</v>
      </c>
      <c r="C29" s="31"/>
      <c r="D29" s="31"/>
      <c r="E29" s="31"/>
      <c r="F29" s="31"/>
    </row>
    <row r="30" spans="1:6" x14ac:dyDescent="0.25">
      <c r="A30" s="3"/>
      <c r="B30" s="34"/>
      <c r="C30" s="34"/>
      <c r="D30" s="34"/>
      <c r="E30" s="34"/>
      <c r="F30" s="34"/>
    </row>
    <row r="31" spans="1:6" x14ac:dyDescent="0.25">
      <c r="A31" s="8" t="s">
        <v>7</v>
      </c>
      <c r="B31" s="34"/>
      <c r="C31" s="34"/>
      <c r="D31" s="34"/>
      <c r="E31" s="34"/>
      <c r="F31" s="34"/>
    </row>
    <row r="32" spans="1:6" x14ac:dyDescent="0.25">
      <c r="A32" s="6" t="s">
        <v>61</v>
      </c>
      <c r="B32" s="39">
        <v>1.0347772084</v>
      </c>
      <c r="C32" s="39">
        <v>1.0347772084</v>
      </c>
      <c r="D32" s="39">
        <v>1.0347772084</v>
      </c>
      <c r="E32" s="39">
        <v>1.0347772084</v>
      </c>
      <c r="F32" s="39">
        <v>1.0347772084</v>
      </c>
    </row>
    <row r="33" spans="1:6" x14ac:dyDescent="0.25">
      <c r="A33" s="6" t="s">
        <v>112</v>
      </c>
      <c r="B33" s="39">
        <v>1.060947463</v>
      </c>
      <c r="C33" s="39">
        <v>1.060947463</v>
      </c>
      <c r="D33" s="39">
        <v>1.060947463</v>
      </c>
      <c r="E33" s="39">
        <v>1.060947463</v>
      </c>
      <c r="F33" s="39">
        <v>1.060947463</v>
      </c>
    </row>
    <row r="34" spans="1:6" x14ac:dyDescent="0.25">
      <c r="A34" s="6" t="s">
        <v>8</v>
      </c>
      <c r="B34" s="28" t="s">
        <v>36</v>
      </c>
      <c r="C34" s="28" t="s">
        <v>36</v>
      </c>
      <c r="D34" s="28" t="s">
        <v>36</v>
      </c>
      <c r="E34" s="28" t="s">
        <v>36</v>
      </c>
      <c r="F34" s="28" t="s">
        <v>36</v>
      </c>
    </row>
    <row r="35" spans="1:6" x14ac:dyDescent="0.25">
      <c r="A35" s="3"/>
      <c r="B35" s="34"/>
      <c r="C35" s="34"/>
      <c r="D35" s="34"/>
      <c r="E35" s="34"/>
      <c r="F35" s="34"/>
    </row>
    <row r="36" spans="1:6" x14ac:dyDescent="0.25">
      <c r="A36" s="8" t="s">
        <v>9</v>
      </c>
      <c r="B36" s="34"/>
      <c r="C36" s="34"/>
      <c r="D36" s="34"/>
      <c r="E36" s="34"/>
      <c r="F36" s="34"/>
    </row>
    <row r="37" spans="1:6" x14ac:dyDescent="0.25">
      <c r="A37" s="6" t="s">
        <v>62</v>
      </c>
      <c r="B37" s="33">
        <f>B21/B32</f>
        <v>9564925758.8634758</v>
      </c>
      <c r="C37" s="33">
        <f t="shared" ref="C37:F37" si="2">C21/C32</f>
        <v>6906478906.7594233</v>
      </c>
      <c r="D37" s="33">
        <f>D21/D32</f>
        <v>1417976457.2402618</v>
      </c>
      <c r="E37" s="33">
        <f t="shared" si="2"/>
        <v>1240470394.8637917</v>
      </c>
      <c r="F37" s="33">
        <f t="shared" si="2"/>
        <v>0</v>
      </c>
    </row>
    <row r="38" spans="1:6" x14ac:dyDescent="0.25">
      <c r="A38" s="6" t="s">
        <v>113</v>
      </c>
      <c r="B38" s="33">
        <f>B23/B33</f>
        <v>8952969130.7249966</v>
      </c>
      <c r="C38" s="33">
        <f t="shared" ref="C38:E38" si="3">C23/C33</f>
        <v>6794798655.114933</v>
      </c>
      <c r="D38" s="33">
        <f>D23/D33</f>
        <v>694158384.44773221</v>
      </c>
      <c r="E38" s="33">
        <f t="shared" si="3"/>
        <v>1410050431.8940063</v>
      </c>
      <c r="F38" s="33">
        <f t="shared" ref="F38" si="4">F23/F33</f>
        <v>53961659.26832515</v>
      </c>
    </row>
    <row r="39" spans="1:6" x14ac:dyDescent="0.25">
      <c r="A39" s="6" t="s">
        <v>63</v>
      </c>
      <c r="B39" s="31">
        <f>B37/B15</f>
        <v>278116.64231686929</v>
      </c>
      <c r="C39" s="31">
        <f t="shared" ref="C39:E39" si="5">C37/C15</f>
        <v>224112.62961220831</v>
      </c>
      <c r="D39" s="31">
        <f>D37/D15</f>
        <v>461213.88200803596</v>
      </c>
      <c r="E39" s="31">
        <f t="shared" si="5"/>
        <v>2479287.9311068454</v>
      </c>
      <c r="F39" s="31" t="s">
        <v>36</v>
      </c>
    </row>
    <row r="40" spans="1:6" x14ac:dyDescent="0.25">
      <c r="A40" s="6" t="s">
        <v>114</v>
      </c>
      <c r="B40" s="31">
        <f>B38/B17</f>
        <v>139228.44497984834</v>
      </c>
      <c r="C40" s="31">
        <f t="shared" ref="C40:F40" si="6">C38/C17</f>
        <v>118653.27864902269</v>
      </c>
      <c r="D40" s="31">
        <f>D38/D17</f>
        <v>164987.73200310543</v>
      </c>
      <c r="E40" s="31">
        <f t="shared" si="6"/>
        <v>2976883.3889387888</v>
      </c>
      <c r="F40" s="31">
        <f t="shared" si="6"/>
        <v>22892.593905815662</v>
      </c>
    </row>
    <row r="41" spans="1:6" x14ac:dyDescent="0.25">
      <c r="A41" s="3"/>
      <c r="B41" s="34"/>
      <c r="C41" s="34"/>
      <c r="D41" s="34"/>
      <c r="E41" s="34"/>
      <c r="F41" s="34"/>
    </row>
    <row r="42" spans="1:6" x14ac:dyDescent="0.25">
      <c r="A42" s="8" t="s">
        <v>10</v>
      </c>
      <c r="B42" s="34"/>
      <c r="C42" s="34"/>
      <c r="D42" s="34"/>
      <c r="E42" s="34"/>
      <c r="F42" s="34"/>
    </row>
    <row r="43" spans="1:6" x14ac:dyDescent="0.25">
      <c r="A43" s="3"/>
      <c r="B43" s="34"/>
      <c r="C43" s="34"/>
      <c r="D43" s="34"/>
      <c r="E43" s="34"/>
      <c r="F43" s="34"/>
    </row>
    <row r="44" spans="1:6" x14ac:dyDescent="0.25">
      <c r="A44" s="8" t="s">
        <v>11</v>
      </c>
      <c r="B44" s="34"/>
      <c r="C44" s="34"/>
      <c r="D44" s="34"/>
      <c r="E44" s="34"/>
      <c r="F44" s="34"/>
    </row>
    <row r="45" spans="1:6" x14ac:dyDescent="0.25">
      <c r="A45" s="3" t="s">
        <v>12</v>
      </c>
      <c r="B45" s="30" t="s">
        <v>35</v>
      </c>
      <c r="C45" s="30" t="s">
        <v>35</v>
      </c>
      <c r="D45" s="30" t="s">
        <v>35</v>
      </c>
      <c r="E45" s="30" t="s">
        <v>35</v>
      </c>
      <c r="F45" s="30" t="s">
        <v>35</v>
      </c>
    </row>
    <row r="46" spans="1:6" x14ac:dyDescent="0.25">
      <c r="A46" s="3" t="s">
        <v>13</v>
      </c>
      <c r="B46" s="30" t="s">
        <v>35</v>
      </c>
      <c r="C46" s="30" t="s">
        <v>35</v>
      </c>
      <c r="D46" s="30" t="s">
        <v>35</v>
      </c>
      <c r="E46" s="30" t="s">
        <v>35</v>
      </c>
      <c r="F46" s="30" t="s">
        <v>35</v>
      </c>
    </row>
    <row r="47" spans="1:6" x14ac:dyDescent="0.25">
      <c r="A47" s="3"/>
      <c r="B47" s="34"/>
      <c r="C47" s="34"/>
      <c r="D47" s="34"/>
      <c r="E47" s="34"/>
      <c r="F47" s="34"/>
    </row>
    <row r="48" spans="1:6" x14ac:dyDescent="0.25">
      <c r="A48" s="8" t="s">
        <v>14</v>
      </c>
      <c r="B48" s="34"/>
      <c r="C48" s="34"/>
      <c r="D48" s="34"/>
      <c r="E48" s="34"/>
      <c r="F48" s="34"/>
    </row>
    <row r="49" spans="1:6" x14ac:dyDescent="0.25">
      <c r="A49" s="3" t="s">
        <v>15</v>
      </c>
      <c r="B49" s="37">
        <f t="shared" ref="B49:F49" si="7">B17/B16*100</f>
        <v>177.74384063979952</v>
      </c>
      <c r="C49" s="37">
        <f t="shared" si="7"/>
        <v>178.28212073098595</v>
      </c>
      <c r="D49" s="37">
        <f t="shared" si="7"/>
        <v>390.65304859176723</v>
      </c>
      <c r="E49" s="37">
        <f t="shared" si="7"/>
        <v>102.97101449275362</v>
      </c>
      <c r="F49" s="37">
        <f t="shared" si="7"/>
        <v>93.538359788359784</v>
      </c>
    </row>
    <row r="50" spans="1:6" x14ac:dyDescent="0.25">
      <c r="A50" s="3" t="s">
        <v>16</v>
      </c>
      <c r="B50" s="37">
        <f t="shared" ref="B50:F50" si="8">B23/B22*100</f>
        <v>83.280046912197051</v>
      </c>
      <c r="C50" s="37">
        <f t="shared" si="8"/>
        <v>85.137755885637802</v>
      </c>
      <c r="D50" s="37">
        <f t="shared" si="8"/>
        <v>63.865992294070594</v>
      </c>
      <c r="E50" s="37">
        <f t="shared" si="8"/>
        <v>103.43104950259614</v>
      </c>
      <c r="F50" s="37">
        <f t="shared" si="8"/>
        <v>16.899101849605742</v>
      </c>
    </row>
    <row r="51" spans="1:6" x14ac:dyDescent="0.25">
      <c r="A51" s="3" t="s">
        <v>17</v>
      </c>
      <c r="B51" s="37">
        <f t="shared" ref="B51:F51" si="9">AVERAGE(B49:B50)</f>
        <v>130.51194377599828</v>
      </c>
      <c r="C51" s="37">
        <f t="shared" si="9"/>
        <v>131.70993830831188</v>
      </c>
      <c r="D51" s="37">
        <f t="shared" si="9"/>
        <v>227.25952044291893</v>
      </c>
      <c r="E51" s="37">
        <f t="shared" si="9"/>
        <v>103.20103199767487</v>
      </c>
      <c r="F51" s="37">
        <f t="shared" si="9"/>
        <v>55.218730818982763</v>
      </c>
    </row>
    <row r="52" spans="1:6" x14ac:dyDescent="0.25">
      <c r="A52" s="3"/>
      <c r="B52" s="37"/>
      <c r="C52" s="37"/>
      <c r="D52" s="37"/>
      <c r="E52" s="37"/>
      <c r="F52" s="37"/>
    </row>
    <row r="53" spans="1:6" x14ac:dyDescent="0.25">
      <c r="A53" s="8" t="s">
        <v>18</v>
      </c>
      <c r="B53" s="37"/>
      <c r="C53" s="37"/>
      <c r="D53" s="37"/>
      <c r="E53" s="37"/>
      <c r="F53" s="37"/>
    </row>
    <row r="54" spans="1:6" x14ac:dyDescent="0.25">
      <c r="A54" s="3" t="s">
        <v>19</v>
      </c>
      <c r="B54" s="37">
        <f>B17/(B18)*100</f>
        <v>137.15296292346522</v>
      </c>
      <c r="C54" s="37">
        <f t="shared" ref="C54:F54" si="10">C17/(C18)*100</f>
        <v>133.71159054823946</v>
      </c>
      <c r="D54" s="37">
        <f t="shared" si="10"/>
        <v>390.65304859176723</v>
      </c>
      <c r="E54" s="37">
        <f t="shared" si="10"/>
        <v>102.97101449275362</v>
      </c>
      <c r="F54" s="37">
        <f t="shared" si="10"/>
        <v>93.538359788359784</v>
      </c>
    </row>
    <row r="55" spans="1:6" x14ac:dyDescent="0.25">
      <c r="A55" s="3" t="s">
        <v>20</v>
      </c>
      <c r="B55" s="37">
        <f>B23/B24*100</f>
        <v>58.040499601247305</v>
      </c>
      <c r="C55" s="37">
        <f t="shared" ref="C55:F55" si="11">C23/C24*100</f>
        <v>58.941523305441571</v>
      </c>
      <c r="D55" s="37">
        <f t="shared" si="11"/>
        <v>47.899494220552938</v>
      </c>
      <c r="E55" s="37">
        <f t="shared" si="11"/>
        <v>71.606111194105011</v>
      </c>
      <c r="F55" s="37">
        <f t="shared" si="11"/>
        <v>11.266067899737161</v>
      </c>
    </row>
    <row r="56" spans="1:6" x14ac:dyDescent="0.25">
      <c r="A56" s="3" t="s">
        <v>21</v>
      </c>
      <c r="B56" s="37">
        <f>(B54+B55)/2</f>
        <v>97.596731262356258</v>
      </c>
      <c r="C56" s="37">
        <f t="shared" ref="C56:F56" si="12">(C54+C55)/2</f>
        <v>96.32655692684051</v>
      </c>
      <c r="D56" s="37">
        <f t="shared" si="12"/>
        <v>219.27627140616008</v>
      </c>
      <c r="E56" s="37">
        <f t="shared" si="12"/>
        <v>87.288562843429318</v>
      </c>
      <c r="F56" s="37">
        <f t="shared" si="12"/>
        <v>52.402213844048475</v>
      </c>
    </row>
    <row r="57" spans="1:6" x14ac:dyDescent="0.25">
      <c r="A57" s="3"/>
      <c r="B57" s="37"/>
      <c r="C57" s="37"/>
      <c r="D57" s="37"/>
      <c r="E57" s="37"/>
      <c r="F57" s="37"/>
    </row>
    <row r="58" spans="1:6" x14ac:dyDescent="0.25">
      <c r="A58" s="8" t="s">
        <v>32</v>
      </c>
      <c r="B58" s="37"/>
      <c r="C58" s="37"/>
      <c r="D58" s="37"/>
      <c r="E58" s="37"/>
      <c r="F58" s="37"/>
    </row>
    <row r="59" spans="1:6" x14ac:dyDescent="0.25">
      <c r="A59" s="3" t="s">
        <v>22</v>
      </c>
      <c r="B59" s="37">
        <f>B25/B23*100</f>
        <v>100</v>
      </c>
      <c r="C59" s="37"/>
      <c r="D59" s="37"/>
      <c r="E59" s="37"/>
      <c r="F59" s="37"/>
    </row>
    <row r="60" spans="1:6" x14ac:dyDescent="0.25">
      <c r="A60" s="3"/>
      <c r="B60" s="37"/>
      <c r="C60" s="37"/>
      <c r="D60" s="37"/>
      <c r="E60" s="37"/>
      <c r="F60" s="37"/>
    </row>
    <row r="61" spans="1:6" x14ac:dyDescent="0.25">
      <c r="A61" s="8" t="s">
        <v>23</v>
      </c>
      <c r="B61" s="37"/>
      <c r="C61" s="37"/>
      <c r="D61" s="37"/>
      <c r="E61" s="37"/>
      <c r="F61" s="37"/>
    </row>
    <row r="62" spans="1:6" x14ac:dyDescent="0.25">
      <c r="A62" s="3" t="s">
        <v>24</v>
      </c>
      <c r="B62" s="37">
        <f>((B17/B15)-1)*100</f>
        <v>86.975407558654183</v>
      </c>
      <c r="C62" s="37">
        <f t="shared" ref="C62:E62" si="13">((C17/C15)-1)*100</f>
        <v>85.826005127040261</v>
      </c>
      <c r="D62" s="37">
        <f>((D17/D15)-1)*100</f>
        <v>36.848572461149232</v>
      </c>
      <c r="E62" s="37">
        <f t="shared" si="13"/>
        <v>-5.329780146568952</v>
      </c>
      <c r="F62" s="31" t="s">
        <v>36</v>
      </c>
    </row>
    <row r="63" spans="1:6" x14ac:dyDescent="0.25">
      <c r="A63" s="3" t="s">
        <v>25</v>
      </c>
      <c r="B63" s="37">
        <f>((B38/B37)-1)*100</f>
        <v>-6.3979234503874878</v>
      </c>
      <c r="C63" s="37">
        <f t="shared" ref="C63:E63" si="14">((C38/C37)-1)*100</f>
        <v>-1.6170360201228973</v>
      </c>
      <c r="D63" s="37">
        <f>((D38/D37)-1)*100</f>
        <v>-51.045845584859805</v>
      </c>
      <c r="E63" s="37">
        <f t="shared" si="14"/>
        <v>13.67062347738135</v>
      </c>
      <c r="F63" s="31" t="s">
        <v>36</v>
      </c>
    </row>
    <row r="64" spans="1:6" x14ac:dyDescent="0.25">
      <c r="A64" s="3" t="s">
        <v>26</v>
      </c>
      <c r="B64" s="37">
        <f>((B40/B39)-1)*100</f>
        <v>-49.9388300462725</v>
      </c>
      <c r="C64" s="37">
        <f t="shared" ref="C64:E64" si="15">((C40/C39)-1)*100</f>
        <v>-47.056406926136404</v>
      </c>
      <c r="D64" s="37">
        <f>((D40/D39)-1)*100</f>
        <v>-64.227500853881338</v>
      </c>
      <c r="E64" s="37">
        <f t="shared" si="15"/>
        <v>20.070095594334568</v>
      </c>
      <c r="F64" s="31" t="s">
        <v>36</v>
      </c>
    </row>
    <row r="65" spans="1:6" x14ac:dyDescent="0.25">
      <c r="A65" s="3"/>
      <c r="B65" s="36"/>
      <c r="C65" s="36"/>
      <c r="D65" s="36"/>
      <c r="E65" s="36"/>
      <c r="F65" s="36"/>
    </row>
    <row r="66" spans="1:6" x14ac:dyDescent="0.25">
      <c r="A66" s="8" t="s">
        <v>27</v>
      </c>
      <c r="B66" s="37"/>
      <c r="C66" s="37"/>
      <c r="D66" s="37"/>
      <c r="E66" s="37"/>
      <c r="F66" s="37"/>
    </row>
    <row r="67" spans="1:6" x14ac:dyDescent="0.25">
      <c r="A67" s="3" t="s">
        <v>68</v>
      </c>
      <c r="B67" s="37">
        <f>B22/(B16*9)</f>
        <v>35029.419528442697</v>
      </c>
      <c r="C67" s="37">
        <f>C22/C16</f>
        <v>263608.3815914822</v>
      </c>
      <c r="D67" s="37">
        <f t="shared" ref="D67:E67" si="16">D22/(D16*9)</f>
        <v>118966.47000928507</v>
      </c>
      <c r="E67" s="37">
        <f t="shared" si="16"/>
        <v>349363.27652173914</v>
      </c>
      <c r="F67" s="37">
        <f>F22/(F16*5)</f>
        <v>26887.164571428573</v>
      </c>
    </row>
    <row r="68" spans="1:6" x14ac:dyDescent="0.25">
      <c r="A68" s="3" t="s">
        <v>69</v>
      </c>
      <c r="B68" s="37">
        <f>B23/(B17*9)</f>
        <v>16412.673942089463</v>
      </c>
      <c r="C68" s="37">
        <f>C23/C17</f>
        <v>125884.89495931267</v>
      </c>
      <c r="D68" s="37">
        <f t="shared" ref="D68:E68" si="17">D23/(D17*9)</f>
        <v>19449.257299424287</v>
      </c>
      <c r="E68" s="37">
        <f t="shared" si="17"/>
        <v>350924.09768238332</v>
      </c>
      <c r="F68" s="37">
        <f>F23/(F17*5)</f>
        <v>4857.5678851728771</v>
      </c>
    </row>
    <row r="69" spans="1:6" x14ac:dyDescent="0.25">
      <c r="A69" s="3" t="s">
        <v>28</v>
      </c>
      <c r="B69" s="37">
        <f>(B68/B67)*B51</f>
        <v>61.15002782174281</v>
      </c>
      <c r="C69" s="37">
        <f t="shared" ref="C69:F69" si="18">(C68/C67)*C51</f>
        <v>62.897437664687445</v>
      </c>
      <c r="D69" s="37">
        <f t="shared" si="18"/>
        <v>37.153568450783908</v>
      </c>
      <c r="E69" s="37">
        <f t="shared" si="18"/>
        <v>103.66209463753211</v>
      </c>
      <c r="F69" s="37">
        <f t="shared" si="18"/>
        <v>9.9760885077234054</v>
      </c>
    </row>
    <row r="70" spans="1:6" x14ac:dyDescent="0.25">
      <c r="A70" s="3" t="s">
        <v>74</v>
      </c>
      <c r="B70" s="37">
        <f t="shared" ref="B70:F71" si="19">B22/B16</f>
        <v>315264.7757559843</v>
      </c>
      <c r="C70" s="37">
        <f>(C22/C16)*9</f>
        <v>2372475.4343233397</v>
      </c>
      <c r="D70" s="37">
        <f t="shared" si="19"/>
        <v>1070698.2300835657</v>
      </c>
      <c r="E70" s="37">
        <f t="shared" si="19"/>
        <v>3144269.4886956522</v>
      </c>
      <c r="F70" s="37">
        <f t="shared" si="19"/>
        <v>134435.82285714286</v>
      </c>
    </row>
    <row r="71" spans="1:6" x14ac:dyDescent="0.25">
      <c r="A71" s="3" t="s">
        <v>75</v>
      </c>
      <c r="B71" s="37">
        <f t="shared" si="19"/>
        <v>147714.06547880516</v>
      </c>
      <c r="C71" s="37">
        <f>(C23/C17)*9</f>
        <v>1132964.0546338141</v>
      </c>
      <c r="D71" s="37">
        <f t="shared" si="19"/>
        <v>175043.31569481859</v>
      </c>
      <c r="E71" s="37">
        <f t="shared" si="19"/>
        <v>3158316.8791414499</v>
      </c>
      <c r="F71" s="37">
        <f t="shared" si="19"/>
        <v>24287.839425864386</v>
      </c>
    </row>
    <row r="72" spans="1:6" x14ac:dyDescent="0.25">
      <c r="A72" s="3"/>
      <c r="B72" s="37"/>
      <c r="C72" s="37"/>
      <c r="D72" s="37"/>
      <c r="E72" s="37"/>
      <c r="F72" s="37"/>
    </row>
    <row r="73" spans="1:6" x14ac:dyDescent="0.25">
      <c r="A73" s="8" t="s">
        <v>29</v>
      </c>
      <c r="B73" s="37"/>
      <c r="C73" s="37"/>
      <c r="D73" s="37"/>
      <c r="E73" s="37"/>
      <c r="F73" s="37"/>
    </row>
    <row r="74" spans="1:6" x14ac:dyDescent="0.25">
      <c r="A74" s="3" t="s">
        <v>30</v>
      </c>
      <c r="B74" s="36">
        <f>(B29/B28)*100</f>
        <v>102.27679282630386</v>
      </c>
      <c r="C74" s="37"/>
      <c r="D74" s="37"/>
      <c r="E74" s="37"/>
      <c r="F74" s="37"/>
    </row>
    <row r="75" spans="1:6" x14ac:dyDescent="0.25">
      <c r="A75" s="3" t="s">
        <v>31</v>
      </c>
      <c r="B75" s="36">
        <f>(B23/B29)*100</f>
        <v>81.42614234456012</v>
      </c>
      <c r="C75" s="37"/>
      <c r="D75" s="37"/>
      <c r="E75" s="37"/>
      <c r="F75" s="37"/>
    </row>
    <row r="76" spans="1:6" ht="15.75" thickBot="1" x14ac:dyDescent="0.3">
      <c r="A76" s="7"/>
      <c r="B76" s="7"/>
      <c r="C76" s="7"/>
      <c r="D76" s="7"/>
      <c r="E76" s="7"/>
      <c r="F76" s="7"/>
    </row>
    <row r="77" spans="1:6" s="19" customFormat="1" ht="16.5" customHeight="1" thickTop="1" x14ac:dyDescent="0.25">
      <c r="A77" s="55" t="s">
        <v>86</v>
      </c>
      <c r="B77" s="55"/>
      <c r="C77" s="55"/>
      <c r="D77" s="55"/>
      <c r="E77" s="55"/>
      <c r="F77" s="55"/>
    </row>
    <row r="78" spans="1:6" s="13" customFormat="1" ht="14.25" customHeight="1" x14ac:dyDescent="0.25"/>
    <row r="79" spans="1:6" s="13" customFormat="1" x14ac:dyDescent="0.25">
      <c r="A79" s="20"/>
    </row>
    <row r="80" spans="1:6" s="13" customFormat="1" x14ac:dyDescent="0.25">
      <c r="A80" s="21" t="s">
        <v>87</v>
      </c>
    </row>
    <row r="81" spans="1:6" s="13" customFormat="1" ht="129.75" customHeight="1" x14ac:dyDescent="0.25">
      <c r="A81" s="49" t="s">
        <v>130</v>
      </c>
      <c r="B81" s="49"/>
      <c r="C81" s="49"/>
      <c r="D81" s="49"/>
      <c r="E81" s="49"/>
      <c r="F81" s="49"/>
    </row>
    <row r="85" spans="1:6" x14ac:dyDescent="0.25">
      <c r="A85" s="2"/>
    </row>
    <row r="86" spans="1:6" x14ac:dyDescent="0.25">
      <c r="A86" s="2"/>
    </row>
    <row r="87" spans="1:6" x14ac:dyDescent="0.25">
      <c r="A87" s="2"/>
    </row>
    <row r="89" spans="1:6" x14ac:dyDescent="0.25">
      <c r="A89" s="3"/>
    </row>
  </sheetData>
  <mergeCells count="5">
    <mergeCell ref="A9:A10"/>
    <mergeCell ref="B9:B10"/>
    <mergeCell ref="C9:F9"/>
    <mergeCell ref="A77:F77"/>
    <mergeCell ref="A81:F81"/>
  </mergeCells>
  <pageMargins left="0.7" right="0.7" top="0.75" bottom="0.75" header="0.3" footer="0.3"/>
  <ignoredErrors>
    <ignoredError sqref="C67:C71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85546875" style="3" customWidth="1"/>
    <col min="2" max="6" width="24.7109375" style="3" customWidth="1"/>
    <col min="7" max="16384" width="11.42578125" style="3"/>
  </cols>
  <sheetData>
    <row r="9" spans="1:6" s="19" customFormat="1" x14ac:dyDescent="0.25">
      <c r="A9" s="57" t="s">
        <v>0</v>
      </c>
      <c r="B9" s="59" t="s">
        <v>1</v>
      </c>
      <c r="C9" s="61" t="s">
        <v>2</v>
      </c>
      <c r="D9" s="61"/>
      <c r="E9" s="61"/>
      <c r="F9" s="61"/>
    </row>
    <row r="10" spans="1:6" s="15" customFormat="1" ht="60.75" thickBot="1" x14ac:dyDescent="0.3">
      <c r="A10" s="58"/>
      <c r="B10" s="60"/>
      <c r="C10" s="14" t="s">
        <v>39</v>
      </c>
      <c r="D10" s="14" t="s">
        <v>76</v>
      </c>
      <c r="E10" s="14" t="s">
        <v>77</v>
      </c>
      <c r="F10" s="14" t="s">
        <v>78</v>
      </c>
    </row>
    <row r="11" spans="1:6" ht="15.75" thickTop="1" x14ac:dyDescent="0.25"/>
    <row r="12" spans="1:6" x14ac:dyDescent="0.25">
      <c r="A12" s="8" t="s">
        <v>3</v>
      </c>
    </row>
    <row r="14" spans="1:6" x14ac:dyDescent="0.25">
      <c r="A14" s="8" t="s">
        <v>4</v>
      </c>
    </row>
    <row r="15" spans="1:6" x14ac:dyDescent="0.25">
      <c r="A15" s="6" t="s">
        <v>52</v>
      </c>
      <c r="B15" s="32">
        <f>C15+D15+E15+F15</f>
        <v>17119.333333333332</v>
      </c>
      <c r="C15" s="32">
        <v>13559</v>
      </c>
      <c r="D15" s="32">
        <v>3146</v>
      </c>
      <c r="E15" s="32">
        <v>414.33333333333331</v>
      </c>
      <c r="F15" s="32">
        <v>0</v>
      </c>
    </row>
    <row r="16" spans="1:6" x14ac:dyDescent="0.25">
      <c r="A16" s="6" t="s">
        <v>115</v>
      </c>
      <c r="B16" s="32">
        <f>C16+D16+E16+F16</f>
        <v>14764</v>
      </c>
      <c r="C16" s="32">
        <v>10707</v>
      </c>
      <c r="D16" s="32">
        <v>1077</v>
      </c>
      <c r="E16" s="32">
        <v>460</v>
      </c>
      <c r="F16" s="32">
        <v>2520</v>
      </c>
    </row>
    <row r="17" spans="1:6" x14ac:dyDescent="0.25">
      <c r="A17" s="6" t="s">
        <v>116</v>
      </c>
      <c r="B17" s="32">
        <f t="shared" ref="B17" si="0">C17+D17+E17+F17</f>
        <v>28683.333333333332</v>
      </c>
      <c r="C17" s="32">
        <v>20219</v>
      </c>
      <c r="D17" s="32">
        <v>4610</v>
      </c>
      <c r="E17" s="32">
        <v>591.33333333333337</v>
      </c>
      <c r="F17" s="32">
        <v>3263</v>
      </c>
    </row>
    <row r="18" spans="1:6" x14ac:dyDescent="0.25">
      <c r="A18" s="6" t="s">
        <v>81</v>
      </c>
      <c r="B18" s="32">
        <f>C18+D18+E18+F18</f>
        <v>46885</v>
      </c>
      <c r="C18" s="32">
        <v>42828</v>
      </c>
      <c r="D18" s="32">
        <v>1077</v>
      </c>
      <c r="E18" s="32">
        <v>460</v>
      </c>
      <c r="F18" s="32">
        <v>2520</v>
      </c>
    </row>
    <row r="19" spans="1:6" x14ac:dyDescent="0.25">
      <c r="B19" s="32"/>
      <c r="C19" s="32"/>
      <c r="D19" s="32"/>
      <c r="E19" s="32"/>
      <c r="F19" s="32"/>
    </row>
    <row r="20" spans="1:6" x14ac:dyDescent="0.25">
      <c r="A20" s="25" t="s">
        <v>5</v>
      </c>
      <c r="B20" s="32"/>
      <c r="C20" s="32"/>
      <c r="D20" s="32"/>
      <c r="E20" s="32"/>
      <c r="F20" s="32"/>
    </row>
    <row r="21" spans="1:6" x14ac:dyDescent="0.25">
      <c r="A21" s="6" t="s">
        <v>52</v>
      </c>
      <c r="B21" s="32">
        <f>SUM(C21:F21)</f>
        <v>3250135586.8800001</v>
      </c>
      <c r="C21" s="32">
        <v>2734745593.0999999</v>
      </c>
      <c r="D21" s="32">
        <v>0</v>
      </c>
      <c r="E21" s="32">
        <v>515389993.78000003</v>
      </c>
      <c r="F21" s="32">
        <v>0</v>
      </c>
    </row>
    <row r="22" spans="1:6" x14ac:dyDescent="0.25">
      <c r="A22" s="6" t="s">
        <v>115</v>
      </c>
      <c r="B22" s="32">
        <f>SUM(C22:F22)</f>
        <v>4959871485.8000002</v>
      </c>
      <c r="C22" s="32">
        <v>3763273255.5999999</v>
      </c>
      <c r="D22" s="32">
        <v>384380664.60000002</v>
      </c>
      <c r="E22" s="32">
        <v>642828428.79999995</v>
      </c>
      <c r="F22" s="32">
        <v>169389136.80000001</v>
      </c>
    </row>
    <row r="23" spans="1:6" x14ac:dyDescent="0.25">
      <c r="A23" s="6" t="s">
        <v>116</v>
      </c>
      <c r="B23" s="32">
        <f>SUM(C23:F23)</f>
        <v>4083976882.6200004</v>
      </c>
      <c r="C23" s="32">
        <v>2803448194.3500004</v>
      </c>
      <c r="D23" s="32">
        <v>334482814.85000002</v>
      </c>
      <c r="E23" s="32">
        <v>600570389.19000006</v>
      </c>
      <c r="F23" s="32">
        <v>345475484.23000002</v>
      </c>
    </row>
    <row r="24" spans="1:6" x14ac:dyDescent="0.25">
      <c r="A24" s="6" t="s">
        <v>81</v>
      </c>
      <c r="B24" s="32">
        <f>SUM(C24:F24)</f>
        <v>16365520543.099997</v>
      </c>
      <c r="C24" s="32">
        <v>12230638080.699997</v>
      </c>
      <c r="D24" s="32">
        <v>1537522658.4000003</v>
      </c>
      <c r="E24" s="32">
        <v>2089192393.6000001</v>
      </c>
      <c r="F24" s="32">
        <v>508167410.39999998</v>
      </c>
    </row>
    <row r="25" spans="1:6" x14ac:dyDescent="0.25">
      <c r="A25" s="6" t="s">
        <v>117</v>
      </c>
      <c r="B25" s="32">
        <f>C25+D25+E25+F25</f>
        <v>4083976882.6200004</v>
      </c>
      <c r="C25" s="32">
        <f>+C23</f>
        <v>2803448194.3500004</v>
      </c>
      <c r="D25" s="32">
        <f t="shared" ref="D25:F25" si="1">+D23</f>
        <v>334482814.85000002</v>
      </c>
      <c r="E25" s="32">
        <f t="shared" si="1"/>
        <v>600570389.19000006</v>
      </c>
      <c r="F25" s="32">
        <f t="shared" si="1"/>
        <v>345475484.23000002</v>
      </c>
    </row>
    <row r="26" spans="1:6" x14ac:dyDescent="0.25">
      <c r="B26" s="32"/>
      <c r="C26" s="32"/>
      <c r="D26" s="32"/>
      <c r="E26" s="32"/>
      <c r="F26" s="32"/>
    </row>
    <row r="27" spans="1:6" x14ac:dyDescent="0.25">
      <c r="A27" s="26" t="s">
        <v>6</v>
      </c>
      <c r="B27" s="32"/>
      <c r="C27" s="32"/>
      <c r="D27" s="32"/>
      <c r="E27" s="32"/>
      <c r="F27" s="32"/>
    </row>
    <row r="28" spans="1:6" x14ac:dyDescent="0.25">
      <c r="A28" s="6" t="s">
        <v>115</v>
      </c>
      <c r="B28" s="32">
        <f>B22</f>
        <v>4959871485.8000002</v>
      </c>
      <c r="C28" s="32"/>
      <c r="D28" s="32"/>
      <c r="E28" s="32"/>
      <c r="F28" s="32"/>
    </row>
    <row r="29" spans="1:6" x14ac:dyDescent="0.25">
      <c r="A29" s="6" t="s">
        <v>116</v>
      </c>
      <c r="B29" s="32">
        <v>4622489471</v>
      </c>
      <c r="C29" s="32"/>
      <c r="D29" s="32"/>
      <c r="E29" s="32"/>
      <c r="F29" s="32"/>
    </row>
    <row r="30" spans="1:6" x14ac:dyDescent="0.25">
      <c r="B30" s="41"/>
      <c r="C30" s="41"/>
      <c r="D30" s="41"/>
      <c r="E30" s="41"/>
      <c r="F30" s="41"/>
    </row>
    <row r="31" spans="1:6" x14ac:dyDescent="0.25">
      <c r="A31" s="8" t="s">
        <v>7</v>
      </c>
      <c r="B31" s="41"/>
      <c r="C31" s="41"/>
      <c r="D31" s="41"/>
      <c r="E31" s="41"/>
      <c r="F31" s="41"/>
    </row>
    <row r="32" spans="1:6" x14ac:dyDescent="0.25">
      <c r="A32" s="6" t="s">
        <v>53</v>
      </c>
      <c r="B32" s="39">
        <v>1.0451999999999999</v>
      </c>
      <c r="C32" s="39">
        <v>1.0451999999999999</v>
      </c>
      <c r="D32" s="39">
        <v>1.0451999999999999</v>
      </c>
      <c r="E32" s="39">
        <v>1.0451999999999999</v>
      </c>
      <c r="F32" s="39">
        <v>1.0451999999999999</v>
      </c>
    </row>
    <row r="33" spans="1:6" x14ac:dyDescent="0.25">
      <c r="A33" s="6" t="s">
        <v>118</v>
      </c>
      <c r="B33" s="39">
        <v>1.0610999999999999</v>
      </c>
      <c r="C33" s="39">
        <v>1.0610999999999999</v>
      </c>
      <c r="D33" s="39">
        <v>1.0610999999999999</v>
      </c>
      <c r="E33" s="39">
        <v>1.0610999999999999</v>
      </c>
      <c r="F33" s="39">
        <v>1.0610999999999999</v>
      </c>
    </row>
    <row r="34" spans="1:6" x14ac:dyDescent="0.25">
      <c r="A34" s="6" t="s">
        <v>8</v>
      </c>
      <c r="B34" s="40" t="s">
        <v>36</v>
      </c>
      <c r="C34" s="40" t="s">
        <v>36</v>
      </c>
      <c r="D34" s="40" t="s">
        <v>36</v>
      </c>
      <c r="E34" s="40" t="s">
        <v>36</v>
      </c>
      <c r="F34" s="40" t="s">
        <v>36</v>
      </c>
    </row>
    <row r="35" spans="1:6" x14ac:dyDescent="0.25">
      <c r="B35" s="41"/>
      <c r="C35" s="41"/>
      <c r="D35" s="41"/>
      <c r="E35" s="41"/>
      <c r="F35" s="41"/>
    </row>
    <row r="36" spans="1:6" x14ac:dyDescent="0.25">
      <c r="A36" s="26" t="s">
        <v>9</v>
      </c>
      <c r="B36" s="41"/>
      <c r="C36" s="41"/>
      <c r="D36" s="41"/>
      <c r="E36" s="41"/>
      <c r="F36" s="41"/>
    </row>
    <row r="37" spans="1:6" x14ac:dyDescent="0.25">
      <c r="A37" s="6" t="s">
        <v>54</v>
      </c>
      <c r="B37" s="42">
        <f>B21/B32</f>
        <v>3109582459.7014928</v>
      </c>
      <c r="C37" s="42">
        <f t="shared" ref="C37:F37" si="2">C21/C32</f>
        <v>2616480666.9536934</v>
      </c>
      <c r="D37" s="42">
        <f>D21/D32</f>
        <v>0</v>
      </c>
      <c r="E37" s="42">
        <f t="shared" si="2"/>
        <v>493101792.74779952</v>
      </c>
      <c r="F37" s="42">
        <f t="shared" si="2"/>
        <v>0</v>
      </c>
    </row>
    <row r="38" spans="1:6" x14ac:dyDescent="0.25">
      <c r="A38" s="6" t="s">
        <v>119</v>
      </c>
      <c r="B38" s="42">
        <f>B23/B33</f>
        <v>3848814327.2264638</v>
      </c>
      <c r="C38" s="42">
        <f t="shared" ref="C38:F38" si="3">C23/C33</f>
        <v>2642020727.8767323</v>
      </c>
      <c r="D38" s="42">
        <f>D23/D33</f>
        <v>315222707.42625582</v>
      </c>
      <c r="E38" s="42">
        <f t="shared" si="3"/>
        <v>565988492.30986726</v>
      </c>
      <c r="F38" s="42">
        <f t="shared" si="3"/>
        <v>325582399.61360854</v>
      </c>
    </row>
    <row r="39" spans="1:6" x14ac:dyDescent="0.25">
      <c r="A39" s="6" t="s">
        <v>55</v>
      </c>
      <c r="B39" s="32">
        <f>B37/B15</f>
        <v>181641.56273812219</v>
      </c>
      <c r="C39" s="32">
        <f t="shared" ref="C39:E39" si="4">C37/C15</f>
        <v>192970.03222610024</v>
      </c>
      <c r="D39" s="32">
        <f>D37/D15</f>
        <v>0</v>
      </c>
      <c r="E39" s="32">
        <f t="shared" si="4"/>
        <v>1190108.9125047454</v>
      </c>
      <c r="F39" s="32" t="s">
        <v>128</v>
      </c>
    </row>
    <row r="40" spans="1:6" x14ac:dyDescent="0.25">
      <c r="A40" s="6" t="s">
        <v>120</v>
      </c>
      <c r="B40" s="32">
        <f>B38/B17</f>
        <v>134182.9515593189</v>
      </c>
      <c r="C40" s="32">
        <f t="shared" ref="C40:F40" si="5">C38/C17</f>
        <v>130670.19772870727</v>
      </c>
      <c r="D40" s="32">
        <f>D38/D17</f>
        <v>68378.027641270237</v>
      </c>
      <c r="E40" s="32">
        <f t="shared" si="5"/>
        <v>957139.50221510802</v>
      </c>
      <c r="F40" s="32">
        <f t="shared" si="5"/>
        <v>99780.079562858882</v>
      </c>
    </row>
    <row r="41" spans="1:6" x14ac:dyDescent="0.25">
      <c r="B41" s="41"/>
      <c r="C41" s="41"/>
      <c r="D41" s="41"/>
      <c r="E41" s="41"/>
      <c r="F41" s="41"/>
    </row>
    <row r="42" spans="1:6" x14ac:dyDescent="0.25">
      <c r="A42" s="8" t="s">
        <v>10</v>
      </c>
      <c r="B42" s="41"/>
      <c r="C42" s="41"/>
      <c r="D42" s="41"/>
      <c r="E42" s="41"/>
      <c r="F42" s="41"/>
    </row>
    <row r="43" spans="1:6" x14ac:dyDescent="0.25">
      <c r="B43" s="41"/>
      <c r="C43" s="41"/>
      <c r="D43" s="41"/>
      <c r="E43" s="41"/>
      <c r="F43" s="41"/>
    </row>
    <row r="44" spans="1:6" x14ac:dyDescent="0.25">
      <c r="A44" s="8" t="s">
        <v>11</v>
      </c>
      <c r="B44" s="41"/>
      <c r="C44" s="41"/>
      <c r="D44" s="41"/>
      <c r="E44" s="41"/>
      <c r="F44" s="41"/>
    </row>
    <row r="45" spans="1:6" x14ac:dyDescent="0.25">
      <c r="A45" s="3" t="s">
        <v>12</v>
      </c>
      <c r="B45" s="36" t="s">
        <v>35</v>
      </c>
      <c r="C45" s="36" t="s">
        <v>35</v>
      </c>
      <c r="D45" s="36" t="s">
        <v>35</v>
      </c>
      <c r="E45" s="36" t="s">
        <v>35</v>
      </c>
      <c r="F45" s="36" t="s">
        <v>35</v>
      </c>
    </row>
    <row r="46" spans="1:6" x14ac:dyDescent="0.25">
      <c r="A46" s="3" t="s">
        <v>13</v>
      </c>
      <c r="B46" s="36" t="s">
        <v>35</v>
      </c>
      <c r="C46" s="36" t="s">
        <v>35</v>
      </c>
      <c r="D46" s="36" t="s">
        <v>35</v>
      </c>
      <c r="E46" s="36" t="s">
        <v>35</v>
      </c>
      <c r="F46" s="36" t="s">
        <v>35</v>
      </c>
    </row>
    <row r="47" spans="1:6" x14ac:dyDescent="0.25">
      <c r="B47" s="36"/>
      <c r="C47" s="36"/>
      <c r="D47" s="36"/>
      <c r="E47" s="36"/>
      <c r="F47" s="36"/>
    </row>
    <row r="48" spans="1:6" x14ac:dyDescent="0.25">
      <c r="A48" s="8" t="s">
        <v>14</v>
      </c>
      <c r="B48" s="36"/>
      <c r="C48" s="36"/>
      <c r="D48" s="36"/>
      <c r="E48" s="36"/>
      <c r="F48" s="36"/>
    </row>
    <row r="49" spans="1:6" x14ac:dyDescent="0.25">
      <c r="A49" s="3" t="s">
        <v>15</v>
      </c>
      <c r="B49" s="36">
        <f>B17/B16*100</f>
        <v>194.27887654655467</v>
      </c>
      <c r="C49" s="36">
        <f t="shared" ref="C49:F49" si="6">C17/C16*100</f>
        <v>188.83907723918932</v>
      </c>
      <c r="D49" s="36">
        <f t="shared" ref="D49" si="7">D17/D16*100</f>
        <v>428.04085422469819</v>
      </c>
      <c r="E49" s="36">
        <f t="shared" si="6"/>
        <v>128.55072463768116</v>
      </c>
      <c r="F49" s="36">
        <f t="shared" si="6"/>
        <v>129.48412698412699</v>
      </c>
    </row>
    <row r="50" spans="1:6" x14ac:dyDescent="0.25">
      <c r="A50" s="3" t="s">
        <v>16</v>
      </c>
      <c r="B50" s="36">
        <f>B23/B22*100</f>
        <v>82.340377050339583</v>
      </c>
      <c r="C50" s="36">
        <f t="shared" ref="C50:F50" si="8">C23/C22*100</f>
        <v>74.494941077645208</v>
      </c>
      <c r="D50" s="36">
        <f t="shared" ref="D50" si="9">D23/D22*100</f>
        <v>87.018636902060237</v>
      </c>
      <c r="E50" s="36">
        <f t="shared" si="8"/>
        <v>93.42623354588018</v>
      </c>
      <c r="F50" s="36">
        <f t="shared" si="8"/>
        <v>203.95374269951412</v>
      </c>
    </row>
    <row r="51" spans="1:6" x14ac:dyDescent="0.25">
      <c r="A51" s="3" t="s">
        <v>17</v>
      </c>
      <c r="B51" s="36">
        <f>AVERAGE(B49:B50)</f>
        <v>138.30962679844714</v>
      </c>
      <c r="C51" s="36">
        <f t="shared" ref="C51:F51" si="10">AVERAGE(C49:C50)</f>
        <v>131.66700915841727</v>
      </c>
      <c r="D51" s="36">
        <f t="shared" ref="D51" si="11">AVERAGE(D49:D50)</f>
        <v>257.52974556337921</v>
      </c>
      <c r="E51" s="36">
        <f t="shared" si="10"/>
        <v>110.98847909178068</v>
      </c>
      <c r="F51" s="36">
        <f t="shared" si="10"/>
        <v>166.71893484182056</v>
      </c>
    </row>
    <row r="52" spans="1:6" x14ac:dyDescent="0.25">
      <c r="B52" s="36"/>
      <c r="C52" s="36"/>
      <c r="D52" s="36"/>
      <c r="E52" s="36"/>
      <c r="F52" s="36"/>
    </row>
    <row r="53" spans="1:6" x14ac:dyDescent="0.25">
      <c r="A53" s="8" t="s">
        <v>18</v>
      </c>
      <c r="B53" s="36"/>
      <c r="C53" s="36"/>
      <c r="D53" s="36"/>
      <c r="E53" s="36"/>
      <c r="F53" s="36"/>
    </row>
    <row r="54" spans="1:6" x14ac:dyDescent="0.25">
      <c r="A54" s="3" t="s">
        <v>19</v>
      </c>
      <c r="B54" s="36">
        <f>B17/B18*100</f>
        <v>61.178059791688874</v>
      </c>
      <c r="C54" s="36">
        <f t="shared" ref="C54:F54" si="12">C17/C18*100</f>
        <v>47.209769309797331</v>
      </c>
      <c r="D54" s="36">
        <f t="shared" si="12"/>
        <v>428.04085422469819</v>
      </c>
      <c r="E54" s="36">
        <f t="shared" si="12"/>
        <v>128.55072463768116</v>
      </c>
      <c r="F54" s="36">
        <f t="shared" si="12"/>
        <v>129.48412698412699</v>
      </c>
    </row>
    <row r="55" spans="1:6" x14ac:dyDescent="0.25">
      <c r="A55" s="3" t="s">
        <v>20</v>
      </c>
      <c r="B55" s="36">
        <f>B23/B24*100</f>
        <v>24.954763106156619</v>
      </c>
      <c r="C55" s="36">
        <f t="shared" ref="C55:F55" si="13">C23/C24*100</f>
        <v>22.921520331583146</v>
      </c>
      <c r="D55" s="36">
        <f>D23/D24*100</f>
        <v>21.754659225515059</v>
      </c>
      <c r="E55" s="36">
        <f t="shared" si="13"/>
        <v>28.74653339873236</v>
      </c>
      <c r="F55" s="36">
        <f t="shared" si="13"/>
        <v>67.984580899838051</v>
      </c>
    </row>
    <row r="56" spans="1:6" x14ac:dyDescent="0.25">
      <c r="A56" s="3" t="s">
        <v>21</v>
      </c>
      <c r="B56" s="36">
        <f>(B54+B55)/2</f>
        <v>43.06641144892275</v>
      </c>
      <c r="C56" s="36">
        <f t="shared" ref="C56:F56" si="14">(C54+C55)/2</f>
        <v>35.065644820690238</v>
      </c>
      <c r="D56" s="36">
        <f>(D54+D55)/2</f>
        <v>224.89775672510663</v>
      </c>
      <c r="E56" s="36">
        <f t="shared" si="14"/>
        <v>78.648629018206762</v>
      </c>
      <c r="F56" s="36">
        <f t="shared" si="14"/>
        <v>98.734353941982519</v>
      </c>
    </row>
    <row r="57" spans="1:6" x14ac:dyDescent="0.25">
      <c r="B57" s="36"/>
      <c r="C57" s="36"/>
      <c r="D57" s="36"/>
      <c r="E57" s="36"/>
      <c r="F57" s="36"/>
    </row>
    <row r="58" spans="1:6" x14ac:dyDescent="0.25">
      <c r="A58" s="8" t="s">
        <v>32</v>
      </c>
      <c r="B58" s="36"/>
      <c r="C58" s="36"/>
      <c r="D58" s="36"/>
      <c r="E58" s="36"/>
      <c r="F58" s="36"/>
    </row>
    <row r="59" spans="1:6" x14ac:dyDescent="0.25">
      <c r="A59" s="3" t="s">
        <v>22</v>
      </c>
      <c r="B59" s="36">
        <f t="shared" ref="B59" si="15">B25/B23*100</f>
        <v>100</v>
      </c>
      <c r="C59" s="36"/>
      <c r="D59" s="36"/>
      <c r="E59" s="36"/>
      <c r="F59" s="36"/>
    </row>
    <row r="60" spans="1:6" x14ac:dyDescent="0.25">
      <c r="B60" s="36"/>
      <c r="C60" s="36"/>
      <c r="D60" s="36"/>
      <c r="E60" s="36"/>
      <c r="F60" s="36"/>
    </row>
    <row r="61" spans="1:6" x14ac:dyDescent="0.25">
      <c r="A61" s="8" t="s">
        <v>23</v>
      </c>
      <c r="B61" s="36"/>
      <c r="C61" s="36"/>
      <c r="D61" s="36"/>
      <c r="E61" s="36"/>
      <c r="F61" s="36"/>
    </row>
    <row r="62" spans="1:6" x14ac:dyDescent="0.25">
      <c r="A62" s="3" t="s">
        <v>24</v>
      </c>
      <c r="B62" s="36">
        <f>((B17/B15)-1)*100</f>
        <v>67.549359398730473</v>
      </c>
      <c r="C62" s="36">
        <f t="shared" ref="C62:E62" si="16">((C17/C15)-1)*100</f>
        <v>49.118666568330994</v>
      </c>
      <c r="D62" s="36">
        <f>((D17/D15)-1)*100</f>
        <v>46.535282898919263</v>
      </c>
      <c r="E62" s="36">
        <f t="shared" si="16"/>
        <v>42.719227674979912</v>
      </c>
      <c r="F62" s="32" t="s">
        <v>128</v>
      </c>
    </row>
    <row r="63" spans="1:6" x14ac:dyDescent="0.25">
      <c r="A63" s="3" t="s">
        <v>25</v>
      </c>
      <c r="B63" s="36">
        <f>((B38/B37)-1)*100</f>
        <v>23.77270508516871</v>
      </c>
      <c r="C63" s="36">
        <f t="shared" ref="C63:E63" si="17">((C38/C37)-1)*100</f>
        <v>0.97612266911089041</v>
      </c>
      <c r="D63" s="36" t="s">
        <v>36</v>
      </c>
      <c r="E63" s="36">
        <f t="shared" si="17"/>
        <v>14.781268418414806</v>
      </c>
      <c r="F63" s="32" t="s">
        <v>128</v>
      </c>
    </row>
    <row r="64" spans="1:6" x14ac:dyDescent="0.25">
      <c r="A64" s="3" t="s">
        <v>26</v>
      </c>
      <c r="B64" s="36">
        <f t="shared" ref="B64:E64" si="18">((B40/B39)-1)*100</f>
        <v>-26.127616644229011</v>
      </c>
      <c r="C64" s="36">
        <f t="shared" si="18"/>
        <v>-32.284719952991011</v>
      </c>
      <c r="D64" s="36" t="s">
        <v>36</v>
      </c>
      <c r="E64" s="36">
        <f t="shared" si="18"/>
        <v>-19.575469760941601</v>
      </c>
      <c r="F64" s="32" t="s">
        <v>128</v>
      </c>
    </row>
    <row r="65" spans="1:7" x14ac:dyDescent="0.25">
      <c r="B65" s="36"/>
      <c r="C65" s="36"/>
      <c r="D65" s="36"/>
      <c r="E65" s="36"/>
      <c r="F65" s="36"/>
    </row>
    <row r="66" spans="1:7" x14ac:dyDescent="0.25">
      <c r="A66" s="8" t="s">
        <v>27</v>
      </c>
      <c r="B66" s="36"/>
      <c r="C66" s="36"/>
      <c r="D66" s="36"/>
      <c r="E66" s="36"/>
      <c r="F66" s="36"/>
    </row>
    <row r="67" spans="1:7" x14ac:dyDescent="0.25">
      <c r="A67" s="3" t="s">
        <v>68</v>
      </c>
      <c r="B67" s="36">
        <f>B22/(B16*3)</f>
        <v>111981.20396008309</v>
      </c>
      <c r="C67" s="36">
        <f>C22/C16</f>
        <v>351477.84212197625</v>
      </c>
      <c r="D67" s="36">
        <f t="shared" ref="D67:E67" si="19">D22/(D16*3)</f>
        <v>118966.47000928505</v>
      </c>
      <c r="E67" s="36">
        <f t="shared" si="19"/>
        <v>465817.70202898548</v>
      </c>
      <c r="F67" s="36">
        <f>F22/(F16*3)</f>
        <v>22405.97047619048</v>
      </c>
    </row>
    <row r="68" spans="1:7" x14ac:dyDescent="0.25">
      <c r="A68" s="3" t="s">
        <v>69</v>
      </c>
      <c r="B68" s="36">
        <f t="shared" ref="B68" si="20">B23/(B17*3)</f>
        <v>47460.509966531092</v>
      </c>
      <c r="C68" s="36">
        <f>C23/C17</f>
        <v>138654.14680993126</v>
      </c>
      <c r="D68" s="36">
        <f t="shared" ref="D68:E68" si="21">D23/(D17*3)</f>
        <v>24185.308376717283</v>
      </c>
      <c r="E68" s="36">
        <f t="shared" si="21"/>
        <v>338540.24193348369</v>
      </c>
      <c r="F68" s="36">
        <f>F23/(F17*3)</f>
        <v>35292.214141383185</v>
      </c>
    </row>
    <row r="69" spans="1:7" x14ac:dyDescent="0.25">
      <c r="A69" s="3" t="s">
        <v>28</v>
      </c>
      <c r="B69" s="36">
        <f>(B68/B67)*B51</f>
        <v>58.619171691302697</v>
      </c>
      <c r="C69" s="36">
        <f t="shared" ref="C69:E69" si="22">(C68/C67)*C51</f>
        <v>51.94118840510054</v>
      </c>
      <c r="D69" s="36">
        <f>(D68/D67)*D51</f>
        <v>52.354552607484699</v>
      </c>
      <c r="E69" s="36">
        <f t="shared" si="22"/>
        <v>80.662599123858072</v>
      </c>
      <c r="F69" s="36">
        <f>(F68/F67)*F51</f>
        <v>262.60323587024709</v>
      </c>
      <c r="G69" s="36"/>
    </row>
    <row r="70" spans="1:7" x14ac:dyDescent="0.25">
      <c r="A70" s="3" t="s">
        <v>70</v>
      </c>
      <c r="B70" s="36">
        <f t="shared" ref="B70:B71" si="23">B22/B16</f>
        <v>335943.61188024929</v>
      </c>
      <c r="C70" s="36">
        <f>(C22/C16)*3</f>
        <v>1054433.5263659288</v>
      </c>
      <c r="D70" s="36">
        <f t="shared" ref="D70:E70" si="24">D22/D16</f>
        <v>356899.41002785519</v>
      </c>
      <c r="E70" s="36">
        <f t="shared" si="24"/>
        <v>1397453.1060869563</v>
      </c>
      <c r="F70" s="36">
        <f>F22/F16</f>
        <v>67217.911428571431</v>
      </c>
    </row>
    <row r="71" spans="1:7" x14ac:dyDescent="0.25">
      <c r="A71" s="3" t="s">
        <v>71</v>
      </c>
      <c r="B71" s="36">
        <f t="shared" si="23"/>
        <v>142381.52989959327</v>
      </c>
      <c r="C71" s="36">
        <f>(C23/C17)*3</f>
        <v>415962.44042979379</v>
      </c>
      <c r="D71" s="36">
        <f t="shared" ref="D71:F71" si="25">D23/D17</f>
        <v>72555.925130151852</v>
      </c>
      <c r="E71" s="36">
        <f t="shared" si="25"/>
        <v>1015620.725800451</v>
      </c>
      <c r="F71" s="36">
        <f t="shared" si="25"/>
        <v>105876.64242414956</v>
      </c>
    </row>
    <row r="72" spans="1:7" x14ac:dyDescent="0.25">
      <c r="B72" s="36"/>
      <c r="C72" s="36"/>
      <c r="D72" s="36"/>
      <c r="E72" s="36"/>
      <c r="F72" s="36"/>
    </row>
    <row r="73" spans="1:7" x14ac:dyDescent="0.25">
      <c r="A73" s="8" t="s">
        <v>29</v>
      </c>
      <c r="B73" s="36"/>
      <c r="C73" s="36"/>
      <c r="D73" s="36"/>
      <c r="E73" s="36"/>
      <c r="F73" s="36"/>
    </row>
    <row r="74" spans="1:7" x14ac:dyDescent="0.25">
      <c r="A74" s="3" t="s">
        <v>30</v>
      </c>
      <c r="B74" s="36">
        <f>(B29/B28)*100</f>
        <v>93.197767003320195</v>
      </c>
      <c r="C74" s="36"/>
      <c r="D74" s="36"/>
      <c r="E74" s="36"/>
      <c r="F74" s="36"/>
    </row>
    <row r="75" spans="1:7" x14ac:dyDescent="0.25">
      <c r="A75" s="3" t="s">
        <v>31</v>
      </c>
      <c r="B75" s="36">
        <f>(B23/B29)*100</f>
        <v>88.350160843881781</v>
      </c>
      <c r="C75" s="36"/>
      <c r="D75" s="36"/>
      <c r="E75" s="36"/>
      <c r="F75" s="36"/>
    </row>
    <row r="76" spans="1:7" ht="15.75" thickBot="1" x14ac:dyDescent="0.3">
      <c r="A76" s="10"/>
      <c r="B76" s="10"/>
      <c r="C76" s="10"/>
      <c r="D76" s="10"/>
      <c r="E76" s="10"/>
      <c r="F76" s="10"/>
    </row>
    <row r="77" spans="1:7" s="19" customFormat="1" ht="16.5" customHeight="1" thickTop="1" x14ac:dyDescent="0.25">
      <c r="A77" s="55" t="s">
        <v>86</v>
      </c>
      <c r="B77" s="55"/>
      <c r="C77" s="55"/>
      <c r="D77" s="55"/>
      <c r="E77" s="55"/>
      <c r="F77" s="55"/>
    </row>
    <row r="78" spans="1:7" s="19" customFormat="1" ht="14.25" customHeight="1" x14ac:dyDescent="0.25"/>
    <row r="79" spans="1:7" s="19" customFormat="1" x14ac:dyDescent="0.25">
      <c r="A79" s="43"/>
    </row>
    <row r="80" spans="1:7" s="19" customFormat="1" x14ac:dyDescent="0.25">
      <c r="A80" s="44" t="s">
        <v>87</v>
      </c>
    </row>
    <row r="81" spans="1:6" s="19" customFormat="1" ht="129.75" customHeight="1" x14ac:dyDescent="0.25">
      <c r="A81" s="62" t="s">
        <v>127</v>
      </c>
      <c r="B81" s="62"/>
      <c r="C81" s="62"/>
      <c r="D81" s="62"/>
      <c r="E81" s="62"/>
      <c r="F81" s="62"/>
    </row>
    <row r="85" spans="1:6" x14ac:dyDescent="0.25">
      <c r="A85" s="12"/>
    </row>
    <row r="86" spans="1:6" x14ac:dyDescent="0.25">
      <c r="A86" s="12"/>
    </row>
    <row r="87" spans="1:6" x14ac:dyDescent="0.25">
      <c r="A87" s="12"/>
    </row>
  </sheetData>
  <mergeCells count="5">
    <mergeCell ref="A9:A10"/>
    <mergeCell ref="B9:B10"/>
    <mergeCell ref="C9:F9"/>
    <mergeCell ref="A77:F77"/>
    <mergeCell ref="A81:F81"/>
  </mergeCells>
  <pageMargins left="0.7" right="0.7" top="0.75" bottom="0.75" header="0.3" footer="0.3"/>
  <pageSetup paperSize="9" orientation="portrait" r:id="rId1"/>
  <ignoredErrors>
    <ignoredError sqref="D65:D68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87"/>
  <sheetViews>
    <sheetView showGridLines="0" tabSelected="1" zoomScale="80" zoomScaleNormal="80" workbookViewId="0">
      <selection activeCell="A9" sqref="A9:A10"/>
    </sheetView>
  </sheetViews>
  <sheetFormatPr baseColWidth="10" defaultColWidth="11.42578125" defaultRowHeight="15" x14ac:dyDescent="0.25"/>
  <cols>
    <col min="1" max="1" width="60.7109375" style="3" customWidth="1"/>
    <col min="2" max="6" width="24.7109375" style="3" customWidth="1"/>
    <col min="7" max="16384" width="11.42578125" style="3"/>
  </cols>
  <sheetData>
    <row r="9" spans="1:6" s="19" customFormat="1" x14ac:dyDescent="0.25">
      <c r="A9" s="57" t="s">
        <v>0</v>
      </c>
      <c r="B9" s="59" t="s">
        <v>1</v>
      </c>
      <c r="C9" s="61" t="s">
        <v>2</v>
      </c>
      <c r="D9" s="61"/>
      <c r="E9" s="61"/>
      <c r="F9" s="61"/>
    </row>
    <row r="10" spans="1:6" s="15" customFormat="1" ht="60.75" thickBot="1" x14ac:dyDescent="0.3">
      <c r="A10" s="58"/>
      <c r="B10" s="60"/>
      <c r="C10" s="14" t="s">
        <v>39</v>
      </c>
      <c r="D10" s="14" t="s">
        <v>76</v>
      </c>
      <c r="E10" s="14" t="s">
        <v>77</v>
      </c>
      <c r="F10" s="14" t="s">
        <v>78</v>
      </c>
    </row>
    <row r="11" spans="1:6" ht="15.75" thickTop="1" x14ac:dyDescent="0.25"/>
    <row r="12" spans="1:6" x14ac:dyDescent="0.25">
      <c r="A12" s="8" t="s">
        <v>3</v>
      </c>
    </row>
    <row r="14" spans="1:6" x14ac:dyDescent="0.25">
      <c r="A14" s="8" t="s">
        <v>4</v>
      </c>
    </row>
    <row r="15" spans="1:6" x14ac:dyDescent="0.25">
      <c r="A15" s="6" t="s">
        <v>64</v>
      </c>
      <c r="B15" s="45">
        <f>C15+D15+E15+F15</f>
        <v>47947.166666666672</v>
      </c>
      <c r="C15" s="45">
        <f>(+'I Trimestre'!C15+'II trimestre'!C15+'III Trimestre'!C15+'IV Trimestre'!C15)</f>
        <v>44376</v>
      </c>
      <c r="D15" s="45">
        <f>(+'I Trimestre'!D15+'II trimestre'!D15+'III Trimestre'!D15+'IV Trimestre'!D15)/4</f>
        <v>3092.3333333333335</v>
      </c>
      <c r="E15" s="45">
        <f>(+'I Trimestre'!E15+'II trimestre'!E15+'III Trimestre'!E15+'IV Trimestre'!E15)/4</f>
        <v>478.83333333333331</v>
      </c>
      <c r="F15" s="45">
        <f>(+'I Trimestre'!F15+'II trimestre'!F15+'III Trimestre'!F15+'IV Trimestre'!F15)/4</f>
        <v>0</v>
      </c>
    </row>
    <row r="16" spans="1:6" x14ac:dyDescent="0.25">
      <c r="A16" s="6" t="s">
        <v>121</v>
      </c>
      <c r="B16" s="45">
        <f t="shared" ref="B16:B17" si="0">C16+D16+E16+F16</f>
        <v>46885</v>
      </c>
      <c r="C16" s="45">
        <f>(+'I Trimestre'!C16+'II trimestre'!C16+'III Trimestre'!C16+'IV Trimestre'!C16)</f>
        <v>42828</v>
      </c>
      <c r="D16" s="45">
        <f>(+'I Trimestre'!D16+'II trimestre'!D16+'III Trimestre'!D16+'IV Trimestre'!D16)/4</f>
        <v>1077</v>
      </c>
      <c r="E16" s="45">
        <f>(+'I Trimestre'!E16+'II trimestre'!E16+'III Trimestre'!E16+'IV Trimestre'!E16)/4</f>
        <v>460</v>
      </c>
      <c r="F16" s="45">
        <f>(+'I Trimestre'!F16+'II trimestre'!F16+'III Trimestre'!F16+'IV Trimestre'!F16)/3</f>
        <v>2520</v>
      </c>
    </row>
    <row r="17" spans="1:6" x14ac:dyDescent="0.25">
      <c r="A17" s="6" t="s">
        <v>122</v>
      </c>
      <c r="B17" s="45">
        <f t="shared" si="0"/>
        <v>84955.194444444438</v>
      </c>
      <c r="C17" s="45">
        <f>(+'I Trimestre'!C17+'II trimestre'!C17+'III Trimestre'!C17+'IV Trimestre'!C17)</f>
        <v>77485</v>
      </c>
      <c r="D17" s="45">
        <f>(+'I Trimestre'!D17+'II trimestre'!D17+'III Trimestre'!D17+'IV Trimestre'!D17)/4</f>
        <v>4308</v>
      </c>
      <c r="E17" s="45">
        <f>(+'I Trimestre'!E17+'II trimestre'!E17+'III Trimestre'!E17+'IV Trimestre'!E17)/4</f>
        <v>503.08333333333337</v>
      </c>
      <c r="F17" s="45">
        <f>(+'I Trimestre'!F17+'II trimestre'!F17+'III Trimestre'!F17+'IV Trimestre'!F17)/3</f>
        <v>2659.1111111111109</v>
      </c>
    </row>
    <row r="18" spans="1:6" x14ac:dyDescent="0.25">
      <c r="A18" s="6" t="s">
        <v>81</v>
      </c>
      <c r="B18" s="45">
        <f>SUM(C18:F18)</f>
        <v>46885</v>
      </c>
      <c r="C18" s="45">
        <f>+'IV Trimestre'!C18</f>
        <v>42828</v>
      </c>
      <c r="D18" s="45">
        <f>+'IV Trimestre'!D18</f>
        <v>1077</v>
      </c>
      <c r="E18" s="45">
        <f>+'IV Trimestre'!E18</f>
        <v>460</v>
      </c>
      <c r="F18" s="45">
        <f>+'IV Trimestre'!F18</f>
        <v>2520</v>
      </c>
    </row>
    <row r="19" spans="1:6" x14ac:dyDescent="0.25">
      <c r="B19" s="45"/>
      <c r="C19" s="45"/>
      <c r="D19" s="45"/>
      <c r="E19" s="45"/>
      <c r="F19" s="45"/>
    </row>
    <row r="20" spans="1:6" x14ac:dyDescent="0.25">
      <c r="A20" s="25" t="s">
        <v>5</v>
      </c>
      <c r="B20" s="45"/>
      <c r="C20" s="45"/>
      <c r="D20" s="45"/>
      <c r="E20" s="45"/>
      <c r="F20" s="45"/>
    </row>
    <row r="21" spans="1:6" x14ac:dyDescent="0.25">
      <c r="A21" s="6" t="s">
        <v>40</v>
      </c>
      <c r="B21" s="45">
        <f>SUM(C21:F21)</f>
        <v>13147702762.190001</v>
      </c>
      <c r="C21" s="45">
        <f>+'I Trimestre'!C21+'II trimestre'!C21+'III Trimestre'!C21+'IV Trimestre'!C21</f>
        <v>9881412556.1100006</v>
      </c>
      <c r="D21" s="45">
        <f>+'I Trimestre'!D21+'II trimestre'!D21+'III Trimestre'!D21+'IV Trimestre'!D21</f>
        <v>1467289720</v>
      </c>
      <c r="E21" s="45">
        <f>+'I Trimestre'!E21+'II trimestre'!E21+'III Trimestre'!E21+'IV Trimestre'!E21</f>
        <v>1799000486.0799999</v>
      </c>
      <c r="F21" s="45">
        <f>+'I Trimestre'!F21+'II trimestre'!F21+'III Trimestre'!F21+'IV Trimestre'!F21</f>
        <v>0</v>
      </c>
    </row>
    <row r="22" spans="1:6" x14ac:dyDescent="0.25">
      <c r="A22" s="6" t="s">
        <v>121</v>
      </c>
      <c r="B22" s="45">
        <f>SUM(C22:F22)</f>
        <v>16365520543.099998</v>
      </c>
      <c r="C22" s="45">
        <f>+'I Trimestre'!C22+'II trimestre'!C22+'III Trimestre'!C22+'IV Trimestre'!C22</f>
        <v>12230638080.699999</v>
      </c>
      <c r="D22" s="45">
        <f>+'I Trimestre'!D22+'II trimestre'!D22+'III Trimestre'!D22+'IV Trimestre'!D22</f>
        <v>1537522658.4000001</v>
      </c>
      <c r="E22" s="45">
        <f>+'I Trimestre'!E22+'II trimestre'!E22+'III Trimestre'!E22+'IV Trimestre'!E22</f>
        <v>2089192393.5999999</v>
      </c>
      <c r="F22" s="45">
        <f>+'I Trimestre'!F22+'II trimestre'!F22+'III Trimestre'!F22+'IV Trimestre'!F22</f>
        <v>508167410.40000004</v>
      </c>
    </row>
    <row r="23" spans="1:6" x14ac:dyDescent="0.25">
      <c r="A23" s="6" t="s">
        <v>122</v>
      </c>
      <c r="B23" s="45">
        <f>SUM(C23:F23)</f>
        <v>13582606768.18</v>
      </c>
      <c r="C23" s="45">
        <f>+'I Trimestre'!C23+'II trimestre'!C23+'III Trimestre'!C23+'IV Trimestre'!C23</f>
        <v>10012372589.09</v>
      </c>
      <c r="D23" s="45">
        <f>+'I Trimestre'!D23+'II trimestre'!D23+'III Trimestre'!D23+'IV Trimestre'!D23</f>
        <v>1070948391.7500001</v>
      </c>
      <c r="E23" s="45">
        <f>+'I Trimestre'!E23+'II trimestre'!E23+'III Trimestre'!E23+'IV Trimestre'!E23</f>
        <v>2096559817.6100001</v>
      </c>
      <c r="F23" s="45">
        <f>+'I Trimestre'!F23+'II trimestre'!F23+'III Trimestre'!F23+'IV Trimestre'!F23</f>
        <v>402725969.73000002</v>
      </c>
    </row>
    <row r="24" spans="1:6" x14ac:dyDescent="0.25">
      <c r="A24" s="6" t="s">
        <v>81</v>
      </c>
      <c r="B24" s="45">
        <f>SUM(C24:F24)</f>
        <v>16365520543.099997</v>
      </c>
      <c r="C24" s="45">
        <f>+'IV Trimestre'!C24</f>
        <v>12230638080.699997</v>
      </c>
      <c r="D24" s="45">
        <f>+'IV Trimestre'!D24</f>
        <v>1537522658.4000003</v>
      </c>
      <c r="E24" s="45">
        <f>+'IV Trimestre'!E24</f>
        <v>2089192393.6000001</v>
      </c>
      <c r="F24" s="45">
        <f>+'IV Trimestre'!F24</f>
        <v>508167410.39999998</v>
      </c>
    </row>
    <row r="25" spans="1:6" x14ac:dyDescent="0.25">
      <c r="A25" s="6" t="s">
        <v>123</v>
      </c>
      <c r="B25" s="45">
        <f>C25+D25+E25+F25</f>
        <v>13582606768.18</v>
      </c>
      <c r="C25" s="45">
        <f t="shared" ref="C25:F25" si="1">C23</f>
        <v>10012372589.09</v>
      </c>
      <c r="D25" s="45">
        <f t="shared" si="1"/>
        <v>1070948391.7500001</v>
      </c>
      <c r="E25" s="45">
        <f t="shared" si="1"/>
        <v>2096559817.6100001</v>
      </c>
      <c r="F25" s="45">
        <f t="shared" si="1"/>
        <v>402725969.73000002</v>
      </c>
    </row>
    <row r="26" spans="1:6" x14ac:dyDescent="0.25">
      <c r="A26" s="8"/>
      <c r="B26" s="45"/>
      <c r="C26" s="45"/>
      <c r="D26" s="45"/>
      <c r="E26" s="45"/>
      <c r="F26" s="45"/>
    </row>
    <row r="27" spans="1:6" x14ac:dyDescent="0.25">
      <c r="A27" s="26" t="s">
        <v>6</v>
      </c>
      <c r="B27" s="45"/>
      <c r="C27" s="45"/>
      <c r="D27" s="45"/>
      <c r="E27" s="45"/>
      <c r="F27" s="45"/>
    </row>
    <row r="28" spans="1:6" x14ac:dyDescent="0.25">
      <c r="A28" s="6" t="s">
        <v>121</v>
      </c>
      <c r="B28" s="45">
        <f>'I Trimestre'!B28+'II trimestre'!B28+'III Trimestre'!B28+'IV Trimestre'!B28</f>
        <v>16365520543.099998</v>
      </c>
      <c r="C28" s="45"/>
      <c r="D28" s="45"/>
      <c r="E28" s="45"/>
      <c r="F28" s="45"/>
    </row>
    <row r="29" spans="1:6" x14ac:dyDescent="0.25">
      <c r="A29" s="6" t="s">
        <v>122</v>
      </c>
      <c r="B29" s="45">
        <f>'I Trimestre'!B29+'II trimestre'!B29+'III Trimestre'!B29+'IV Trimestre'!B29</f>
        <v>16287821527.83</v>
      </c>
      <c r="C29" s="45"/>
      <c r="D29" s="45"/>
      <c r="E29" s="45"/>
      <c r="F29" s="45"/>
    </row>
    <row r="30" spans="1:6" x14ac:dyDescent="0.25">
      <c r="B30" s="45"/>
      <c r="C30" s="45"/>
      <c r="D30" s="45"/>
      <c r="E30" s="45"/>
      <c r="F30" s="45"/>
    </row>
    <row r="31" spans="1:6" x14ac:dyDescent="0.25">
      <c r="A31" s="8" t="s">
        <v>7</v>
      </c>
    </row>
    <row r="32" spans="1:6" x14ac:dyDescent="0.25">
      <c r="A32" s="6" t="s">
        <v>65</v>
      </c>
      <c r="B32" s="48">
        <v>1.0451999999999999</v>
      </c>
      <c r="C32" s="48">
        <v>1.0451999999999999</v>
      </c>
      <c r="D32" s="48">
        <v>1.0451999999999999</v>
      </c>
      <c r="E32" s="48">
        <v>1.0451999999999999</v>
      </c>
      <c r="F32" s="48">
        <v>1.0451999999999999</v>
      </c>
    </row>
    <row r="33" spans="1:6" x14ac:dyDescent="0.25">
      <c r="A33" s="6" t="s">
        <v>124</v>
      </c>
      <c r="B33" s="48">
        <v>1.0610999999999999</v>
      </c>
      <c r="C33" s="48">
        <v>1.0610999999999999</v>
      </c>
      <c r="D33" s="48">
        <v>1.0610999999999999</v>
      </c>
      <c r="E33" s="48">
        <v>1.0610999999999999</v>
      </c>
      <c r="F33" s="48">
        <v>1.0610999999999999</v>
      </c>
    </row>
    <row r="34" spans="1:6" x14ac:dyDescent="0.25">
      <c r="A34" s="6" t="s">
        <v>8</v>
      </c>
      <c r="B34" s="29" t="s">
        <v>36</v>
      </c>
      <c r="C34" s="29" t="s">
        <v>36</v>
      </c>
      <c r="D34" s="29" t="s">
        <v>36</v>
      </c>
      <c r="E34" s="29" t="s">
        <v>36</v>
      </c>
      <c r="F34" s="29" t="s">
        <v>36</v>
      </c>
    </row>
    <row r="36" spans="1:6" x14ac:dyDescent="0.25">
      <c r="A36" s="26" t="s">
        <v>9</v>
      </c>
    </row>
    <row r="37" spans="1:6" x14ac:dyDescent="0.25">
      <c r="A37" s="6" t="s">
        <v>66</v>
      </c>
      <c r="B37" s="46">
        <f>B21/B32</f>
        <v>12579126255.443935</v>
      </c>
      <c r="C37" s="46">
        <f t="shared" ref="C37:F37" si="2">C21/C32</f>
        <v>9454087788.0884056</v>
      </c>
      <c r="D37" s="46">
        <f>D21/D32</f>
        <v>1403836318.4079604</v>
      </c>
      <c r="E37" s="46">
        <f t="shared" si="2"/>
        <v>1721202148.9475698</v>
      </c>
      <c r="F37" s="46">
        <f t="shared" si="2"/>
        <v>0</v>
      </c>
    </row>
    <row r="38" spans="1:6" x14ac:dyDescent="0.25">
      <c r="A38" s="6" t="s">
        <v>125</v>
      </c>
      <c r="B38" s="46">
        <f>B23/B33</f>
        <v>12800496435.943832</v>
      </c>
      <c r="C38" s="46">
        <f t="shared" ref="C38:E38" si="3">C23/C33</f>
        <v>9435842605.8712673</v>
      </c>
      <c r="D38" s="46">
        <f>D23/D33</f>
        <v>1009281304.071247</v>
      </c>
      <c r="E38" s="46">
        <f t="shared" si="3"/>
        <v>1975836224.3049667</v>
      </c>
      <c r="F38" s="46">
        <f t="shared" ref="F38" si="4">F23/F33</f>
        <v>379536301.6963529</v>
      </c>
    </row>
    <row r="39" spans="1:6" x14ac:dyDescent="0.25">
      <c r="A39" s="6" t="s">
        <v>67</v>
      </c>
      <c r="B39" s="45">
        <f>B37/B15</f>
        <v>262353.90180394257</v>
      </c>
      <c r="C39" s="45">
        <f t="shared" ref="C39:E39" si="5">C37/C15</f>
        <v>213045.06463152167</v>
      </c>
      <c r="D39" s="45">
        <f>D37/D15</f>
        <v>453973.15459996561</v>
      </c>
      <c r="E39" s="45">
        <f t="shared" si="5"/>
        <v>3594574.6236287574</v>
      </c>
      <c r="F39" s="32" t="s">
        <v>36</v>
      </c>
    </row>
    <row r="40" spans="1:6" x14ac:dyDescent="0.25">
      <c r="A40" s="6" t="s">
        <v>126</v>
      </c>
      <c r="B40" s="45">
        <f>B38/B17</f>
        <v>150673.49936223833</v>
      </c>
      <c r="C40" s="45">
        <f t="shared" ref="C40:F40" si="6">C38/C17</f>
        <v>121776.3774391336</v>
      </c>
      <c r="D40" s="45">
        <f>D38/D17</f>
        <v>234280.71125145009</v>
      </c>
      <c r="E40" s="45">
        <f t="shared" si="6"/>
        <v>3927453.1541592842</v>
      </c>
      <c r="F40" s="45">
        <f t="shared" si="6"/>
        <v>142730.51626555141</v>
      </c>
    </row>
    <row r="42" spans="1:6" x14ac:dyDescent="0.25">
      <c r="A42" s="8" t="s">
        <v>10</v>
      </c>
    </row>
    <row r="44" spans="1:6" x14ac:dyDescent="0.25">
      <c r="A44" s="8" t="s">
        <v>11</v>
      </c>
    </row>
    <row r="45" spans="1:6" x14ac:dyDescent="0.25">
      <c r="A45" s="3" t="s">
        <v>12</v>
      </c>
      <c r="B45" s="36" t="s">
        <v>35</v>
      </c>
      <c r="C45" s="36" t="s">
        <v>35</v>
      </c>
      <c r="D45" s="36" t="s">
        <v>35</v>
      </c>
      <c r="E45" s="36" t="s">
        <v>35</v>
      </c>
      <c r="F45" s="36" t="s">
        <v>35</v>
      </c>
    </row>
    <row r="46" spans="1:6" x14ac:dyDescent="0.25">
      <c r="A46" s="3" t="s">
        <v>13</v>
      </c>
      <c r="B46" s="36" t="s">
        <v>35</v>
      </c>
      <c r="C46" s="36" t="s">
        <v>35</v>
      </c>
      <c r="D46" s="36" t="s">
        <v>35</v>
      </c>
      <c r="E46" s="36" t="s">
        <v>35</v>
      </c>
      <c r="F46" s="36" t="s">
        <v>35</v>
      </c>
    </row>
    <row r="47" spans="1:6" x14ac:dyDescent="0.25">
      <c r="B47" s="47"/>
      <c r="C47" s="47"/>
      <c r="D47" s="47"/>
      <c r="E47" s="47"/>
      <c r="F47" s="47"/>
    </row>
    <row r="48" spans="1:6" x14ac:dyDescent="0.25">
      <c r="A48" s="8" t="s">
        <v>14</v>
      </c>
      <c r="B48" s="47"/>
      <c r="C48" s="47"/>
      <c r="D48" s="47"/>
      <c r="E48" s="47"/>
      <c r="F48" s="47"/>
    </row>
    <row r="49" spans="1:6" x14ac:dyDescent="0.25">
      <c r="A49" s="3" t="s">
        <v>15</v>
      </c>
      <c r="B49" s="47">
        <f>B17/B16*100</f>
        <v>181.19909234178189</v>
      </c>
      <c r="C49" s="47">
        <f t="shared" ref="C49:F49" si="7">C17/C16*100</f>
        <v>180.92135985803679</v>
      </c>
      <c r="D49" s="47">
        <f>D17/D16*100</f>
        <v>400</v>
      </c>
      <c r="E49" s="47">
        <f t="shared" si="7"/>
        <v>109.3659420289855</v>
      </c>
      <c r="F49" s="47">
        <f t="shared" si="7"/>
        <v>105.52028218694885</v>
      </c>
    </row>
    <row r="50" spans="1:6" x14ac:dyDescent="0.25">
      <c r="A50" s="3" t="s">
        <v>16</v>
      </c>
      <c r="B50" s="47">
        <f>B23/B22*100</f>
        <v>82.99526270740391</v>
      </c>
      <c r="C50" s="47">
        <f t="shared" ref="C50:F50" si="8">C23/C22*100</f>
        <v>81.863043637024703</v>
      </c>
      <c r="D50" s="47">
        <f>D23/D22*100</f>
        <v>69.654153446068008</v>
      </c>
      <c r="E50" s="47">
        <f t="shared" si="8"/>
        <v>100.35264459283736</v>
      </c>
      <c r="F50" s="47">
        <f t="shared" si="8"/>
        <v>79.250648799575202</v>
      </c>
    </row>
    <row r="51" spans="1:6" x14ac:dyDescent="0.25">
      <c r="A51" s="3" t="s">
        <v>17</v>
      </c>
      <c r="B51" s="47">
        <f>AVERAGE(B49:B50)</f>
        <v>132.09717752459289</v>
      </c>
      <c r="C51" s="47">
        <f t="shared" ref="C51:F51" si="9">AVERAGE(C49:C50)</f>
        <v>131.39220174753075</v>
      </c>
      <c r="D51" s="47">
        <f>AVERAGE(D49:D50)</f>
        <v>234.827076723034</v>
      </c>
      <c r="E51" s="47">
        <f t="shared" si="9"/>
        <v>104.85929331091143</v>
      </c>
      <c r="F51" s="47">
        <f t="shared" si="9"/>
        <v>92.385465493262018</v>
      </c>
    </row>
    <row r="52" spans="1:6" x14ac:dyDescent="0.25">
      <c r="B52" s="47"/>
      <c r="C52" s="47"/>
      <c r="D52" s="47"/>
      <c r="E52" s="47"/>
      <c r="F52" s="47"/>
    </row>
    <row r="53" spans="1:6" x14ac:dyDescent="0.25">
      <c r="A53" s="8" t="s">
        <v>18</v>
      </c>
      <c r="B53" s="47"/>
      <c r="C53" s="47"/>
      <c r="D53" s="47"/>
      <c r="E53" s="47"/>
      <c r="F53" s="47"/>
    </row>
    <row r="54" spans="1:6" x14ac:dyDescent="0.25">
      <c r="A54" s="3" t="s">
        <v>19</v>
      </c>
      <c r="B54" s="47">
        <f>B17/B18*100</f>
        <v>181.19909234178189</v>
      </c>
      <c r="C54" s="47">
        <f t="shared" ref="C54:F54" si="10">C17/C18*100</f>
        <v>180.92135985803679</v>
      </c>
      <c r="D54" s="47">
        <f>D17/D18*100</f>
        <v>400</v>
      </c>
      <c r="E54" s="47">
        <f t="shared" si="10"/>
        <v>109.3659420289855</v>
      </c>
      <c r="F54" s="47">
        <f t="shared" si="10"/>
        <v>105.52028218694885</v>
      </c>
    </row>
    <row r="55" spans="1:6" x14ac:dyDescent="0.25">
      <c r="A55" s="3" t="s">
        <v>20</v>
      </c>
      <c r="B55" s="47">
        <f>B23/B24*100</f>
        <v>82.995262707403924</v>
      </c>
      <c r="C55" s="47">
        <f t="shared" ref="C55:F55" si="11">C23/C24*100</f>
        <v>81.863043637024717</v>
      </c>
      <c r="D55" s="47">
        <f>D23/D24*100</f>
        <v>69.654153446067994</v>
      </c>
      <c r="E55" s="47">
        <f t="shared" si="11"/>
        <v>100.35264459283736</v>
      </c>
      <c r="F55" s="47">
        <f t="shared" si="11"/>
        <v>79.250648799575202</v>
      </c>
    </row>
    <row r="56" spans="1:6" x14ac:dyDescent="0.25">
      <c r="A56" s="3" t="s">
        <v>21</v>
      </c>
      <c r="B56" s="47">
        <f>(B54+B55)/2</f>
        <v>132.09717752459289</v>
      </c>
      <c r="C56" s="47">
        <f t="shared" ref="C56:F56" si="12">(C54+C55)/2</f>
        <v>131.39220174753075</v>
      </c>
      <c r="D56" s="47">
        <f>(D54+D55)/2</f>
        <v>234.827076723034</v>
      </c>
      <c r="E56" s="47">
        <f t="shared" si="12"/>
        <v>104.85929331091143</v>
      </c>
      <c r="F56" s="47">
        <f t="shared" si="12"/>
        <v>92.385465493262018</v>
      </c>
    </row>
    <row r="57" spans="1:6" x14ac:dyDescent="0.25">
      <c r="B57" s="47"/>
      <c r="C57" s="47"/>
      <c r="D57" s="47"/>
      <c r="E57" s="47"/>
      <c r="F57" s="47"/>
    </row>
    <row r="58" spans="1:6" x14ac:dyDescent="0.25">
      <c r="A58" s="8" t="s">
        <v>32</v>
      </c>
      <c r="B58" s="47"/>
      <c r="C58" s="47"/>
      <c r="D58" s="47"/>
      <c r="E58" s="47"/>
      <c r="F58" s="47"/>
    </row>
    <row r="59" spans="1:6" x14ac:dyDescent="0.25">
      <c r="A59" s="3" t="s">
        <v>22</v>
      </c>
      <c r="B59" s="47">
        <f>B25/B23*100</f>
        <v>100</v>
      </c>
      <c r="C59" s="47"/>
      <c r="D59" s="47"/>
      <c r="E59" s="47"/>
      <c r="F59" s="47"/>
    </row>
    <row r="60" spans="1:6" x14ac:dyDescent="0.25">
      <c r="B60" s="47"/>
      <c r="C60" s="47"/>
      <c r="D60" s="47"/>
      <c r="E60" s="47"/>
      <c r="F60" s="47"/>
    </row>
    <row r="61" spans="1:6" x14ac:dyDescent="0.25">
      <c r="A61" s="8" t="s">
        <v>23</v>
      </c>
      <c r="B61" s="47"/>
      <c r="C61" s="47"/>
      <c r="D61" s="47"/>
      <c r="E61" s="47"/>
      <c r="F61" s="47"/>
    </row>
    <row r="62" spans="1:6" x14ac:dyDescent="0.25">
      <c r="A62" s="3" t="s">
        <v>24</v>
      </c>
      <c r="B62" s="47">
        <f t="shared" ref="B62:E62" si="13">((B17/B15)-1)*100</f>
        <v>77.185014987561516</v>
      </c>
      <c r="C62" s="47">
        <f t="shared" si="13"/>
        <v>74.610149630430868</v>
      </c>
      <c r="D62" s="47">
        <f t="shared" si="13"/>
        <v>39.31227767597283</v>
      </c>
      <c r="E62" s="47">
        <f t="shared" si="13"/>
        <v>5.0643926209537282</v>
      </c>
      <c r="F62" s="36" t="s">
        <v>36</v>
      </c>
    </row>
    <row r="63" spans="1:6" x14ac:dyDescent="0.25">
      <c r="A63" s="3" t="s">
        <v>25</v>
      </c>
      <c r="B63" s="47">
        <f>((B38/B37)-1)*100</f>
        <v>1.7598215965444641</v>
      </c>
      <c r="C63" s="47">
        <f t="shared" ref="C63:E63" si="14">((C38/C37)-1)*100</f>
        <v>-0.19298723077361135</v>
      </c>
      <c r="D63" s="47">
        <f>((D38/D37)-1)*100</f>
        <v>-28.10548560135301</v>
      </c>
      <c r="E63" s="47">
        <f t="shared" si="14"/>
        <v>14.79396685119716</v>
      </c>
      <c r="F63" s="36" t="s">
        <v>36</v>
      </c>
    </row>
    <row r="64" spans="1:6" x14ac:dyDescent="0.25">
      <c r="A64" s="3" t="s">
        <v>26</v>
      </c>
      <c r="B64" s="47">
        <f t="shared" ref="B64:E64" si="15">((B40/B39)-1)*100</f>
        <v>-42.568607393978517</v>
      </c>
      <c r="C64" s="47">
        <f t="shared" si="15"/>
        <v>-42.840085195235332</v>
      </c>
      <c r="D64" s="47">
        <f t="shared" si="15"/>
        <v>-48.39326755832186</v>
      </c>
      <c r="E64" s="47">
        <f t="shared" si="15"/>
        <v>9.2605819988369689</v>
      </c>
      <c r="F64" s="36" t="s">
        <v>36</v>
      </c>
    </row>
    <row r="65" spans="1:6" x14ac:dyDescent="0.25">
      <c r="B65" s="47"/>
      <c r="C65" s="47"/>
      <c r="D65" s="47"/>
      <c r="E65" s="47"/>
      <c r="F65" s="47"/>
    </row>
    <row r="66" spans="1:6" x14ac:dyDescent="0.25">
      <c r="A66" s="8" t="s">
        <v>27</v>
      </c>
      <c r="B66" s="47"/>
      <c r="C66" s="47"/>
      <c r="D66" s="47"/>
      <c r="E66" s="47"/>
      <c r="F66" s="47"/>
    </row>
    <row r="67" spans="1:6" x14ac:dyDescent="0.25">
      <c r="A67" s="3" t="s">
        <v>33</v>
      </c>
      <c r="B67" s="47">
        <f>B22/(B16*12)</f>
        <v>29088.053291919943</v>
      </c>
      <c r="C67" s="47">
        <f>C22/(C16)</f>
        <v>285575.74672410567</v>
      </c>
      <c r="D67" s="47">
        <f>D22/(D16*12)</f>
        <v>118966.47000928505</v>
      </c>
      <c r="E67" s="47">
        <f t="shared" ref="E67" si="16">E22/(E16*12)</f>
        <v>378476.88289855071</v>
      </c>
      <c r="F67" s="47">
        <f>F22/(F16*6)</f>
        <v>33608.955714285716</v>
      </c>
    </row>
    <row r="68" spans="1:6" x14ac:dyDescent="0.25">
      <c r="A68" s="3" t="s">
        <v>34</v>
      </c>
      <c r="B68" s="47">
        <f>B23/(B17*12)</f>
        <v>13323.304181105925</v>
      </c>
      <c r="C68" s="47">
        <f>C23/(C17)</f>
        <v>129216.91410066465</v>
      </c>
      <c r="D68" s="47">
        <f>D23/(D17*12)</f>
        <v>20716.271892409473</v>
      </c>
      <c r="E68" s="47">
        <f t="shared" ref="E68" si="17">E23/(E17*12)</f>
        <v>347285.0451565347</v>
      </c>
      <c r="F68" s="47">
        <f>F23/(F17*6)</f>
        <v>25241.891801562768</v>
      </c>
    </row>
    <row r="69" spans="1:6" x14ac:dyDescent="0.25">
      <c r="A69" s="3" t="s">
        <v>28</v>
      </c>
      <c r="B69" s="47">
        <f>(B68/B67)*B51</f>
        <v>60.504938572653927</v>
      </c>
      <c r="C69" s="47">
        <f t="shared" ref="C69:E69" si="18">(C68/C67)*C51</f>
        <v>59.452159510976941</v>
      </c>
      <c r="D69" s="47">
        <f t="shared" si="18"/>
        <v>40.891703088394493</v>
      </c>
      <c r="E69" s="47">
        <f t="shared" si="18"/>
        <v>96.217407345122794</v>
      </c>
      <c r="F69" s="47">
        <f>(F68/F67)*F51</f>
        <v>69.385789425962585</v>
      </c>
    </row>
    <row r="70" spans="1:6" x14ac:dyDescent="0.25">
      <c r="A70" s="3" t="s">
        <v>37</v>
      </c>
      <c r="B70" s="47">
        <f t="shared" ref="B70:F71" si="19">B22/B16</f>
        <v>349056.6395030393</v>
      </c>
      <c r="C70" s="47">
        <f>C22/C16*12</f>
        <v>3426908.9606892681</v>
      </c>
      <c r="D70" s="47">
        <f>D22/D16</f>
        <v>1427597.6401114208</v>
      </c>
      <c r="E70" s="47">
        <f>E22/E16</f>
        <v>4541722.5947826086</v>
      </c>
      <c r="F70" s="47">
        <f>F22/F16</f>
        <v>201653.73428571431</v>
      </c>
    </row>
    <row r="71" spans="1:6" x14ac:dyDescent="0.25">
      <c r="A71" s="3" t="s">
        <v>38</v>
      </c>
      <c r="B71" s="47">
        <f t="shared" si="19"/>
        <v>159879.6501732711</v>
      </c>
      <c r="C71" s="47">
        <f>C23/C17*12</f>
        <v>1550602.9692079758</v>
      </c>
      <c r="D71" s="47">
        <f t="shared" si="19"/>
        <v>248595.26270891368</v>
      </c>
      <c r="E71" s="47">
        <f t="shared" si="19"/>
        <v>4167420.5418784162</v>
      </c>
      <c r="F71" s="47">
        <f t="shared" si="19"/>
        <v>151451.3508093766</v>
      </c>
    </row>
    <row r="72" spans="1:6" x14ac:dyDescent="0.25">
      <c r="B72" s="47"/>
      <c r="C72" s="47"/>
      <c r="D72" s="47"/>
      <c r="E72" s="47"/>
      <c r="F72" s="47"/>
    </row>
    <row r="73" spans="1:6" x14ac:dyDescent="0.25">
      <c r="A73" s="8" t="s">
        <v>29</v>
      </c>
      <c r="B73" s="47"/>
      <c r="C73" s="47"/>
      <c r="D73" s="47"/>
      <c r="E73" s="47"/>
      <c r="F73" s="47"/>
    </row>
    <row r="74" spans="1:6" x14ac:dyDescent="0.25">
      <c r="A74" s="3" t="s">
        <v>30</v>
      </c>
      <c r="B74" s="47">
        <f>(B29/B28)*100</f>
        <v>99.52522735182562</v>
      </c>
      <c r="C74" s="47"/>
      <c r="D74" s="47"/>
      <c r="E74" s="47"/>
      <c r="F74" s="47"/>
    </row>
    <row r="75" spans="1:6" x14ac:dyDescent="0.25">
      <c r="A75" s="3" t="s">
        <v>31</v>
      </c>
      <c r="B75" s="47">
        <f>(B23/B29)*100</f>
        <v>83.391181226858578</v>
      </c>
      <c r="C75" s="47"/>
      <c r="D75" s="47"/>
      <c r="E75" s="47"/>
      <c r="F75" s="47"/>
    </row>
    <row r="76" spans="1:6" ht="15.75" thickBot="1" x14ac:dyDescent="0.3">
      <c r="A76" s="10"/>
      <c r="B76" s="10"/>
      <c r="C76" s="10"/>
      <c r="D76" s="10"/>
      <c r="E76" s="10"/>
      <c r="F76" s="10"/>
    </row>
    <row r="77" spans="1:6" ht="15.75" thickTop="1" x14ac:dyDescent="0.25"/>
    <row r="78" spans="1:6" x14ac:dyDescent="0.25">
      <c r="A78" s="11"/>
    </row>
    <row r="80" spans="1:6" x14ac:dyDescent="0.25">
      <c r="B80" s="9"/>
      <c r="C80" s="9"/>
      <c r="D80" s="9"/>
    </row>
    <row r="85" spans="1:1" x14ac:dyDescent="0.25">
      <c r="A85" s="12"/>
    </row>
    <row r="86" spans="1:1" x14ac:dyDescent="0.25">
      <c r="A86" s="12"/>
    </row>
    <row r="87" spans="1:1" x14ac:dyDescent="0.25">
      <c r="A87" s="12"/>
    </row>
  </sheetData>
  <mergeCells count="3">
    <mergeCell ref="A9:A10"/>
    <mergeCell ref="B9:B10"/>
    <mergeCell ref="C9:F9"/>
  </mergeCells>
  <pageMargins left="0.7" right="0.7" top="0.75" bottom="0.75" header="0.3" footer="0.3"/>
  <pageSetup orientation="portrait" r:id="rId1"/>
  <ignoredErrors>
    <ignoredError sqref="C67:C7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Trimestre Acumulado</vt:lpstr>
      <vt:lpstr>IV Trimestre</vt:lpstr>
      <vt:lpstr>Anual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Stephanie Tatiana Salas Soto</cp:lastModifiedBy>
  <dcterms:created xsi:type="dcterms:W3CDTF">2012-04-10T15:25:06Z</dcterms:created>
  <dcterms:modified xsi:type="dcterms:W3CDTF">2020-03-09T17:00:05Z</dcterms:modified>
</cp:coreProperties>
</file>