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Karla Arias Quirós\"/>
    </mc:Choice>
  </mc:AlternateContent>
  <bookViews>
    <workbookView xWindow="0" yWindow="0" windowWidth="28800" windowHeight="12330" tabRatio="729"/>
  </bookViews>
  <sheets>
    <sheet name="I Trimestre" sheetId="2" r:id="rId1"/>
    <sheet name="II Trimestre" sheetId="3" r:id="rId2"/>
    <sheet name="I Semestre" sheetId="5" r:id="rId3"/>
    <sheet name="III Trimestre" sheetId="1" r:id="rId4"/>
    <sheet name="III Trimestre Acumulado" sheetId="6" r:id="rId5"/>
    <sheet name="IV Trimestre" sheetId="4" r:id="rId6"/>
    <sheet name="Anual" sheetId="7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4" l="1"/>
  <c r="L25" i="6"/>
  <c r="L23" i="6"/>
  <c r="B23" i="6"/>
  <c r="J71" i="4" l="1"/>
  <c r="J72" i="4"/>
  <c r="J73" i="4"/>
  <c r="J70" i="4"/>
  <c r="J69" i="4"/>
  <c r="J61" i="4"/>
  <c r="J57" i="4"/>
  <c r="J56" i="4"/>
  <c r="J58" i="4" s="1"/>
  <c r="J52" i="4"/>
  <c r="K51" i="4"/>
  <c r="K53" i="4" s="1"/>
  <c r="L40" i="4"/>
  <c r="L65" i="4" s="1"/>
  <c r="L39" i="4"/>
  <c r="J40" i="4"/>
  <c r="J42" i="4" s="1"/>
  <c r="K17" i="7" l="1"/>
  <c r="K19" i="7"/>
  <c r="K20" i="7"/>
  <c r="J56" i="7" s="1"/>
  <c r="F19" i="7"/>
  <c r="G19" i="7"/>
  <c r="H19" i="7"/>
  <c r="I19" i="7"/>
  <c r="G17" i="7"/>
  <c r="H17" i="7"/>
  <c r="I17" i="7"/>
  <c r="F17" i="7"/>
  <c r="E17" i="7"/>
  <c r="D17" i="7"/>
  <c r="K16" i="7"/>
  <c r="I16" i="7"/>
  <c r="J26" i="7"/>
  <c r="L23" i="7"/>
  <c r="L39" i="7" s="1"/>
  <c r="L25" i="7"/>
  <c r="L40" i="7" s="1"/>
  <c r="L65" i="7" s="1"/>
  <c r="J25" i="7"/>
  <c r="J24" i="7"/>
  <c r="I24" i="7"/>
  <c r="B23" i="4"/>
  <c r="B17" i="7" l="1"/>
  <c r="J72" i="7"/>
  <c r="J69" i="7"/>
  <c r="K51" i="7"/>
  <c r="J73" i="7"/>
  <c r="J70" i="7"/>
  <c r="J57" i="7"/>
  <c r="J58" i="7" s="1"/>
  <c r="J52" i="7"/>
  <c r="J40" i="7"/>
  <c r="B25" i="4"/>
  <c r="B24" i="4"/>
  <c r="B26" i="4"/>
  <c r="B19" i="4"/>
  <c r="B17" i="4"/>
  <c r="J42" i="7" l="1"/>
  <c r="K53" i="7"/>
  <c r="J71" i="7" s="1"/>
  <c r="B27" i="4"/>
  <c r="J27" i="4"/>
  <c r="L61" i="4" l="1"/>
  <c r="L27" i="7"/>
  <c r="L61" i="7" s="1"/>
  <c r="B17" i="6"/>
  <c r="B25" i="1"/>
  <c r="J71" i="1" l="1"/>
  <c r="L39" i="6"/>
  <c r="J73" i="1"/>
  <c r="J72" i="1"/>
  <c r="J70" i="1"/>
  <c r="J69" i="1"/>
  <c r="J61" i="1"/>
  <c r="J57" i="1"/>
  <c r="J56" i="1"/>
  <c r="J58" i="1" s="1"/>
  <c r="J52" i="1"/>
  <c r="K51" i="1"/>
  <c r="K53" i="1" s="1"/>
  <c r="I69" i="1" l="1"/>
  <c r="I70" i="1"/>
  <c r="I71" i="1"/>
  <c r="I72" i="1"/>
  <c r="I73" i="1"/>
  <c r="G64" i="1"/>
  <c r="H64" i="1"/>
  <c r="I64" i="1"/>
  <c r="F61" i="1"/>
  <c r="G61" i="1"/>
  <c r="I61" i="1"/>
  <c r="F56" i="1"/>
  <c r="G56" i="1"/>
  <c r="G58" i="1" s="1"/>
  <c r="H56" i="1"/>
  <c r="I56" i="1"/>
  <c r="F57" i="1"/>
  <c r="G57" i="1"/>
  <c r="H57" i="1"/>
  <c r="H58" i="1" s="1"/>
  <c r="I57" i="1"/>
  <c r="F58" i="1"/>
  <c r="I58" i="1"/>
  <c r="F51" i="1"/>
  <c r="F53" i="1" s="1"/>
  <c r="G51" i="1"/>
  <c r="G53" i="1" s="1"/>
  <c r="H51" i="1"/>
  <c r="I51" i="1"/>
  <c r="F52" i="1"/>
  <c r="G52" i="1"/>
  <c r="H52" i="1"/>
  <c r="H53" i="1" s="1"/>
  <c r="I52" i="1"/>
  <c r="I53" i="1"/>
  <c r="G47" i="1"/>
  <c r="G48" i="1"/>
  <c r="F39" i="1"/>
  <c r="G39" i="1"/>
  <c r="G41" i="1" s="1"/>
  <c r="G66" i="1" s="1"/>
  <c r="H39" i="1"/>
  <c r="I39" i="1"/>
  <c r="L39" i="1"/>
  <c r="F40" i="1"/>
  <c r="F42" i="1" s="1"/>
  <c r="G40" i="1"/>
  <c r="H40" i="1"/>
  <c r="H42" i="1" s="1"/>
  <c r="I40" i="1"/>
  <c r="J40" i="1"/>
  <c r="J42" i="1" s="1"/>
  <c r="L40" i="1"/>
  <c r="F41" i="1"/>
  <c r="H41" i="1"/>
  <c r="I41" i="1"/>
  <c r="G42" i="1"/>
  <c r="I42" i="1"/>
  <c r="I66" i="1" s="1"/>
  <c r="B26" i="1"/>
  <c r="B24" i="1"/>
  <c r="B23" i="1"/>
  <c r="B19" i="1"/>
  <c r="B17" i="1"/>
  <c r="L27" i="1"/>
  <c r="L26" i="6"/>
  <c r="J23" i="6"/>
  <c r="J24" i="6"/>
  <c r="J25" i="6"/>
  <c r="K20" i="6"/>
  <c r="J56" i="6" s="1"/>
  <c r="L20" i="6"/>
  <c r="K19" i="6"/>
  <c r="L19" i="6"/>
  <c r="K17" i="6"/>
  <c r="L17" i="6"/>
  <c r="K16" i="6"/>
  <c r="K51" i="6" s="1"/>
  <c r="L16" i="6"/>
  <c r="B16" i="5"/>
  <c r="C16" i="5"/>
  <c r="D16" i="5"/>
  <c r="E16" i="5"/>
  <c r="F16" i="5"/>
  <c r="G16" i="5"/>
  <c r="H16" i="5"/>
  <c r="I16" i="5"/>
  <c r="J72" i="6" l="1"/>
  <c r="J69" i="6"/>
  <c r="J73" i="6"/>
  <c r="J70" i="6"/>
  <c r="J52" i="6"/>
  <c r="K53" i="6" s="1"/>
  <c r="H66" i="1"/>
  <c r="L65" i="1"/>
  <c r="I65" i="1"/>
  <c r="G65" i="1"/>
  <c r="L27" i="6"/>
  <c r="L40" i="6"/>
  <c r="L65" i="6" s="1"/>
  <c r="H65" i="1"/>
  <c r="J71" i="6" l="1"/>
  <c r="E48" i="7"/>
  <c r="I64" i="6" l="1"/>
  <c r="I73" i="4"/>
  <c r="H73" i="4"/>
  <c r="G73" i="4"/>
  <c r="F73" i="4"/>
  <c r="E73" i="4"/>
  <c r="C73" i="4"/>
  <c r="I72" i="4"/>
  <c r="H72" i="4"/>
  <c r="G72" i="4"/>
  <c r="F72" i="4"/>
  <c r="E72" i="4"/>
  <c r="C72" i="4"/>
  <c r="I70" i="4"/>
  <c r="H70" i="4"/>
  <c r="G70" i="4"/>
  <c r="F70" i="4"/>
  <c r="E70" i="4"/>
  <c r="C70" i="4"/>
  <c r="I69" i="4"/>
  <c r="H69" i="4"/>
  <c r="G69" i="4"/>
  <c r="F69" i="4"/>
  <c r="E69" i="4"/>
  <c r="C69" i="4"/>
  <c r="I64" i="4"/>
  <c r="H64" i="4"/>
  <c r="G64" i="4"/>
  <c r="F64" i="4"/>
  <c r="E64" i="4"/>
  <c r="C64" i="4"/>
  <c r="B64" i="4"/>
  <c r="I57" i="4"/>
  <c r="H57" i="4"/>
  <c r="G57" i="4"/>
  <c r="F57" i="4"/>
  <c r="E57" i="4"/>
  <c r="C57" i="4"/>
  <c r="I56" i="4"/>
  <c r="H56" i="4"/>
  <c r="H58" i="4" s="1"/>
  <c r="G56" i="4"/>
  <c r="F56" i="4"/>
  <c r="E56" i="4"/>
  <c r="E58" i="4" s="1"/>
  <c r="C56" i="4"/>
  <c r="C58" i="4" s="1"/>
  <c r="I52" i="4"/>
  <c r="H52" i="4"/>
  <c r="G52" i="4"/>
  <c r="F52" i="4"/>
  <c r="E52" i="4"/>
  <c r="C52" i="4"/>
  <c r="I51" i="4"/>
  <c r="I53" i="4" s="1"/>
  <c r="H51" i="4"/>
  <c r="H53" i="4" s="1"/>
  <c r="G51" i="4"/>
  <c r="F51" i="4"/>
  <c r="F53" i="4" s="1"/>
  <c r="E51" i="4"/>
  <c r="E53" i="4" s="1"/>
  <c r="D51" i="4"/>
  <c r="D53" i="4" s="1"/>
  <c r="G48" i="4"/>
  <c r="E48" i="4"/>
  <c r="C48" i="4"/>
  <c r="B48" i="4"/>
  <c r="G47" i="4"/>
  <c r="E47" i="4"/>
  <c r="C47" i="4"/>
  <c r="I40" i="4"/>
  <c r="H40" i="4"/>
  <c r="G40" i="4"/>
  <c r="F40" i="4"/>
  <c r="E40" i="4"/>
  <c r="C40" i="4"/>
  <c r="I39" i="4"/>
  <c r="I41" i="4" s="1"/>
  <c r="H39" i="4"/>
  <c r="H41" i="4" s="1"/>
  <c r="G39" i="4"/>
  <c r="G41" i="4" s="1"/>
  <c r="F39" i="4"/>
  <c r="F41" i="4" s="1"/>
  <c r="E39" i="4"/>
  <c r="E41" i="4" s="1"/>
  <c r="C39" i="4"/>
  <c r="C41" i="4" s="1"/>
  <c r="H73" i="1"/>
  <c r="G73" i="1"/>
  <c r="F73" i="1"/>
  <c r="E73" i="1"/>
  <c r="C73" i="1"/>
  <c r="H72" i="1"/>
  <c r="G72" i="1"/>
  <c r="F72" i="1"/>
  <c r="E72" i="1"/>
  <c r="C72" i="1"/>
  <c r="H70" i="1"/>
  <c r="G70" i="1"/>
  <c r="F70" i="1"/>
  <c r="E70" i="1"/>
  <c r="C70" i="1"/>
  <c r="H69" i="1"/>
  <c r="G69" i="1"/>
  <c r="F69" i="1"/>
  <c r="E69" i="1"/>
  <c r="C69" i="1"/>
  <c r="F64" i="1"/>
  <c r="E64" i="1"/>
  <c r="C64" i="1"/>
  <c r="B64" i="1"/>
  <c r="E57" i="1"/>
  <c r="C57" i="1"/>
  <c r="E56" i="1"/>
  <c r="C56" i="1"/>
  <c r="E52" i="1"/>
  <c r="C52" i="1"/>
  <c r="E51" i="1"/>
  <c r="D51" i="1"/>
  <c r="E48" i="1"/>
  <c r="C48" i="1"/>
  <c r="B48" i="1"/>
  <c r="E47" i="1"/>
  <c r="C47" i="1"/>
  <c r="E40" i="1"/>
  <c r="C40" i="1"/>
  <c r="E39" i="1"/>
  <c r="E41" i="1" s="1"/>
  <c r="C39" i="1"/>
  <c r="C41" i="1" s="1"/>
  <c r="E53" i="1" l="1"/>
  <c r="E71" i="1" s="1"/>
  <c r="I71" i="4"/>
  <c r="C65" i="4"/>
  <c r="F58" i="4"/>
  <c r="E65" i="4"/>
  <c r="G53" i="4"/>
  <c r="G71" i="4" s="1"/>
  <c r="G58" i="4"/>
  <c r="F65" i="4"/>
  <c r="G65" i="4"/>
  <c r="E71" i="4"/>
  <c r="H65" i="4"/>
  <c r="F71" i="4"/>
  <c r="I65" i="4"/>
  <c r="I58" i="4"/>
  <c r="H71" i="4"/>
  <c r="F65" i="1"/>
  <c r="F71" i="1"/>
  <c r="E65" i="1"/>
  <c r="D53" i="1"/>
  <c r="C71" i="1" s="1"/>
  <c r="E58" i="1"/>
  <c r="C58" i="1"/>
  <c r="C65" i="1"/>
  <c r="C71" i="4"/>
  <c r="E42" i="4"/>
  <c r="E66" i="4" s="1"/>
  <c r="G42" i="4"/>
  <c r="G66" i="4" s="1"/>
  <c r="H42" i="4"/>
  <c r="H66" i="4" s="1"/>
  <c r="I42" i="4"/>
  <c r="I66" i="4" s="1"/>
  <c r="F42" i="4"/>
  <c r="F66" i="4" s="1"/>
  <c r="C42" i="4"/>
  <c r="C66" i="4" s="1"/>
  <c r="G71" i="1"/>
  <c r="H71" i="1"/>
  <c r="F66" i="1"/>
  <c r="E42" i="1"/>
  <c r="E66" i="1" s="1"/>
  <c r="C42" i="1"/>
  <c r="C66" i="1" s="1"/>
  <c r="I73" i="3" l="1"/>
  <c r="H73" i="3"/>
  <c r="G73" i="3"/>
  <c r="F73" i="3"/>
  <c r="E73" i="3"/>
  <c r="C73" i="3"/>
  <c r="I72" i="3"/>
  <c r="H72" i="3"/>
  <c r="G72" i="3"/>
  <c r="F72" i="3"/>
  <c r="E72" i="3"/>
  <c r="C72" i="3"/>
  <c r="I70" i="3"/>
  <c r="H70" i="3"/>
  <c r="G70" i="3"/>
  <c r="F70" i="3"/>
  <c r="E70" i="3"/>
  <c r="C70" i="3"/>
  <c r="I69" i="3"/>
  <c r="H69" i="3"/>
  <c r="G69" i="3"/>
  <c r="F69" i="3"/>
  <c r="E69" i="3"/>
  <c r="C69" i="3"/>
  <c r="I64" i="3"/>
  <c r="H64" i="3"/>
  <c r="G64" i="3"/>
  <c r="F64" i="3"/>
  <c r="E64" i="3"/>
  <c r="C64" i="3"/>
  <c r="B64" i="3"/>
  <c r="I57" i="3"/>
  <c r="H57" i="3"/>
  <c r="G57" i="3"/>
  <c r="F57" i="3"/>
  <c r="E57" i="3"/>
  <c r="C57" i="3"/>
  <c r="I56" i="3"/>
  <c r="H56" i="3"/>
  <c r="H58" i="3" s="1"/>
  <c r="G56" i="3"/>
  <c r="F56" i="3"/>
  <c r="E56" i="3"/>
  <c r="C56" i="3"/>
  <c r="I52" i="3"/>
  <c r="H52" i="3"/>
  <c r="G52" i="3"/>
  <c r="F52" i="3"/>
  <c r="E52" i="3"/>
  <c r="C52" i="3"/>
  <c r="I51" i="3"/>
  <c r="I53" i="3" s="1"/>
  <c r="H51" i="3"/>
  <c r="G51" i="3"/>
  <c r="F51" i="3"/>
  <c r="E51" i="3"/>
  <c r="D51" i="3"/>
  <c r="D53" i="3" s="1"/>
  <c r="G48" i="3"/>
  <c r="E48" i="3"/>
  <c r="C48" i="3"/>
  <c r="B48" i="3"/>
  <c r="G47" i="3"/>
  <c r="E47" i="3"/>
  <c r="C47" i="3"/>
  <c r="J40" i="3"/>
  <c r="I40" i="3"/>
  <c r="H40" i="3"/>
  <c r="G40" i="3"/>
  <c r="G42" i="3" s="1"/>
  <c r="F40" i="3"/>
  <c r="E40" i="3"/>
  <c r="C40" i="3"/>
  <c r="J39" i="3"/>
  <c r="I39" i="3"/>
  <c r="I41" i="3" s="1"/>
  <c r="H39" i="3"/>
  <c r="H41" i="3" s="1"/>
  <c r="G39" i="3"/>
  <c r="G41" i="3" s="1"/>
  <c r="F39" i="3"/>
  <c r="F41" i="3" s="1"/>
  <c r="E39" i="3"/>
  <c r="E41" i="3" s="1"/>
  <c r="C39" i="3"/>
  <c r="C41" i="3" s="1"/>
  <c r="G73" i="2"/>
  <c r="H73" i="2"/>
  <c r="I73" i="2"/>
  <c r="F73" i="2"/>
  <c r="E73" i="2"/>
  <c r="C73" i="2"/>
  <c r="G72" i="2"/>
  <c r="H72" i="2"/>
  <c r="I72" i="2"/>
  <c r="F72" i="2"/>
  <c r="E72" i="2"/>
  <c r="C72" i="2"/>
  <c r="F70" i="2"/>
  <c r="G70" i="2"/>
  <c r="H70" i="2"/>
  <c r="I70" i="2"/>
  <c r="E70" i="2"/>
  <c r="C70" i="2"/>
  <c r="F69" i="2"/>
  <c r="G69" i="2"/>
  <c r="H69" i="2"/>
  <c r="I69" i="2"/>
  <c r="E69" i="2"/>
  <c r="C69" i="2"/>
  <c r="G48" i="2"/>
  <c r="E48" i="2"/>
  <c r="C48" i="2"/>
  <c r="E47" i="2"/>
  <c r="C47" i="2"/>
  <c r="C65" i="3" l="1"/>
  <c r="E53" i="3"/>
  <c r="H53" i="3"/>
  <c r="H65" i="3"/>
  <c r="C58" i="3"/>
  <c r="E58" i="3"/>
  <c r="E65" i="3"/>
  <c r="F53" i="3"/>
  <c r="F71" i="3" s="1"/>
  <c r="F58" i="3"/>
  <c r="F65" i="3"/>
  <c r="G53" i="3"/>
  <c r="G71" i="3" s="1"/>
  <c r="G58" i="3"/>
  <c r="H71" i="3"/>
  <c r="I58" i="3"/>
  <c r="I65" i="3"/>
  <c r="E71" i="3"/>
  <c r="J65" i="3"/>
  <c r="I71" i="3"/>
  <c r="G66" i="3"/>
  <c r="C71" i="3"/>
  <c r="E42" i="3"/>
  <c r="E66" i="3" s="1"/>
  <c r="F42" i="3"/>
  <c r="F66" i="3" s="1"/>
  <c r="G65" i="3"/>
  <c r="H42" i="3"/>
  <c r="H66" i="3" s="1"/>
  <c r="I42" i="3"/>
  <c r="I66" i="3" s="1"/>
  <c r="C42" i="3"/>
  <c r="C66" i="3" s="1"/>
  <c r="F24" i="7" l="1"/>
  <c r="G24" i="7"/>
  <c r="H24" i="7"/>
  <c r="E24" i="7"/>
  <c r="C24" i="7"/>
  <c r="C26" i="7"/>
  <c r="E19" i="7"/>
  <c r="D19" i="7"/>
  <c r="B19" i="7" s="1"/>
  <c r="B24" i="7" l="1"/>
  <c r="G72" i="7"/>
  <c r="G69" i="7"/>
  <c r="F69" i="7"/>
  <c r="F72" i="7"/>
  <c r="E72" i="7"/>
  <c r="E69" i="7"/>
  <c r="I72" i="7"/>
  <c r="I69" i="7"/>
  <c r="C72" i="7"/>
  <c r="C69" i="7"/>
  <c r="H72" i="7"/>
  <c r="H69" i="7"/>
  <c r="F23" i="5"/>
  <c r="G23" i="5"/>
  <c r="H23" i="5"/>
  <c r="I23" i="5"/>
  <c r="J23" i="5"/>
  <c r="E23" i="5"/>
  <c r="C23" i="5"/>
  <c r="B24" i="3" l="1"/>
  <c r="B26" i="2" l="1"/>
  <c r="B24" i="2"/>
  <c r="C19" i="7"/>
  <c r="C17" i="7"/>
  <c r="J17" i="6"/>
  <c r="J19" i="6"/>
  <c r="J20" i="6"/>
  <c r="C19" i="6"/>
  <c r="D19" i="6"/>
  <c r="E19" i="6"/>
  <c r="F19" i="6"/>
  <c r="G19" i="6"/>
  <c r="H19" i="6"/>
  <c r="I19" i="6"/>
  <c r="C17" i="6"/>
  <c r="D17" i="6"/>
  <c r="E17" i="6"/>
  <c r="F17" i="6"/>
  <c r="G17" i="6"/>
  <c r="H17" i="6"/>
  <c r="I17" i="6"/>
  <c r="E19" i="5"/>
  <c r="F19" i="5"/>
  <c r="G19" i="5"/>
  <c r="H19" i="5"/>
  <c r="I19" i="5"/>
  <c r="D19" i="5"/>
  <c r="E17" i="5"/>
  <c r="F17" i="5"/>
  <c r="G17" i="5"/>
  <c r="H17" i="5"/>
  <c r="I17" i="5"/>
  <c r="D17" i="5"/>
  <c r="C19" i="5"/>
  <c r="C17" i="5"/>
  <c r="B26" i="3"/>
  <c r="B19" i="3"/>
  <c r="B17" i="3"/>
  <c r="B69" i="3" s="1"/>
  <c r="B19" i="2"/>
  <c r="B17" i="2"/>
  <c r="B69" i="7" l="1"/>
  <c r="B72" i="7"/>
  <c r="B69" i="4"/>
  <c r="B72" i="4"/>
  <c r="B72" i="3"/>
  <c r="B69" i="2"/>
  <c r="B72" i="2"/>
  <c r="B19" i="5"/>
  <c r="B17" i="5"/>
  <c r="B19" i="6"/>
  <c r="I64" i="7" l="1"/>
  <c r="C25" i="7"/>
  <c r="F23" i="7"/>
  <c r="G23" i="7"/>
  <c r="H23" i="7"/>
  <c r="I23" i="7"/>
  <c r="C23" i="7"/>
  <c r="B20" i="7"/>
  <c r="B16" i="7"/>
  <c r="J26" i="6"/>
  <c r="J57" i="6" s="1"/>
  <c r="J58" i="6" s="1"/>
  <c r="C25" i="6"/>
  <c r="C24" i="6"/>
  <c r="C23" i="6"/>
  <c r="J16" i="6"/>
  <c r="B20" i="6"/>
  <c r="B16" i="6"/>
  <c r="I64" i="5"/>
  <c r="J25" i="5"/>
  <c r="J40" i="5" s="1"/>
  <c r="C25" i="5"/>
  <c r="J26" i="5"/>
  <c r="F24" i="5"/>
  <c r="G24" i="5"/>
  <c r="H24" i="5"/>
  <c r="I24" i="5"/>
  <c r="C24" i="5"/>
  <c r="J39" i="5"/>
  <c r="B20" i="5"/>
  <c r="I27" i="4"/>
  <c r="I61" i="4" s="1"/>
  <c r="B39" i="4"/>
  <c r="B41" i="4" s="1"/>
  <c r="B40" i="4" l="1"/>
  <c r="B57" i="4"/>
  <c r="B52" i="4"/>
  <c r="B70" i="4"/>
  <c r="B77" i="4"/>
  <c r="B73" i="4"/>
  <c r="C72" i="5"/>
  <c r="C69" i="5"/>
  <c r="H69" i="5"/>
  <c r="H72" i="5"/>
  <c r="C73" i="6"/>
  <c r="C70" i="6"/>
  <c r="J27" i="6"/>
  <c r="J61" i="6" s="1"/>
  <c r="J40" i="6"/>
  <c r="J42" i="6" s="1"/>
  <c r="G69" i="5"/>
  <c r="G72" i="5"/>
  <c r="F72" i="5"/>
  <c r="F69" i="5"/>
  <c r="C40" i="7"/>
  <c r="C42" i="7" s="1"/>
  <c r="C70" i="7"/>
  <c r="C73" i="7"/>
  <c r="I69" i="5"/>
  <c r="I72" i="5"/>
  <c r="C72" i="6"/>
  <c r="C69" i="6"/>
  <c r="C73" i="5"/>
  <c r="C70" i="5"/>
  <c r="J27" i="7"/>
  <c r="J61" i="7" s="1"/>
  <c r="J65" i="5"/>
  <c r="J27" i="5"/>
  <c r="B65" i="4" l="1"/>
  <c r="B42" i="4"/>
  <c r="B66" i="4" s="1"/>
  <c r="J61" i="5"/>
  <c r="B39" i="1"/>
  <c r="B41" i="1" s="1"/>
  <c r="I27" i="1" l="1"/>
  <c r="J27" i="1"/>
  <c r="B72" i="1" l="1"/>
  <c r="B69" i="1"/>
  <c r="B70" i="1"/>
  <c r="B52" i="1"/>
  <c r="B40" i="1"/>
  <c r="B77" i="1"/>
  <c r="B73" i="1"/>
  <c r="B57" i="1"/>
  <c r="B42" i="1" l="1"/>
  <c r="B66" i="1" s="1"/>
  <c r="B65" i="1"/>
  <c r="I27" i="3"/>
  <c r="I61" i="3" s="1"/>
  <c r="J27" i="3"/>
  <c r="J61" i="3" s="1"/>
  <c r="B25" i="3"/>
  <c r="B23" i="3"/>
  <c r="B39" i="3" s="1"/>
  <c r="B41" i="3" s="1"/>
  <c r="I64" i="2"/>
  <c r="I57" i="2"/>
  <c r="I56" i="2"/>
  <c r="C57" i="2"/>
  <c r="I52" i="2"/>
  <c r="I51" i="2"/>
  <c r="C52" i="2"/>
  <c r="J40" i="2"/>
  <c r="J39" i="2"/>
  <c r="C40" i="2"/>
  <c r="C39" i="2"/>
  <c r="I27" i="2"/>
  <c r="I61" i="2" s="1"/>
  <c r="J27" i="2"/>
  <c r="J61" i="2" s="1"/>
  <c r="C27" i="2"/>
  <c r="C61" i="2" s="1"/>
  <c r="B25" i="2"/>
  <c r="B77" i="3" l="1"/>
  <c r="B73" i="3"/>
  <c r="B57" i="3"/>
  <c r="B52" i="3"/>
  <c r="B40" i="3"/>
  <c r="B70" i="3"/>
  <c r="B73" i="2"/>
  <c r="B70" i="2"/>
  <c r="J65" i="2"/>
  <c r="I58" i="2"/>
  <c r="I53" i="2"/>
  <c r="I71" i="2" s="1"/>
  <c r="B23" i="2"/>
  <c r="B65" i="3" l="1"/>
  <c r="B42" i="3"/>
  <c r="B66" i="3" s="1"/>
  <c r="I51" i="5" l="1"/>
  <c r="D16" i="7"/>
  <c r="D51" i="7" s="1"/>
  <c r="E16" i="7"/>
  <c r="F16" i="7"/>
  <c r="G16" i="7"/>
  <c r="H16" i="7"/>
  <c r="C16" i="7"/>
  <c r="D16" i="6"/>
  <c r="E16" i="6"/>
  <c r="F16" i="6"/>
  <c r="G16" i="6"/>
  <c r="H16" i="6"/>
  <c r="I16" i="6"/>
  <c r="I51" i="6" s="1"/>
  <c r="C16" i="6"/>
  <c r="I51" i="7" l="1"/>
  <c r="C48" i="6"/>
  <c r="F56" i="2"/>
  <c r="G56" i="2"/>
  <c r="H56" i="2"/>
  <c r="E56" i="2"/>
  <c r="C56" i="2"/>
  <c r="I39" i="2" l="1"/>
  <c r="C26" i="6" l="1"/>
  <c r="D51" i="2" l="1"/>
  <c r="D53" i="2" s="1"/>
  <c r="C71" i="2" s="1"/>
  <c r="H25" i="7" l="1"/>
  <c r="I25" i="7"/>
  <c r="H51" i="7"/>
  <c r="I39" i="7"/>
  <c r="I41" i="7" s="1"/>
  <c r="H39" i="7"/>
  <c r="H41" i="7" s="1"/>
  <c r="H64" i="7"/>
  <c r="H20" i="7"/>
  <c r="H56" i="7" s="1"/>
  <c r="C27" i="7"/>
  <c r="F25" i="7"/>
  <c r="G25" i="7"/>
  <c r="C39" i="7"/>
  <c r="C41" i="7" s="1"/>
  <c r="G39" i="7"/>
  <c r="G41" i="7" s="1"/>
  <c r="F25" i="5"/>
  <c r="G25" i="5"/>
  <c r="H25" i="5"/>
  <c r="I23" i="6"/>
  <c r="C64" i="6"/>
  <c r="C20" i="6"/>
  <c r="H64" i="6"/>
  <c r="H23" i="6"/>
  <c r="H39" i="6" s="1"/>
  <c r="F25" i="6"/>
  <c r="G25" i="6"/>
  <c r="H25" i="6"/>
  <c r="C39" i="6"/>
  <c r="C41" i="6" s="1"/>
  <c r="G23" i="6"/>
  <c r="G39" i="6" s="1"/>
  <c r="G41" i="6" s="1"/>
  <c r="H64" i="5"/>
  <c r="H39" i="5"/>
  <c r="H41" i="5" s="1"/>
  <c r="G39" i="5"/>
  <c r="I39" i="5"/>
  <c r="I41" i="5" s="1"/>
  <c r="I20" i="5"/>
  <c r="I56" i="5" s="1"/>
  <c r="H64" i="2"/>
  <c r="H39" i="2"/>
  <c r="H41" i="2" s="1"/>
  <c r="F64" i="7"/>
  <c r="G64" i="7"/>
  <c r="G48" i="7"/>
  <c r="F26" i="7"/>
  <c r="G26" i="7"/>
  <c r="H26" i="7"/>
  <c r="I26" i="7"/>
  <c r="E26" i="7"/>
  <c r="B26" i="7" s="1"/>
  <c r="F39" i="7"/>
  <c r="F41" i="7" s="1"/>
  <c r="C20" i="7"/>
  <c r="D20" i="7"/>
  <c r="C56" i="7" s="1"/>
  <c r="E20" i="7"/>
  <c r="E56" i="7" s="1"/>
  <c r="F20" i="7"/>
  <c r="F56" i="7" s="1"/>
  <c r="G20" i="7"/>
  <c r="G56" i="7" s="1"/>
  <c r="I20" i="7"/>
  <c r="I56" i="7" s="1"/>
  <c r="D51" i="5"/>
  <c r="H51" i="5"/>
  <c r="E51" i="6"/>
  <c r="E51" i="7"/>
  <c r="G47" i="7"/>
  <c r="G51" i="7"/>
  <c r="F64" i="6"/>
  <c r="G64" i="6"/>
  <c r="F51" i="6"/>
  <c r="G48" i="6"/>
  <c r="F26" i="6"/>
  <c r="G26" i="6"/>
  <c r="H26" i="6"/>
  <c r="I26" i="6"/>
  <c r="E26" i="6"/>
  <c r="I25" i="6"/>
  <c r="G24" i="6"/>
  <c r="H24" i="6"/>
  <c r="I24" i="6"/>
  <c r="D20" i="6"/>
  <c r="E20" i="6"/>
  <c r="E56" i="6" s="1"/>
  <c r="F20" i="6"/>
  <c r="F56" i="6" s="1"/>
  <c r="G20" i="6"/>
  <c r="G56" i="6" s="1"/>
  <c r="H20" i="6"/>
  <c r="H56" i="6" s="1"/>
  <c r="I20" i="6"/>
  <c r="I56" i="6" s="1"/>
  <c r="F64" i="5"/>
  <c r="G64" i="5"/>
  <c r="F51" i="5"/>
  <c r="G48" i="5"/>
  <c r="F26" i="5"/>
  <c r="G26" i="5"/>
  <c r="H26" i="5"/>
  <c r="I26" i="5"/>
  <c r="E26" i="5"/>
  <c r="I25" i="5"/>
  <c r="E24" i="5"/>
  <c r="F39" i="5"/>
  <c r="F41" i="5" s="1"/>
  <c r="C20" i="5"/>
  <c r="D20" i="5"/>
  <c r="C56" i="5" s="1"/>
  <c r="E20" i="5"/>
  <c r="E56" i="5" s="1"/>
  <c r="F20" i="5"/>
  <c r="F56" i="5" s="1"/>
  <c r="G20" i="5"/>
  <c r="G56" i="5" s="1"/>
  <c r="H20" i="5"/>
  <c r="H56" i="5" s="1"/>
  <c r="I40" i="2"/>
  <c r="I41" i="2"/>
  <c r="B30" i="4"/>
  <c r="B76" i="4" s="1"/>
  <c r="B30" i="3"/>
  <c r="B76" i="3" s="1"/>
  <c r="F27" i="4"/>
  <c r="F61" i="4" s="1"/>
  <c r="G27" i="4"/>
  <c r="G61" i="4" s="1"/>
  <c r="H27" i="4"/>
  <c r="H61" i="4" s="1"/>
  <c r="F27" i="1"/>
  <c r="G27" i="1"/>
  <c r="H27" i="1"/>
  <c r="F27" i="3"/>
  <c r="F61" i="3" s="1"/>
  <c r="G27" i="3"/>
  <c r="G61" i="3" s="1"/>
  <c r="H27" i="3"/>
  <c r="H61" i="3" s="1"/>
  <c r="F64" i="2"/>
  <c r="G64" i="2"/>
  <c r="H57" i="2"/>
  <c r="H58" i="2" s="1"/>
  <c r="F57" i="2"/>
  <c r="F58" i="2" s="1"/>
  <c r="G57" i="2"/>
  <c r="F52" i="2"/>
  <c r="G52" i="2"/>
  <c r="H52" i="2"/>
  <c r="F51" i="2"/>
  <c r="G51" i="2"/>
  <c r="H51" i="2"/>
  <c r="G47" i="2"/>
  <c r="F40" i="2"/>
  <c r="F42" i="2" s="1"/>
  <c r="G40" i="2"/>
  <c r="H40" i="2"/>
  <c r="F39" i="2"/>
  <c r="F41" i="2" s="1"/>
  <c r="G39" i="2"/>
  <c r="G41" i="2" s="1"/>
  <c r="F27" i="2"/>
  <c r="F61" i="2" s="1"/>
  <c r="G27" i="2"/>
  <c r="G61" i="2" s="1"/>
  <c r="H27" i="2"/>
  <c r="H61" i="2" s="1"/>
  <c r="B48" i="5"/>
  <c r="B48" i="2"/>
  <c r="F24" i="6"/>
  <c r="F23" i="6"/>
  <c r="F39" i="6" s="1"/>
  <c r="F41" i="6" s="1"/>
  <c r="E23" i="6"/>
  <c r="E39" i="6" s="1"/>
  <c r="E41" i="6" s="1"/>
  <c r="C26" i="5"/>
  <c r="E23" i="7"/>
  <c r="B23" i="7" s="1"/>
  <c r="E27" i="4"/>
  <c r="E61" i="4" s="1"/>
  <c r="C27" i="4"/>
  <c r="C61" i="4" s="1"/>
  <c r="E27" i="1"/>
  <c r="E61" i="1" s="1"/>
  <c r="C27" i="1"/>
  <c r="C61" i="1" s="1"/>
  <c r="C27" i="3"/>
  <c r="C61" i="3" s="1"/>
  <c r="E27" i="2"/>
  <c r="E61" i="2" s="1"/>
  <c r="E24" i="6"/>
  <c r="C41" i="2"/>
  <c r="C42" i="2"/>
  <c r="E64" i="7"/>
  <c r="E48" i="6"/>
  <c r="E64" i="6"/>
  <c r="E47" i="5"/>
  <c r="E48" i="5"/>
  <c r="E51" i="5"/>
  <c r="E64" i="5"/>
  <c r="E51" i="2"/>
  <c r="E52" i="2"/>
  <c r="E64" i="2"/>
  <c r="E39" i="2"/>
  <c r="E41" i="2" s="1"/>
  <c r="E40" i="2"/>
  <c r="E42" i="2" s="1"/>
  <c r="C64" i="7"/>
  <c r="C48" i="7"/>
  <c r="B31" i="7"/>
  <c r="B31" i="6"/>
  <c r="C64" i="5"/>
  <c r="C48" i="5"/>
  <c r="B31" i="5"/>
  <c r="C64" i="2"/>
  <c r="C58" i="2"/>
  <c r="B77" i="2"/>
  <c r="B64" i="2"/>
  <c r="C47" i="7"/>
  <c r="B64" i="5"/>
  <c r="B39" i="2"/>
  <c r="B41" i="2" s="1"/>
  <c r="E57" i="2"/>
  <c r="E58" i="2" s="1"/>
  <c r="B27" i="1" l="1"/>
  <c r="H61" i="1"/>
  <c r="H65" i="2"/>
  <c r="I52" i="6"/>
  <c r="I53" i="6" s="1"/>
  <c r="I57" i="6"/>
  <c r="I58" i="6" s="1"/>
  <c r="I70" i="6"/>
  <c r="I73" i="6"/>
  <c r="H27" i="6"/>
  <c r="H73" i="6"/>
  <c r="H70" i="6"/>
  <c r="H73" i="5"/>
  <c r="H70" i="5"/>
  <c r="G40" i="6"/>
  <c r="G42" i="6" s="1"/>
  <c r="G66" i="6" s="1"/>
  <c r="G73" i="6"/>
  <c r="G70" i="6"/>
  <c r="G70" i="5"/>
  <c r="G73" i="5"/>
  <c r="F73" i="6"/>
  <c r="F70" i="6"/>
  <c r="F70" i="5"/>
  <c r="F73" i="5"/>
  <c r="F69" i="6"/>
  <c r="F72" i="6"/>
  <c r="G72" i="6"/>
  <c r="G69" i="6"/>
  <c r="B24" i="5"/>
  <c r="E72" i="5"/>
  <c r="E69" i="5"/>
  <c r="E72" i="6"/>
  <c r="E69" i="6"/>
  <c r="I73" i="5"/>
  <c r="I70" i="5"/>
  <c r="I69" i="6"/>
  <c r="I72" i="6"/>
  <c r="G73" i="7"/>
  <c r="G70" i="7"/>
  <c r="I73" i="7"/>
  <c r="I70" i="7"/>
  <c r="H72" i="6"/>
  <c r="H69" i="6"/>
  <c r="F73" i="7"/>
  <c r="F70" i="7"/>
  <c r="H40" i="7"/>
  <c r="H42" i="7" s="1"/>
  <c r="H66" i="7" s="1"/>
  <c r="H73" i="7"/>
  <c r="H70" i="7"/>
  <c r="B30" i="7"/>
  <c r="B61" i="1"/>
  <c r="B26" i="5"/>
  <c r="B24" i="6"/>
  <c r="I57" i="5"/>
  <c r="I58" i="5" s="1"/>
  <c r="I27" i="5"/>
  <c r="I61" i="5" s="1"/>
  <c r="I52" i="5"/>
  <c r="I53" i="5" s="1"/>
  <c r="C61" i="7"/>
  <c r="B27" i="2"/>
  <c r="B61" i="2" s="1"/>
  <c r="I40" i="7"/>
  <c r="I65" i="7" s="1"/>
  <c r="I52" i="7"/>
  <c r="I53" i="7" s="1"/>
  <c r="I57" i="7"/>
  <c r="I58" i="7" s="1"/>
  <c r="I27" i="7"/>
  <c r="I61" i="7" s="1"/>
  <c r="G53" i="2"/>
  <c r="G71" i="2" s="1"/>
  <c r="I42" i="2"/>
  <c r="I66" i="2" s="1"/>
  <c r="I65" i="2"/>
  <c r="E39" i="7"/>
  <c r="E41" i="7" s="1"/>
  <c r="B39" i="7"/>
  <c r="B41" i="7" s="1"/>
  <c r="I40" i="6"/>
  <c r="I27" i="6"/>
  <c r="I61" i="6" s="1"/>
  <c r="I39" i="6"/>
  <c r="I41" i="6" s="1"/>
  <c r="B39" i="6"/>
  <c r="B41" i="6" s="1"/>
  <c r="B26" i="6"/>
  <c r="E39" i="5"/>
  <c r="E41" i="5" s="1"/>
  <c r="B23" i="5"/>
  <c r="B39" i="5" s="1"/>
  <c r="B41" i="5" s="1"/>
  <c r="B61" i="4"/>
  <c r="F53" i="2"/>
  <c r="F71" i="2" s="1"/>
  <c r="E53" i="2"/>
  <c r="E71" i="2" s="1"/>
  <c r="H42" i="2"/>
  <c r="H66" i="2" s="1"/>
  <c r="E65" i="2"/>
  <c r="B57" i="2"/>
  <c r="B40" i="2"/>
  <c r="B42" i="2" s="1"/>
  <c r="B66" i="2" s="1"/>
  <c r="B52" i="2"/>
  <c r="B30" i="2"/>
  <c r="B76" i="2" s="1"/>
  <c r="E66" i="2"/>
  <c r="C66" i="2"/>
  <c r="G27" i="5"/>
  <c r="G61" i="5" s="1"/>
  <c r="F40" i="6"/>
  <c r="F42" i="6" s="1"/>
  <c r="F66" i="6" s="1"/>
  <c r="G52" i="5"/>
  <c r="C57" i="7"/>
  <c r="C58" i="7" s="1"/>
  <c r="F57" i="6"/>
  <c r="F58" i="6" s="1"/>
  <c r="C65" i="7"/>
  <c r="C52" i="5"/>
  <c r="D53" i="5" s="1"/>
  <c r="C71" i="5" s="1"/>
  <c r="H52" i="5"/>
  <c r="H53" i="5" s="1"/>
  <c r="C47" i="5"/>
  <c r="H53" i="2"/>
  <c r="H71" i="2" s="1"/>
  <c r="B30" i="1"/>
  <c r="B76" i="1" s="1"/>
  <c r="I40" i="5"/>
  <c r="F51" i="7"/>
  <c r="E47" i="6"/>
  <c r="G42" i="2"/>
  <c r="G66" i="2" s="1"/>
  <c r="G65" i="2"/>
  <c r="C52" i="6"/>
  <c r="C27" i="6"/>
  <c r="C40" i="6"/>
  <c r="C57" i="6"/>
  <c r="G47" i="5"/>
  <c r="G51" i="5"/>
  <c r="G27" i="7"/>
  <c r="G61" i="7" s="1"/>
  <c r="G57" i="7"/>
  <c r="G58" i="7" s="1"/>
  <c r="G40" i="7"/>
  <c r="G52" i="7"/>
  <c r="G53" i="7" s="1"/>
  <c r="F66" i="2"/>
  <c r="C39" i="5"/>
  <c r="C41" i="5" s="1"/>
  <c r="H57" i="6"/>
  <c r="H58" i="6" s="1"/>
  <c r="H40" i="6"/>
  <c r="H42" i="6" s="1"/>
  <c r="G40" i="5"/>
  <c r="G42" i="5" s="1"/>
  <c r="G57" i="5"/>
  <c r="G58" i="5" s="1"/>
  <c r="F27" i="7"/>
  <c r="F61" i="7" s="1"/>
  <c r="F57" i="7"/>
  <c r="F58" i="7" s="1"/>
  <c r="F40" i="7"/>
  <c r="F65" i="2"/>
  <c r="G47" i="6"/>
  <c r="G51" i="6"/>
  <c r="F52" i="7"/>
  <c r="G52" i="6"/>
  <c r="G58" i="2"/>
  <c r="H52" i="6"/>
  <c r="H57" i="7"/>
  <c r="H58" i="7" s="1"/>
  <c r="F27" i="6"/>
  <c r="F61" i="6" s="1"/>
  <c r="H27" i="7"/>
  <c r="H61" i="7" s="1"/>
  <c r="C65" i="2"/>
  <c r="C47" i="6"/>
  <c r="D51" i="6"/>
  <c r="F57" i="5"/>
  <c r="F58" i="5" s="1"/>
  <c r="C52" i="7"/>
  <c r="D53" i="7" s="1"/>
  <c r="C71" i="7" s="1"/>
  <c r="G41" i="5"/>
  <c r="H41" i="6"/>
  <c r="C40" i="5"/>
  <c r="E47" i="7"/>
  <c r="F52" i="6"/>
  <c r="F53" i="6" s="1"/>
  <c r="H57" i="5"/>
  <c r="H58" i="5" s="1"/>
  <c r="H40" i="5"/>
  <c r="F40" i="5"/>
  <c r="H51" i="6"/>
  <c r="G27" i="6"/>
  <c r="G61" i="6" s="1"/>
  <c r="H27" i="5"/>
  <c r="H61" i="5" s="1"/>
  <c r="F27" i="5"/>
  <c r="F61" i="5" s="1"/>
  <c r="C27" i="5"/>
  <c r="G57" i="6"/>
  <c r="G58" i="6" s="1"/>
  <c r="F52" i="5"/>
  <c r="F53" i="5" s="1"/>
  <c r="H52" i="7"/>
  <c r="H53" i="7" s="1"/>
  <c r="C57" i="5"/>
  <c r="C58" i="5" s="1"/>
  <c r="B64" i="7"/>
  <c r="B48" i="7"/>
  <c r="B64" i="6"/>
  <c r="B48" i="6"/>
  <c r="H61" i="6" l="1"/>
  <c r="G65" i="6"/>
  <c r="F53" i="7"/>
  <c r="F71" i="7" s="1"/>
  <c r="I71" i="5"/>
  <c r="H65" i="7"/>
  <c r="B72" i="5"/>
  <c r="B69" i="5"/>
  <c r="I42" i="6"/>
  <c r="I66" i="6" s="1"/>
  <c r="I65" i="6"/>
  <c r="I71" i="7"/>
  <c r="H71" i="7"/>
  <c r="G71" i="7"/>
  <c r="F71" i="5"/>
  <c r="H71" i="5"/>
  <c r="I71" i="6"/>
  <c r="B72" i="6"/>
  <c r="B69" i="6"/>
  <c r="F71" i="6"/>
  <c r="I42" i="7"/>
  <c r="I66" i="7" s="1"/>
  <c r="C61" i="6"/>
  <c r="I42" i="5"/>
  <c r="I66" i="5" s="1"/>
  <c r="I65" i="5"/>
  <c r="H53" i="6"/>
  <c r="H71" i="6" s="1"/>
  <c r="B30" i="5"/>
  <c r="B76" i="5" s="1"/>
  <c r="B30" i="6"/>
  <c r="B76" i="6" s="1"/>
  <c r="B76" i="7"/>
  <c r="B65" i="2"/>
  <c r="F65" i="6"/>
  <c r="G53" i="5"/>
  <c r="G71" i="5" s="1"/>
  <c r="C66" i="7"/>
  <c r="H66" i="6"/>
  <c r="C65" i="6"/>
  <c r="C42" i="6"/>
  <c r="C66" i="6" s="1"/>
  <c r="H65" i="6"/>
  <c r="G53" i="6"/>
  <c r="G71" i="6" s="1"/>
  <c r="G66" i="5"/>
  <c r="D53" i="6"/>
  <c r="C71" i="6" s="1"/>
  <c r="G65" i="7"/>
  <c r="G42" i="7"/>
  <c r="G66" i="7" s="1"/>
  <c r="G65" i="5"/>
  <c r="F65" i="7"/>
  <c r="F42" i="7"/>
  <c r="F66" i="7" s="1"/>
  <c r="F42" i="5"/>
  <c r="F66" i="5" s="1"/>
  <c r="F65" i="5"/>
  <c r="C42" i="5"/>
  <c r="C66" i="5" s="1"/>
  <c r="C65" i="5"/>
  <c r="C61" i="5"/>
  <c r="H42" i="5"/>
  <c r="H66" i="5" s="1"/>
  <c r="H65" i="5"/>
  <c r="E27" i="3" l="1"/>
  <c r="E25" i="5"/>
  <c r="E25" i="6"/>
  <c r="B25" i="6" s="1"/>
  <c r="E25" i="7"/>
  <c r="B25" i="7" s="1"/>
  <c r="B27" i="3" l="1"/>
  <c r="B61" i="3" s="1"/>
  <c r="E61" i="3"/>
  <c r="E57" i="6"/>
  <c r="E58" i="6" s="1"/>
  <c r="E73" i="6"/>
  <c r="E70" i="6"/>
  <c r="E73" i="7"/>
  <c r="E70" i="7"/>
  <c r="E52" i="5"/>
  <c r="E53" i="5" s="1"/>
  <c r="E73" i="5"/>
  <c r="E70" i="5"/>
  <c r="E40" i="5"/>
  <c r="E42" i="5" s="1"/>
  <c r="E66" i="5" s="1"/>
  <c r="B25" i="5"/>
  <c r="E40" i="6"/>
  <c r="E42" i="6" s="1"/>
  <c r="E66" i="6" s="1"/>
  <c r="E52" i="7"/>
  <c r="E53" i="7" s="1"/>
  <c r="E57" i="7"/>
  <c r="E58" i="7" s="1"/>
  <c r="E27" i="7"/>
  <c r="B27" i="7" s="1"/>
  <c r="E27" i="5"/>
  <c r="E40" i="7"/>
  <c r="E57" i="5"/>
  <c r="E58" i="5" s="1"/>
  <c r="E27" i="6"/>
  <c r="B27" i="6" s="1"/>
  <c r="E52" i="6"/>
  <c r="E53" i="6" s="1"/>
  <c r="E65" i="5" l="1"/>
  <c r="E71" i="5"/>
  <c r="E71" i="7"/>
  <c r="E71" i="6"/>
  <c r="B70" i="6"/>
  <c r="B73" i="6"/>
  <c r="B70" i="5"/>
  <c r="B73" i="5"/>
  <c r="B70" i="7"/>
  <c r="B73" i="7"/>
  <c r="E65" i="6"/>
  <c r="B57" i="6"/>
  <c r="B40" i="6"/>
  <c r="B52" i="6"/>
  <c r="B77" i="6"/>
  <c r="E61" i="6"/>
  <c r="B61" i="6"/>
  <c r="E61" i="7"/>
  <c r="B61" i="7"/>
  <c r="B40" i="7"/>
  <c r="B57" i="7"/>
  <c r="B77" i="7"/>
  <c r="B52" i="7"/>
  <c r="B77" i="5"/>
  <c r="B40" i="5"/>
  <c r="B57" i="5"/>
  <c r="B52" i="5"/>
  <c r="E61" i="5"/>
  <c r="B27" i="5"/>
  <c r="B61" i="5" s="1"/>
  <c r="E65" i="7"/>
  <c r="E42" i="7"/>
  <c r="E66" i="7" s="1"/>
  <c r="B42" i="5" l="1"/>
  <c r="B66" i="5" s="1"/>
  <c r="B65" i="5"/>
  <c r="B65" i="6"/>
  <c r="B42" i="6"/>
  <c r="B66" i="6" s="1"/>
  <c r="B42" i="7"/>
  <c r="B66" i="7" s="1"/>
  <c r="B65" i="7"/>
</calcChain>
</file>

<file path=xl/sharedStrings.xml><?xml version="1.0" encoding="utf-8"?>
<sst xmlns="http://schemas.openxmlformats.org/spreadsheetml/2006/main" count="917" uniqueCount="138">
  <si>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</si>
  <si>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</si>
  <si>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</si>
  <si>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</si>
  <si>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</si>
  <si>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</si>
  <si>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</si>
  <si>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</si>
  <si>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</si>
  <si>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</si>
  <si>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</si>
  <si>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</si>
  <si>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</si>
  <si>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</si>
  <si>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</si>
  <si>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</si>
  <si>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</si>
  <si>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</si>
  <si>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</si>
  <si>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</si>
  <si>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</si>
  <si>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</si>
  <si>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</si>
  <si>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</si>
  <si>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</si>
  <si>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</si>
  <si>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</si>
  <si>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</si>
  <si>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</si>
  <si>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</si>
  <si>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</si>
  <si>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</si>
  <si>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</si>
  <si>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</si>
  <si>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</si>
  <si>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</si>
  <si>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</si>
  <si>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</si>
  <si>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</si>
  <si>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</si>
  <si>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</si>
  <si>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</si>
  <si>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</si>
  <si>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</si>
  <si>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</si>
  <si>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</si>
  <si>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</si>
  <si>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</si>
  <si>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</si>
  <si>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n.d</t>
  </si>
  <si>
    <t>Alternativas de Cuido</t>
  </si>
  <si>
    <t>Niños/Niñas</t>
  </si>
  <si>
    <t>Programa de Promoción y Protección Social</t>
  </si>
  <si>
    <t xml:space="preserve">Protección Familiar </t>
  </si>
  <si>
    <t xml:space="preserve">Fideicomiso e Intereses Avancemos </t>
  </si>
  <si>
    <t>Efectivos 1T 2018</t>
  </si>
  <si>
    <t xml:space="preserve">    Subsidios </t>
  </si>
  <si>
    <t xml:space="preserve">n.d. </t>
  </si>
  <si>
    <t>Efectivos 2T 2018</t>
  </si>
  <si>
    <t>Efectivos 3T 2018</t>
  </si>
  <si>
    <t>IPC (3T 2018)</t>
  </si>
  <si>
    <t>IPC (2T 2018)</t>
  </si>
  <si>
    <t>IPC (1T 2018)</t>
  </si>
  <si>
    <t>Efectivos 4T 2018</t>
  </si>
  <si>
    <t>IPC (4T 2018)</t>
  </si>
  <si>
    <t xml:space="preserve">Familias </t>
  </si>
  <si>
    <t>Efectivos 1S 2018</t>
  </si>
  <si>
    <t>IPC (1S 2018)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</si>
  <si>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</si>
  <si>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</si>
  <si>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</si>
  <si>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</si>
  <si>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</si>
  <si>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</si>
  <si>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1T 2018</t>
  </si>
  <si>
    <t>Gasto efectivo real por beneficiario 1T 2018</t>
  </si>
  <si>
    <t>Gasto efectivo real 2T 2018</t>
  </si>
  <si>
    <t>Gasto efectivo real por beneficiario 2T 2018</t>
  </si>
  <si>
    <t>Gasto efectivo real 3T 2018</t>
  </si>
  <si>
    <t>Gasto efectivo real por beneficiario 3T 2018</t>
  </si>
  <si>
    <t>Gasto efectivo real 4T 2018</t>
  </si>
  <si>
    <t>Gasto efectivo real por beneficiario 4T 2018</t>
  </si>
  <si>
    <t>Gasto efectivo real 1S 2018</t>
  </si>
  <si>
    <t>Gasto efectivo real por beneficiario 1S 2018</t>
  </si>
  <si>
    <t>Gasto efectivo real  2018</t>
  </si>
  <si>
    <t>Gasto efectivo real por beneficiario  2018</t>
  </si>
  <si>
    <t>Programa de Protección y Promoción Social</t>
  </si>
  <si>
    <t xml:space="preserve">Productos </t>
  </si>
  <si>
    <t xml:space="preserve">Cuidado y Desarrollo Infantil 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</si>
  <si>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</si>
  <si>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</si>
  <si>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</si>
  <si>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</si>
  <si>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</si>
  <si>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</si>
  <si>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</si>
  <si>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</si>
  <si>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</si>
  <si>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</si>
  <si>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</si>
  <si>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</si>
  <si>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</si>
  <si>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</si>
  <si>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</si>
  <si>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</si>
  <si>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</si>
  <si>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</si>
  <si>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</si>
  <si>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 xml:space="preserve">Crecemos 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</si>
  <si>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</si>
  <si>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</si>
  <si>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</si>
  <si>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</si>
  <si>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</si>
  <si>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</si>
  <si>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</si>
  <si>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</si>
  <si>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</si>
  <si>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</si>
  <si>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</si>
  <si>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</si>
  <si>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 xml:space="preserve">Estudiantes 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</si>
  <si>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</si>
  <si>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</si>
  <si>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</si>
  <si>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</si>
  <si>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</si>
  <si>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</si>
  <si>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</si>
  <si>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</si>
  <si>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</si>
  <si>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</si>
  <si>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</si>
  <si>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</si>
  <si>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t xml:space="preserve">Familias diferentes </t>
  </si>
  <si>
    <r>
      <rPr>
        <b/>
        <sz val="11"/>
        <color theme="1"/>
        <rFont val="Calibri"/>
        <family val="2"/>
      </rPr>
      <t xml:space="preserve">Fuentes: </t>
    </r>
    <r>
      <rPr>
        <sz val="11"/>
        <color theme="1"/>
        <rFont val="Calibri"/>
        <family val="2"/>
      </rPr>
      <t xml:space="preserve"> Informes Trimestrales IMAS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</si>
  <si>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Para el III Trim. Se incorporó un nuevo producto, se trabajó como el producto "Avancemos"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</si>
  <si>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Algunos de los gráficos no contienen la información del producto "Programa de Promoción y Protección  Social", esto debido a que la infomación no está completa (se presentan muchos n.d.). La Dirección de la institución solicitó que cuando estas situaciones se presentaran, no se agregaran a los gráficos.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</si>
</sst>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165" fontId="0" fillId="0" borderId="0" xfId="1" applyNumberFormat="1" applyFont="1"/>
    <xf numFmtId="164" fontId="0" fillId="0" borderId="0" xfId="1" applyFont="1"/>
    <xf numFmtId="0" fontId="0" fillId="0" borderId="0" xfId="0" applyFill="1"/>
    <xf numFmtId="0" fontId="2" fillId="0" borderId="0" xfId="0" applyFont="1" applyFill="1"/>
    <xf numFmtId="167" fontId="0" fillId="0" borderId="0" xfId="0" applyNumberFormat="1"/>
    <xf numFmtId="165" fontId="2" fillId="0" borderId="0" xfId="1" applyNumberFormat="1" applyFont="1"/>
    <xf numFmtId="165" fontId="3" fillId="0" borderId="0" xfId="1" applyNumberFormat="1" applyFont="1"/>
    <xf numFmtId="165" fontId="0" fillId="0" borderId="0" xfId="1" applyNumberFormat="1" applyFont="1" applyFill="1" applyAlignment="1">
      <alignment horizontal="left" indent="1"/>
    </xf>
    <xf numFmtId="165" fontId="0" fillId="0" borderId="0" xfId="1" applyNumberFormat="1" applyFont="1" applyFill="1"/>
    <xf numFmtId="165" fontId="0" fillId="0" borderId="0" xfId="1" applyNumberFormat="1" applyFont="1" applyAlignment="1">
      <alignment horizontal="left" indent="3"/>
    </xf>
    <xf numFmtId="165" fontId="3" fillId="0" borderId="0" xfId="1" applyNumberFormat="1" applyFont="1" applyFill="1" applyBorder="1"/>
    <xf numFmtId="165" fontId="4" fillId="0" borderId="0" xfId="1" applyNumberFormat="1" applyFont="1"/>
    <xf numFmtId="165" fontId="4" fillId="0" borderId="0" xfId="1" applyNumberFormat="1" applyFont="1" applyFill="1" applyBorder="1"/>
    <xf numFmtId="165" fontId="4" fillId="0" borderId="0" xfId="4" applyNumberFormat="1" applyFont="1" applyFill="1" applyBorder="1"/>
    <xf numFmtId="165" fontId="3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/>
    <xf numFmtId="165" fontId="0" fillId="0" borderId="3" xfId="1" applyNumberFormat="1" applyFont="1" applyFill="1" applyBorder="1"/>
    <xf numFmtId="0" fontId="0" fillId="0" borderId="3" xfId="0" applyFill="1" applyBorder="1"/>
    <xf numFmtId="165" fontId="1" fillId="0" borderId="0" xfId="1" applyNumberFormat="1" applyFont="1"/>
    <xf numFmtId="165" fontId="1" fillId="0" borderId="0" xfId="1" applyNumberFormat="1" applyFont="1" applyFill="1" applyAlignment="1">
      <alignment horizontal="left" indent="1"/>
    </xf>
    <xf numFmtId="165" fontId="1" fillId="0" borderId="0" xfId="1" applyNumberFormat="1" applyFont="1" applyFill="1"/>
    <xf numFmtId="165" fontId="1" fillId="0" borderId="3" xfId="1" applyNumberFormat="1" applyFont="1" applyFill="1" applyBorder="1"/>
    <xf numFmtId="165" fontId="1" fillId="0" borderId="0" xfId="4" applyNumberFormat="1" applyFont="1" applyFill="1" applyBorder="1"/>
    <xf numFmtId="165" fontId="1" fillId="0" borderId="0" xfId="1" applyNumberFormat="1" applyFont="1" applyFill="1" applyBorder="1"/>
    <xf numFmtId="165" fontId="1" fillId="0" borderId="0" xfId="1" applyNumberFormat="1" applyFont="1" applyAlignment="1">
      <alignment horizontal="left" indent="3"/>
    </xf>
    <xf numFmtId="165" fontId="1" fillId="0" borderId="5" xfId="1" applyNumberFormat="1" applyFont="1" applyFill="1" applyBorder="1"/>
    <xf numFmtId="0" fontId="0" fillId="0" borderId="0" xfId="0" applyFont="1"/>
    <xf numFmtId="0" fontId="0" fillId="0" borderId="0" xfId="0" applyFont="1" applyFill="1" applyAlignment="1">
      <alignment horizontal="left" indent="1"/>
    </xf>
    <xf numFmtId="0" fontId="0" fillId="0" borderId="0" xfId="0" applyFont="1" applyFill="1"/>
    <xf numFmtId="167" fontId="0" fillId="0" borderId="0" xfId="0" applyNumberFormat="1" applyFont="1" applyFill="1"/>
    <xf numFmtId="0" fontId="0" fillId="0" borderId="3" xfId="0" applyFont="1" applyFill="1" applyBorder="1"/>
    <xf numFmtId="165" fontId="0" fillId="0" borderId="0" xfId="1" applyNumberFormat="1" applyFont="1" applyFill="1" applyBorder="1"/>
    <xf numFmtId="167" fontId="0" fillId="0" borderId="0" xfId="0" applyNumberFormat="1" applyFont="1"/>
    <xf numFmtId="165" fontId="0" fillId="0" borderId="0" xfId="4" applyNumberFormat="1" applyFont="1" applyFill="1" applyBorder="1"/>
    <xf numFmtId="0" fontId="0" fillId="0" borderId="0" xfId="0" applyFont="1" applyFill="1" applyAlignment="1">
      <alignment wrapText="1"/>
    </xf>
    <xf numFmtId="165" fontId="1" fillId="0" borderId="3" xfId="1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 vertical="center"/>
    </xf>
    <xf numFmtId="165" fontId="0" fillId="0" borderId="3" xfId="1" applyNumberFormat="1" applyFont="1" applyFill="1" applyBorder="1" applyAlignment="1">
      <alignment horizontal="right" vertical="center"/>
    </xf>
    <xf numFmtId="165" fontId="3" fillId="0" borderId="3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left"/>
    </xf>
    <xf numFmtId="165" fontId="3" fillId="0" borderId="0" xfId="1" applyNumberFormat="1" applyFont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0" fontId="1" fillId="0" borderId="0" xfId="0" applyFont="1" applyFill="1"/>
    <xf numFmtId="165" fontId="3" fillId="0" borderId="0" xfId="1" applyNumberFormat="1" applyFont="1" applyFill="1"/>
    <xf numFmtId="165" fontId="2" fillId="0" borderId="0" xfId="1" applyNumberFormat="1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3" fontId="1" fillId="0" borderId="0" xfId="1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/>
    </xf>
    <xf numFmtId="3" fontId="1" fillId="0" borderId="0" xfId="1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 vertical="center"/>
    </xf>
    <xf numFmtId="3" fontId="0" fillId="0" borderId="0" xfId="1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66" fontId="0" fillId="0" borderId="0" xfId="0" applyNumberFormat="1" applyFont="1" applyFill="1" applyAlignment="1">
      <alignment horizontal="right" vertical="center"/>
    </xf>
    <xf numFmtId="168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165" fontId="2" fillId="0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right" vertical="center"/>
    </xf>
    <xf numFmtId="3" fontId="1" fillId="0" borderId="0" xfId="1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center"/>
    </xf>
    <xf numFmtId="165" fontId="2" fillId="0" borderId="4" xfId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/>
    </xf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Alignment="1">
      <alignment horizontal="right" vertical="center"/>
    </xf>
    <xf numFmtId="164" fontId="1" fillId="0" borderId="0" xfId="1" applyNumberFormat="1" applyFont="1" applyFill="1" applyAlignment="1">
      <alignment horizontal="center" vertical="center"/>
    </xf>
    <xf numFmtId="39" fontId="1" fillId="0" borderId="0" xfId="1" applyNumberFormat="1" applyFont="1" applyFill="1" applyAlignment="1">
      <alignment horizontal="right" vertical="center"/>
    </xf>
    <xf numFmtId="3" fontId="3" fillId="0" borderId="0" xfId="1" applyNumberFormat="1" applyFont="1" applyFill="1" applyAlignment="1">
      <alignment horizontal="center" vertical="center"/>
    </xf>
    <xf numFmtId="4" fontId="1" fillId="0" borderId="0" xfId="1" applyNumberFormat="1" applyFont="1" applyFill="1" applyAlignment="1">
      <alignment horizontal="right" vertical="center"/>
    </xf>
    <xf numFmtId="4" fontId="1" fillId="0" borderId="0" xfId="1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/>
    <xf numFmtId="3" fontId="3" fillId="0" borderId="0" xfId="0" applyNumberFormat="1" applyFont="1"/>
    <xf numFmtId="3" fontId="0" fillId="0" borderId="0" xfId="1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4" fontId="0" fillId="0" borderId="0" xfId="1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0" borderId="0" xfId="1" applyNumberFormat="1" applyFont="1"/>
    <xf numFmtId="3" fontId="3" fillId="0" borderId="0" xfId="0" applyNumberFormat="1" applyFont="1" applyAlignment="1">
      <alignment horizontal="right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4" fontId="1" fillId="0" borderId="0" xfId="1" applyNumberFormat="1" applyFont="1" applyFill="1" applyAlignment="1">
      <alignment horizontal="right" vertical="center"/>
    </xf>
    <xf numFmtId="4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Alignment="1">
      <alignment wrapText="1"/>
    </xf>
    <xf numFmtId="0" fontId="8" fillId="0" borderId="6" xfId="0" applyFont="1" applyFill="1" applyBorder="1" applyAlignment="1">
      <alignment horizontal="left" vertical="top" wrapText="1"/>
    </xf>
    <xf numFmtId="4" fontId="1" fillId="0" borderId="0" xfId="0" applyNumberFormat="1" applyFont="1" applyFill="1" applyAlignment="1">
      <alignment horizontal="right"/>
    </xf>
    <xf numFmtId="4" fontId="1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right" vertical="center"/>
    </xf>
    <xf numFmtId="3" fontId="1" fillId="0" borderId="0" xfId="1" applyNumberFormat="1" applyFont="1" applyFill="1" applyAlignment="1">
      <alignment horizontal="right"/>
    </xf>
    <xf numFmtId="165" fontId="2" fillId="0" borderId="2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/>
    </xf>
    <xf numFmtId="3" fontId="1" fillId="0" borderId="0" xfId="1" applyNumberFormat="1" applyFont="1" applyFill="1" applyAlignment="1">
      <alignment horizontal="center"/>
    </xf>
    <xf numFmtId="4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 wrapText="1"/>
    </xf>
    <xf numFmtId="4" fontId="0" fillId="0" borderId="0" xfId="1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4" fontId="1" fillId="0" borderId="0" xfId="1" applyNumberFormat="1" applyFont="1" applyFill="1" applyAlignment="1">
      <alignment horizontal="right" vertical="center"/>
    </xf>
    <xf numFmtId="0" fontId="0" fillId="0" borderId="0" xfId="1" applyNumberFormat="1" applyFont="1" applyFill="1" applyBorder="1" applyAlignment="1">
      <alignment horizontal="left" wrapText="1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Cobertura potencial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850000958818959E-3"/>
                  <c:y val="-4.116959367644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60-4AEC-A655-AE007A3C8C79}"/>
                </c:ext>
              </c:extLst>
            </c:dLbl>
            <c:dLbl>
              <c:idx val="2"/>
              <c:layout>
                <c:manualLayout>
                  <c:x val="-1.0889874902369762E-16"/>
                  <c:y val="-4.4912284010667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0-4AEC-A655-AE007A3C8C79}"/>
                </c:ext>
              </c:extLst>
            </c:dLbl>
            <c:dLbl>
              <c:idx val="3"/>
              <c:layout>
                <c:manualLayout>
                  <c:x val="-1.4850000958818959E-3"/>
                  <c:y val="-2.994152267377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60-4AEC-A655-AE007A3C8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f>(Anual!$B$47,Anual!$C$47,Anual!$E$47,Anual!$G$47)</c:f>
              <c:numCache>
                <c:formatCode>#,##0.00</c:formatCode>
                <c:ptCount val="4"/>
                <c:pt idx="0">
                  <c:v>0</c:v>
                </c:pt>
                <c:pt idx="1">
                  <c:v>93.579217403664572</c:v>
                </c:pt>
                <c:pt idx="2">
                  <c:v>1.4930713909840378</c:v>
                </c:pt>
                <c:pt idx="3">
                  <c:v>9.3383174958077149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D0-A8A5-86DE66536A7A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2.9700001917637919E-3"/>
                  <c:y val="-3.742690334222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0-4AEC-A655-AE007A3C8C79}"/>
                </c:ext>
              </c:extLst>
            </c:dLbl>
            <c:dLbl>
              <c:idx val="3"/>
              <c:layout>
                <c:manualLayout>
                  <c:x val="0"/>
                  <c:y val="-2.994152267377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0-4AEC-A655-AE007A3C8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f>(Anual!$B$48,Anual!$C$48,Anual!$E$48,Anual!$G$48)</c:f>
              <c:numCache>
                <c:formatCode>#,##0.00</c:formatCode>
                <c:ptCount val="4"/>
                <c:pt idx="0">
                  <c:v>87.167504819155553</c:v>
                </c:pt>
                <c:pt idx="1">
                  <c:v>135.72990205700594</c:v>
                </c:pt>
                <c:pt idx="2">
                  <c:v>1.4243115242939837</c:v>
                </c:pt>
                <c:pt idx="3">
                  <c:v>13.058971492453885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C-4DD0-A8A5-86DE6653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3936"/>
        <c:axId val="114994328"/>
        <c:axId val="0"/>
      </c:bar3DChart>
      <c:catAx>
        <c:axId val="1149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4328"/>
        <c:crosses val="autoZero"/>
        <c:auto val="1"/>
        <c:lblAlgn val="ctr"/>
        <c:lblOffset val="100"/>
        <c:noMultiLvlLbl val="0"/>
      </c:catAx>
      <c:valAx>
        <c:axId val="11499432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000"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resultado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(Anual!$C$56,Anual!$E$56,Anual!$F$56,Anual!$G$56,Anual!$H$56,Anual!$I$56,Anual!$J$56)</c:f>
              <c:numCache>
                <c:formatCode>#,##0.00</c:formatCode>
                <c:ptCount val="7"/>
                <c:pt idx="0">
                  <c:v>145.04278388172409</c:v>
                </c:pt>
                <c:pt idx="1">
                  <c:v>95.39473684210526</c:v>
                </c:pt>
                <c:pt idx="2">
                  <c:v>34.848484848484851</c:v>
                </c:pt>
                <c:pt idx="3">
                  <c:v>139.84287317620652</c:v>
                </c:pt>
                <c:pt idx="4">
                  <c:v>140.64680070115173</c:v>
                </c:pt>
                <c:pt idx="5">
                  <c:v>100.59352212989656</c:v>
                </c:pt>
                <c:pt idx="6">
                  <c:v>289.53483569884776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8-41ED-A7CD-19270DCAF9EE}"/>
            </c:ext>
          </c:extLst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(Anual!$C$52,Anual!$E$52,Anual!$F$52,Anual!$G$52,Anual!$H$52,Anual!$I$52,Anual!$J$52)</c:f>
              <c:numCache>
                <c:formatCode>#,##0.00</c:formatCode>
                <c:ptCount val="7"/>
                <c:pt idx="0">
                  <c:v>99.347535099081369</c:v>
                </c:pt>
                <c:pt idx="1">
                  <c:v>81.187536234459316</c:v>
                </c:pt>
                <c:pt idx="2">
                  <c:v>17.382939735727319</c:v>
                </c:pt>
                <c:pt idx="3">
                  <c:v>99.621570189425128</c:v>
                </c:pt>
                <c:pt idx="4">
                  <c:v>98.829890794203493</c:v>
                </c:pt>
                <c:pt idx="5">
                  <c:v>97.252287928114939</c:v>
                </c:pt>
                <c:pt idx="6">
                  <c:v>98.956186312757382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8-41ED-A7CD-19270DCAF9EE}"/>
            </c:ext>
          </c:extLst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(Anual!$D$53,Anual!$E$53,Anual!$F$53,Anual!$G$53,Anual!$H$53,Anual!$I$53,Anual!$K$53)</c:f>
              <c:numCache>
                <c:formatCode>#,##0.00</c:formatCode>
                <c:ptCount val="7"/>
                <c:pt idx="0">
                  <c:v>122.19515949040273</c:v>
                </c:pt>
                <c:pt idx="1">
                  <c:v>88.291136538282288</c:v>
                </c:pt>
                <c:pt idx="2">
                  <c:v>26.115712292106085</c:v>
                </c:pt>
                <c:pt idx="3">
                  <c:v>119.73222168281583</c:v>
                </c:pt>
                <c:pt idx="4">
                  <c:v>119.73834574767761</c:v>
                </c:pt>
                <c:pt idx="5">
                  <c:v>98.922905029005747</c:v>
                </c:pt>
                <c:pt idx="6">
                  <c:v>194.24551100580257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8-41ED-A7CD-19270DCA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5112"/>
        <c:axId val="114995504"/>
        <c:axId val="0"/>
      </c:bar3DChart>
      <c:catAx>
        <c:axId val="1149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504"/>
        <c:crosses val="autoZero"/>
        <c:auto val="1"/>
        <c:lblAlgn val="ctr"/>
        <c:lblOffset val="100"/>
        <c:noMultiLvlLbl val="0"/>
      </c:catAx>
      <c:valAx>
        <c:axId val="11499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avance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(Anual!$C$56,Anual!$E$56,Anual!$F$56,Anual!$G$56,Anual!$H$56,Anual!$I$56,Anual!$J$56)</c:f>
              <c:numCache>
                <c:formatCode>#,##0.00</c:formatCode>
                <c:ptCount val="7"/>
                <c:pt idx="0">
                  <c:v>145.04278388172409</c:v>
                </c:pt>
                <c:pt idx="1">
                  <c:v>95.39473684210526</c:v>
                </c:pt>
                <c:pt idx="2">
                  <c:v>34.848484848484851</c:v>
                </c:pt>
                <c:pt idx="3">
                  <c:v>139.84287317620652</c:v>
                </c:pt>
                <c:pt idx="4">
                  <c:v>140.64680070115173</c:v>
                </c:pt>
                <c:pt idx="5">
                  <c:v>100.59352212989656</c:v>
                </c:pt>
                <c:pt idx="6">
                  <c:v>289.53483569884776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4459-B5EF-38E5794C6196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(Anual!$C$57,Anual!$E$57,Anual!$F$57,Anual!$G$57,Anual!$H$57,Anual!$I$57,Anual!$J$57)</c:f>
              <c:numCache>
                <c:formatCode>#,##0.00</c:formatCode>
                <c:ptCount val="7"/>
                <c:pt idx="0">
                  <c:v>99.347535099081369</c:v>
                </c:pt>
                <c:pt idx="1">
                  <c:v>81.187536234459316</c:v>
                </c:pt>
                <c:pt idx="2">
                  <c:v>17.382939735727319</c:v>
                </c:pt>
                <c:pt idx="3">
                  <c:v>99.621570189425128</c:v>
                </c:pt>
                <c:pt idx="4">
                  <c:v>98.829890794203493</c:v>
                </c:pt>
                <c:pt idx="5">
                  <c:v>97.252287928114939</c:v>
                </c:pt>
                <c:pt idx="6">
                  <c:v>98.956186312757382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B-4459-B5EF-38E5794C6196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(Anual!$C$58,Anual!$E$58,Anual!$F$58,Anual!$G$58,Anual!$H$58,Anual!$I$58,Anual!$J$58)</c:f>
              <c:numCache>
                <c:formatCode>#,##0.00</c:formatCode>
                <c:ptCount val="7"/>
                <c:pt idx="0">
                  <c:v>122.19515949040273</c:v>
                </c:pt>
                <c:pt idx="1">
                  <c:v>88.291136538282288</c:v>
                </c:pt>
                <c:pt idx="2">
                  <c:v>26.115712292106085</c:v>
                </c:pt>
                <c:pt idx="3">
                  <c:v>119.73222168281583</c:v>
                </c:pt>
                <c:pt idx="4">
                  <c:v>119.73834574767761</c:v>
                </c:pt>
                <c:pt idx="5">
                  <c:v>98.922905029005747</c:v>
                </c:pt>
                <c:pt idx="6">
                  <c:v>194.24551100580257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B-4459-B5EF-38E5794C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6288"/>
        <c:axId val="387613528"/>
        <c:axId val="0"/>
      </c:bar3DChart>
      <c:catAx>
        <c:axId val="114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3528"/>
        <c:crosses val="autoZero"/>
        <c:auto val="1"/>
        <c:lblAlgn val="ctr"/>
        <c:lblOffset val="100"/>
        <c:noMultiLvlLbl val="0"/>
      </c:catAx>
      <c:valAx>
        <c:axId val="38761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49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IMAS: Indicadores de expansión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14-4B2C-A017-6A25F3B9955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14-4B2C-A017-6A25F3B99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(Anual!$B$64:$C$64,Anual!$G$64:$H$64,Anual!$E$64,Anual!$F$64,Anual!$I$64)</c:f>
              <c:numCache>
                <c:formatCode>#,##0.00</c:formatCode>
                <c:ptCount val="7"/>
                <c:pt idx="0">
                  <c:v>41.084958163401254</c:v>
                </c:pt>
                <c:pt idx="1">
                  <c:v>-0.48485630486890807</c:v>
                </c:pt>
                <c:pt idx="2">
                  <c:v>-33.042751373298309</c:v>
                </c:pt>
                <c:pt idx="3">
                  <c:v>16.899218742360979</c:v>
                </c:pt>
                <c:pt idx="4">
                  <c:v>-17.041275030649771</c:v>
                </c:pt>
                <c:pt idx="5">
                  <c:v>-26.400000000000002</c:v>
                </c:pt>
                <c:pt idx="6">
                  <c:v>4.931720087737923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AE3-8828-A9F9BA43A25A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05670208791360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14-4B2C-A017-6A25F3B99558}"/>
                </c:ext>
              </c:extLst>
            </c:dLbl>
            <c:dLbl>
              <c:idx val="5"/>
              <c:layout>
                <c:manualLayout>
                  <c:x val="1.854124098901648E-2"/>
                  <c:y val="7.48939984549433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4-4B2C-A017-6A25F3B99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(Anual!$B$65:$C$65,Anual!$G$65:$H$65,Anual!$E$65,Anual!$F$65,Anual!$I$65)</c:f>
              <c:numCache>
                <c:formatCode>#,##0.00</c:formatCode>
                <c:ptCount val="7"/>
                <c:pt idx="0">
                  <c:v>15.178218471427595</c:v>
                </c:pt>
                <c:pt idx="1">
                  <c:v>-2.3511197228170744</c:v>
                </c:pt>
                <c:pt idx="2">
                  <c:v>-1.7080215248310715</c:v>
                </c:pt>
                <c:pt idx="3">
                  <c:v>31.970556356538225</c:v>
                </c:pt>
                <c:pt idx="4">
                  <c:v>-15.625935364444066</c:v>
                </c:pt>
                <c:pt idx="5">
                  <c:v>-24.302698734378492</c:v>
                </c:pt>
                <c:pt idx="6">
                  <c:v>0.1991114302656749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AE3-8828-A9F9BA43A25A}"/>
            </c:ext>
          </c:extLst>
        </c:ser>
        <c:ser>
          <c:idx val="2"/>
          <c:order val="2"/>
          <c:tx>
            <c:strRef>
              <c:f>Anual!$A$66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314-4B2C-A017-6A25F3B99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</c:strCache>
            </c:strRef>
          </c:cat>
          <c:val>
            <c:numRef>
              <c:f>(Anual!$B$66:$C$66,Anual!$G$66:$H$66,Anual!$E$66,Anual!$F$66,Anual!$I$66)</c:f>
              <c:numCache>
                <c:formatCode>#,##0.00</c:formatCode>
                <c:ptCount val="7"/>
                <c:pt idx="0">
                  <c:v>-18.362510099743645</c:v>
                </c:pt>
                <c:pt idx="1">
                  <c:v>-1.8753562007261415</c:v>
                </c:pt>
                <c:pt idx="2">
                  <c:v>46.798114455335217</c:v>
                </c:pt>
                <c:pt idx="3">
                  <c:v>12.892590537660986</c:v>
                </c:pt>
                <c:pt idx="4">
                  <c:v>1.7060769276873833</c:v>
                </c:pt>
                <c:pt idx="5">
                  <c:v>2.8495941108987788</c:v>
                </c:pt>
                <c:pt idx="6">
                  <c:v>-4.5101792418108637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7-4AE3-8828-A9F9BA43A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7448"/>
        <c:axId val="387617840"/>
        <c:axId val="0"/>
      </c:bar3DChart>
      <c:catAx>
        <c:axId val="3876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840"/>
        <c:crosses val="autoZero"/>
        <c:auto val="1"/>
        <c:lblAlgn val="ctr"/>
        <c:lblOffset val="100"/>
        <c:noMultiLvlLbl val="0"/>
      </c:catAx>
      <c:valAx>
        <c:axId val="38761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195099716201018E-3"/>
          <c:y val="0.85523972201668719"/>
          <c:w val="0.98124547501478188"/>
          <c:h val="0.12248750312141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gasto medio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(Anual!$B$69,Anual!$C$69,Anual!$E$69,Anual!$F$69,Anual!$G$69,Anual!$H$69,Anual!$I$69,Anual!$J$69)</c:f>
              <c:numCache>
                <c:formatCode>#,##0.00</c:formatCode>
                <c:ptCount val="8"/>
                <c:pt idx="0">
                  <c:v>607381.54613131948</c:v>
                </c:pt>
                <c:pt idx="1">
                  <c:v>420000</c:v>
                </c:pt>
                <c:pt idx="2">
                  <c:v>936000</c:v>
                </c:pt>
                <c:pt idx="3">
                  <c:v>3744000</c:v>
                </c:pt>
                <c:pt idx="4">
                  <c:v>900000</c:v>
                </c:pt>
                <c:pt idx="5">
                  <c:v>900000</c:v>
                </c:pt>
                <c:pt idx="6">
                  <c:v>1284000</c:v>
                </c:pt>
                <c:pt idx="7">
                  <c:v>216000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AFD-AF47-E4E269E62DE3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(Anual!$B$70,Anual!$C$70,Anual!$E$70,Anual!$F$70,Anual!$G$70,Anual!$H$70,Anual!$I$70,Anual!$J$70)</c:f>
              <c:numCache>
                <c:formatCode>#,##0.00</c:formatCode>
                <c:ptCount val="8"/>
                <c:pt idx="0">
                  <c:v>437174.19140816329</c:v>
                </c:pt>
                <c:pt idx="1">
                  <c:v>324325.53923550091</c:v>
                </c:pt>
                <c:pt idx="2">
                  <c:v>1252636.3198537813</c:v>
                </c:pt>
                <c:pt idx="3">
                  <c:v>2854154.6014669929</c:v>
                </c:pt>
                <c:pt idx="4">
                  <c:v>953364.61660184164</c:v>
                </c:pt>
                <c:pt idx="5">
                  <c:v>964900.05077071069</c:v>
                </c:pt>
                <c:pt idx="6">
                  <c:v>1278289.2759017204</c:v>
                </c:pt>
                <c:pt idx="7">
                  <c:v>79113.928673033079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AFD-AF47-E4E269E6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618624"/>
        <c:axId val="387619016"/>
        <c:axId val="0"/>
      </c:bar3DChart>
      <c:catAx>
        <c:axId val="387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016"/>
        <c:crosses val="autoZero"/>
        <c:auto val="1"/>
        <c:lblAlgn val="ctr"/>
        <c:lblOffset val="100"/>
        <c:noMultiLvlLbl val="0"/>
      </c:catAx>
      <c:valAx>
        <c:axId val="38761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8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IMAS: Índice de eficiencia (IE) 2019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(Anual!$C$71,Anual!$E$71,Anual!$F$71,Anual!$G$71,Anual!$H$71,Anual!$I$71,Anual!$J$71)</c:f>
              <c:numCache>
                <c:formatCode>#,##0.00</c:formatCode>
                <c:ptCount val="7"/>
                <c:pt idx="0">
                  <c:v>94.359549984983104</c:v>
                </c:pt>
                <c:pt idx="1">
                  <c:v>118.15885080023679</c:v>
                </c:pt>
                <c:pt idx="2">
                  <c:v>19.908728741747513</c:v>
                </c:pt>
                <c:pt idx="3">
                  <c:v>126.83162624391603</c:v>
                </c:pt>
                <c:pt idx="4">
                  <c:v>128.37281765681672</c:v>
                </c:pt>
                <c:pt idx="5">
                  <c:v>98.482935077587541</c:v>
                </c:pt>
                <c:pt idx="6">
                  <c:v>71.145951401712622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C78-BA13-16109827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9800"/>
        <c:axId val="387620192"/>
        <c:axId val="0"/>
      </c:bar3DChart>
      <c:catAx>
        <c:axId val="38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20192"/>
        <c:crosses val="autoZero"/>
        <c:auto val="1"/>
        <c:lblAlgn val="ctr"/>
        <c:lblOffset val="100"/>
        <c:noMultiLvlLbl val="0"/>
      </c:catAx>
      <c:valAx>
        <c:axId val="3876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761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IMAS: Indicadores de giro de recursos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E0C-4C8E-8B21-D791378433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3-43A9-8BEA-F1A22FF42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Anual!$A$76:$A$77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Anual!$B$76:$B$77</c:f>
              <c:numCache>
                <c:formatCode>#,##0.00</c:formatCode>
                <c:ptCount val="2"/>
                <c:pt idx="0">
                  <c:v>98.187438060015893</c:v>
                </c:pt>
                <c:pt idx="1">
                  <c:v>99.602570561406807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3-43A9-8BEA-F1A22FF4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038640"/>
        <c:axId val="209039952"/>
      </c:barChart>
      <c:valAx>
        <c:axId val="2090399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9038640"/>
        <c:crosses val="autoZero"/>
        <c:crossBetween val="between"/>
      </c:valAx>
      <c:catAx>
        <c:axId val="20903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039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513844" cy="4405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513844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9</xdr:col>
      <xdr:colOff>1066459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0" y="1214437"/>
          <a:ext cx="1529442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17-05-2019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23812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50193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644638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501937" cy="4405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501937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10</xdr:col>
      <xdr:colOff>42522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0" y="1214437"/>
          <a:ext cx="1538967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08-08-2019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9003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644638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454312" cy="4405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454312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9</xdr:col>
      <xdr:colOff>1125990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0" y="1214437"/>
          <a:ext cx="1529442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 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22-08-2019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5442405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656544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6" cy="4405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6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12</xdr:col>
      <xdr:colOff>488156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0" y="1214437"/>
          <a:ext cx="1744265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      Fecha Actualización:  12-11-2019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5" cy="4405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13</xdr:col>
      <xdr:colOff>363991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0" y="1214437"/>
          <a:ext cx="1799714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      Fecha Actualización:  12-11-2019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014155" cy="44053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10</xdr:col>
      <xdr:colOff>1131094</xdr:colOff>
      <xdr:row>7</xdr:row>
      <xdr:rowOff>178592</xdr:rowOff>
    </xdr:to>
    <xdr:sp macro="" textlink="">
      <xdr:nvSpPr>
        <xdr:cNvPr id="5" name="CuadroTexto 4"/>
        <xdr:cNvSpPr txBox="1"/>
      </xdr:nvSpPr>
      <xdr:spPr>
        <a:xfrm>
          <a:off x="0" y="1214437"/>
          <a:ext cx="16609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      Fecha Actualización:  06-04-2020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20312</xdr:colOff>
      <xdr:row>14</xdr:row>
      <xdr:rowOff>178594</xdr:rowOff>
    </xdr:from>
    <xdr:to>
      <xdr:col>24</xdr:col>
      <xdr:colOff>190500</xdr:colOff>
      <xdr:row>32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759897</xdr:colOff>
      <xdr:row>34</xdr:row>
      <xdr:rowOff>24228</xdr:rowOff>
    </xdr:from>
    <xdr:to>
      <xdr:col>24</xdr:col>
      <xdr:colOff>214312</xdr:colOff>
      <xdr:row>52</xdr:row>
      <xdr:rowOff>83344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31516</xdr:colOff>
      <xdr:row>54</xdr:row>
      <xdr:rowOff>418</xdr:rowOff>
    </xdr:from>
    <xdr:to>
      <xdr:col>24</xdr:col>
      <xdr:colOff>214311</xdr:colOff>
      <xdr:row>72</xdr:row>
      <xdr:rowOff>47624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14007</xdr:colOff>
      <xdr:row>15</xdr:row>
      <xdr:rowOff>13726</xdr:rowOff>
    </xdr:from>
    <xdr:to>
      <xdr:col>34</xdr:col>
      <xdr:colOff>690562</xdr:colOff>
      <xdr:row>32</xdr:row>
      <xdr:rowOff>166686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758499</xdr:colOff>
      <xdr:row>34</xdr:row>
      <xdr:rowOff>13028</xdr:rowOff>
    </xdr:from>
    <xdr:to>
      <xdr:col>37</xdr:col>
      <xdr:colOff>750093</xdr:colOff>
      <xdr:row>54</xdr:row>
      <xdr:rowOff>178594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480455</xdr:colOff>
      <xdr:row>56</xdr:row>
      <xdr:rowOff>11625</xdr:rowOff>
    </xdr:from>
    <xdr:to>
      <xdr:col>35</xdr:col>
      <xdr:colOff>404813</xdr:colOff>
      <xdr:row>74</xdr:row>
      <xdr:rowOff>35717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23816</xdr:colOff>
      <xdr:row>74</xdr:row>
      <xdr:rowOff>169905</xdr:rowOff>
    </xdr:from>
    <xdr:to>
      <xdr:col>28</xdr:col>
      <xdr:colOff>428625</xdr:colOff>
      <xdr:row>91</xdr:row>
      <xdr:rowOff>71435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014155" cy="440531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10</xdr:col>
      <xdr:colOff>1131094</xdr:colOff>
      <xdr:row>7</xdr:row>
      <xdr:rowOff>178592</xdr:rowOff>
    </xdr:to>
    <xdr:sp macro="" textlink="">
      <xdr:nvSpPr>
        <xdr:cNvPr id="16" name="CuadroTexto 15"/>
        <xdr:cNvSpPr txBox="1"/>
      </xdr:nvSpPr>
      <xdr:spPr>
        <a:xfrm>
          <a:off x="0" y="1214437"/>
          <a:ext cx="16609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     Fecha Actualización:     06-04-2020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65"/>
  <sheetViews>
    <sheetView showGridLines="0" tabSelected="1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20" customWidth="1"/>
    <col min="2" max="10" width="18.7109375" style="20" customWidth="1"/>
    <col min="11" max="16384" width="11.42578125" style="20"/>
  </cols>
  <sheetData>
    <row r="8" spans="1:10" ht="18" customHeight="1" x14ac:dyDescent="0.25"/>
    <row r="9" spans="1:10" s="22" customFormat="1" x14ac:dyDescent="0.25">
      <c r="A9" s="121" t="s">
        <v>0</v>
      </c>
      <c r="B9" s="123" t="s">
        <v>86</v>
      </c>
      <c r="C9" s="128" t="s">
        <v>87</v>
      </c>
      <c r="D9" s="128"/>
      <c r="E9" s="128"/>
      <c r="F9" s="128"/>
      <c r="G9" s="128"/>
      <c r="H9" s="128"/>
      <c r="I9" s="128"/>
      <c r="J9" s="128"/>
    </row>
    <row r="10" spans="1:10" s="22" customFormat="1" ht="51.75" customHeight="1" thickBot="1" x14ac:dyDescent="0.3">
      <c r="A10" s="122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88</v>
      </c>
      <c r="J10" s="42" t="s">
        <v>54</v>
      </c>
    </row>
    <row r="11" spans="1:10" ht="15.75" thickTop="1" x14ac:dyDescent="0.25"/>
    <row r="12" spans="1:10" x14ac:dyDescent="0.25">
      <c r="A12" s="17" t="s">
        <v>2</v>
      </c>
    </row>
    <row r="13" spans="1:10" x14ac:dyDescent="0.25">
      <c r="A13" s="22"/>
    </row>
    <row r="14" spans="1:10" x14ac:dyDescent="0.25">
      <c r="A14" s="17" t="s">
        <v>41</v>
      </c>
      <c r="B14" s="56" t="s">
        <v>42</v>
      </c>
      <c r="C14" s="56" t="s">
        <v>42</v>
      </c>
      <c r="D14" s="56" t="s">
        <v>43</v>
      </c>
      <c r="E14" s="56" t="s">
        <v>42</v>
      </c>
      <c r="F14" s="56" t="s">
        <v>42</v>
      </c>
      <c r="G14" s="56" t="s">
        <v>42</v>
      </c>
      <c r="H14" s="56" t="s">
        <v>134</v>
      </c>
      <c r="I14" s="56" t="s">
        <v>51</v>
      </c>
      <c r="J14" s="56" t="s">
        <v>42</v>
      </c>
    </row>
    <row r="15" spans="1:10" s="22" customFormat="1" x14ac:dyDescent="0.25">
      <c r="A15" s="21" t="s">
        <v>55</v>
      </c>
      <c r="B15" s="65">
        <v>161349</v>
      </c>
      <c r="C15" s="65">
        <v>116284</v>
      </c>
      <c r="D15" s="65">
        <v>145369</v>
      </c>
      <c r="E15" s="65">
        <v>1378</v>
      </c>
      <c r="F15" s="65">
        <v>113</v>
      </c>
      <c r="G15" s="65">
        <v>11216</v>
      </c>
      <c r="H15" s="65">
        <v>47661</v>
      </c>
      <c r="I15" s="65">
        <v>20180</v>
      </c>
      <c r="J15" s="65" t="s">
        <v>57</v>
      </c>
    </row>
    <row r="16" spans="1:10" s="22" customFormat="1" x14ac:dyDescent="0.25">
      <c r="A16" s="21" t="s">
        <v>89</v>
      </c>
      <c r="B16" s="70" t="s">
        <v>49</v>
      </c>
      <c r="C16" s="70" t="s">
        <v>49</v>
      </c>
      <c r="D16" s="65">
        <v>123340</v>
      </c>
      <c r="E16" s="65">
        <v>1841</v>
      </c>
      <c r="F16" s="65">
        <v>460</v>
      </c>
      <c r="G16" s="65">
        <v>7974</v>
      </c>
      <c r="H16" s="65">
        <v>52950</v>
      </c>
      <c r="I16" s="65">
        <v>26246</v>
      </c>
      <c r="J16" s="65" t="s">
        <v>57</v>
      </c>
    </row>
    <row r="17" spans="1:10" s="22" customFormat="1" x14ac:dyDescent="0.25">
      <c r="A17" s="21" t="s">
        <v>56</v>
      </c>
      <c r="B17" s="65">
        <f>+SUM(D17:I17)</f>
        <v>627545</v>
      </c>
      <c r="C17" s="65" t="s">
        <v>49</v>
      </c>
      <c r="D17" s="65">
        <v>369432</v>
      </c>
      <c r="E17" s="65">
        <v>5523</v>
      </c>
      <c r="F17" s="65">
        <v>1380</v>
      </c>
      <c r="G17" s="65">
        <v>23922</v>
      </c>
      <c r="H17" s="65">
        <v>148550</v>
      </c>
      <c r="I17" s="65">
        <v>78738</v>
      </c>
      <c r="J17" s="65" t="s">
        <v>57</v>
      </c>
    </row>
    <row r="18" spans="1:10" s="22" customFormat="1" x14ac:dyDescent="0.25">
      <c r="A18" s="21" t="s">
        <v>90</v>
      </c>
      <c r="B18" s="65">
        <v>158777</v>
      </c>
      <c r="C18" s="65">
        <v>125657</v>
      </c>
      <c r="D18" s="65">
        <v>157817</v>
      </c>
      <c r="E18" s="65">
        <v>479</v>
      </c>
      <c r="F18" s="65">
        <v>67</v>
      </c>
      <c r="G18" s="65">
        <v>9102</v>
      </c>
      <c r="H18" s="65">
        <v>32175</v>
      </c>
      <c r="I18" s="65">
        <v>21854</v>
      </c>
      <c r="J18" s="65" t="s">
        <v>57</v>
      </c>
    </row>
    <row r="19" spans="1:10" s="22" customFormat="1" x14ac:dyDescent="0.25">
      <c r="A19" s="21" t="s">
        <v>56</v>
      </c>
      <c r="B19" s="65">
        <f>+SUM(D19:I19)</f>
        <v>560732</v>
      </c>
      <c r="C19" s="65" t="s">
        <v>49</v>
      </c>
      <c r="D19" s="65">
        <v>440919</v>
      </c>
      <c r="E19" s="65">
        <v>479</v>
      </c>
      <c r="F19" s="65">
        <v>71</v>
      </c>
      <c r="G19" s="65">
        <v>16763</v>
      </c>
      <c r="H19" s="65">
        <v>49054</v>
      </c>
      <c r="I19" s="65">
        <v>53446</v>
      </c>
      <c r="J19" s="65" t="s">
        <v>57</v>
      </c>
    </row>
    <row r="20" spans="1:10" s="22" customFormat="1" x14ac:dyDescent="0.25">
      <c r="A20" s="21" t="s">
        <v>91</v>
      </c>
      <c r="B20" s="65" t="s">
        <v>49</v>
      </c>
      <c r="C20" s="65" t="s">
        <v>49</v>
      </c>
      <c r="D20" s="65">
        <v>137587</v>
      </c>
      <c r="E20" s="65">
        <v>1842</v>
      </c>
      <c r="F20" s="65">
        <v>461</v>
      </c>
      <c r="G20" s="65">
        <v>7975</v>
      </c>
      <c r="H20" s="65">
        <v>74017</v>
      </c>
      <c r="I20" s="65">
        <v>26246</v>
      </c>
      <c r="J20" s="65" t="s">
        <v>57</v>
      </c>
    </row>
    <row r="21" spans="1:10" s="22" customFormat="1" x14ac:dyDescent="0.25">
      <c r="B21" s="94"/>
      <c r="C21" s="94" t="s">
        <v>47</v>
      </c>
      <c r="D21" s="94"/>
      <c r="E21" s="94"/>
      <c r="F21" s="94"/>
      <c r="G21" s="94"/>
      <c r="H21" s="94"/>
      <c r="I21" s="94"/>
      <c r="J21" s="94"/>
    </row>
    <row r="22" spans="1:10" s="22" customFormat="1" x14ac:dyDescent="0.25">
      <c r="A22" s="44" t="s">
        <v>3</v>
      </c>
      <c r="B22" s="94"/>
      <c r="C22" s="94"/>
      <c r="D22" s="94"/>
      <c r="E22" s="94"/>
      <c r="F22" s="94"/>
      <c r="G22" s="94"/>
      <c r="H22" s="94"/>
      <c r="I22" s="94"/>
      <c r="J22" s="94"/>
    </row>
    <row r="23" spans="1:10" s="22" customFormat="1" x14ac:dyDescent="0.25">
      <c r="A23" s="21" t="s">
        <v>55</v>
      </c>
      <c r="B23" s="65">
        <f>C23+E23+F23+H23+G23+I23+J23</f>
        <v>25873612978.310001</v>
      </c>
      <c r="C23" s="125">
        <v>12011820000</v>
      </c>
      <c r="D23" s="125"/>
      <c r="E23" s="65">
        <v>190815500</v>
      </c>
      <c r="F23" s="65">
        <v>40460000</v>
      </c>
      <c r="G23" s="65">
        <v>1066617000</v>
      </c>
      <c r="H23" s="65">
        <v>6061003666</v>
      </c>
      <c r="I23" s="65">
        <v>6365413109.000001</v>
      </c>
      <c r="J23" s="65">
        <v>137483703.31</v>
      </c>
    </row>
    <row r="24" spans="1:10" s="22" customFormat="1" x14ac:dyDescent="0.25">
      <c r="A24" s="21" t="s">
        <v>89</v>
      </c>
      <c r="B24" s="65">
        <f>C24+E24+F24+H24+G24+I24</f>
        <v>35151840000</v>
      </c>
      <c r="C24" s="125">
        <v>12930120000</v>
      </c>
      <c r="D24" s="125"/>
      <c r="E24" s="65">
        <v>430794000</v>
      </c>
      <c r="F24" s="65">
        <v>430560000</v>
      </c>
      <c r="G24" s="65">
        <v>1794150000</v>
      </c>
      <c r="H24" s="65">
        <v>11141250000</v>
      </c>
      <c r="I24" s="65">
        <v>8424966000</v>
      </c>
      <c r="J24" s="65" t="s">
        <v>57</v>
      </c>
    </row>
    <row r="25" spans="1:10" s="22" customFormat="1" x14ac:dyDescent="0.25">
      <c r="A25" s="21" t="s">
        <v>90</v>
      </c>
      <c r="B25" s="65">
        <f>C25+E25+F25+H25+G25+I25+J25</f>
        <v>25445275852.169998</v>
      </c>
      <c r="C25" s="125">
        <v>12180800000</v>
      </c>
      <c r="D25" s="125"/>
      <c r="E25" s="65">
        <v>55386000</v>
      </c>
      <c r="F25" s="65">
        <v>25568000</v>
      </c>
      <c r="G25" s="65">
        <v>1356268530</v>
      </c>
      <c r="H25" s="65">
        <v>4053756427</v>
      </c>
      <c r="I25" s="65">
        <v>7625677531</v>
      </c>
      <c r="J25" s="65">
        <v>147819364.16999999</v>
      </c>
    </row>
    <row r="26" spans="1:10" s="22" customFormat="1" x14ac:dyDescent="0.25">
      <c r="A26" s="21" t="s">
        <v>91</v>
      </c>
      <c r="B26" s="65">
        <f>C26+E26+F26+H26+G26+I26</f>
        <v>136654745000</v>
      </c>
      <c r="C26" s="125">
        <v>49999985000</v>
      </c>
      <c r="D26" s="125"/>
      <c r="E26" s="72">
        <v>1579656000</v>
      </c>
      <c r="F26" s="72">
        <v>1579656000</v>
      </c>
      <c r="G26" s="65">
        <v>7177200000</v>
      </c>
      <c r="H26" s="65">
        <v>51043350000</v>
      </c>
      <c r="I26" s="65">
        <v>25274898000</v>
      </c>
      <c r="J26" s="65" t="s">
        <v>57</v>
      </c>
    </row>
    <row r="27" spans="1:10" s="22" customFormat="1" x14ac:dyDescent="0.25">
      <c r="A27" s="21" t="s">
        <v>92</v>
      </c>
      <c r="B27" s="65">
        <f t="shared" ref="B27" si="0">C27+E27+F27+H27+G27+I27+J27</f>
        <v>25445275852.169998</v>
      </c>
      <c r="C27" s="125">
        <f>C25</f>
        <v>12180800000</v>
      </c>
      <c r="D27" s="125"/>
      <c r="E27" s="65">
        <f>E25</f>
        <v>55386000</v>
      </c>
      <c r="F27" s="65">
        <f t="shared" ref="F27:J27" si="1">F25</f>
        <v>25568000</v>
      </c>
      <c r="G27" s="65">
        <f t="shared" si="1"/>
        <v>1356268530</v>
      </c>
      <c r="H27" s="65">
        <f t="shared" si="1"/>
        <v>4053756427</v>
      </c>
      <c r="I27" s="65">
        <f t="shared" si="1"/>
        <v>7625677531</v>
      </c>
      <c r="J27" s="65">
        <f t="shared" si="1"/>
        <v>147819364.16999999</v>
      </c>
    </row>
    <row r="28" spans="1:10" s="22" customFormat="1" x14ac:dyDescent="0.25">
      <c r="B28" s="94"/>
      <c r="C28" s="94"/>
      <c r="D28" s="94"/>
      <c r="E28" s="94"/>
      <c r="F28" s="94"/>
      <c r="G28" s="94"/>
      <c r="H28" s="94"/>
      <c r="I28" s="94"/>
      <c r="J28" s="94"/>
    </row>
    <row r="29" spans="1:10" s="22" customFormat="1" x14ac:dyDescent="0.25">
      <c r="A29" s="44" t="s">
        <v>4</v>
      </c>
      <c r="B29" s="94"/>
      <c r="C29" s="94"/>
      <c r="D29" s="94"/>
      <c r="E29" s="94"/>
      <c r="F29" s="94"/>
      <c r="G29" s="94"/>
      <c r="H29" s="94"/>
      <c r="I29" s="94"/>
      <c r="J29" s="94"/>
    </row>
    <row r="30" spans="1:10" s="22" customFormat="1" x14ac:dyDescent="0.25">
      <c r="A30" s="21" t="s">
        <v>89</v>
      </c>
      <c r="B30" s="65">
        <f>B24</f>
        <v>35151840000</v>
      </c>
      <c r="C30" s="65"/>
      <c r="D30" s="65"/>
      <c r="E30" s="65"/>
      <c r="F30" s="65"/>
      <c r="G30" s="65"/>
      <c r="H30" s="65"/>
      <c r="I30" s="65"/>
      <c r="J30" s="65"/>
    </row>
    <row r="31" spans="1:10" s="22" customFormat="1" x14ac:dyDescent="0.25">
      <c r="A31" s="21" t="s">
        <v>90</v>
      </c>
      <c r="B31" s="65">
        <v>34540671039.889999</v>
      </c>
      <c r="C31" s="65"/>
      <c r="D31" s="65"/>
      <c r="E31" s="65"/>
      <c r="F31" s="65"/>
      <c r="G31" s="65"/>
      <c r="H31" s="65"/>
      <c r="I31" s="65"/>
      <c r="J31" s="65"/>
    </row>
    <row r="32" spans="1:10" s="22" customFormat="1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1:10" s="22" customFormat="1" x14ac:dyDescent="0.25">
      <c r="A33" s="17" t="s">
        <v>5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s="22" customFormat="1" x14ac:dyDescent="0.25">
      <c r="A34" s="21" t="s">
        <v>62</v>
      </c>
      <c r="B34" s="90">
        <v>1.0304675706999999</v>
      </c>
      <c r="C34" s="90">
        <v>1.0304675706999999</v>
      </c>
      <c r="D34" s="90">
        <v>1.0304675706999999</v>
      </c>
      <c r="E34" s="90">
        <v>1.0304675706999999</v>
      </c>
      <c r="F34" s="90">
        <v>1.0304675706999999</v>
      </c>
      <c r="G34" s="90">
        <v>1.0304675706999999</v>
      </c>
      <c r="H34" s="90">
        <v>1.0304675706999999</v>
      </c>
      <c r="I34" s="90">
        <v>1.0304675706999999</v>
      </c>
      <c r="J34" s="90">
        <v>1.0304675706999999</v>
      </c>
    </row>
    <row r="35" spans="1:10" s="22" customFormat="1" x14ac:dyDescent="0.25">
      <c r="A35" s="21" t="s">
        <v>93</v>
      </c>
      <c r="B35" s="90">
        <v>1.0451016243</v>
      </c>
      <c r="C35" s="90">
        <v>1.0451016243</v>
      </c>
      <c r="D35" s="90">
        <v>1.0451016243</v>
      </c>
      <c r="E35" s="90">
        <v>1.0451016243</v>
      </c>
      <c r="F35" s="90">
        <v>1.0451016243</v>
      </c>
      <c r="G35" s="90">
        <v>1.0451016243</v>
      </c>
      <c r="H35" s="90">
        <v>1.0451016243</v>
      </c>
      <c r="I35" s="90">
        <v>1.0451016243</v>
      </c>
      <c r="J35" s="90">
        <v>1.0451016243</v>
      </c>
    </row>
    <row r="36" spans="1:10" s="22" customFormat="1" x14ac:dyDescent="0.25">
      <c r="A36" s="21" t="s">
        <v>6</v>
      </c>
      <c r="B36" s="66">
        <v>376622</v>
      </c>
      <c r="C36" s="126">
        <v>147739</v>
      </c>
      <c r="D36" s="126"/>
      <c r="E36" s="66">
        <v>142525</v>
      </c>
      <c r="F36" s="66" t="s">
        <v>57</v>
      </c>
      <c r="G36" s="66">
        <v>85872</v>
      </c>
      <c r="H36" s="66" t="s">
        <v>57</v>
      </c>
      <c r="I36" s="66" t="s">
        <v>57</v>
      </c>
      <c r="J36" s="66" t="s">
        <v>57</v>
      </c>
    </row>
    <row r="37" spans="1:10" x14ac:dyDescent="0.25">
      <c r="A37" s="22"/>
      <c r="B37" s="16"/>
      <c r="C37" s="16"/>
      <c r="D37" s="16"/>
      <c r="E37" s="16"/>
      <c r="F37" s="45"/>
      <c r="G37" s="45"/>
      <c r="H37" s="45"/>
      <c r="I37" s="45"/>
      <c r="J37" s="45"/>
    </row>
    <row r="38" spans="1:10" s="22" customFormat="1" x14ac:dyDescent="0.25">
      <c r="A38" s="17" t="s">
        <v>7</v>
      </c>
      <c r="B38" s="16"/>
      <c r="C38" s="16"/>
      <c r="D38" s="16"/>
      <c r="E38" s="16"/>
      <c r="F38" s="16"/>
      <c r="G38" s="16"/>
      <c r="H38" s="16"/>
      <c r="I38" s="16"/>
      <c r="J38" s="16"/>
    </row>
    <row r="39" spans="1:10" s="22" customFormat="1" x14ac:dyDescent="0.25">
      <c r="A39" s="22" t="s">
        <v>74</v>
      </c>
      <c r="B39" s="74">
        <f>B23/B34</f>
        <v>25108614491.122677</v>
      </c>
      <c r="C39" s="127">
        <f>C23/C34</f>
        <v>11656669594.988159</v>
      </c>
      <c r="D39" s="127"/>
      <c r="E39" s="74">
        <f>E23/E34</f>
        <v>185173706.99048629</v>
      </c>
      <c r="F39" s="74">
        <f t="shared" ref="F39:J39" si="2">F23/F34</f>
        <v>39263729.544167399</v>
      </c>
      <c r="G39" s="74">
        <f t="shared" si="2"/>
        <v>1035080608.3838656</v>
      </c>
      <c r="H39" s="74">
        <f t="shared" si="2"/>
        <v>5881799523.1841602</v>
      </c>
      <c r="I39" s="74">
        <f t="shared" si="2"/>
        <v>6177208570.1600056</v>
      </c>
      <c r="J39" s="74">
        <f t="shared" si="2"/>
        <v>133418757.87183373</v>
      </c>
    </row>
    <row r="40" spans="1:10" s="22" customFormat="1" x14ac:dyDescent="0.25">
      <c r="A40" s="22" t="s">
        <v>94</v>
      </c>
      <c r="B40" s="74">
        <f>B25/B35</f>
        <v>24347178552.337456</v>
      </c>
      <c r="C40" s="127">
        <f>C25/C35</f>
        <v>11655134502.50218</v>
      </c>
      <c r="D40" s="127"/>
      <c r="E40" s="74">
        <f>E25/E35</f>
        <v>52995803.194830038</v>
      </c>
      <c r="F40" s="74">
        <f t="shared" ref="F40:J40" si="3">F25/F35</f>
        <v>24464606.50860171</v>
      </c>
      <c r="G40" s="74">
        <f t="shared" si="3"/>
        <v>1297738419.3699028</v>
      </c>
      <c r="H40" s="74">
        <f t="shared" si="3"/>
        <v>3878815545.5362258</v>
      </c>
      <c r="I40" s="74">
        <f t="shared" si="3"/>
        <v>7296589493.0147228</v>
      </c>
      <c r="J40" s="74">
        <f t="shared" si="3"/>
        <v>141440182.21099609</v>
      </c>
    </row>
    <row r="41" spans="1:10" s="22" customFormat="1" x14ac:dyDescent="0.25">
      <c r="A41" s="22" t="s">
        <v>75</v>
      </c>
      <c r="B41" s="74">
        <f>B39/B15</f>
        <v>155616.79645441048</v>
      </c>
      <c r="C41" s="127">
        <f>C39/D15</f>
        <v>80186.763305712768</v>
      </c>
      <c r="D41" s="127"/>
      <c r="E41" s="74">
        <f>E39/E15</f>
        <v>134378.59723547628</v>
      </c>
      <c r="F41" s="74">
        <f t="shared" ref="F41:I41" si="4">F39/F15</f>
        <v>347466.6331342248</v>
      </c>
      <c r="G41" s="74">
        <f t="shared" si="4"/>
        <v>92286.074213968051</v>
      </c>
      <c r="H41" s="74">
        <f t="shared" si="4"/>
        <v>123409.06659919348</v>
      </c>
      <c r="I41" s="74">
        <f t="shared" si="4"/>
        <v>306105.4791952431</v>
      </c>
      <c r="J41" s="66" t="s">
        <v>57</v>
      </c>
    </row>
    <row r="42" spans="1:10" s="22" customFormat="1" x14ac:dyDescent="0.25">
      <c r="A42" s="22" t="s">
        <v>95</v>
      </c>
      <c r="B42" s="74">
        <f>B40/B18</f>
        <v>153341.97366329792</v>
      </c>
      <c r="C42" s="127">
        <f>C40/D18</f>
        <v>73852.211754767734</v>
      </c>
      <c r="D42" s="127"/>
      <c r="E42" s="74">
        <f>E40/E18</f>
        <v>110638.42003096041</v>
      </c>
      <c r="F42" s="74">
        <f t="shared" ref="F42:I42" si="5">F40/F18</f>
        <v>365143.38072539866</v>
      </c>
      <c r="G42" s="74">
        <f t="shared" si="5"/>
        <v>142577.28184683618</v>
      </c>
      <c r="H42" s="74">
        <f t="shared" si="5"/>
        <v>120553.70770897361</v>
      </c>
      <c r="I42" s="74">
        <f t="shared" si="5"/>
        <v>333878.90056807554</v>
      </c>
      <c r="J42" s="66" t="s">
        <v>57</v>
      </c>
    </row>
    <row r="43" spans="1:10" s="22" customFormat="1" x14ac:dyDescent="0.25">
      <c r="B43" s="73"/>
      <c r="C43" s="73"/>
      <c r="D43" s="73"/>
      <c r="E43" s="73"/>
      <c r="F43" s="73"/>
      <c r="G43" s="73"/>
      <c r="H43" s="73"/>
      <c r="I43" s="73"/>
      <c r="J43" s="73"/>
    </row>
    <row r="44" spans="1:10" s="22" customFormat="1" x14ac:dyDescent="0.25">
      <c r="A44" s="17" t="s">
        <v>8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10" s="22" customFormat="1" x14ac:dyDescent="0.25">
      <c r="B45" s="73"/>
      <c r="C45" s="73"/>
      <c r="D45" s="73"/>
      <c r="E45" s="73"/>
      <c r="F45" s="73"/>
      <c r="G45" s="73"/>
      <c r="H45" s="73"/>
      <c r="I45" s="73"/>
      <c r="J45" s="73"/>
    </row>
    <row r="46" spans="1:10" s="22" customFormat="1" x14ac:dyDescent="0.25">
      <c r="A46" s="17" t="s">
        <v>9</v>
      </c>
      <c r="B46" s="73"/>
      <c r="C46" s="73"/>
      <c r="D46" s="73"/>
      <c r="E46" s="73"/>
      <c r="F46" s="73"/>
      <c r="G46" s="73"/>
      <c r="H46" s="73"/>
      <c r="I46" s="73"/>
      <c r="J46" s="73"/>
    </row>
    <row r="47" spans="1:10" s="22" customFormat="1" x14ac:dyDescent="0.25">
      <c r="A47" s="22" t="s">
        <v>10</v>
      </c>
      <c r="B47" s="95" t="s">
        <v>57</v>
      </c>
      <c r="C47" s="120">
        <f>(D16/C36)*100</f>
        <v>83.485064877926618</v>
      </c>
      <c r="D47" s="120"/>
      <c r="E47" s="96">
        <f>(E16/E36)*100</f>
        <v>1.2917032099631642</v>
      </c>
      <c r="F47" s="96" t="s">
        <v>48</v>
      </c>
      <c r="G47" s="96">
        <f t="shared" ref="G47" si="6">G16/G36*100</f>
        <v>9.2859139183901629</v>
      </c>
      <c r="H47" s="95" t="s">
        <v>57</v>
      </c>
      <c r="I47" s="95" t="s">
        <v>57</v>
      </c>
      <c r="J47" s="95" t="s">
        <v>57</v>
      </c>
    </row>
    <row r="48" spans="1:10" s="22" customFormat="1" x14ac:dyDescent="0.25">
      <c r="A48" s="22" t="s">
        <v>11</v>
      </c>
      <c r="B48" s="96">
        <f>(B18/B36)*100</f>
        <v>42.15818512991806</v>
      </c>
      <c r="C48" s="120">
        <f>(D18/C36)*100</f>
        <v>106.82148924793047</v>
      </c>
      <c r="D48" s="120"/>
      <c r="E48" s="96">
        <f>(E18/E36)*100</f>
        <v>0.33608138922995967</v>
      </c>
      <c r="F48" s="96" t="s">
        <v>48</v>
      </c>
      <c r="G48" s="96">
        <f>(G18/G36)*100</f>
        <v>10.599496925656791</v>
      </c>
      <c r="H48" s="95" t="s">
        <v>57</v>
      </c>
      <c r="I48" s="95" t="s">
        <v>57</v>
      </c>
      <c r="J48" s="95" t="s">
        <v>57</v>
      </c>
    </row>
    <row r="49" spans="1:10" s="22" customFormat="1" x14ac:dyDescent="0.25"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2" customFormat="1" x14ac:dyDescent="0.25">
      <c r="A50" s="17" t="s">
        <v>12</v>
      </c>
      <c r="B50" s="96"/>
      <c r="C50" s="96"/>
      <c r="D50" s="96"/>
      <c r="E50" s="96"/>
      <c r="F50" s="96"/>
      <c r="G50" s="96"/>
      <c r="H50" s="96"/>
      <c r="I50" s="96"/>
      <c r="J50" s="96"/>
    </row>
    <row r="51" spans="1:10" s="22" customFormat="1" x14ac:dyDescent="0.25">
      <c r="A51" s="22" t="s">
        <v>13</v>
      </c>
      <c r="B51" s="95" t="s">
        <v>57</v>
      </c>
      <c r="C51" s="95" t="s">
        <v>57</v>
      </c>
      <c r="D51" s="96">
        <f>D18/D16*100</f>
        <v>127.95281336143994</v>
      </c>
      <c r="E51" s="96">
        <f>E18/E16*100</f>
        <v>26.01846822379142</v>
      </c>
      <c r="F51" s="96">
        <f t="shared" ref="F51:I51" si="7">F18/F16*100</f>
        <v>14.565217391304348</v>
      </c>
      <c r="G51" s="96">
        <f t="shared" si="7"/>
        <v>114.14597441685477</v>
      </c>
      <c r="H51" s="96">
        <f t="shared" si="7"/>
        <v>60.76487252124646</v>
      </c>
      <c r="I51" s="96">
        <f t="shared" si="7"/>
        <v>83.266021488988798</v>
      </c>
      <c r="J51" s="95" t="s">
        <v>57</v>
      </c>
    </row>
    <row r="52" spans="1:10" s="22" customFormat="1" x14ac:dyDescent="0.25">
      <c r="A52" s="22" t="s">
        <v>14</v>
      </c>
      <c r="B52" s="96">
        <f>B25/B24*100</f>
        <v>72.386753729449154</v>
      </c>
      <c r="C52" s="120">
        <f>C25/C24*100</f>
        <v>94.204848833576179</v>
      </c>
      <c r="D52" s="120"/>
      <c r="E52" s="96">
        <f>E25/E24*100</f>
        <v>12.856725024025403</v>
      </c>
      <c r="F52" s="96">
        <f t="shared" ref="F52:I52" si="8">F25/F24*100</f>
        <v>5.9383128948346338</v>
      </c>
      <c r="G52" s="96">
        <f t="shared" si="8"/>
        <v>75.593931945489516</v>
      </c>
      <c r="H52" s="96">
        <f t="shared" si="8"/>
        <v>36.385113223381573</v>
      </c>
      <c r="I52" s="96">
        <f t="shared" si="8"/>
        <v>90.512858223997583</v>
      </c>
      <c r="J52" s="95" t="s">
        <v>57</v>
      </c>
    </row>
    <row r="53" spans="1:10" s="22" customFormat="1" x14ac:dyDescent="0.25">
      <c r="A53" s="22" t="s">
        <v>15</v>
      </c>
      <c r="B53" s="95" t="s">
        <v>57</v>
      </c>
      <c r="C53" s="95" t="s">
        <v>57</v>
      </c>
      <c r="D53" s="96">
        <f>AVERAGE(D51,C52)</f>
        <v>111.07883109750806</v>
      </c>
      <c r="E53" s="96">
        <f>AVERAGE(E51:E52)</f>
        <v>19.437596623908412</v>
      </c>
      <c r="F53" s="96">
        <f t="shared" ref="F53:I53" si="9">AVERAGE(F51:F52)</f>
        <v>10.251765143069491</v>
      </c>
      <c r="G53" s="96">
        <f t="shared" si="9"/>
        <v>94.86995318117215</v>
      </c>
      <c r="H53" s="96">
        <f t="shared" si="9"/>
        <v>48.574992872314013</v>
      </c>
      <c r="I53" s="96">
        <f t="shared" si="9"/>
        <v>86.889439856493198</v>
      </c>
      <c r="J53" s="95" t="s">
        <v>57</v>
      </c>
    </row>
    <row r="54" spans="1:10" s="22" customFormat="1" x14ac:dyDescent="0.25">
      <c r="B54" s="96"/>
      <c r="C54" s="96"/>
      <c r="D54" s="96"/>
      <c r="E54" s="96"/>
      <c r="F54" s="96"/>
      <c r="G54" s="96"/>
      <c r="H54" s="96"/>
      <c r="I54" s="96"/>
      <c r="J54" s="96"/>
    </row>
    <row r="55" spans="1:10" s="22" customFormat="1" x14ac:dyDescent="0.25">
      <c r="A55" s="17" t="s">
        <v>16</v>
      </c>
      <c r="B55" s="96"/>
      <c r="C55" s="96"/>
      <c r="D55" s="96"/>
      <c r="E55" s="96"/>
      <c r="F55" s="96"/>
      <c r="G55" s="96"/>
      <c r="H55" s="96"/>
      <c r="I55" s="96"/>
      <c r="J55" s="96"/>
    </row>
    <row r="56" spans="1:10" s="22" customFormat="1" x14ac:dyDescent="0.25">
      <c r="A56" s="22" t="s">
        <v>17</v>
      </c>
      <c r="B56" s="95" t="s">
        <v>57</v>
      </c>
      <c r="C56" s="120">
        <f>D18/D20*100</f>
        <v>114.70342401535029</v>
      </c>
      <c r="D56" s="120"/>
      <c r="E56" s="96">
        <f>E18/E20*100</f>
        <v>26.004343105320306</v>
      </c>
      <c r="F56" s="96">
        <f t="shared" ref="F56:I56" si="10">F18/F20*100</f>
        <v>14.533622559652928</v>
      </c>
      <c r="G56" s="96">
        <f t="shared" si="10"/>
        <v>114.13166144200626</v>
      </c>
      <c r="H56" s="96">
        <f t="shared" si="10"/>
        <v>43.469743437318456</v>
      </c>
      <c r="I56" s="96">
        <f t="shared" si="10"/>
        <v>83.266021488988798</v>
      </c>
      <c r="J56" s="95" t="s">
        <v>57</v>
      </c>
    </row>
    <row r="57" spans="1:10" s="22" customFormat="1" x14ac:dyDescent="0.25">
      <c r="A57" s="22" t="s">
        <v>18</v>
      </c>
      <c r="B57" s="96">
        <f>B25/B26*100</f>
        <v>18.620118790730611</v>
      </c>
      <c r="C57" s="120">
        <f>C25/C26*100</f>
        <v>24.361607308482192</v>
      </c>
      <c r="D57" s="120"/>
      <c r="E57" s="96">
        <f>E25/E26*100</f>
        <v>3.5062064145611451</v>
      </c>
      <c r="F57" s="96">
        <f t="shared" ref="F57:I57" si="11">F25/F26*100</f>
        <v>1.6185802478514311</v>
      </c>
      <c r="G57" s="96">
        <f t="shared" si="11"/>
        <v>18.896903109847852</v>
      </c>
      <c r="H57" s="96">
        <f t="shared" si="11"/>
        <v>7.9417914909581766</v>
      </c>
      <c r="I57" s="96">
        <f t="shared" si="11"/>
        <v>30.170952741332531</v>
      </c>
      <c r="J57" s="95" t="s">
        <v>57</v>
      </c>
    </row>
    <row r="58" spans="1:10" s="22" customFormat="1" x14ac:dyDescent="0.25">
      <c r="A58" s="22" t="s">
        <v>19</v>
      </c>
      <c r="B58" s="95" t="s">
        <v>57</v>
      </c>
      <c r="C58" s="120">
        <f>(C56+C57)/2</f>
        <v>69.53251566191625</v>
      </c>
      <c r="D58" s="120"/>
      <c r="E58" s="96">
        <f>(E56+E57)/2</f>
        <v>14.755274759940725</v>
      </c>
      <c r="F58" s="96">
        <f t="shared" ref="F58:I58" si="12">(F56+F57)/2</f>
        <v>8.0761014037521797</v>
      </c>
      <c r="G58" s="96">
        <f t="shared" si="12"/>
        <v>66.514282275927059</v>
      </c>
      <c r="H58" s="96">
        <f t="shared" si="12"/>
        <v>25.705767464138315</v>
      </c>
      <c r="I58" s="96">
        <f t="shared" si="12"/>
        <v>56.718487115160663</v>
      </c>
      <c r="J58" s="95" t="s">
        <v>57</v>
      </c>
    </row>
    <row r="59" spans="1:10" s="22" customFormat="1" x14ac:dyDescent="0.25">
      <c r="B59" s="96"/>
      <c r="C59" s="96"/>
      <c r="D59" s="96"/>
      <c r="E59" s="96"/>
      <c r="F59" s="96"/>
      <c r="G59" s="96"/>
      <c r="H59" s="96"/>
      <c r="I59" s="96"/>
      <c r="J59" s="96"/>
    </row>
    <row r="60" spans="1:10" s="22" customFormat="1" x14ac:dyDescent="0.25">
      <c r="A60" s="17" t="s">
        <v>30</v>
      </c>
      <c r="B60" s="96"/>
      <c r="C60" s="96"/>
      <c r="D60" s="96"/>
      <c r="E60" s="96"/>
      <c r="F60" s="96"/>
      <c r="G60" s="96"/>
      <c r="H60" s="96"/>
      <c r="I60" s="96"/>
      <c r="J60" s="96"/>
    </row>
    <row r="61" spans="1:10" s="22" customFormat="1" x14ac:dyDescent="0.25">
      <c r="A61" s="22" t="s">
        <v>20</v>
      </c>
      <c r="B61" s="96">
        <f>B27/B25*100</f>
        <v>100</v>
      </c>
      <c r="C61" s="120">
        <f>C27/C25*100</f>
        <v>100</v>
      </c>
      <c r="D61" s="120"/>
      <c r="E61" s="96">
        <f>E27/E25*100</f>
        <v>100</v>
      </c>
      <c r="F61" s="96">
        <f t="shared" ref="F61:J61" si="13">F27/F25*100</f>
        <v>100</v>
      </c>
      <c r="G61" s="96">
        <f t="shared" si="13"/>
        <v>100</v>
      </c>
      <c r="H61" s="96">
        <f t="shared" si="13"/>
        <v>100</v>
      </c>
      <c r="I61" s="96">
        <f t="shared" si="13"/>
        <v>100</v>
      </c>
      <c r="J61" s="96">
        <f t="shared" si="13"/>
        <v>100</v>
      </c>
    </row>
    <row r="62" spans="1:10" s="22" customFormat="1" x14ac:dyDescent="0.25">
      <c r="B62" s="96"/>
      <c r="C62" s="96"/>
      <c r="D62" s="96"/>
      <c r="E62" s="96"/>
      <c r="F62" s="96"/>
      <c r="G62" s="96"/>
      <c r="H62" s="96"/>
      <c r="I62" s="96"/>
      <c r="J62" s="96"/>
    </row>
    <row r="63" spans="1:10" s="22" customFormat="1" x14ac:dyDescent="0.25">
      <c r="A63" s="17" t="s">
        <v>21</v>
      </c>
      <c r="B63" s="96"/>
      <c r="C63" s="96"/>
      <c r="D63" s="96"/>
      <c r="E63" s="96"/>
      <c r="F63" s="96"/>
      <c r="G63" s="96"/>
      <c r="H63" s="96"/>
      <c r="I63" s="96"/>
      <c r="J63" s="96"/>
    </row>
    <row r="64" spans="1:10" s="22" customFormat="1" x14ac:dyDescent="0.25">
      <c r="A64" s="22" t="s">
        <v>22</v>
      </c>
      <c r="B64" s="97">
        <f>((B18/B15)-1)*100</f>
        <v>-1.5940600809425498</v>
      </c>
      <c r="C64" s="119">
        <f>((D18/D15)-1)*100</f>
        <v>8.5630361356272555</v>
      </c>
      <c r="D64" s="119"/>
      <c r="E64" s="97">
        <f>((E18/E15)-1)*100</f>
        <v>-65.239477503628436</v>
      </c>
      <c r="F64" s="97">
        <f t="shared" ref="F64:I64" si="14">((F18/F15)-1)*100</f>
        <v>-40.707964601769909</v>
      </c>
      <c r="G64" s="97">
        <f t="shared" si="14"/>
        <v>-18.848074179743225</v>
      </c>
      <c r="H64" s="97">
        <f t="shared" si="14"/>
        <v>-32.491974570403471</v>
      </c>
      <c r="I64" s="97">
        <f t="shared" si="14"/>
        <v>8.2953419226957426</v>
      </c>
      <c r="J64" s="95" t="s">
        <v>57</v>
      </c>
    </row>
    <row r="65" spans="1:10" s="22" customFormat="1" x14ac:dyDescent="0.25">
      <c r="A65" s="22" t="s">
        <v>23</v>
      </c>
      <c r="B65" s="97">
        <f>((B40/B39)-1)*100</f>
        <v>-3.0325685196785024</v>
      </c>
      <c r="C65" s="119">
        <f>((C40/C39)-1)*100</f>
        <v>-1.3169220191666664E-2</v>
      </c>
      <c r="D65" s="119"/>
      <c r="E65" s="97">
        <f>((E40/E39)-1)*100</f>
        <v>-71.380492373275857</v>
      </c>
      <c r="F65" s="97">
        <f t="shared" ref="F65:J65" si="15">((F40/F39)-1)*100</f>
        <v>-37.691587649406287</v>
      </c>
      <c r="G65" s="97">
        <f t="shared" si="15"/>
        <v>25.375589964547874</v>
      </c>
      <c r="H65" s="97">
        <f t="shared" si="15"/>
        <v>-34.053931449938347</v>
      </c>
      <c r="I65" s="97">
        <f t="shared" si="15"/>
        <v>18.121145014627892</v>
      </c>
      <c r="J65" s="97">
        <f t="shared" si="15"/>
        <v>6.0122163233358838</v>
      </c>
    </row>
    <row r="66" spans="1:10" s="22" customFormat="1" x14ac:dyDescent="0.25">
      <c r="A66" s="22" t="s">
        <v>24</v>
      </c>
      <c r="B66" s="97">
        <f>((B42/B41)-1)*100</f>
        <v>-1.4618105776126766</v>
      </c>
      <c r="C66" s="119">
        <f>((C42/C41)-1)*100</f>
        <v>-7.8997471525250385</v>
      </c>
      <c r="D66" s="119"/>
      <c r="E66" s="97">
        <f>((E42/E41)-1)*100</f>
        <v>-17.666635679277952</v>
      </c>
      <c r="F66" s="97">
        <f t="shared" ref="F66:I66" si="16">((F42/F41)-1)*100</f>
        <v>5.0873223226431064</v>
      </c>
      <c r="G66" s="97">
        <f t="shared" si="16"/>
        <v>54.494904091668751</v>
      </c>
      <c r="H66" s="97">
        <f t="shared" si="16"/>
        <v>-2.3137350997827988</v>
      </c>
      <c r="I66" s="97">
        <f t="shared" si="16"/>
        <v>9.0731539487137738</v>
      </c>
      <c r="J66" s="95" t="s">
        <v>57</v>
      </c>
    </row>
    <row r="67" spans="1:10" s="22" customFormat="1" x14ac:dyDescent="0.25">
      <c r="B67" s="96"/>
      <c r="C67" s="96"/>
      <c r="D67" s="96"/>
      <c r="E67" s="96"/>
      <c r="F67" s="96"/>
      <c r="G67" s="96"/>
      <c r="H67" s="96"/>
      <c r="I67" s="96"/>
      <c r="J67" s="96"/>
    </row>
    <row r="68" spans="1:10" s="22" customFormat="1" x14ac:dyDescent="0.25">
      <c r="A68" s="17" t="s">
        <v>25</v>
      </c>
      <c r="B68" s="96"/>
      <c r="C68" s="96"/>
      <c r="D68" s="96"/>
      <c r="E68" s="96"/>
      <c r="F68" s="96"/>
      <c r="G68" s="96"/>
      <c r="H68" s="96"/>
      <c r="I68" s="96"/>
      <c r="J68" s="96"/>
    </row>
    <row r="69" spans="1:10" s="22" customFormat="1" x14ac:dyDescent="0.25">
      <c r="A69" s="22" t="s">
        <v>31</v>
      </c>
      <c r="B69" s="96">
        <f>(B24/B17)*3</f>
        <v>168044.55457377559</v>
      </c>
      <c r="C69" s="119">
        <f>(C24/D17)*3</f>
        <v>105000</v>
      </c>
      <c r="D69" s="119"/>
      <c r="E69" s="96">
        <f>(E24/E17)*3</f>
        <v>234000</v>
      </c>
      <c r="F69" s="96">
        <f t="shared" ref="F69:I69" si="17">(F24/F17)*3</f>
        <v>936000</v>
      </c>
      <c r="G69" s="96">
        <f t="shared" si="17"/>
        <v>225000</v>
      </c>
      <c r="H69" s="96">
        <f t="shared" si="17"/>
        <v>225000</v>
      </c>
      <c r="I69" s="96">
        <f t="shared" si="17"/>
        <v>321000</v>
      </c>
      <c r="J69" s="95" t="s">
        <v>57</v>
      </c>
    </row>
    <row r="70" spans="1:10" s="22" customFormat="1" x14ac:dyDescent="0.25">
      <c r="A70" s="22" t="s">
        <v>32</v>
      </c>
      <c r="B70" s="96">
        <f>(B25/B19)*3</f>
        <v>136136.02854217344</v>
      </c>
      <c r="C70" s="119">
        <f>(C25/D19)*3</f>
        <v>82877.807488450257</v>
      </c>
      <c r="D70" s="119"/>
      <c r="E70" s="96">
        <f>(E25/E19)*3</f>
        <v>346885.17745302711</v>
      </c>
      <c r="F70" s="96">
        <f t="shared" ref="F70:I70" si="18">(F25/F19)*3</f>
        <v>1080338.028169014</v>
      </c>
      <c r="G70" s="96">
        <f t="shared" si="18"/>
        <v>242725.38268806302</v>
      </c>
      <c r="H70" s="96">
        <f t="shared" si="18"/>
        <v>247915.95549802258</v>
      </c>
      <c r="I70" s="96">
        <f t="shared" si="18"/>
        <v>428040.12635183171</v>
      </c>
      <c r="J70" s="95" t="s">
        <v>57</v>
      </c>
    </row>
    <row r="71" spans="1:10" s="22" customFormat="1" x14ac:dyDescent="0.25">
      <c r="A71" s="22" t="s">
        <v>26</v>
      </c>
      <c r="B71" s="95" t="s">
        <v>57</v>
      </c>
      <c r="C71" s="120">
        <f>(C70/C69)*D53</f>
        <v>87.675904568965279</v>
      </c>
      <c r="D71" s="120"/>
      <c r="E71" s="96">
        <f>(E70/E69)*E53</f>
        <v>28.814590402328335</v>
      </c>
      <c r="F71" s="96">
        <f t="shared" ref="F71:I71" si="19">(F70/F69)*F53</f>
        <v>11.832662115294363</v>
      </c>
      <c r="G71" s="96">
        <f t="shared" si="19"/>
        <v>102.3437586288828</v>
      </c>
      <c r="H71" s="96">
        <f t="shared" si="19"/>
        <v>53.522292316663844</v>
      </c>
      <c r="I71" s="96">
        <f t="shared" si="19"/>
        <v>115.86344802122503</v>
      </c>
      <c r="J71" s="95" t="s">
        <v>57</v>
      </c>
    </row>
    <row r="72" spans="1:10" s="22" customFormat="1" x14ac:dyDescent="0.25">
      <c r="A72" s="22" t="s">
        <v>33</v>
      </c>
      <c r="B72" s="96">
        <f>B24/B17</f>
        <v>56014.851524591861</v>
      </c>
      <c r="C72" s="120">
        <f>C24/D17</f>
        <v>35000</v>
      </c>
      <c r="D72" s="120"/>
      <c r="E72" s="96">
        <f>E24/E17</f>
        <v>78000</v>
      </c>
      <c r="F72" s="96">
        <f>F24/F17</f>
        <v>312000</v>
      </c>
      <c r="G72" s="96">
        <f t="shared" ref="G72:I72" si="20">G24/G17</f>
        <v>75000</v>
      </c>
      <c r="H72" s="96">
        <f t="shared" si="20"/>
        <v>75000</v>
      </c>
      <c r="I72" s="96">
        <f t="shared" si="20"/>
        <v>107000</v>
      </c>
      <c r="J72" s="95" t="s">
        <v>57</v>
      </c>
    </row>
    <row r="73" spans="1:10" s="22" customFormat="1" x14ac:dyDescent="0.25">
      <c r="A73" s="22" t="s">
        <v>34</v>
      </c>
      <c r="B73" s="96">
        <f>B25/B19</f>
        <v>45378.676180724477</v>
      </c>
      <c r="C73" s="120">
        <f>C25/D19</f>
        <v>27625.93582948342</v>
      </c>
      <c r="D73" s="120"/>
      <c r="E73" s="96">
        <f>E25/E19</f>
        <v>115628.39248434237</v>
      </c>
      <c r="F73" s="96">
        <f>F25/F19</f>
        <v>360112.67605633801</v>
      </c>
      <c r="G73" s="96">
        <f t="shared" ref="G73:I73" si="21">G25/G19</f>
        <v>80908.460896021003</v>
      </c>
      <c r="H73" s="96">
        <f t="shared" si="21"/>
        <v>82638.651832674193</v>
      </c>
      <c r="I73" s="96">
        <f t="shared" si="21"/>
        <v>142680.04211727725</v>
      </c>
      <c r="J73" s="95" t="s">
        <v>57</v>
      </c>
    </row>
    <row r="74" spans="1:10" s="22" customFormat="1" x14ac:dyDescent="0.25">
      <c r="B74" s="96"/>
      <c r="C74" s="96"/>
      <c r="D74" s="96"/>
      <c r="E74" s="96"/>
      <c r="F74" s="96"/>
      <c r="G74" s="96"/>
      <c r="H74" s="96"/>
      <c r="I74" s="96"/>
      <c r="J74" s="96"/>
    </row>
    <row r="75" spans="1:10" s="22" customFormat="1" x14ac:dyDescent="0.25">
      <c r="A75" s="17" t="s">
        <v>27</v>
      </c>
      <c r="B75" s="96"/>
      <c r="C75" s="96"/>
      <c r="D75" s="96"/>
      <c r="E75" s="96"/>
      <c r="F75" s="96"/>
      <c r="G75" s="96"/>
      <c r="H75" s="96"/>
      <c r="I75" s="96"/>
      <c r="J75" s="96"/>
    </row>
    <row r="76" spans="1:10" s="22" customFormat="1" x14ac:dyDescent="0.25">
      <c r="A76" s="22" t="s">
        <v>28</v>
      </c>
      <c r="B76" s="96">
        <f>(B31/B30)*100</f>
        <v>98.261345750009099</v>
      </c>
      <c r="C76" s="96"/>
      <c r="D76" s="96"/>
      <c r="E76" s="96"/>
      <c r="F76" s="96"/>
      <c r="G76" s="96"/>
      <c r="H76" s="96"/>
      <c r="I76" s="96"/>
      <c r="J76" s="96"/>
    </row>
    <row r="77" spans="1:10" s="22" customFormat="1" x14ac:dyDescent="0.25">
      <c r="A77" s="22" t="s">
        <v>29</v>
      </c>
      <c r="B77" s="96">
        <f>(B25/B31)*100</f>
        <v>73.667578208842571</v>
      </c>
      <c r="C77" s="96"/>
      <c r="D77" s="96"/>
      <c r="E77" s="96"/>
      <c r="F77" s="96"/>
      <c r="G77" s="96"/>
      <c r="H77" s="96"/>
      <c r="I77" s="96"/>
      <c r="J77" s="96"/>
    </row>
    <row r="78" spans="1:10" s="22" customFormat="1" ht="15.75" thickBot="1" x14ac:dyDescent="0.3">
      <c r="A78" s="23"/>
      <c r="B78" s="37"/>
      <c r="C78" s="37"/>
      <c r="D78" s="37"/>
      <c r="E78" s="37"/>
      <c r="F78" s="37"/>
      <c r="G78" s="37"/>
      <c r="H78" s="37"/>
      <c r="I78" s="37"/>
      <c r="J78" s="37"/>
    </row>
    <row r="79" spans="1:10" s="22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1" spans="1:2" x14ac:dyDescent="0.25">
      <c r="B81" s="24"/>
    </row>
    <row r="84" spans="1:2" x14ac:dyDescent="0.25">
      <c r="A84" s="25"/>
    </row>
    <row r="89" spans="1:2" x14ac:dyDescent="0.25">
      <c r="A89" s="26"/>
    </row>
    <row r="90" spans="1:2" x14ac:dyDescent="0.25">
      <c r="A90" s="26"/>
    </row>
    <row r="163" spans="3:7" x14ac:dyDescent="0.25">
      <c r="C163" s="22"/>
      <c r="D163" s="22"/>
      <c r="E163" s="22"/>
      <c r="F163" s="22"/>
      <c r="G163" s="22"/>
    </row>
    <row r="164" spans="3:7" x14ac:dyDescent="0.25">
      <c r="C164" s="27"/>
    </row>
    <row r="165" spans="3:7" x14ac:dyDescent="0.25">
      <c r="C165" s="27"/>
    </row>
  </sheetData>
  <mergeCells count="30">
    <mergeCell ref="C48:D48"/>
    <mergeCell ref="C40:D40"/>
    <mergeCell ref="C41:D41"/>
    <mergeCell ref="C42:D42"/>
    <mergeCell ref="C47:D47"/>
    <mergeCell ref="A9:A10"/>
    <mergeCell ref="B9:B10"/>
    <mergeCell ref="C27:D27"/>
    <mergeCell ref="C36:D36"/>
    <mergeCell ref="C39:D39"/>
    <mergeCell ref="C9:J9"/>
    <mergeCell ref="C10:D10"/>
    <mergeCell ref="C24:D24"/>
    <mergeCell ref="C25:D25"/>
    <mergeCell ref="C26:D26"/>
    <mergeCell ref="C23:D23"/>
    <mergeCell ref="A79:F79"/>
    <mergeCell ref="C70:D70"/>
    <mergeCell ref="C66:D66"/>
    <mergeCell ref="C61:D61"/>
    <mergeCell ref="C52:D52"/>
    <mergeCell ref="C57:D57"/>
    <mergeCell ref="C58:D58"/>
    <mergeCell ref="C64:D64"/>
    <mergeCell ref="C65:D65"/>
    <mergeCell ref="C73:D73"/>
    <mergeCell ref="C72:D72"/>
    <mergeCell ref="C69:D69"/>
    <mergeCell ref="C56:D56"/>
    <mergeCell ref="C71:D71"/>
  </mergeCells>
  <pageMargins left="0.7" right="0.7" top="0.75" bottom="0.75" header="0.3" footer="0.3"/>
  <pageSetup orientation="portrait" r:id="rId1"/>
  <ignoredErrors>
    <ignoredError sqref="B24:B26" formula="1"/>
    <ignoredError sqref="B49:I50 J49:J50 J43:J46 J78 B54:I55 D53:I53 B52:I52 D51:I51 C47:G47 B48:G48 J54:J55 J59:J63 J67:J68 J65 J74:J77 B72:I77 C71:I71 B59:I70 C58:I58 B57:I57 C56:I56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28" customWidth="1"/>
    <col min="2" max="10" width="18.7109375" style="28" customWidth="1"/>
    <col min="11" max="16384" width="11.42578125" style="28"/>
  </cols>
  <sheetData>
    <row r="8" spans="1:10" ht="17.25" customHeight="1" x14ac:dyDescent="0.25"/>
    <row r="9" spans="1:10" s="10" customFormat="1" x14ac:dyDescent="0.25">
      <c r="A9" s="121" t="s">
        <v>0</v>
      </c>
      <c r="B9" s="123" t="s">
        <v>86</v>
      </c>
      <c r="C9" s="128" t="s">
        <v>87</v>
      </c>
      <c r="D9" s="128"/>
      <c r="E9" s="128"/>
      <c r="F9" s="128"/>
      <c r="G9" s="128"/>
      <c r="H9" s="128"/>
      <c r="I9" s="128"/>
      <c r="J9" s="128"/>
    </row>
    <row r="10" spans="1:10" s="10" customFormat="1" ht="51.75" customHeight="1" thickBot="1" x14ac:dyDescent="0.3">
      <c r="A10" s="122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88</v>
      </c>
      <c r="J10" s="42" t="s">
        <v>54</v>
      </c>
    </row>
    <row r="11" spans="1:10" ht="15.75" thickTop="1" x14ac:dyDescent="0.25"/>
    <row r="12" spans="1:10" x14ac:dyDescent="0.25">
      <c r="A12" s="17" t="s">
        <v>2</v>
      </c>
      <c r="D12" s="3"/>
      <c r="E12" s="3"/>
    </row>
    <row r="13" spans="1:10" x14ac:dyDescent="0.25">
      <c r="A13" s="10"/>
      <c r="D13" s="3"/>
      <c r="E13" s="3"/>
    </row>
    <row r="14" spans="1:10" s="59" customFormat="1" x14ac:dyDescent="0.25">
      <c r="A14" s="17" t="s">
        <v>41</v>
      </c>
      <c r="B14" s="56" t="s">
        <v>42</v>
      </c>
      <c r="C14" s="58" t="s">
        <v>42</v>
      </c>
      <c r="D14" s="58" t="s">
        <v>43</v>
      </c>
      <c r="E14" s="56" t="s">
        <v>42</v>
      </c>
      <c r="F14" s="56" t="s">
        <v>42</v>
      </c>
      <c r="G14" s="56" t="s">
        <v>42</v>
      </c>
      <c r="H14" s="56" t="s">
        <v>134</v>
      </c>
      <c r="I14" s="56" t="s">
        <v>51</v>
      </c>
      <c r="J14" s="56" t="s">
        <v>42</v>
      </c>
    </row>
    <row r="15" spans="1:10" s="54" customFormat="1" x14ac:dyDescent="0.25">
      <c r="A15" s="21" t="s">
        <v>58</v>
      </c>
      <c r="B15" s="67">
        <v>187590</v>
      </c>
      <c r="C15" s="67">
        <v>132775</v>
      </c>
      <c r="D15" s="67">
        <v>170668</v>
      </c>
      <c r="E15" s="67">
        <v>2072</v>
      </c>
      <c r="F15" s="67">
        <v>206</v>
      </c>
      <c r="G15" s="67">
        <v>13568</v>
      </c>
      <c r="H15" s="67">
        <v>68122</v>
      </c>
      <c r="I15" s="67">
        <v>19727</v>
      </c>
      <c r="J15" s="67" t="s">
        <v>48</v>
      </c>
    </row>
    <row r="16" spans="1:10" s="54" customFormat="1" x14ac:dyDescent="0.25">
      <c r="A16" s="21" t="s">
        <v>96</v>
      </c>
      <c r="B16" s="68" t="s">
        <v>49</v>
      </c>
      <c r="C16" s="68" t="s">
        <v>49</v>
      </c>
      <c r="D16" s="68">
        <v>123916</v>
      </c>
      <c r="E16" s="68">
        <v>1841</v>
      </c>
      <c r="F16" s="68">
        <v>460</v>
      </c>
      <c r="G16" s="68">
        <v>7975</v>
      </c>
      <c r="H16" s="68">
        <v>61596</v>
      </c>
      <c r="I16" s="68">
        <v>26246</v>
      </c>
      <c r="J16" s="67" t="s">
        <v>57</v>
      </c>
    </row>
    <row r="17" spans="1:10" s="54" customFormat="1" x14ac:dyDescent="0.25">
      <c r="A17" s="21" t="s">
        <v>56</v>
      </c>
      <c r="B17" s="68">
        <f>+SUM(D17:I17)</f>
        <v>654709</v>
      </c>
      <c r="C17" s="68" t="s">
        <v>49</v>
      </c>
      <c r="D17" s="68">
        <v>371263</v>
      </c>
      <c r="E17" s="68">
        <v>5523</v>
      </c>
      <c r="F17" s="68">
        <v>1380</v>
      </c>
      <c r="G17" s="68">
        <v>23924</v>
      </c>
      <c r="H17" s="68">
        <v>173881</v>
      </c>
      <c r="I17" s="68">
        <v>78738</v>
      </c>
      <c r="J17" s="67" t="s">
        <v>57</v>
      </c>
    </row>
    <row r="18" spans="1:10" s="54" customFormat="1" x14ac:dyDescent="0.25">
      <c r="A18" s="21" t="s">
        <v>97</v>
      </c>
      <c r="B18" s="67">
        <v>187093</v>
      </c>
      <c r="C18" s="67">
        <v>139071</v>
      </c>
      <c r="D18" s="67">
        <v>178334</v>
      </c>
      <c r="E18" s="67">
        <v>1271</v>
      </c>
      <c r="F18" s="67">
        <v>127</v>
      </c>
      <c r="G18" s="67">
        <v>9194</v>
      </c>
      <c r="H18" s="67">
        <v>61208</v>
      </c>
      <c r="I18" s="67">
        <v>22294</v>
      </c>
      <c r="J18" s="67" t="s">
        <v>57</v>
      </c>
    </row>
    <row r="19" spans="1:10" s="54" customFormat="1" x14ac:dyDescent="0.25">
      <c r="A19" s="21" t="s">
        <v>56</v>
      </c>
      <c r="B19" s="67">
        <f>+SUM(D19:I19)</f>
        <v>734521</v>
      </c>
      <c r="C19" s="67" t="s">
        <v>49</v>
      </c>
      <c r="D19" s="67">
        <v>492129</v>
      </c>
      <c r="E19" s="67">
        <v>3079</v>
      </c>
      <c r="F19" s="67">
        <v>294</v>
      </c>
      <c r="G19" s="67">
        <v>26830</v>
      </c>
      <c r="H19" s="67">
        <v>150179</v>
      </c>
      <c r="I19" s="67">
        <v>62010</v>
      </c>
      <c r="J19" s="67" t="s">
        <v>57</v>
      </c>
    </row>
    <row r="20" spans="1:10" s="54" customFormat="1" x14ac:dyDescent="0.25">
      <c r="A20" s="21" t="s">
        <v>91</v>
      </c>
      <c r="B20" s="68" t="s">
        <v>49</v>
      </c>
      <c r="C20" s="68" t="s">
        <v>49</v>
      </c>
      <c r="D20" s="68">
        <v>137587</v>
      </c>
      <c r="E20" s="68">
        <v>1842</v>
      </c>
      <c r="F20" s="68">
        <v>461</v>
      </c>
      <c r="G20" s="68">
        <v>7975</v>
      </c>
      <c r="H20" s="68">
        <v>74017</v>
      </c>
      <c r="I20" s="67">
        <v>26246</v>
      </c>
      <c r="J20" s="67" t="s">
        <v>57</v>
      </c>
    </row>
    <row r="21" spans="1:10" s="54" customFormat="1" x14ac:dyDescent="0.25">
      <c r="A21" s="22"/>
      <c r="B21" s="67"/>
      <c r="C21" s="67"/>
      <c r="D21" s="67"/>
      <c r="E21" s="67"/>
      <c r="F21" s="67"/>
      <c r="G21" s="67"/>
      <c r="H21" s="67"/>
      <c r="I21" s="67"/>
      <c r="J21" s="67"/>
    </row>
    <row r="22" spans="1:10" s="54" customFormat="1" x14ac:dyDescent="0.25">
      <c r="A22" s="44" t="s">
        <v>3</v>
      </c>
      <c r="B22" s="67"/>
      <c r="C22" s="67"/>
      <c r="D22" s="67"/>
      <c r="E22" s="67"/>
      <c r="F22" s="67"/>
      <c r="G22" s="67"/>
      <c r="H22" s="67"/>
      <c r="I22" s="67"/>
      <c r="J22" s="67"/>
    </row>
    <row r="23" spans="1:10" s="54" customFormat="1" x14ac:dyDescent="0.25">
      <c r="A23" s="21" t="s">
        <v>58</v>
      </c>
      <c r="B23" s="67">
        <f>C23+E23+F23+H23+G23+I23+J23</f>
        <v>33027987367.189999</v>
      </c>
      <c r="C23" s="132">
        <v>12533690000</v>
      </c>
      <c r="D23" s="132"/>
      <c r="E23" s="67">
        <v>463890000</v>
      </c>
      <c r="F23" s="67">
        <v>106828200</v>
      </c>
      <c r="G23" s="67">
        <v>2091751936</v>
      </c>
      <c r="H23" s="67">
        <v>10851206051</v>
      </c>
      <c r="I23" s="67">
        <v>6975349759.9999981</v>
      </c>
      <c r="J23" s="67">
        <v>5271420.1899999995</v>
      </c>
    </row>
    <row r="24" spans="1:10" s="54" customFormat="1" x14ac:dyDescent="0.25">
      <c r="A24" s="21" t="s">
        <v>96</v>
      </c>
      <c r="B24" s="67">
        <f>SUM(C24:I24)</f>
        <v>37115900000</v>
      </c>
      <c r="C24" s="132">
        <v>12994205000</v>
      </c>
      <c r="D24" s="132"/>
      <c r="E24" s="67">
        <v>430794000</v>
      </c>
      <c r="F24" s="67">
        <v>430560000</v>
      </c>
      <c r="G24" s="67">
        <v>1794300000</v>
      </c>
      <c r="H24" s="67">
        <v>13041075000</v>
      </c>
      <c r="I24" s="67">
        <v>8424966000</v>
      </c>
      <c r="J24" s="67" t="s">
        <v>57</v>
      </c>
    </row>
    <row r="25" spans="1:10" s="54" customFormat="1" x14ac:dyDescent="0.25">
      <c r="A25" s="21" t="s">
        <v>97</v>
      </c>
      <c r="B25" s="67">
        <f>SUM(C25:H25)+I25+J25</f>
        <v>35697353355.129997</v>
      </c>
      <c r="C25" s="132">
        <v>13803330000</v>
      </c>
      <c r="D25" s="132"/>
      <c r="E25" s="67">
        <v>277020000</v>
      </c>
      <c r="F25" s="67">
        <v>72059000</v>
      </c>
      <c r="G25" s="67">
        <v>2051608062</v>
      </c>
      <c r="H25" s="67">
        <v>11465404234.999998</v>
      </c>
      <c r="I25" s="67">
        <v>8012672331</v>
      </c>
      <c r="J25" s="67">
        <v>15259727.130000001</v>
      </c>
    </row>
    <row r="26" spans="1:10" s="54" customFormat="1" x14ac:dyDescent="0.25">
      <c r="A26" s="21" t="s">
        <v>91</v>
      </c>
      <c r="B26" s="67">
        <f>SUM(C26:H26)+I26</f>
        <v>136654745000</v>
      </c>
      <c r="C26" s="133">
        <v>49999985000</v>
      </c>
      <c r="D26" s="133"/>
      <c r="E26" s="67">
        <v>1579656000</v>
      </c>
      <c r="F26" s="67">
        <v>1579656000</v>
      </c>
      <c r="G26" s="67">
        <v>7177200000</v>
      </c>
      <c r="H26" s="67">
        <v>51043350000</v>
      </c>
      <c r="I26" s="67">
        <v>25274898000</v>
      </c>
      <c r="J26" s="68" t="s">
        <v>57</v>
      </c>
    </row>
    <row r="27" spans="1:10" s="54" customFormat="1" x14ac:dyDescent="0.25">
      <c r="A27" s="21" t="s">
        <v>98</v>
      </c>
      <c r="B27" s="67">
        <f>SUM(C27:H27)+I27+J27</f>
        <v>35697353355.129997</v>
      </c>
      <c r="C27" s="132">
        <f>C25</f>
        <v>13803330000</v>
      </c>
      <c r="D27" s="132"/>
      <c r="E27" s="67">
        <f>E25</f>
        <v>277020000</v>
      </c>
      <c r="F27" s="67">
        <f t="shared" ref="F27:J27" si="0">F25</f>
        <v>72059000</v>
      </c>
      <c r="G27" s="67">
        <f t="shared" si="0"/>
        <v>2051608062</v>
      </c>
      <c r="H27" s="67">
        <f t="shared" si="0"/>
        <v>11465404234.999998</v>
      </c>
      <c r="I27" s="67">
        <f t="shared" si="0"/>
        <v>8012672331</v>
      </c>
      <c r="J27" s="67">
        <f t="shared" si="0"/>
        <v>15259727.130000001</v>
      </c>
    </row>
    <row r="28" spans="1:10" s="30" customFormat="1" x14ac:dyDescent="0.25">
      <c r="A28" s="10"/>
      <c r="B28" s="47"/>
      <c r="C28" s="47"/>
      <c r="D28" s="47"/>
      <c r="E28" s="47"/>
      <c r="F28" s="47"/>
      <c r="G28" s="47"/>
      <c r="H28" s="47"/>
      <c r="I28" s="47"/>
      <c r="J28" s="47"/>
    </row>
    <row r="29" spans="1:10" s="30" customFormat="1" x14ac:dyDescent="0.25">
      <c r="A29" s="44" t="s">
        <v>4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s="54" customFormat="1" x14ac:dyDescent="0.25">
      <c r="A30" s="21" t="s">
        <v>96</v>
      </c>
      <c r="B30" s="67">
        <f>B24</f>
        <v>37115900000</v>
      </c>
      <c r="C30" s="67"/>
      <c r="D30" s="67"/>
      <c r="E30" s="67"/>
      <c r="F30" s="67"/>
      <c r="G30" s="67"/>
      <c r="H30" s="67"/>
      <c r="I30" s="67"/>
      <c r="J30" s="67"/>
    </row>
    <row r="31" spans="1:10" s="54" customFormat="1" x14ac:dyDescent="0.25">
      <c r="A31" s="21" t="s">
        <v>97</v>
      </c>
      <c r="B31" s="67">
        <v>38622094963.169998</v>
      </c>
      <c r="C31" s="67"/>
      <c r="D31" s="67"/>
      <c r="E31" s="67"/>
      <c r="F31" s="67"/>
      <c r="G31" s="67"/>
      <c r="H31" s="67"/>
      <c r="I31" s="67"/>
      <c r="J31" s="67"/>
    </row>
    <row r="32" spans="1:10" s="54" customFormat="1" x14ac:dyDescent="0.25">
      <c r="A32" s="22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0" customFormat="1" x14ac:dyDescent="0.25">
      <c r="A33" s="17" t="s">
        <v>5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0" s="30" customFormat="1" x14ac:dyDescent="0.25">
      <c r="A34" s="9" t="s">
        <v>61</v>
      </c>
      <c r="B34" s="91">
        <v>1.0303325644000001</v>
      </c>
      <c r="C34" s="91">
        <v>1.0303325644000001</v>
      </c>
      <c r="D34" s="91">
        <v>1.0303325644000001</v>
      </c>
      <c r="E34" s="91">
        <v>1.0303325644000001</v>
      </c>
      <c r="F34" s="91">
        <v>1.0303325644000001</v>
      </c>
      <c r="G34" s="91">
        <v>1.0303325644000001</v>
      </c>
      <c r="H34" s="91">
        <v>1.0303325644000001</v>
      </c>
      <c r="I34" s="91">
        <v>1.0303325644000001</v>
      </c>
      <c r="J34" s="91">
        <v>1.0303325644000001</v>
      </c>
    </row>
    <row r="35" spans="1:10" s="30" customFormat="1" x14ac:dyDescent="0.25">
      <c r="A35" s="9" t="s">
        <v>99</v>
      </c>
      <c r="B35" s="91">
        <v>1.0552807376</v>
      </c>
      <c r="C35" s="91">
        <v>1.0552807376</v>
      </c>
      <c r="D35" s="91">
        <v>1.0552807376</v>
      </c>
      <c r="E35" s="91">
        <v>1.0552807376</v>
      </c>
      <c r="F35" s="91">
        <v>1.0552807376</v>
      </c>
      <c r="G35" s="91">
        <v>1.0552807376</v>
      </c>
      <c r="H35" s="91">
        <v>1.0552807376</v>
      </c>
      <c r="I35" s="91">
        <v>1.0552807376</v>
      </c>
      <c r="J35" s="91">
        <v>1.0552807376</v>
      </c>
    </row>
    <row r="36" spans="1:10" s="54" customFormat="1" x14ac:dyDescent="0.25">
      <c r="A36" s="21" t="s">
        <v>6</v>
      </c>
      <c r="B36" s="66">
        <v>376622</v>
      </c>
      <c r="C36" s="126">
        <v>147739</v>
      </c>
      <c r="D36" s="126"/>
      <c r="E36" s="66">
        <v>142525</v>
      </c>
      <c r="F36" s="66" t="s">
        <v>57</v>
      </c>
      <c r="G36" s="66">
        <v>85872</v>
      </c>
      <c r="H36" s="66" t="s">
        <v>57</v>
      </c>
      <c r="I36" s="66" t="s">
        <v>57</v>
      </c>
      <c r="J36" s="66" t="s">
        <v>57</v>
      </c>
    </row>
    <row r="37" spans="1:10" x14ac:dyDescent="0.25">
      <c r="A37" s="10"/>
      <c r="B37" s="71"/>
      <c r="C37" s="71"/>
      <c r="D37" s="71"/>
      <c r="E37" s="71"/>
      <c r="F37" s="98"/>
      <c r="G37" s="98"/>
      <c r="H37" s="98"/>
      <c r="I37" s="98"/>
      <c r="J37" s="98"/>
    </row>
    <row r="38" spans="1:10" s="30" customFormat="1" x14ac:dyDescent="0.25">
      <c r="A38" s="17" t="s">
        <v>7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0" s="54" customFormat="1" x14ac:dyDescent="0.25">
      <c r="A39" s="22" t="s">
        <v>76</v>
      </c>
      <c r="B39" s="75">
        <f>B23/B34</f>
        <v>32055657084.296265</v>
      </c>
      <c r="C39" s="130">
        <f>C23/C34</f>
        <v>12164703352.163601</v>
      </c>
      <c r="D39" s="130"/>
      <c r="E39" s="75">
        <f>E23/E34</f>
        <v>450233270.33261335</v>
      </c>
      <c r="F39" s="75">
        <f t="shared" ref="F39:J39" si="1">F23/F34</f>
        <v>103683221.99173616</v>
      </c>
      <c r="G39" s="75">
        <f t="shared" si="1"/>
        <v>2030171624.4580727</v>
      </c>
      <c r="H39" s="75">
        <f t="shared" si="1"/>
        <v>10531751034.501225</v>
      </c>
      <c r="I39" s="75">
        <f t="shared" si="1"/>
        <v>6769998349.0883808</v>
      </c>
      <c r="J39" s="75">
        <f t="shared" si="1"/>
        <v>5116231.7606352065</v>
      </c>
    </row>
    <row r="40" spans="1:10" s="54" customFormat="1" x14ac:dyDescent="0.25">
      <c r="A40" s="22" t="s">
        <v>100</v>
      </c>
      <c r="B40" s="75">
        <f>B25/B35</f>
        <v>33827352365.320004</v>
      </c>
      <c r="C40" s="130">
        <f>C25/C35</f>
        <v>13080244439.401583</v>
      </c>
      <c r="D40" s="130"/>
      <c r="E40" s="75">
        <f>E25/E35</f>
        <v>262508345.05898404</v>
      </c>
      <c r="F40" s="75">
        <f t="shared" ref="F40:J40" si="2">F25/F35</f>
        <v>68284199.106942937</v>
      </c>
      <c r="G40" s="75">
        <f t="shared" si="2"/>
        <v>1944134853.3148854</v>
      </c>
      <c r="H40" s="75">
        <f t="shared" si="2"/>
        <v>10864790596.932051</v>
      </c>
      <c r="I40" s="75">
        <f t="shared" si="2"/>
        <v>7592929583.1013002</v>
      </c>
      <c r="J40" s="75">
        <f t="shared" si="2"/>
        <v>14460348.404259551</v>
      </c>
    </row>
    <row r="41" spans="1:10" s="54" customFormat="1" x14ac:dyDescent="0.25">
      <c r="A41" s="22" t="s">
        <v>77</v>
      </c>
      <c r="B41" s="75">
        <f>B39/B15</f>
        <v>170881.48133853759</v>
      </c>
      <c r="C41" s="130">
        <f>C39/D15</f>
        <v>71277.001852506626</v>
      </c>
      <c r="D41" s="130"/>
      <c r="E41" s="75">
        <f>E39/E15</f>
        <v>217294.04938832691</v>
      </c>
      <c r="F41" s="75">
        <f t="shared" ref="F41:I41" si="3">F39/F15</f>
        <v>503316.6116103697</v>
      </c>
      <c r="G41" s="75">
        <f t="shared" si="3"/>
        <v>149629.39449130843</v>
      </c>
      <c r="H41" s="75">
        <f t="shared" si="3"/>
        <v>154601.31872965011</v>
      </c>
      <c r="I41" s="75">
        <f t="shared" si="3"/>
        <v>343184.38430011563</v>
      </c>
      <c r="J41" s="66" t="s">
        <v>57</v>
      </c>
    </row>
    <row r="42" spans="1:10" s="54" customFormat="1" x14ac:dyDescent="0.25">
      <c r="A42" s="22" t="s">
        <v>101</v>
      </c>
      <c r="B42" s="75">
        <f>B40/B18</f>
        <v>180805.01336404891</v>
      </c>
      <c r="C42" s="130">
        <f>C40/D18</f>
        <v>73346.890886771915</v>
      </c>
      <c r="D42" s="130"/>
      <c r="E42" s="75">
        <f>E40/E18</f>
        <v>206536.85685207241</v>
      </c>
      <c r="F42" s="75">
        <f t="shared" ref="F42:I42" si="4">F40/F18</f>
        <v>537670.85910978692</v>
      </c>
      <c r="G42" s="75">
        <f t="shared" si="4"/>
        <v>211456.91247714654</v>
      </c>
      <c r="H42" s="75">
        <f t="shared" si="4"/>
        <v>177506.05471395978</v>
      </c>
      <c r="I42" s="75">
        <f t="shared" si="4"/>
        <v>340581.75218001707</v>
      </c>
      <c r="J42" s="66" t="s">
        <v>57</v>
      </c>
    </row>
    <row r="43" spans="1:10" s="54" customFormat="1" x14ac:dyDescent="0.25">
      <c r="A43" s="22"/>
      <c r="B43" s="76"/>
      <c r="C43" s="76"/>
      <c r="D43" s="76"/>
      <c r="E43" s="76"/>
      <c r="F43" s="76"/>
      <c r="G43" s="76"/>
      <c r="H43" s="76"/>
      <c r="I43" s="76"/>
      <c r="J43" s="76"/>
    </row>
    <row r="44" spans="1:10" s="54" customFormat="1" x14ac:dyDescent="0.25">
      <c r="A44" s="17" t="s">
        <v>8</v>
      </c>
      <c r="B44" s="76"/>
      <c r="C44" s="76"/>
      <c r="D44" s="76"/>
      <c r="E44" s="76"/>
      <c r="F44" s="76"/>
      <c r="G44" s="76"/>
      <c r="H44" s="76"/>
      <c r="I44" s="76"/>
      <c r="J44" s="76"/>
    </row>
    <row r="45" spans="1:10" s="54" customFormat="1" x14ac:dyDescent="0.25">
      <c r="A45" s="22"/>
      <c r="B45" s="76"/>
      <c r="C45" s="76"/>
      <c r="D45" s="76"/>
      <c r="E45" s="76"/>
      <c r="F45" s="76"/>
      <c r="G45" s="76"/>
      <c r="H45" s="76"/>
      <c r="I45" s="76"/>
      <c r="J45" s="76"/>
    </row>
    <row r="46" spans="1:10" s="54" customFormat="1" x14ac:dyDescent="0.25">
      <c r="A46" s="17" t="s">
        <v>9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s="54" customFormat="1" x14ac:dyDescent="0.25">
      <c r="A47" s="22" t="s">
        <v>10</v>
      </c>
      <c r="B47" s="95" t="s">
        <v>57</v>
      </c>
      <c r="C47" s="131">
        <f>(D16/C36)*100</f>
        <v>83.874941620019086</v>
      </c>
      <c r="D47" s="131"/>
      <c r="E47" s="99">
        <f>(E16/E36)*100</f>
        <v>1.2917032099631642</v>
      </c>
      <c r="F47" s="95" t="s">
        <v>48</v>
      </c>
      <c r="G47" s="99">
        <f t="shared" ref="G47" si="5">G16/G36*100</f>
        <v>9.2870784423327741</v>
      </c>
      <c r="H47" s="95" t="s">
        <v>57</v>
      </c>
      <c r="I47" s="95" t="s">
        <v>57</v>
      </c>
      <c r="J47" s="95" t="s">
        <v>57</v>
      </c>
    </row>
    <row r="48" spans="1:10" s="54" customFormat="1" x14ac:dyDescent="0.25">
      <c r="A48" s="22" t="s">
        <v>11</v>
      </c>
      <c r="B48" s="95">
        <f>(B18/B36)*100</f>
        <v>49.676598817912918</v>
      </c>
      <c r="C48" s="131">
        <f>(D18/C36)*100</f>
        <v>120.70881757694312</v>
      </c>
      <c r="D48" s="131"/>
      <c r="E48" s="99">
        <f>(E18/E36)*100</f>
        <v>0.89177337309243998</v>
      </c>
      <c r="F48" s="95" t="s">
        <v>48</v>
      </c>
      <c r="G48" s="99">
        <f>(G18/G36)*100</f>
        <v>10.706633128377119</v>
      </c>
      <c r="H48" s="95" t="s">
        <v>57</v>
      </c>
      <c r="I48" s="95" t="s">
        <v>57</v>
      </c>
      <c r="J48" s="95" t="s">
        <v>57</v>
      </c>
    </row>
    <row r="49" spans="1:10" s="54" customFormat="1" x14ac:dyDescent="0.25">
      <c r="A49" s="22"/>
      <c r="B49" s="99"/>
      <c r="C49" s="99"/>
      <c r="D49" s="99"/>
      <c r="E49" s="99"/>
      <c r="F49" s="99"/>
      <c r="G49" s="99"/>
      <c r="H49" s="99"/>
      <c r="I49" s="99"/>
      <c r="J49" s="99"/>
    </row>
    <row r="50" spans="1:10" s="54" customFormat="1" x14ac:dyDescent="0.25">
      <c r="A50" s="17" t="s">
        <v>12</v>
      </c>
      <c r="B50" s="99"/>
      <c r="C50" s="99"/>
      <c r="D50" s="99"/>
      <c r="E50" s="99"/>
      <c r="F50" s="99"/>
      <c r="G50" s="99"/>
      <c r="H50" s="99"/>
      <c r="I50" s="99"/>
      <c r="J50" s="99"/>
    </row>
    <row r="51" spans="1:10" s="54" customFormat="1" x14ac:dyDescent="0.25">
      <c r="A51" s="22" t="s">
        <v>13</v>
      </c>
      <c r="B51" s="95" t="s">
        <v>57</v>
      </c>
      <c r="C51" s="95" t="s">
        <v>57</v>
      </c>
      <c r="D51" s="99">
        <f>D18/D16*100</f>
        <v>143.91523289970624</v>
      </c>
      <c r="E51" s="99">
        <f>E18/E16*100</f>
        <v>69.0385659967409</v>
      </c>
      <c r="F51" s="99">
        <f t="shared" ref="F51:I51" si="6">F18/F16*100</f>
        <v>27.608695652173914</v>
      </c>
      <c r="G51" s="99">
        <f t="shared" si="6"/>
        <v>115.28526645768025</v>
      </c>
      <c r="H51" s="99">
        <f t="shared" si="6"/>
        <v>99.370088966816027</v>
      </c>
      <c r="I51" s="99">
        <f t="shared" si="6"/>
        <v>84.942467423607411</v>
      </c>
      <c r="J51" s="95" t="s">
        <v>57</v>
      </c>
    </row>
    <row r="52" spans="1:10" s="54" customFormat="1" x14ac:dyDescent="0.25">
      <c r="A52" s="22" t="s">
        <v>14</v>
      </c>
      <c r="B52" s="99">
        <f>B25/B24*100</f>
        <v>96.178062111197619</v>
      </c>
      <c r="C52" s="131">
        <f>C25/C24*100</f>
        <v>106.22681418370728</v>
      </c>
      <c r="D52" s="131"/>
      <c r="E52" s="99">
        <f>E25/E24*100</f>
        <v>64.304516775999659</v>
      </c>
      <c r="F52" s="99">
        <f t="shared" ref="F52:I52" si="7">F25/F24*100</f>
        <v>16.736111111111111</v>
      </c>
      <c r="G52" s="99">
        <f t="shared" si="7"/>
        <v>114.34030329376358</v>
      </c>
      <c r="H52" s="99">
        <f t="shared" si="7"/>
        <v>87.917631291898843</v>
      </c>
      <c r="I52" s="99">
        <f t="shared" si="7"/>
        <v>95.106286850297082</v>
      </c>
      <c r="J52" s="95" t="s">
        <v>57</v>
      </c>
    </row>
    <row r="53" spans="1:10" s="54" customFormat="1" x14ac:dyDescent="0.25">
      <c r="A53" s="22" t="s">
        <v>15</v>
      </c>
      <c r="B53" s="95" t="s">
        <v>57</v>
      </c>
      <c r="C53" s="95" t="s">
        <v>57</v>
      </c>
      <c r="D53" s="99">
        <f>AVERAGE(D51,C52)</f>
        <v>125.07102354170675</v>
      </c>
      <c r="E53" s="99">
        <f>AVERAGE(E51:E52)</f>
        <v>66.671541386370279</v>
      </c>
      <c r="F53" s="99">
        <f t="shared" ref="F53:I53" si="8">AVERAGE(F51:F52)</f>
        <v>22.172403381642511</v>
      </c>
      <c r="G53" s="99">
        <f t="shared" si="8"/>
        <v>114.81278487572192</v>
      </c>
      <c r="H53" s="99">
        <f t="shared" si="8"/>
        <v>93.643860129357435</v>
      </c>
      <c r="I53" s="99">
        <f t="shared" si="8"/>
        <v>90.024377136952239</v>
      </c>
      <c r="J53" s="95" t="s">
        <v>57</v>
      </c>
    </row>
    <row r="54" spans="1:10" s="54" customFormat="1" x14ac:dyDescent="0.25">
      <c r="A54" s="22"/>
      <c r="B54" s="99"/>
      <c r="C54" s="99"/>
      <c r="D54" s="99"/>
      <c r="E54" s="99"/>
      <c r="F54" s="99"/>
      <c r="G54" s="99"/>
      <c r="H54" s="99"/>
      <c r="I54" s="99"/>
      <c r="J54" s="99"/>
    </row>
    <row r="55" spans="1:10" s="54" customFormat="1" x14ac:dyDescent="0.25">
      <c r="A55" s="17" t="s">
        <v>16</v>
      </c>
      <c r="B55" s="99"/>
      <c r="C55" s="99"/>
      <c r="D55" s="99"/>
      <c r="E55" s="99"/>
      <c r="F55" s="99"/>
      <c r="G55" s="99"/>
      <c r="H55" s="99"/>
      <c r="I55" s="99"/>
      <c r="J55" s="99"/>
    </row>
    <row r="56" spans="1:10" s="54" customFormat="1" x14ac:dyDescent="0.25">
      <c r="A56" s="22" t="s">
        <v>17</v>
      </c>
      <c r="B56" s="95" t="s">
        <v>57</v>
      </c>
      <c r="C56" s="131">
        <f>D18/D20*100</f>
        <v>129.61544331949966</v>
      </c>
      <c r="D56" s="131"/>
      <c r="E56" s="99">
        <f>E18/E20*100</f>
        <v>69.001085776330072</v>
      </c>
      <c r="F56" s="99">
        <f t="shared" ref="F56:I56" si="9">F18/F20*100</f>
        <v>27.548806941431671</v>
      </c>
      <c r="G56" s="99">
        <f t="shared" si="9"/>
        <v>115.28526645768025</v>
      </c>
      <c r="H56" s="99">
        <f t="shared" si="9"/>
        <v>82.694516124674067</v>
      </c>
      <c r="I56" s="99">
        <f t="shared" si="9"/>
        <v>84.942467423607411</v>
      </c>
      <c r="J56" s="95" t="s">
        <v>57</v>
      </c>
    </row>
    <row r="57" spans="1:10" s="54" customFormat="1" x14ac:dyDescent="0.25">
      <c r="A57" s="22" t="s">
        <v>18</v>
      </c>
      <c r="B57" s="99">
        <f>B25/B26*100</f>
        <v>26.122293342342413</v>
      </c>
      <c r="C57" s="131">
        <f>C25/C26*100</f>
        <v>27.606668282000484</v>
      </c>
      <c r="D57" s="131"/>
      <c r="E57" s="99">
        <f>E25/E26*100</f>
        <v>17.536729515793311</v>
      </c>
      <c r="F57" s="99">
        <f t="shared" ref="F57:I57" si="10">F25/F26*100</f>
        <v>4.5616893804727106</v>
      </c>
      <c r="G57" s="99">
        <f t="shared" si="10"/>
        <v>28.585075823440896</v>
      </c>
      <c r="H57" s="99">
        <f t="shared" si="10"/>
        <v>22.462091996312932</v>
      </c>
      <c r="I57" s="99">
        <f t="shared" si="10"/>
        <v>31.702095616765696</v>
      </c>
      <c r="J57" s="95" t="s">
        <v>57</v>
      </c>
    </row>
    <row r="58" spans="1:10" s="54" customFormat="1" x14ac:dyDescent="0.25">
      <c r="A58" s="22" t="s">
        <v>19</v>
      </c>
      <c r="B58" s="95" t="s">
        <v>57</v>
      </c>
      <c r="C58" s="131">
        <f>(C56+C57)/2</f>
        <v>78.61105580075008</v>
      </c>
      <c r="D58" s="131"/>
      <c r="E58" s="99">
        <f>(E56+E57)/2</f>
        <v>43.268907646061692</v>
      </c>
      <c r="F58" s="99">
        <f t="shared" ref="F58:I58" si="11">(F56+F57)/2</f>
        <v>16.055248160952189</v>
      </c>
      <c r="G58" s="99">
        <f t="shared" si="11"/>
        <v>71.93517114056057</v>
      </c>
      <c r="H58" s="99">
        <f t="shared" si="11"/>
        <v>52.578304060493501</v>
      </c>
      <c r="I58" s="99">
        <f t="shared" si="11"/>
        <v>58.32228152018655</v>
      </c>
      <c r="J58" s="95" t="s">
        <v>57</v>
      </c>
    </row>
    <row r="59" spans="1:10" s="54" customFormat="1" x14ac:dyDescent="0.25">
      <c r="A59" s="22"/>
      <c r="B59" s="99"/>
      <c r="C59" s="99"/>
      <c r="D59" s="99"/>
      <c r="E59" s="99"/>
      <c r="F59" s="99"/>
      <c r="G59" s="99"/>
      <c r="H59" s="99"/>
      <c r="I59" s="99"/>
      <c r="J59" s="99"/>
    </row>
    <row r="60" spans="1:10" s="54" customFormat="1" x14ac:dyDescent="0.25">
      <c r="A60" s="17" t="s">
        <v>30</v>
      </c>
      <c r="B60" s="99"/>
      <c r="C60" s="99"/>
      <c r="D60" s="99"/>
      <c r="E60" s="99"/>
      <c r="F60" s="99"/>
      <c r="G60" s="99"/>
      <c r="H60" s="99"/>
      <c r="I60" s="99"/>
      <c r="J60" s="99"/>
    </row>
    <row r="61" spans="1:10" s="54" customFormat="1" x14ac:dyDescent="0.25">
      <c r="A61" s="22" t="s">
        <v>20</v>
      </c>
      <c r="B61" s="99">
        <f>B27/B25*100</f>
        <v>100</v>
      </c>
      <c r="C61" s="131">
        <f>C27/C25*100</f>
        <v>100</v>
      </c>
      <c r="D61" s="131"/>
      <c r="E61" s="99">
        <f>E27/E25*100</f>
        <v>100</v>
      </c>
      <c r="F61" s="99">
        <f t="shared" ref="F61:J61" si="12">F27/F25*100</f>
        <v>100</v>
      </c>
      <c r="G61" s="99">
        <f t="shared" si="12"/>
        <v>100</v>
      </c>
      <c r="H61" s="99">
        <f t="shared" si="12"/>
        <v>100</v>
      </c>
      <c r="I61" s="99">
        <f t="shared" si="12"/>
        <v>100</v>
      </c>
      <c r="J61" s="99">
        <f t="shared" si="12"/>
        <v>100</v>
      </c>
    </row>
    <row r="62" spans="1:10" s="54" customFormat="1" x14ac:dyDescent="0.25">
      <c r="A62" s="22"/>
      <c r="B62" s="99"/>
      <c r="C62" s="99"/>
      <c r="D62" s="99"/>
      <c r="E62" s="99"/>
      <c r="F62" s="99"/>
      <c r="G62" s="99"/>
      <c r="H62" s="99"/>
      <c r="I62" s="99"/>
      <c r="J62" s="99"/>
    </row>
    <row r="63" spans="1:10" s="54" customFormat="1" x14ac:dyDescent="0.25">
      <c r="A63" s="17" t="s">
        <v>21</v>
      </c>
      <c r="B63" s="99"/>
      <c r="C63" s="99"/>
      <c r="D63" s="99"/>
      <c r="E63" s="99"/>
      <c r="F63" s="99"/>
      <c r="G63" s="99"/>
      <c r="H63" s="99"/>
      <c r="I63" s="99"/>
      <c r="J63" s="99"/>
    </row>
    <row r="64" spans="1:10" s="54" customFormat="1" x14ac:dyDescent="0.25">
      <c r="A64" s="22" t="s">
        <v>22</v>
      </c>
      <c r="B64" s="99">
        <f>((B18/B15)-1)*100</f>
        <v>-0.26493949570872699</v>
      </c>
      <c r="C64" s="131">
        <f>((D18/D15)-1)*100</f>
        <v>4.491761783111059</v>
      </c>
      <c r="D64" s="131"/>
      <c r="E64" s="99">
        <f>((E18/E15)-1)*100</f>
        <v>-38.658301158301157</v>
      </c>
      <c r="F64" s="99">
        <f t="shared" ref="F64:I64" si="13">((F18/F15)-1)*100</f>
        <v>-38.349514563106801</v>
      </c>
      <c r="G64" s="99">
        <f t="shared" si="13"/>
        <v>-32.237617924528308</v>
      </c>
      <c r="H64" s="99">
        <f t="shared" si="13"/>
        <v>-10.149437773406532</v>
      </c>
      <c r="I64" s="99">
        <f t="shared" si="13"/>
        <v>13.012622294317433</v>
      </c>
      <c r="J64" s="95" t="s">
        <v>57</v>
      </c>
    </row>
    <row r="65" spans="1:10" s="54" customFormat="1" x14ac:dyDescent="0.25">
      <c r="A65" s="22" t="s">
        <v>23</v>
      </c>
      <c r="B65" s="99">
        <f>((B40/B39)-1)*100</f>
        <v>5.5269348444948019</v>
      </c>
      <c r="C65" s="131">
        <f>((C40/C39)-1)*100</f>
        <v>7.526209729357225</v>
      </c>
      <c r="D65" s="131"/>
      <c r="E65" s="99">
        <f>((E40/E39)-1)*100</f>
        <v>-41.695036249752505</v>
      </c>
      <c r="F65" s="99">
        <f t="shared" ref="F65:J65" si="14">((F40/F39)-1)*100</f>
        <v>-34.141515092590993</v>
      </c>
      <c r="G65" s="99">
        <f t="shared" si="14"/>
        <v>-4.2379062984960081</v>
      </c>
      <c r="H65" s="99">
        <f t="shared" si="14"/>
        <v>3.1622430243538169</v>
      </c>
      <c r="I65" s="99">
        <f t="shared" si="14"/>
        <v>12.155560335162141</v>
      </c>
      <c r="J65" s="99">
        <f t="shared" si="14"/>
        <v>182.63669592763375</v>
      </c>
    </row>
    <row r="66" spans="1:10" s="54" customFormat="1" x14ac:dyDescent="0.25">
      <c r="A66" s="22" t="s">
        <v>24</v>
      </c>
      <c r="B66" s="99">
        <f>((B42/B41)-1)*100</f>
        <v>5.807260065736175</v>
      </c>
      <c r="C66" s="131">
        <f>((C42/C41)-1)*100</f>
        <v>2.904006875244991</v>
      </c>
      <c r="D66" s="131"/>
      <c r="E66" s="99">
        <f>((E42/E41)-1)*100</f>
        <v>-4.9505232962133601</v>
      </c>
      <c r="F66" s="99">
        <f t="shared" ref="F66:I66" si="15">((F42/F41)-1)*100</f>
        <v>6.8255739443012331</v>
      </c>
      <c r="G66" s="99">
        <f t="shared" si="15"/>
        <v>41.320435864912561</v>
      </c>
      <c r="H66" s="99">
        <f t="shared" si="15"/>
        <v>14.815356151238902</v>
      </c>
      <c r="I66" s="99">
        <f t="shared" si="15"/>
        <v>-0.75837719871967302</v>
      </c>
      <c r="J66" s="95" t="s">
        <v>57</v>
      </c>
    </row>
    <row r="67" spans="1:10" s="54" customFormat="1" x14ac:dyDescent="0.25">
      <c r="A67" s="22"/>
      <c r="B67" s="99"/>
      <c r="C67" s="99"/>
      <c r="D67" s="99"/>
      <c r="E67" s="99"/>
      <c r="F67" s="99"/>
      <c r="G67" s="99"/>
      <c r="H67" s="99"/>
      <c r="I67" s="99"/>
      <c r="J67" s="99"/>
    </row>
    <row r="68" spans="1:10" s="54" customFormat="1" x14ac:dyDescent="0.25">
      <c r="A68" s="17" t="s">
        <v>25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 s="54" customFormat="1" x14ac:dyDescent="0.25">
      <c r="A69" s="22" t="s">
        <v>31</v>
      </c>
      <c r="B69" s="99">
        <f>(B24/B17)*3</f>
        <v>170072.04727596536</v>
      </c>
      <c r="C69" s="131">
        <f>(C24/D17)*3</f>
        <v>105000</v>
      </c>
      <c r="D69" s="131"/>
      <c r="E69" s="99">
        <f>(E24/E17)*3</f>
        <v>234000</v>
      </c>
      <c r="F69" s="99">
        <f t="shared" ref="F69:I69" si="16">(F24/F17)*3</f>
        <v>936000</v>
      </c>
      <c r="G69" s="99">
        <f t="shared" si="16"/>
        <v>225000</v>
      </c>
      <c r="H69" s="99">
        <f t="shared" si="16"/>
        <v>225000</v>
      </c>
      <c r="I69" s="99">
        <f t="shared" si="16"/>
        <v>321000</v>
      </c>
      <c r="J69" s="95" t="s">
        <v>57</v>
      </c>
    </row>
    <row r="70" spans="1:10" s="54" customFormat="1" x14ac:dyDescent="0.25">
      <c r="A70" s="22" t="s">
        <v>32</v>
      </c>
      <c r="B70" s="99">
        <f>(B25/B19)*3</f>
        <v>145798.50006383751</v>
      </c>
      <c r="C70" s="131">
        <f>(C25/D19)*3</f>
        <v>84144.584041988986</v>
      </c>
      <c r="D70" s="131"/>
      <c r="E70" s="99">
        <f>(E25/E19)*3</f>
        <v>269912.30919129588</v>
      </c>
      <c r="F70" s="99">
        <f t="shared" ref="F70:I70" si="17">(F25/F19)*3</f>
        <v>735295.91836734698</v>
      </c>
      <c r="G70" s="99">
        <f t="shared" si="17"/>
        <v>229400.82691017518</v>
      </c>
      <c r="H70" s="99">
        <f t="shared" si="17"/>
        <v>229034.76987461626</v>
      </c>
      <c r="I70" s="99">
        <f t="shared" si="17"/>
        <v>387647.42772133526</v>
      </c>
      <c r="J70" s="95" t="s">
        <v>57</v>
      </c>
    </row>
    <row r="71" spans="1:10" s="54" customFormat="1" x14ac:dyDescent="0.25">
      <c r="A71" s="22" t="s">
        <v>26</v>
      </c>
      <c r="B71" s="95" t="s">
        <v>57</v>
      </c>
      <c r="C71" s="131">
        <f>(C70/C69)*D53</f>
        <v>100.22904049164502</v>
      </c>
      <c r="D71" s="131"/>
      <c r="E71" s="99">
        <f>(E70/E69)*E53</f>
        <v>76.903716636488269</v>
      </c>
      <c r="F71" s="99">
        <f t="shared" ref="F71:I71" si="18">(F70/F69)*F53</f>
        <v>17.418031738158227</v>
      </c>
      <c r="G71" s="99">
        <f t="shared" si="18"/>
        <v>117.05843462378073</v>
      </c>
      <c r="H71" s="99">
        <f t="shared" si="18"/>
        <v>95.323110910658372</v>
      </c>
      <c r="I71" s="99">
        <f t="shared" si="18"/>
        <v>108.71563311325519</v>
      </c>
      <c r="J71" s="95" t="s">
        <v>57</v>
      </c>
    </row>
    <row r="72" spans="1:10" s="54" customFormat="1" x14ac:dyDescent="0.25">
      <c r="A72" s="22" t="s">
        <v>33</v>
      </c>
      <c r="B72" s="99">
        <f>B24/B17</f>
        <v>56690.682425321786</v>
      </c>
      <c r="C72" s="131">
        <f>C24/D17</f>
        <v>35000</v>
      </c>
      <c r="D72" s="131"/>
      <c r="E72" s="99">
        <f>E24/E17</f>
        <v>78000</v>
      </c>
      <c r="F72" s="99">
        <f>F24/F17</f>
        <v>312000</v>
      </c>
      <c r="G72" s="99">
        <f t="shared" ref="G72:I72" si="19">G24/G17</f>
        <v>75000</v>
      </c>
      <c r="H72" s="99">
        <f t="shared" si="19"/>
        <v>75000</v>
      </c>
      <c r="I72" s="99">
        <f t="shared" si="19"/>
        <v>107000</v>
      </c>
      <c r="J72" s="95" t="s">
        <v>57</v>
      </c>
    </row>
    <row r="73" spans="1:10" s="54" customFormat="1" x14ac:dyDescent="0.25">
      <c r="A73" s="22" t="s">
        <v>34</v>
      </c>
      <c r="B73" s="99">
        <f>B25/B19</f>
        <v>48599.500021279171</v>
      </c>
      <c r="C73" s="131">
        <f>C25/D19</f>
        <v>28048.194680662997</v>
      </c>
      <c r="D73" s="131"/>
      <c r="E73" s="99">
        <f>E25/E19</f>
        <v>89970.769730431959</v>
      </c>
      <c r="F73" s="99">
        <f>F25/F19</f>
        <v>245098.63945578231</v>
      </c>
      <c r="G73" s="99">
        <f t="shared" ref="G73:I73" si="20">G25/G19</f>
        <v>76466.942303391726</v>
      </c>
      <c r="H73" s="99">
        <f t="shared" si="20"/>
        <v>76344.923291538755</v>
      </c>
      <c r="I73" s="99">
        <f t="shared" si="20"/>
        <v>129215.80924044509</v>
      </c>
      <c r="J73" s="95" t="s">
        <v>57</v>
      </c>
    </row>
    <row r="74" spans="1:10" s="54" customFormat="1" x14ac:dyDescent="0.25">
      <c r="A74" s="22"/>
      <c r="B74" s="99"/>
      <c r="C74" s="99"/>
      <c r="D74" s="99"/>
      <c r="E74" s="99"/>
      <c r="F74" s="99"/>
      <c r="G74" s="99"/>
      <c r="H74" s="99"/>
      <c r="I74" s="99"/>
      <c r="J74" s="99"/>
    </row>
    <row r="75" spans="1:10" s="54" customFormat="1" x14ac:dyDescent="0.25">
      <c r="A75" s="17" t="s">
        <v>27</v>
      </c>
      <c r="B75" s="99"/>
      <c r="C75" s="99"/>
      <c r="D75" s="99"/>
      <c r="E75" s="99"/>
      <c r="F75" s="99"/>
      <c r="G75" s="99"/>
      <c r="H75" s="99"/>
      <c r="I75" s="99"/>
      <c r="J75" s="99"/>
    </row>
    <row r="76" spans="1:10" s="54" customFormat="1" x14ac:dyDescent="0.25">
      <c r="A76" s="22" t="s">
        <v>28</v>
      </c>
      <c r="B76" s="99">
        <f>(B31/B30)*100</f>
        <v>104.05808551906325</v>
      </c>
      <c r="C76" s="99"/>
      <c r="D76" s="99"/>
      <c r="E76" s="99"/>
      <c r="F76" s="99"/>
      <c r="G76" s="99"/>
      <c r="H76" s="99"/>
      <c r="I76" s="99"/>
      <c r="J76" s="99"/>
    </row>
    <row r="77" spans="1:10" s="54" customFormat="1" x14ac:dyDescent="0.25">
      <c r="A77" s="22" t="s">
        <v>29</v>
      </c>
      <c r="B77" s="99">
        <f>(B25/B31)*100</f>
        <v>92.427283888072282</v>
      </c>
      <c r="C77" s="99"/>
      <c r="D77" s="99"/>
      <c r="E77" s="99"/>
      <c r="F77" s="99"/>
      <c r="G77" s="99"/>
      <c r="H77" s="99"/>
      <c r="I77" s="99"/>
      <c r="J77" s="99"/>
    </row>
    <row r="78" spans="1:10" s="30" customFormat="1" ht="15.75" thickBot="1" x14ac:dyDescent="0.3">
      <c r="A78" s="32"/>
      <c r="B78" s="49"/>
      <c r="C78" s="49"/>
      <c r="D78" s="49"/>
      <c r="E78" s="49"/>
      <c r="F78" s="49"/>
      <c r="G78" s="49"/>
      <c r="H78" s="49"/>
      <c r="I78" s="49"/>
      <c r="J78" s="49"/>
    </row>
    <row r="79" spans="1:10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0" x14ac:dyDescent="0.25">
      <c r="A80" s="33"/>
    </row>
    <row r="81" spans="1:5" x14ac:dyDescent="0.25">
      <c r="A81" s="2"/>
      <c r="B81" s="2"/>
    </row>
    <row r="82" spans="1:5" x14ac:dyDescent="0.25">
      <c r="A82" s="2"/>
      <c r="B82" s="34"/>
      <c r="C82" s="34"/>
      <c r="D82" s="34"/>
      <c r="E82" s="34"/>
    </row>
    <row r="83" spans="1:5" x14ac:dyDescent="0.25">
      <c r="A83" s="2"/>
    </row>
    <row r="84" spans="1:5" x14ac:dyDescent="0.25">
      <c r="A84" s="33"/>
    </row>
    <row r="85" spans="1:5" x14ac:dyDescent="0.25">
      <c r="A85" s="2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11"/>
    </row>
    <row r="90" spans="1:5" x14ac:dyDescent="0.25">
      <c r="A90" s="11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35"/>
    </row>
  </sheetData>
  <mergeCells count="30">
    <mergeCell ref="A9:A10"/>
    <mergeCell ref="C9:J9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27:D27"/>
    <mergeCell ref="C36:D36"/>
    <mergeCell ref="C26:D26"/>
    <mergeCell ref="C24:D24"/>
    <mergeCell ref="B9:B10"/>
    <mergeCell ref="C10:D10"/>
    <mergeCell ref="C23:D23"/>
    <mergeCell ref="C25:D25"/>
    <mergeCell ref="A79:F79"/>
    <mergeCell ref="C39:D39"/>
    <mergeCell ref="C40:D40"/>
    <mergeCell ref="C41:D41"/>
    <mergeCell ref="C42:D42"/>
    <mergeCell ref="C61:D61"/>
  </mergeCells>
  <pageMargins left="0.7" right="0.7" top="0.75" bottom="0.75" header="0.3" footer="0.3"/>
  <pageSetup paperSize="9" orientation="portrait" r:id="rId1"/>
  <ignoredErrors>
    <ignoredError sqref="B26" formula="1"/>
    <ignoredError sqref="B49:J50 B54:J55 D53:I53 B52:I52 D51:I51 B48:G48 B59:J63 B57:I57 B67:J68 B66:I66 B65:J65 B64:I64 B74:J78 B69:I69 B70:I70 B72:I73 C71:I71 C58:I58 C56:I56 C47:G47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95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28515625" customWidth="1"/>
    <col min="2" max="9" width="18.7109375" customWidth="1"/>
    <col min="10" max="10" width="18.140625" customWidth="1"/>
  </cols>
  <sheetData>
    <row r="8" spans="1:10" ht="19.5" customHeight="1" x14ac:dyDescent="0.25"/>
    <row r="9" spans="1:10" s="10" customFormat="1" x14ac:dyDescent="0.25">
      <c r="A9" s="121" t="s">
        <v>0</v>
      </c>
      <c r="B9" s="123" t="s">
        <v>86</v>
      </c>
      <c r="C9" s="128" t="s">
        <v>87</v>
      </c>
      <c r="D9" s="128"/>
      <c r="E9" s="128"/>
      <c r="F9" s="128"/>
      <c r="G9" s="128"/>
      <c r="H9" s="128"/>
      <c r="I9" s="128"/>
      <c r="J9" s="128"/>
    </row>
    <row r="10" spans="1:10" s="10" customFormat="1" ht="51.75" customHeight="1" thickBot="1" x14ac:dyDescent="0.3">
      <c r="A10" s="122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88</v>
      </c>
      <c r="J10" s="42" t="s">
        <v>54</v>
      </c>
    </row>
    <row r="11" spans="1:10" ht="15.75" thickTop="1" x14ac:dyDescent="0.25"/>
    <row r="12" spans="1:10" x14ac:dyDescent="0.25">
      <c r="A12" s="5" t="s">
        <v>2</v>
      </c>
      <c r="D12" s="3"/>
      <c r="E12" s="3"/>
    </row>
    <row r="13" spans="1:10" x14ac:dyDescent="0.25">
      <c r="A13" s="30"/>
      <c r="D13" s="3"/>
      <c r="E13" s="3"/>
    </row>
    <row r="14" spans="1:10" s="28" customFormat="1" x14ac:dyDescent="0.25">
      <c r="A14" s="5" t="s">
        <v>41</v>
      </c>
      <c r="B14" s="58" t="s">
        <v>65</v>
      </c>
      <c r="C14" s="58" t="s">
        <v>42</v>
      </c>
      <c r="D14" s="58" t="s">
        <v>43</v>
      </c>
      <c r="E14" s="58" t="s">
        <v>42</v>
      </c>
      <c r="F14" s="58" t="s">
        <v>42</v>
      </c>
      <c r="G14" s="58" t="s">
        <v>42</v>
      </c>
      <c r="H14" s="56" t="s">
        <v>134</v>
      </c>
      <c r="I14" s="56" t="s">
        <v>51</v>
      </c>
      <c r="J14" s="56" t="s">
        <v>42</v>
      </c>
    </row>
    <row r="15" spans="1:10" s="30" customFormat="1" x14ac:dyDescent="0.25">
      <c r="A15" s="29" t="s">
        <v>66</v>
      </c>
      <c r="B15" s="69">
        <v>194924</v>
      </c>
      <c r="C15" s="69">
        <v>139030</v>
      </c>
      <c r="D15" s="69">
        <v>180384</v>
      </c>
      <c r="E15" s="69">
        <v>2104</v>
      </c>
      <c r="F15" s="69">
        <v>206</v>
      </c>
      <c r="G15" s="69">
        <v>14493</v>
      </c>
      <c r="H15" s="69">
        <v>69651</v>
      </c>
      <c r="I15" s="69">
        <v>22925</v>
      </c>
      <c r="J15" s="69" t="s">
        <v>48</v>
      </c>
    </row>
    <row r="16" spans="1:10" s="30" customFormat="1" x14ac:dyDescent="0.25">
      <c r="A16" s="29" t="s">
        <v>102</v>
      </c>
      <c r="B16" s="69" t="str">
        <f>'II Trimestre'!B16</f>
        <v>n.d</v>
      </c>
      <c r="C16" s="69" t="str">
        <f>'II Trimestre'!C16</f>
        <v>n.d</v>
      </c>
      <c r="D16" s="69">
        <f>'II Trimestre'!D16</f>
        <v>123916</v>
      </c>
      <c r="E16" s="69">
        <f>'II Trimestre'!E16</f>
        <v>1841</v>
      </c>
      <c r="F16" s="69">
        <f>'II Trimestre'!F16</f>
        <v>460</v>
      </c>
      <c r="G16" s="69">
        <f>'II Trimestre'!G16</f>
        <v>7975</v>
      </c>
      <c r="H16" s="69">
        <f>'II Trimestre'!H16</f>
        <v>61596</v>
      </c>
      <c r="I16" s="69">
        <f>'II Trimestre'!I16</f>
        <v>26246</v>
      </c>
      <c r="J16" s="69" t="s">
        <v>48</v>
      </c>
    </row>
    <row r="17" spans="1:10" s="30" customFormat="1" x14ac:dyDescent="0.25">
      <c r="A17" s="9" t="s">
        <v>56</v>
      </c>
      <c r="B17" s="69">
        <f>+'I Trimestre'!B17+'II Trimestre'!B17</f>
        <v>1282254</v>
      </c>
      <c r="C17" s="69" t="str">
        <f>'II Trimestre'!C17</f>
        <v>n.d</v>
      </c>
      <c r="D17" s="69">
        <f>+'I Trimestre'!D17+'II Trimestre'!D17</f>
        <v>740695</v>
      </c>
      <c r="E17" s="69">
        <f>+'I Trimestre'!E17+'II Trimestre'!E17</f>
        <v>11046</v>
      </c>
      <c r="F17" s="69">
        <f>+'I Trimestre'!F17+'II Trimestre'!F17</f>
        <v>2760</v>
      </c>
      <c r="G17" s="69">
        <f>+'I Trimestre'!G17+'II Trimestre'!G17</f>
        <v>47846</v>
      </c>
      <c r="H17" s="69">
        <f>+'I Trimestre'!H17+'II Trimestre'!H17</f>
        <v>322431</v>
      </c>
      <c r="I17" s="69">
        <f>+'I Trimestre'!I17+'II Trimestre'!I17</f>
        <v>157476</v>
      </c>
      <c r="J17" s="69" t="s">
        <v>48</v>
      </c>
    </row>
    <row r="18" spans="1:10" s="30" customFormat="1" x14ac:dyDescent="0.25">
      <c r="A18" s="29" t="s">
        <v>103</v>
      </c>
      <c r="B18" s="69">
        <v>194147</v>
      </c>
      <c r="C18" s="69">
        <v>145575</v>
      </c>
      <c r="D18" s="69">
        <v>188424</v>
      </c>
      <c r="E18" s="69">
        <v>1275</v>
      </c>
      <c r="F18" s="69">
        <v>127</v>
      </c>
      <c r="G18" s="69">
        <v>9383</v>
      </c>
      <c r="H18" s="69">
        <v>62052</v>
      </c>
      <c r="I18" s="69">
        <v>24898</v>
      </c>
      <c r="J18" s="69" t="s">
        <v>48</v>
      </c>
    </row>
    <row r="19" spans="1:10" s="30" customFormat="1" x14ac:dyDescent="0.25">
      <c r="A19" s="9" t="s">
        <v>56</v>
      </c>
      <c r="B19" s="69">
        <f>+'I Trimestre'!B19+'II Trimestre'!B19</f>
        <v>1295253</v>
      </c>
      <c r="C19" s="69" t="str">
        <f>'II Trimestre'!C19</f>
        <v>n.d</v>
      </c>
      <c r="D19" s="69">
        <f>+'I Trimestre'!D19+'II Trimestre'!D19</f>
        <v>933048</v>
      </c>
      <c r="E19" s="69">
        <f>+'I Trimestre'!E19+'II Trimestre'!E19</f>
        <v>3558</v>
      </c>
      <c r="F19" s="69">
        <f>+'I Trimestre'!F19+'II Trimestre'!F19</f>
        <v>365</v>
      </c>
      <c r="G19" s="69">
        <f>+'I Trimestre'!G19+'II Trimestre'!G19</f>
        <v>43593</v>
      </c>
      <c r="H19" s="69">
        <f>+'I Trimestre'!H19+'II Trimestre'!H19</f>
        <v>199233</v>
      </c>
      <c r="I19" s="69">
        <f>+'I Trimestre'!I19+'II Trimestre'!I19</f>
        <v>115456</v>
      </c>
      <c r="J19" s="69" t="s">
        <v>48</v>
      </c>
    </row>
    <row r="20" spans="1:10" s="30" customFormat="1" x14ac:dyDescent="0.25">
      <c r="A20" s="29" t="s">
        <v>91</v>
      </c>
      <c r="B20" s="69" t="str">
        <f>'II Trimestre'!B20</f>
        <v>n.d</v>
      </c>
      <c r="C20" s="69" t="str">
        <f>'II Trimestre'!C20</f>
        <v>n.d</v>
      </c>
      <c r="D20" s="69">
        <f>'II Trimestre'!D20</f>
        <v>137587</v>
      </c>
      <c r="E20" s="69">
        <f>'II Trimestre'!E20</f>
        <v>1842</v>
      </c>
      <c r="F20" s="69">
        <f>'II Trimestre'!F20</f>
        <v>461</v>
      </c>
      <c r="G20" s="69">
        <f>'II Trimestre'!G20</f>
        <v>7975</v>
      </c>
      <c r="H20" s="69">
        <f>'II Trimestre'!H20</f>
        <v>74017</v>
      </c>
      <c r="I20" s="69">
        <f>'II Trimestre'!I20</f>
        <v>26246</v>
      </c>
      <c r="J20" s="69" t="s">
        <v>48</v>
      </c>
    </row>
    <row r="21" spans="1:10" s="4" customFormat="1" x14ac:dyDescent="0.25">
      <c r="A21" s="30"/>
      <c r="B21" s="46"/>
      <c r="C21" s="46"/>
      <c r="D21" s="46"/>
      <c r="E21" s="46"/>
      <c r="F21" s="46"/>
      <c r="G21" s="46"/>
      <c r="H21" s="46"/>
      <c r="I21" s="46"/>
      <c r="J21" s="46"/>
    </row>
    <row r="22" spans="1:10" s="30" customFormat="1" x14ac:dyDescent="0.25">
      <c r="A22" s="52" t="s">
        <v>3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10" s="30" customFormat="1" x14ac:dyDescent="0.25">
      <c r="A23" s="29" t="s">
        <v>66</v>
      </c>
      <c r="B23" s="69">
        <f>C23+H23+G23+E23+F23+I23+J23</f>
        <v>58901600345.5</v>
      </c>
      <c r="C23" s="135">
        <f>+SUM('I Trimestre'!C23:D23+'II Trimestre'!C23:D23)</f>
        <v>24545510000</v>
      </c>
      <c r="D23" s="135"/>
      <c r="E23" s="69">
        <f>+SUM('I Trimestre'!E23+'II Trimestre'!E23)</f>
        <v>654705500</v>
      </c>
      <c r="F23" s="69">
        <f>+SUM('I Trimestre'!F23+'II Trimestre'!F23)</f>
        <v>147288200</v>
      </c>
      <c r="G23" s="69">
        <f>+SUM('I Trimestre'!G23+'II Trimestre'!G23)</f>
        <v>3158368936</v>
      </c>
      <c r="H23" s="69">
        <f>+SUM('I Trimestre'!H23+'II Trimestre'!H23)</f>
        <v>16912209717</v>
      </c>
      <c r="I23" s="69">
        <f>+SUM('I Trimestre'!I23+'II Trimestre'!I23)</f>
        <v>13340762869</v>
      </c>
      <c r="J23" s="69">
        <f>+SUM('I Trimestre'!J23+'II Trimestre'!J23)</f>
        <v>142755123.5</v>
      </c>
    </row>
    <row r="24" spans="1:10" s="30" customFormat="1" x14ac:dyDescent="0.25">
      <c r="A24" s="29" t="s">
        <v>102</v>
      </c>
      <c r="B24" s="69">
        <f>SUM(C24:J24)</f>
        <v>72267740000</v>
      </c>
      <c r="C24" s="135">
        <f>'I Trimestre'!C24:D24+'II Trimestre'!C24:D24</f>
        <v>25924325000</v>
      </c>
      <c r="D24" s="135"/>
      <c r="E24" s="69">
        <f>'I Trimestre'!E24+'II Trimestre'!E24</f>
        <v>861588000</v>
      </c>
      <c r="F24" s="69">
        <f>'I Trimestre'!F24+'II Trimestre'!F24</f>
        <v>861120000</v>
      </c>
      <c r="G24" s="69">
        <f>'I Trimestre'!G24+'II Trimestre'!G24</f>
        <v>3588450000</v>
      </c>
      <c r="H24" s="69">
        <f>'I Trimestre'!H24+'II Trimestre'!H24</f>
        <v>24182325000</v>
      </c>
      <c r="I24" s="69">
        <f>'I Trimestre'!I24+'II Trimestre'!I24</f>
        <v>16849932000</v>
      </c>
      <c r="J24" s="69" t="s">
        <v>57</v>
      </c>
    </row>
    <row r="25" spans="1:10" s="30" customFormat="1" x14ac:dyDescent="0.25">
      <c r="A25" s="29" t="s">
        <v>103</v>
      </c>
      <c r="B25" s="69">
        <f>SUM(C25:J25)</f>
        <v>61142629207.300003</v>
      </c>
      <c r="C25" s="135">
        <f>'I Trimestre'!C25:D25+'II Trimestre'!C25:D25</f>
        <v>25984130000</v>
      </c>
      <c r="D25" s="135"/>
      <c r="E25" s="69">
        <f>'I Trimestre'!E25+'II Trimestre'!E25</f>
        <v>332406000</v>
      </c>
      <c r="F25" s="69">
        <f>'I Trimestre'!F25+'II Trimestre'!F25</f>
        <v>97627000</v>
      </c>
      <c r="G25" s="69">
        <f>'I Trimestre'!G25+'II Trimestre'!G25</f>
        <v>3407876592</v>
      </c>
      <c r="H25" s="69">
        <f>'I Trimestre'!H25+'II Trimestre'!H25</f>
        <v>15519160661.999998</v>
      </c>
      <c r="I25" s="69">
        <f>'I Trimestre'!I25+'II Trimestre'!I25</f>
        <v>15638349862</v>
      </c>
      <c r="J25" s="69">
        <f>'I Trimestre'!J25+'II Trimestre'!J25</f>
        <v>163079091.29999998</v>
      </c>
    </row>
    <row r="26" spans="1:10" s="30" customFormat="1" x14ac:dyDescent="0.25">
      <c r="A26" s="29" t="s">
        <v>91</v>
      </c>
      <c r="B26" s="69">
        <f>SUM(C26:J26)</f>
        <v>136654745000</v>
      </c>
      <c r="C26" s="135">
        <f>+'II Trimestre'!C26</f>
        <v>49999985000</v>
      </c>
      <c r="D26" s="135"/>
      <c r="E26" s="69">
        <f>'II Trimestre'!E26</f>
        <v>1579656000</v>
      </c>
      <c r="F26" s="69">
        <f>'II Trimestre'!F26</f>
        <v>1579656000</v>
      </c>
      <c r="G26" s="69">
        <f>'II Trimestre'!G26</f>
        <v>7177200000</v>
      </c>
      <c r="H26" s="69">
        <f>'II Trimestre'!H26</f>
        <v>51043350000</v>
      </c>
      <c r="I26" s="69">
        <f>'II Trimestre'!I26</f>
        <v>25274898000</v>
      </c>
      <c r="J26" s="69" t="str">
        <f>'II Trimestre'!J26</f>
        <v xml:space="preserve">n.d. </v>
      </c>
    </row>
    <row r="27" spans="1:10" s="30" customFormat="1" x14ac:dyDescent="0.25">
      <c r="A27" s="29" t="s">
        <v>104</v>
      </c>
      <c r="B27" s="69">
        <f>SUM(C27:J27)</f>
        <v>61142629207.300003</v>
      </c>
      <c r="C27" s="135">
        <f>C25</f>
        <v>25984130000</v>
      </c>
      <c r="D27" s="135"/>
      <c r="E27" s="69">
        <f>E25</f>
        <v>332406000</v>
      </c>
      <c r="F27" s="69">
        <f t="shared" ref="F27:J27" si="0">F25</f>
        <v>97627000</v>
      </c>
      <c r="G27" s="69">
        <f t="shared" si="0"/>
        <v>3407876592</v>
      </c>
      <c r="H27" s="69">
        <f t="shared" si="0"/>
        <v>15519160661.999998</v>
      </c>
      <c r="I27" s="69">
        <f t="shared" si="0"/>
        <v>15638349862</v>
      </c>
      <c r="J27" s="69">
        <f t="shared" si="0"/>
        <v>163079091.29999998</v>
      </c>
    </row>
    <row r="28" spans="1:10" s="30" customFormat="1" x14ac:dyDescent="0.25">
      <c r="B28" s="46"/>
      <c r="C28" s="46"/>
      <c r="D28" s="46"/>
      <c r="E28" s="46"/>
      <c r="F28" s="46"/>
      <c r="G28" s="46"/>
      <c r="H28" s="46"/>
      <c r="I28" s="46"/>
      <c r="J28" s="46"/>
    </row>
    <row r="29" spans="1:10" s="30" customFormat="1" x14ac:dyDescent="0.25">
      <c r="A29" s="52" t="s">
        <v>4</v>
      </c>
      <c r="B29" s="46"/>
      <c r="C29" s="46"/>
      <c r="D29" s="46"/>
      <c r="E29" s="46"/>
      <c r="F29" s="46"/>
      <c r="G29" s="46"/>
      <c r="H29" s="46"/>
      <c r="I29" s="46"/>
      <c r="J29" s="46"/>
    </row>
    <row r="30" spans="1:10" s="30" customFormat="1" x14ac:dyDescent="0.25">
      <c r="A30" s="29" t="s">
        <v>102</v>
      </c>
      <c r="B30" s="69">
        <f>'I Trimestre'!B30+'II Trimestre'!B30</f>
        <v>72267740000</v>
      </c>
      <c r="C30" s="69"/>
      <c r="D30" s="69"/>
      <c r="E30" s="69"/>
      <c r="F30" s="69"/>
      <c r="G30" s="69"/>
      <c r="H30" s="69"/>
      <c r="I30" s="69"/>
      <c r="J30" s="69"/>
    </row>
    <row r="31" spans="1:10" s="30" customFormat="1" x14ac:dyDescent="0.25">
      <c r="A31" s="29" t="s">
        <v>103</v>
      </c>
      <c r="B31" s="69">
        <f>'I Trimestre'!B31+'II Trimestre'!B31</f>
        <v>73162766003.059998</v>
      </c>
      <c r="C31" s="69"/>
      <c r="D31" s="69"/>
      <c r="E31" s="69"/>
      <c r="F31" s="69"/>
      <c r="G31" s="69"/>
      <c r="H31" s="69"/>
      <c r="I31" s="69"/>
      <c r="J31" s="69"/>
    </row>
    <row r="32" spans="1:10" s="4" customFormat="1" x14ac:dyDescent="0.25">
      <c r="A32" s="30"/>
      <c r="B32" s="50"/>
      <c r="C32" s="50"/>
      <c r="D32" s="50"/>
      <c r="E32" s="50"/>
      <c r="F32" s="50"/>
      <c r="G32" s="50"/>
      <c r="H32" s="50"/>
      <c r="I32" s="50"/>
      <c r="J32" s="50"/>
    </row>
    <row r="33" spans="1:10" s="4" customFormat="1" x14ac:dyDescent="0.25">
      <c r="A33" s="5" t="s">
        <v>5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s="4" customFormat="1" x14ac:dyDescent="0.25">
      <c r="A34" s="29" t="s">
        <v>67</v>
      </c>
      <c r="B34" s="91">
        <v>1.0303325644000001</v>
      </c>
      <c r="C34" s="91">
        <v>1.0303325644000001</v>
      </c>
      <c r="D34" s="91">
        <v>1.0303325644000001</v>
      </c>
      <c r="E34" s="91">
        <v>1.0303325644000001</v>
      </c>
      <c r="F34" s="91">
        <v>1.0303325644000001</v>
      </c>
      <c r="G34" s="91">
        <v>1.0303325644000001</v>
      </c>
      <c r="H34" s="91">
        <v>1.0303325644000001</v>
      </c>
      <c r="I34" s="91">
        <v>1.0303325644000001</v>
      </c>
      <c r="J34" s="91">
        <v>1.0303325644000001</v>
      </c>
    </row>
    <row r="35" spans="1:10" s="4" customFormat="1" x14ac:dyDescent="0.25">
      <c r="A35" s="29" t="s">
        <v>105</v>
      </c>
      <c r="B35" s="91">
        <v>1.0552807376</v>
      </c>
      <c r="C35" s="91">
        <v>1.0552807376</v>
      </c>
      <c r="D35" s="91">
        <v>1.0552807376</v>
      </c>
      <c r="E35" s="91">
        <v>1.0552807376</v>
      </c>
      <c r="F35" s="91">
        <v>1.0552807376</v>
      </c>
      <c r="G35" s="91">
        <v>1.0552807376</v>
      </c>
      <c r="H35" s="91">
        <v>1.0552807376</v>
      </c>
      <c r="I35" s="91">
        <v>1.0552807376</v>
      </c>
      <c r="J35" s="91">
        <v>1.0552807376</v>
      </c>
    </row>
    <row r="36" spans="1:10" s="30" customFormat="1" x14ac:dyDescent="0.25">
      <c r="A36" s="29" t="s">
        <v>6</v>
      </c>
      <c r="B36" s="102">
        <v>376622</v>
      </c>
      <c r="C36" s="137">
        <v>147739</v>
      </c>
      <c r="D36" s="137"/>
      <c r="E36" s="102">
        <v>142525</v>
      </c>
      <c r="F36" s="102" t="s">
        <v>57</v>
      </c>
      <c r="G36" s="102">
        <v>85872</v>
      </c>
      <c r="H36" s="102" t="s">
        <v>57</v>
      </c>
      <c r="I36" s="102" t="s">
        <v>57</v>
      </c>
      <c r="J36" s="102" t="s">
        <v>57</v>
      </c>
    </row>
    <row r="37" spans="1:10" x14ac:dyDescent="0.25">
      <c r="A37" s="30"/>
      <c r="B37" s="100"/>
      <c r="C37" s="100"/>
      <c r="D37" s="100"/>
      <c r="E37" s="100"/>
      <c r="F37" s="101"/>
      <c r="G37" s="101"/>
      <c r="H37" s="101"/>
      <c r="I37" s="101"/>
      <c r="J37" s="101"/>
    </row>
    <row r="38" spans="1:10" s="4" customFormat="1" x14ac:dyDescent="0.25">
      <c r="A38" s="5" t="s">
        <v>7</v>
      </c>
      <c r="B38" s="100"/>
      <c r="C38" s="100"/>
      <c r="D38" s="100"/>
      <c r="E38" s="100"/>
      <c r="F38" s="100"/>
      <c r="G38" s="100"/>
      <c r="H38" s="100"/>
      <c r="I38" s="100"/>
      <c r="J38" s="100"/>
    </row>
    <row r="39" spans="1:10" s="30" customFormat="1" x14ac:dyDescent="0.25">
      <c r="A39" s="30" t="s">
        <v>82</v>
      </c>
      <c r="B39" s="82">
        <f>B23/B34</f>
        <v>57167561601.627655</v>
      </c>
      <c r="C39" s="136">
        <f>C23/C34</f>
        <v>23822900341.205597</v>
      </c>
      <c r="D39" s="136"/>
      <c r="E39" s="82">
        <f>E23/E34</f>
        <v>635431240.96175551</v>
      </c>
      <c r="F39" s="82">
        <f t="shared" ref="F39:J39" si="1">F23/F34</f>
        <v>142952096.33189771</v>
      </c>
      <c r="G39" s="82">
        <f t="shared" si="1"/>
        <v>3065387861.2865472</v>
      </c>
      <c r="H39" s="82">
        <f t="shared" si="1"/>
        <v>16414321260.289965</v>
      </c>
      <c r="I39" s="82">
        <f t="shared" si="1"/>
        <v>12948016329.82338</v>
      </c>
      <c r="J39" s="82">
        <f t="shared" si="1"/>
        <v>138552471.7285156</v>
      </c>
    </row>
    <row r="40" spans="1:10" s="30" customFormat="1" x14ac:dyDescent="0.25">
      <c r="A40" s="30" t="s">
        <v>106</v>
      </c>
      <c r="B40" s="82">
        <f>B25/B35</f>
        <v>57939680910.271553</v>
      </c>
      <c r="C40" s="136">
        <f>C25/C35</f>
        <v>24622954891.695541</v>
      </c>
      <c r="D40" s="136"/>
      <c r="E40" s="82">
        <f>E25/E35</f>
        <v>314992956.99832737</v>
      </c>
      <c r="F40" s="82">
        <f t="shared" ref="F40:J40" si="2">F25/F35</f>
        <v>92512822.911968216</v>
      </c>
      <c r="G40" s="82">
        <f t="shared" si="2"/>
        <v>3229355441.2359056</v>
      </c>
      <c r="H40" s="82">
        <f t="shared" si="2"/>
        <v>14706191546.047604</v>
      </c>
      <c r="I40" s="82">
        <f t="shared" si="2"/>
        <v>14819137036.05159</v>
      </c>
      <c r="J40" s="82">
        <f t="shared" si="2"/>
        <v>154536215.33061138</v>
      </c>
    </row>
    <row r="41" spans="1:10" s="30" customFormat="1" x14ac:dyDescent="0.25">
      <c r="A41" s="30" t="s">
        <v>83</v>
      </c>
      <c r="B41" s="82">
        <f>B39/B15</f>
        <v>293281.2870740784</v>
      </c>
      <c r="C41" s="136">
        <f>C39/D15</f>
        <v>132067.70190929127</v>
      </c>
      <c r="D41" s="136"/>
      <c r="E41" s="82">
        <f>E39/E15</f>
        <v>302011.04608448455</v>
      </c>
      <c r="F41" s="82">
        <f t="shared" ref="F41:I41" si="3">F39/F15</f>
        <v>693942.21520338696</v>
      </c>
      <c r="G41" s="82">
        <f t="shared" si="3"/>
        <v>211508.16678993634</v>
      </c>
      <c r="H41" s="82">
        <f t="shared" si="3"/>
        <v>235665.26338875198</v>
      </c>
      <c r="I41" s="82">
        <f t="shared" si="3"/>
        <v>564798.96749502199</v>
      </c>
      <c r="J41" s="102" t="s">
        <v>57</v>
      </c>
    </row>
    <row r="42" spans="1:10" s="30" customFormat="1" x14ac:dyDescent="0.25">
      <c r="A42" s="30" t="s">
        <v>107</v>
      </c>
      <c r="B42" s="82">
        <f>B40/B18</f>
        <v>298432.01754480653</v>
      </c>
      <c r="C42" s="136">
        <f>C40/D18</f>
        <v>130678.44272330245</v>
      </c>
      <c r="D42" s="136"/>
      <c r="E42" s="82">
        <f>E40/E18</f>
        <v>247053.29960653128</v>
      </c>
      <c r="F42" s="82">
        <f t="shared" ref="F42:I42" si="4">F40/F18</f>
        <v>728447.42450368672</v>
      </c>
      <c r="G42" s="82">
        <f t="shared" si="4"/>
        <v>344170.88790748222</v>
      </c>
      <c r="H42" s="82">
        <f t="shared" si="4"/>
        <v>236997.86543620841</v>
      </c>
      <c r="I42" s="82">
        <f t="shared" si="4"/>
        <v>595193.87244162546</v>
      </c>
      <c r="J42" s="102" t="s">
        <v>57</v>
      </c>
    </row>
    <row r="43" spans="1:10" s="30" customFormat="1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0" s="30" customFormat="1" x14ac:dyDescent="0.25">
      <c r="A44" s="5" t="s">
        <v>8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0" s="30" customFormat="1" x14ac:dyDescent="0.25">
      <c r="B45" s="79"/>
      <c r="C45" s="79"/>
      <c r="D45" s="79"/>
      <c r="E45" s="79"/>
      <c r="F45" s="79"/>
      <c r="G45" s="79"/>
      <c r="H45" s="79"/>
      <c r="I45" s="79"/>
      <c r="J45" s="79"/>
    </row>
    <row r="46" spans="1:10" s="30" customFormat="1" x14ac:dyDescent="0.25">
      <c r="A46" s="5" t="s">
        <v>9</v>
      </c>
      <c r="B46" s="79"/>
      <c r="C46" s="79"/>
      <c r="D46" s="79"/>
      <c r="E46" s="79"/>
      <c r="F46" s="79"/>
      <c r="G46" s="79"/>
      <c r="H46" s="79"/>
      <c r="I46" s="79"/>
      <c r="J46" s="79"/>
    </row>
    <row r="47" spans="1:10" s="30" customFormat="1" x14ac:dyDescent="0.25">
      <c r="A47" s="30" t="s">
        <v>10</v>
      </c>
      <c r="B47" s="104" t="s">
        <v>57</v>
      </c>
      <c r="C47" s="134">
        <f>D16/C36*100</f>
        <v>83.874941620019086</v>
      </c>
      <c r="D47" s="134"/>
      <c r="E47" s="105">
        <f>E16/E36*100</f>
        <v>1.2917032099631642</v>
      </c>
      <c r="F47" s="104" t="s">
        <v>48</v>
      </c>
      <c r="G47" s="105">
        <f t="shared" ref="G47" si="5">G16/G36*100</f>
        <v>9.2870784423327741</v>
      </c>
      <c r="H47" s="104" t="s">
        <v>57</v>
      </c>
      <c r="I47" s="104" t="s">
        <v>57</v>
      </c>
      <c r="J47" s="104" t="s">
        <v>57</v>
      </c>
    </row>
    <row r="48" spans="1:10" s="30" customFormat="1" x14ac:dyDescent="0.25">
      <c r="A48" s="30" t="s">
        <v>11</v>
      </c>
      <c r="B48" s="104">
        <f>(B18/B36)*100</f>
        <v>51.549564284614277</v>
      </c>
      <c r="C48" s="134">
        <f>D18/C36*100</f>
        <v>127.53842925700052</v>
      </c>
      <c r="D48" s="134"/>
      <c r="E48" s="105">
        <f>E18/E36*100</f>
        <v>0.89457989826346263</v>
      </c>
      <c r="F48" s="104" t="s">
        <v>48</v>
      </c>
      <c r="G48" s="105">
        <f t="shared" ref="G48" si="6">G18/G36*100</f>
        <v>10.926728153530837</v>
      </c>
      <c r="H48" s="104" t="s">
        <v>57</v>
      </c>
      <c r="I48" s="104" t="s">
        <v>57</v>
      </c>
      <c r="J48" s="104" t="s">
        <v>57</v>
      </c>
    </row>
    <row r="49" spans="1:10" s="30" customFormat="1" x14ac:dyDescent="0.25">
      <c r="B49" s="105"/>
      <c r="C49" s="105"/>
      <c r="D49" s="105"/>
      <c r="E49" s="105"/>
      <c r="F49" s="105"/>
      <c r="G49" s="105"/>
      <c r="H49" s="105"/>
      <c r="I49" s="105"/>
      <c r="J49" s="105"/>
    </row>
    <row r="50" spans="1:10" s="30" customFormat="1" x14ac:dyDescent="0.25">
      <c r="A50" s="5" t="s">
        <v>12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s="30" customFormat="1" x14ac:dyDescent="0.25">
      <c r="A51" s="30" t="s">
        <v>13</v>
      </c>
      <c r="B51" s="104" t="s">
        <v>57</v>
      </c>
      <c r="C51" s="104" t="s">
        <v>57</v>
      </c>
      <c r="D51" s="105">
        <f>D18/D16*100</f>
        <v>152.05784563736725</v>
      </c>
      <c r="E51" s="105">
        <f>E18/E16*100</f>
        <v>69.255839217816401</v>
      </c>
      <c r="F51" s="105">
        <f t="shared" ref="F51:I51" si="7">F18/F16*100</f>
        <v>27.608695652173914</v>
      </c>
      <c r="G51" s="105">
        <f t="shared" si="7"/>
        <v>117.65517241379311</v>
      </c>
      <c r="H51" s="105">
        <f t="shared" si="7"/>
        <v>100.74030781219561</v>
      </c>
      <c r="I51" s="105">
        <f t="shared" si="7"/>
        <v>94.863979273032086</v>
      </c>
      <c r="J51" s="104" t="s">
        <v>57</v>
      </c>
    </row>
    <row r="52" spans="1:10" s="30" customFormat="1" x14ac:dyDescent="0.25">
      <c r="A52" s="30" t="s">
        <v>14</v>
      </c>
      <c r="B52" s="105">
        <f>B25/B24*100</f>
        <v>84.605702637580762</v>
      </c>
      <c r="C52" s="134">
        <f>C25/C24*100</f>
        <v>100.23069067372052</v>
      </c>
      <c r="D52" s="134"/>
      <c r="E52" s="105">
        <f>E25/E24*100</f>
        <v>38.580620900012534</v>
      </c>
      <c r="F52" s="105">
        <f t="shared" ref="F52:I52" si="8">F25/F24*100</f>
        <v>11.337212002972873</v>
      </c>
      <c r="G52" s="105">
        <f t="shared" si="8"/>
        <v>94.967927433850278</v>
      </c>
      <c r="H52" s="105">
        <f t="shared" si="8"/>
        <v>64.175635146744568</v>
      </c>
      <c r="I52" s="105">
        <f t="shared" si="8"/>
        <v>92.809572537147332</v>
      </c>
      <c r="J52" s="104" t="s">
        <v>57</v>
      </c>
    </row>
    <row r="53" spans="1:10" s="30" customFormat="1" x14ac:dyDescent="0.25">
      <c r="A53" s="30" t="s">
        <v>15</v>
      </c>
      <c r="B53" s="104" t="s">
        <v>57</v>
      </c>
      <c r="C53" s="104" t="s">
        <v>57</v>
      </c>
      <c r="D53" s="105">
        <f>AVERAGE(D51,C52)</f>
        <v>126.14426815554388</v>
      </c>
      <c r="E53" s="105">
        <f>AVERAGE(E51:E52)</f>
        <v>53.918230058914467</v>
      </c>
      <c r="F53" s="105">
        <f t="shared" ref="F53:I53" si="9">AVERAGE(F51:F52)</f>
        <v>19.472953827573392</v>
      </c>
      <c r="G53" s="105">
        <f t="shared" si="9"/>
        <v>106.3115499238217</v>
      </c>
      <c r="H53" s="105">
        <f t="shared" si="9"/>
        <v>82.457971479470089</v>
      </c>
      <c r="I53" s="105">
        <f t="shared" si="9"/>
        <v>93.836775905089709</v>
      </c>
      <c r="J53" s="104" t="s">
        <v>57</v>
      </c>
    </row>
    <row r="54" spans="1:10" s="30" customFormat="1" x14ac:dyDescent="0.25">
      <c r="B54" s="105"/>
      <c r="C54" s="105"/>
      <c r="D54" s="105"/>
      <c r="E54" s="105"/>
      <c r="F54" s="105"/>
      <c r="G54" s="105"/>
      <c r="H54" s="105"/>
      <c r="I54" s="105"/>
      <c r="J54" s="105"/>
    </row>
    <row r="55" spans="1:10" s="30" customFormat="1" x14ac:dyDescent="0.25">
      <c r="A55" s="5" t="s">
        <v>16</v>
      </c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s="30" customFormat="1" x14ac:dyDescent="0.25">
      <c r="A56" s="30" t="s">
        <v>17</v>
      </c>
      <c r="B56" s="104" t="s">
        <v>57</v>
      </c>
      <c r="C56" s="134">
        <f>D18/D20*100</f>
        <v>136.94898500585083</v>
      </c>
      <c r="D56" s="134"/>
      <c r="E56" s="105">
        <f>E18/E20*100</f>
        <v>69.218241042345269</v>
      </c>
      <c r="F56" s="105">
        <f>F18/F20*100</f>
        <v>27.548806941431671</v>
      </c>
      <c r="G56" s="105">
        <f t="shared" ref="G56:I56" si="10">G18/G20*100</f>
        <v>117.65517241379311</v>
      </c>
      <c r="H56" s="105">
        <f t="shared" si="10"/>
        <v>83.834794709323532</v>
      </c>
      <c r="I56" s="105">
        <f t="shared" si="10"/>
        <v>94.863979273032086</v>
      </c>
      <c r="J56" s="104" t="s">
        <v>57</v>
      </c>
    </row>
    <row r="57" spans="1:10" s="30" customFormat="1" x14ac:dyDescent="0.25">
      <c r="A57" s="30" t="s">
        <v>18</v>
      </c>
      <c r="B57" s="105">
        <f>B25/B26*100</f>
        <v>44.742412133073024</v>
      </c>
      <c r="C57" s="134">
        <f>C25/C26*100</f>
        <v>51.968275590482683</v>
      </c>
      <c r="D57" s="134"/>
      <c r="E57" s="105">
        <f>E25/E26*100</f>
        <v>21.042935930354457</v>
      </c>
      <c r="F57" s="105">
        <f t="shared" ref="F57:I57" si="11">F25/F26*100</f>
        <v>6.1802696283241412</v>
      </c>
      <c r="G57" s="105">
        <f t="shared" si="11"/>
        <v>47.481978933288751</v>
      </c>
      <c r="H57" s="105">
        <f t="shared" si="11"/>
        <v>30.403883487271109</v>
      </c>
      <c r="I57" s="105">
        <f t="shared" si="11"/>
        <v>61.873048358098224</v>
      </c>
      <c r="J57" s="104" t="s">
        <v>57</v>
      </c>
    </row>
    <row r="58" spans="1:10" s="30" customFormat="1" x14ac:dyDescent="0.25">
      <c r="A58" s="30" t="s">
        <v>19</v>
      </c>
      <c r="B58" s="104" t="s">
        <v>57</v>
      </c>
      <c r="C58" s="134">
        <f>(C56+C57)/2</f>
        <v>94.458630298166753</v>
      </c>
      <c r="D58" s="134"/>
      <c r="E58" s="105">
        <f>(E56+E57)/2</f>
        <v>45.130588486349865</v>
      </c>
      <c r="F58" s="105">
        <f t="shared" ref="F58:I58" si="12">(F56+F57)/2</f>
        <v>16.864538284877906</v>
      </c>
      <c r="G58" s="105">
        <f t="shared" si="12"/>
        <v>82.568575673540934</v>
      </c>
      <c r="H58" s="105">
        <f t="shared" si="12"/>
        <v>57.119339098297317</v>
      </c>
      <c r="I58" s="105">
        <f t="shared" si="12"/>
        <v>78.368513815565152</v>
      </c>
      <c r="J58" s="104" t="s">
        <v>57</v>
      </c>
    </row>
    <row r="59" spans="1:10" s="30" customFormat="1" x14ac:dyDescent="0.25">
      <c r="B59" s="105"/>
      <c r="C59" s="105"/>
      <c r="D59" s="105"/>
      <c r="E59" s="105"/>
      <c r="F59" s="105"/>
      <c r="G59" s="105"/>
      <c r="H59" s="105"/>
      <c r="I59" s="105"/>
      <c r="J59" s="105"/>
    </row>
    <row r="60" spans="1:10" s="30" customFormat="1" x14ac:dyDescent="0.25">
      <c r="A60" s="5" t="s">
        <v>30</v>
      </c>
      <c r="B60" s="105"/>
      <c r="C60" s="105"/>
      <c r="D60" s="105"/>
      <c r="E60" s="105"/>
      <c r="F60" s="105"/>
      <c r="G60" s="105"/>
      <c r="H60" s="105"/>
      <c r="I60" s="105"/>
      <c r="J60" s="105"/>
    </row>
    <row r="61" spans="1:10" s="30" customFormat="1" x14ac:dyDescent="0.25">
      <c r="A61" s="30" t="s">
        <v>20</v>
      </c>
      <c r="B61" s="105">
        <f>B27/B25*100</f>
        <v>100</v>
      </c>
      <c r="C61" s="134">
        <f>C27/C25*100</f>
        <v>100</v>
      </c>
      <c r="D61" s="134"/>
      <c r="E61" s="105">
        <f>E27/E25*100</f>
        <v>100</v>
      </c>
      <c r="F61" s="105">
        <f t="shared" ref="F61:J61" si="13">F27/F25*100</f>
        <v>100</v>
      </c>
      <c r="G61" s="105">
        <f t="shared" si="13"/>
        <v>100</v>
      </c>
      <c r="H61" s="105">
        <f t="shared" si="13"/>
        <v>100</v>
      </c>
      <c r="I61" s="105">
        <f t="shared" si="13"/>
        <v>100</v>
      </c>
      <c r="J61" s="105">
        <f t="shared" si="13"/>
        <v>100</v>
      </c>
    </row>
    <row r="62" spans="1:10" s="30" customFormat="1" x14ac:dyDescent="0.25"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s="30" customFormat="1" x14ac:dyDescent="0.25">
      <c r="A63" s="5" t="s">
        <v>21</v>
      </c>
      <c r="B63" s="105"/>
      <c r="C63" s="105"/>
      <c r="D63" s="105"/>
      <c r="E63" s="105"/>
      <c r="F63" s="105"/>
      <c r="G63" s="105"/>
      <c r="H63" s="105"/>
      <c r="I63" s="105"/>
      <c r="J63" s="105"/>
    </row>
    <row r="64" spans="1:10" s="30" customFormat="1" x14ac:dyDescent="0.25">
      <c r="A64" s="30" t="s">
        <v>22</v>
      </c>
      <c r="B64" s="105">
        <f>((B18/B15)-1)*100</f>
        <v>-0.39861689684184132</v>
      </c>
      <c r="C64" s="134">
        <f>((D18/D15)-1)*100</f>
        <v>4.4571580627993601</v>
      </c>
      <c r="D64" s="134"/>
      <c r="E64" s="105">
        <f>((E18/E15)-1)*100</f>
        <v>-39.401140684410649</v>
      </c>
      <c r="F64" s="105">
        <f t="shared" ref="F64:I64" si="14">((F18/F15)-1)*100</f>
        <v>-38.349514563106801</v>
      </c>
      <c r="G64" s="105">
        <f t="shared" si="14"/>
        <v>-35.258400607189678</v>
      </c>
      <c r="H64" s="105">
        <f t="shared" si="14"/>
        <v>-10.910108971874056</v>
      </c>
      <c r="I64" s="105">
        <f t="shared" si="14"/>
        <v>8.6063249727371893</v>
      </c>
      <c r="J64" s="104" t="s">
        <v>57</v>
      </c>
    </row>
    <row r="65" spans="1:10" s="30" customFormat="1" x14ac:dyDescent="0.25">
      <c r="A65" s="30" t="s">
        <v>23</v>
      </c>
      <c r="B65" s="105">
        <f>((B40/B39)-1)*100</f>
        <v>1.3506248771364637</v>
      </c>
      <c r="C65" s="134">
        <f>((C40/C39)-1)*100</f>
        <v>3.3583423471999385</v>
      </c>
      <c r="D65" s="134"/>
      <c r="E65" s="105">
        <f>((E40/E39)-1)*100</f>
        <v>-50.428474917038947</v>
      </c>
      <c r="F65" s="105">
        <f t="shared" ref="F65:J65" si="15">((F40/F39)-1)*100</f>
        <v>-35.284038999206125</v>
      </c>
      <c r="G65" s="105">
        <f t="shared" si="15"/>
        <v>5.3489994535484753</v>
      </c>
      <c r="H65" s="105">
        <f t="shared" si="15"/>
        <v>-10.406337777576713</v>
      </c>
      <c r="I65" s="105">
        <f t="shared" si="15"/>
        <v>14.451022137795944</v>
      </c>
      <c r="J65" s="105">
        <f t="shared" si="15"/>
        <v>11.536238511439102</v>
      </c>
    </row>
    <row r="66" spans="1:10" s="30" customFormat="1" x14ac:dyDescent="0.25">
      <c r="A66" s="30" t="s">
        <v>24</v>
      </c>
      <c r="B66" s="105">
        <f>((B42/B41)-1)*100</f>
        <v>1.7562424531460508</v>
      </c>
      <c r="C66" s="134">
        <f>((C42/C41)-1)*100</f>
        <v>-1.0519295527251726</v>
      </c>
      <c r="D66" s="134"/>
      <c r="E66" s="105">
        <f>((E42/E41)-1)*100</f>
        <v>-18.197263706235233</v>
      </c>
      <c r="F66" s="105">
        <f t="shared" ref="F66:I66" si="16">((F42/F41)-1)*100</f>
        <v>4.9723461902640764</v>
      </c>
      <c r="G66" s="105">
        <f t="shared" si="16"/>
        <v>62.722268899102396</v>
      </c>
      <c r="H66" s="105">
        <f t="shared" si="16"/>
        <v>0.56546392467615725</v>
      </c>
      <c r="I66" s="105">
        <f t="shared" si="16"/>
        <v>5.381543999878402</v>
      </c>
      <c r="J66" s="104" t="s">
        <v>57</v>
      </c>
    </row>
    <row r="67" spans="1:10" s="30" customFormat="1" x14ac:dyDescent="0.25">
      <c r="B67" s="105"/>
      <c r="C67" s="105"/>
      <c r="D67" s="105"/>
      <c r="E67" s="105"/>
      <c r="F67" s="105"/>
      <c r="G67" s="105"/>
      <c r="H67" s="105"/>
      <c r="I67" s="105"/>
      <c r="J67" s="105"/>
    </row>
    <row r="68" spans="1:10" s="30" customFormat="1" x14ac:dyDescent="0.25">
      <c r="A68" s="5" t="s">
        <v>25</v>
      </c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 s="30" customFormat="1" x14ac:dyDescent="0.25">
      <c r="A69" s="30" t="s">
        <v>35</v>
      </c>
      <c r="B69" s="105">
        <f>(B24/B17)*6</f>
        <v>338159.55341141456</v>
      </c>
      <c r="C69" s="134">
        <f>(C24/D17)*6</f>
        <v>210000</v>
      </c>
      <c r="D69" s="134"/>
      <c r="E69" s="105">
        <f>(E24/E17)*6</f>
        <v>468000</v>
      </c>
      <c r="F69" s="105">
        <f t="shared" ref="F69:I69" si="17">(F24/F17)*6</f>
        <v>1872000</v>
      </c>
      <c r="G69" s="105">
        <f t="shared" si="17"/>
        <v>450000</v>
      </c>
      <c r="H69" s="105">
        <f t="shared" si="17"/>
        <v>450000</v>
      </c>
      <c r="I69" s="105">
        <f t="shared" si="17"/>
        <v>642000</v>
      </c>
      <c r="J69" s="104" t="s">
        <v>57</v>
      </c>
    </row>
    <row r="70" spans="1:10" s="30" customFormat="1" x14ac:dyDescent="0.25">
      <c r="A70" s="30" t="s">
        <v>36</v>
      </c>
      <c r="B70" s="105">
        <f>(B25/B19)*6</f>
        <v>283230.97900085931</v>
      </c>
      <c r="C70" s="134">
        <f>(C25/D19)*6</f>
        <v>167091.9181006765</v>
      </c>
      <c r="D70" s="134"/>
      <c r="E70" s="105">
        <f>(E25/E19)*6</f>
        <v>560549.74704890384</v>
      </c>
      <c r="F70" s="105">
        <f t="shared" ref="F70:I70" si="18">(F25/F19)*6</f>
        <v>1604827.397260274</v>
      </c>
      <c r="G70" s="105">
        <f t="shared" si="18"/>
        <v>469049.14899181062</v>
      </c>
      <c r="H70" s="105">
        <f t="shared" si="18"/>
        <v>467367.17296833347</v>
      </c>
      <c r="I70" s="105">
        <f t="shared" si="18"/>
        <v>812691.40773974499</v>
      </c>
      <c r="J70" s="104" t="s">
        <v>57</v>
      </c>
    </row>
    <row r="71" spans="1:10" s="30" customFormat="1" x14ac:dyDescent="0.25">
      <c r="A71" s="30" t="s">
        <v>26</v>
      </c>
      <c r="B71" s="104" t="s">
        <v>57</v>
      </c>
      <c r="C71" s="134">
        <f>(C70/C69)*D53</f>
        <v>100.36994154055196</v>
      </c>
      <c r="D71" s="134"/>
      <c r="E71" s="105">
        <f>E70/E69*E53</f>
        <v>64.580876540275867</v>
      </c>
      <c r="F71" s="105">
        <f t="shared" ref="F71:I71" si="19">F70/F69*F53</f>
        <v>16.693765923116505</v>
      </c>
      <c r="G71" s="105">
        <f t="shared" si="19"/>
        <v>110.81187115504213</v>
      </c>
      <c r="H71" s="105">
        <f t="shared" si="19"/>
        <v>85.640331153474222</v>
      </c>
      <c r="I71" s="105">
        <f t="shared" si="19"/>
        <v>118.78557867300053</v>
      </c>
      <c r="J71" s="104" t="s">
        <v>57</v>
      </c>
    </row>
    <row r="72" spans="1:10" s="30" customFormat="1" x14ac:dyDescent="0.25">
      <c r="A72" s="30" t="s">
        <v>33</v>
      </c>
      <c r="B72" s="105">
        <f>B24/B17</f>
        <v>56359.925568569095</v>
      </c>
      <c r="C72" s="134">
        <f>C24/D17</f>
        <v>35000</v>
      </c>
      <c r="D72" s="134"/>
      <c r="E72" s="105">
        <f>E24/E17</f>
        <v>78000</v>
      </c>
      <c r="F72" s="105">
        <f>F24/F17</f>
        <v>312000</v>
      </c>
      <c r="G72" s="105">
        <f t="shared" ref="G72:I72" si="20">G24/G17</f>
        <v>75000</v>
      </c>
      <c r="H72" s="105">
        <f t="shared" si="20"/>
        <v>75000</v>
      </c>
      <c r="I72" s="105">
        <f t="shared" si="20"/>
        <v>107000</v>
      </c>
      <c r="J72" s="104" t="s">
        <v>57</v>
      </c>
    </row>
    <row r="73" spans="1:10" s="30" customFormat="1" x14ac:dyDescent="0.25">
      <c r="A73" s="30" t="s">
        <v>34</v>
      </c>
      <c r="B73" s="105">
        <f>B25/B19</f>
        <v>47205.163166809885</v>
      </c>
      <c r="C73" s="134">
        <f>C25/D19</f>
        <v>27848.653016779415</v>
      </c>
      <c r="D73" s="134"/>
      <c r="E73" s="105">
        <f>E25/E19</f>
        <v>93424.957841483978</v>
      </c>
      <c r="F73" s="105">
        <f t="shared" ref="F73:I73" si="21">F25/F19</f>
        <v>267471.23287671234</v>
      </c>
      <c r="G73" s="105">
        <f t="shared" si="21"/>
        <v>78174.858165301775</v>
      </c>
      <c r="H73" s="105">
        <f t="shared" si="21"/>
        <v>77894.528828055583</v>
      </c>
      <c r="I73" s="105">
        <f t="shared" si="21"/>
        <v>135448.56795662417</v>
      </c>
      <c r="J73" s="104" t="s">
        <v>57</v>
      </c>
    </row>
    <row r="74" spans="1:10" s="30" customFormat="1" x14ac:dyDescent="0.25"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s="30" customFormat="1" x14ac:dyDescent="0.25">
      <c r="A75" s="5" t="s">
        <v>27</v>
      </c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s="30" customFormat="1" x14ac:dyDescent="0.25">
      <c r="A76" s="30" t="s">
        <v>28</v>
      </c>
      <c r="B76" s="105">
        <f>(B31/B30)*100</f>
        <v>101.23848622228951</v>
      </c>
      <c r="C76" s="105"/>
      <c r="D76" s="105"/>
      <c r="E76" s="105"/>
      <c r="F76" s="105"/>
      <c r="G76" s="105"/>
      <c r="H76" s="105"/>
      <c r="I76" s="105"/>
      <c r="J76" s="105"/>
    </row>
    <row r="77" spans="1:10" s="30" customFormat="1" x14ac:dyDescent="0.25">
      <c r="A77" s="30" t="s">
        <v>29</v>
      </c>
      <c r="B77" s="105">
        <f>(B25/B31)*100</f>
        <v>83.570691141916015</v>
      </c>
      <c r="C77" s="105"/>
      <c r="D77" s="105"/>
      <c r="E77" s="105"/>
      <c r="F77" s="105"/>
      <c r="G77" s="105"/>
      <c r="H77" s="105"/>
      <c r="I77" s="105"/>
      <c r="J77" s="105"/>
    </row>
    <row r="78" spans="1:10" s="4" customFormat="1" ht="15.75" thickBot="1" x14ac:dyDescent="0.3">
      <c r="A78" s="19"/>
      <c r="B78" s="49"/>
      <c r="C78" s="49"/>
      <c r="D78" s="49"/>
      <c r="E78" s="49"/>
      <c r="F78" s="49"/>
      <c r="G78" s="49"/>
      <c r="H78" s="49"/>
      <c r="I78" s="49"/>
      <c r="J78" s="49"/>
    </row>
    <row r="79" spans="1:10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0" x14ac:dyDescent="0.25">
      <c r="A80" s="12"/>
    </row>
    <row r="81" spans="1:5" x14ac:dyDescent="0.25">
      <c r="A81" s="2"/>
      <c r="B81" s="8"/>
    </row>
    <row r="82" spans="1:5" x14ac:dyDescent="0.25">
      <c r="A82" s="2"/>
      <c r="B82" s="6"/>
      <c r="C82" s="6"/>
      <c r="D82" s="6"/>
      <c r="E82" s="6"/>
    </row>
    <row r="83" spans="1:5" x14ac:dyDescent="0.25">
      <c r="A83" s="2"/>
    </row>
    <row r="84" spans="1:5" x14ac:dyDescent="0.25">
      <c r="A84" s="14"/>
    </row>
    <row r="85" spans="1:5" x14ac:dyDescent="0.25">
      <c r="A85" s="13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11"/>
    </row>
    <row r="90" spans="1:5" x14ac:dyDescent="0.25">
      <c r="A90" s="11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5" spans="1:5" x14ac:dyDescent="0.25">
      <c r="A95" s="15"/>
    </row>
  </sheetData>
  <mergeCells count="30">
    <mergeCell ref="C39:D39"/>
    <mergeCell ref="C40:D40"/>
    <mergeCell ref="C41:D41"/>
    <mergeCell ref="C42:D42"/>
    <mergeCell ref="C36:D36"/>
    <mergeCell ref="C27:D27"/>
    <mergeCell ref="A9:A10"/>
    <mergeCell ref="C9:J9"/>
    <mergeCell ref="C26:D26"/>
    <mergeCell ref="B9:B10"/>
    <mergeCell ref="C23:D23"/>
    <mergeCell ref="C24:D24"/>
    <mergeCell ref="C25:D25"/>
    <mergeCell ref="C10:D10"/>
    <mergeCell ref="A79:F79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61:D61"/>
  </mergeCells>
  <pageMargins left="0.7" right="0.7" top="0.75" bottom="0.75" header="0.3" footer="0.3"/>
  <pageSetup orientation="portrait" horizontalDpi="4294967292" verticalDpi="4294967292" r:id="rId1"/>
  <ignoredErrors>
    <ignoredError sqref="C23:D25" formulaRange="1"/>
    <ignoredError sqref="B49:J50 C47:G47 B48:G48 B54:J55 D53:I53 B52:I52 D51:I51 B59:J63 C58:I58 B57:I57 C56:I56 B67:J68 B66:I66 B65:J65 B64:I64 B74:J78 C71:I71 B69:I70 B72:I73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30" customWidth="1"/>
    <col min="2" max="12" width="18.7109375" style="30" customWidth="1"/>
    <col min="13" max="16384" width="11.42578125" style="30"/>
  </cols>
  <sheetData>
    <row r="8" spans="1:12" ht="18" customHeight="1" x14ac:dyDescent="0.25"/>
    <row r="9" spans="1:12" s="10" customFormat="1" x14ac:dyDescent="0.25">
      <c r="A9" s="121" t="s">
        <v>0</v>
      </c>
      <c r="B9" s="123" t="s">
        <v>86</v>
      </c>
      <c r="C9" s="128" t="s">
        <v>87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2" s="10" customFormat="1" ht="51.75" customHeight="1" thickBot="1" x14ac:dyDescent="0.3">
      <c r="A10" s="122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88</v>
      </c>
      <c r="J10" s="139" t="s">
        <v>108</v>
      </c>
      <c r="K10" s="139"/>
      <c r="L10" s="42" t="s">
        <v>54</v>
      </c>
    </row>
    <row r="11" spans="1:12" ht="15.75" thickTop="1" x14ac:dyDescent="0.25">
      <c r="E11" s="36"/>
    </row>
    <row r="12" spans="1:12" x14ac:dyDescent="0.25">
      <c r="A12" s="5" t="s">
        <v>2</v>
      </c>
    </row>
    <row r="14" spans="1:12" x14ac:dyDescent="0.25">
      <c r="A14" s="5" t="s">
        <v>41</v>
      </c>
      <c r="B14" s="60" t="s">
        <v>65</v>
      </c>
      <c r="C14" s="60" t="s">
        <v>42</v>
      </c>
      <c r="D14" s="60" t="s">
        <v>43</v>
      </c>
      <c r="E14" s="61" t="s">
        <v>42</v>
      </c>
      <c r="F14" s="61" t="s">
        <v>42</v>
      </c>
      <c r="G14" s="61" t="s">
        <v>42</v>
      </c>
      <c r="H14" s="56" t="s">
        <v>134</v>
      </c>
      <c r="I14" s="61" t="s">
        <v>51</v>
      </c>
      <c r="J14" s="61" t="s">
        <v>42</v>
      </c>
      <c r="K14" s="61" t="s">
        <v>121</v>
      </c>
      <c r="L14" s="61" t="s">
        <v>65</v>
      </c>
    </row>
    <row r="15" spans="1:12" x14ac:dyDescent="0.25">
      <c r="A15" s="29" t="s">
        <v>59</v>
      </c>
      <c r="B15" s="69">
        <v>200993</v>
      </c>
      <c r="C15" s="69">
        <v>140594</v>
      </c>
      <c r="D15" s="69">
        <v>181199</v>
      </c>
      <c r="E15" s="69">
        <v>2271</v>
      </c>
      <c r="F15" s="69">
        <v>226</v>
      </c>
      <c r="G15" s="69">
        <v>14238</v>
      </c>
      <c r="H15" s="69">
        <v>75071</v>
      </c>
      <c r="I15" s="69">
        <v>21386</v>
      </c>
      <c r="J15" s="69" t="s">
        <v>57</v>
      </c>
      <c r="K15" s="62" t="s">
        <v>57</v>
      </c>
      <c r="L15" s="62" t="s">
        <v>48</v>
      </c>
    </row>
    <row r="16" spans="1:12" x14ac:dyDescent="0.25">
      <c r="A16" s="29" t="s">
        <v>109</v>
      </c>
      <c r="B16" s="70" t="s">
        <v>49</v>
      </c>
      <c r="C16" s="70" t="s">
        <v>49</v>
      </c>
      <c r="D16" s="69">
        <v>138253</v>
      </c>
      <c r="E16" s="69">
        <v>2046</v>
      </c>
      <c r="F16" s="69">
        <v>507</v>
      </c>
      <c r="G16" s="69">
        <v>8018</v>
      </c>
      <c r="H16" s="69">
        <v>82213</v>
      </c>
      <c r="I16" s="69">
        <v>28558</v>
      </c>
      <c r="J16" s="69" t="s">
        <v>57</v>
      </c>
      <c r="K16" s="69">
        <v>72640</v>
      </c>
      <c r="L16" s="62" t="s">
        <v>48</v>
      </c>
    </row>
    <row r="17" spans="1:13" x14ac:dyDescent="0.25">
      <c r="A17" s="9" t="s">
        <v>56</v>
      </c>
      <c r="B17" s="70">
        <f>+SUM(D17+E17+F17+G17+H17+I17+K17)</f>
        <v>988179</v>
      </c>
      <c r="C17" s="70" t="s">
        <v>49</v>
      </c>
      <c r="D17" s="69">
        <v>414700</v>
      </c>
      <c r="E17" s="69">
        <v>6138</v>
      </c>
      <c r="F17" s="69">
        <v>1519</v>
      </c>
      <c r="G17" s="69">
        <v>24054</v>
      </c>
      <c r="H17" s="69">
        <v>238174</v>
      </c>
      <c r="I17" s="69">
        <v>85674</v>
      </c>
      <c r="J17" s="69" t="s">
        <v>57</v>
      </c>
      <c r="K17" s="69">
        <v>217920</v>
      </c>
      <c r="L17" s="62" t="s">
        <v>48</v>
      </c>
    </row>
    <row r="18" spans="1:13" x14ac:dyDescent="0.25">
      <c r="A18" s="29" t="s">
        <v>110</v>
      </c>
      <c r="B18" s="69">
        <v>308964</v>
      </c>
      <c r="C18" s="69">
        <v>143620</v>
      </c>
      <c r="D18" s="69">
        <v>184563</v>
      </c>
      <c r="E18" s="69">
        <v>1566</v>
      </c>
      <c r="F18" s="69">
        <v>151</v>
      </c>
      <c r="G18" s="69">
        <v>9275</v>
      </c>
      <c r="H18" s="69">
        <v>93490</v>
      </c>
      <c r="I18" s="69">
        <v>23746</v>
      </c>
      <c r="J18" s="69">
        <v>163919</v>
      </c>
      <c r="K18" s="69">
        <v>200039</v>
      </c>
      <c r="L18" s="62" t="s">
        <v>48</v>
      </c>
    </row>
    <row r="19" spans="1:13" x14ac:dyDescent="0.25">
      <c r="A19" s="9" t="s">
        <v>56</v>
      </c>
      <c r="B19" s="70">
        <f>+SUM(D19,E19,F19,G19,H19,I19+K19)</f>
        <v>1417624</v>
      </c>
      <c r="C19" s="69" t="s">
        <v>49</v>
      </c>
      <c r="D19" s="69">
        <v>509732</v>
      </c>
      <c r="E19" s="69">
        <v>4280</v>
      </c>
      <c r="F19" s="69">
        <v>396</v>
      </c>
      <c r="G19" s="69">
        <v>26184</v>
      </c>
      <c r="H19" s="69">
        <v>225393</v>
      </c>
      <c r="I19" s="69">
        <v>64337</v>
      </c>
      <c r="J19" s="69" t="s">
        <v>57</v>
      </c>
      <c r="K19" s="69">
        <v>587302</v>
      </c>
      <c r="L19" s="62" t="s">
        <v>48</v>
      </c>
    </row>
    <row r="20" spans="1:13" x14ac:dyDescent="0.25">
      <c r="A20" s="29" t="s">
        <v>91</v>
      </c>
      <c r="B20" s="69" t="s">
        <v>49</v>
      </c>
      <c r="C20" s="69" t="s">
        <v>49</v>
      </c>
      <c r="D20" s="69">
        <v>138253</v>
      </c>
      <c r="E20" s="69">
        <v>2049</v>
      </c>
      <c r="F20" s="69">
        <v>508</v>
      </c>
      <c r="G20" s="69">
        <v>8019</v>
      </c>
      <c r="H20" s="69">
        <v>83332</v>
      </c>
      <c r="I20" s="69">
        <v>28559</v>
      </c>
      <c r="J20" s="69" t="s">
        <v>57</v>
      </c>
      <c r="K20" s="69">
        <v>72641</v>
      </c>
      <c r="L20" s="62" t="s">
        <v>48</v>
      </c>
    </row>
    <row r="21" spans="1:13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100"/>
      <c r="L21" s="100"/>
      <c r="M21" s="51"/>
    </row>
    <row r="22" spans="1:13" x14ac:dyDescent="0.25">
      <c r="A22" s="52" t="s">
        <v>3</v>
      </c>
      <c r="B22" s="46"/>
      <c r="C22" s="46"/>
      <c r="D22" s="46"/>
      <c r="E22" s="46"/>
      <c r="F22" s="46"/>
      <c r="G22" s="46"/>
      <c r="H22" s="46"/>
      <c r="I22" s="46"/>
      <c r="J22" s="46"/>
      <c r="K22" s="100"/>
      <c r="L22" s="100"/>
      <c r="M22" s="51"/>
    </row>
    <row r="23" spans="1:13" x14ac:dyDescent="0.25">
      <c r="A23" s="29" t="s">
        <v>59</v>
      </c>
      <c r="B23" s="69">
        <f>SUM(C23+E23+F23+G23+H23+I23+L23)</f>
        <v>34598857134.320007</v>
      </c>
      <c r="C23" s="135">
        <v>13103965000</v>
      </c>
      <c r="D23" s="135"/>
      <c r="E23" s="69">
        <v>535753000</v>
      </c>
      <c r="F23" s="69">
        <v>114058100.00000003</v>
      </c>
      <c r="G23" s="69">
        <v>2083977598</v>
      </c>
      <c r="H23" s="69">
        <v>12073568268.000004</v>
      </c>
      <c r="I23" s="69">
        <v>6676962010.000001</v>
      </c>
      <c r="J23" s="135" t="s">
        <v>57</v>
      </c>
      <c r="K23" s="135"/>
      <c r="L23" s="69">
        <v>10573158.32</v>
      </c>
    </row>
    <row r="24" spans="1:13" x14ac:dyDescent="0.25">
      <c r="A24" s="29" t="s">
        <v>109</v>
      </c>
      <c r="B24" s="69">
        <f>SUM(C24+E24+F24+G24+H24+I24+J24)</f>
        <v>48223970000</v>
      </c>
      <c r="C24" s="135">
        <v>14514500000</v>
      </c>
      <c r="D24" s="135"/>
      <c r="E24" s="69">
        <v>478764000</v>
      </c>
      <c r="F24" s="69">
        <v>473928000</v>
      </c>
      <c r="G24" s="69">
        <v>1804050000</v>
      </c>
      <c r="H24" s="69">
        <v>17863050000</v>
      </c>
      <c r="I24" s="69">
        <v>9167118000</v>
      </c>
      <c r="J24" s="135">
        <v>3922560000</v>
      </c>
      <c r="K24" s="135"/>
      <c r="L24" s="62" t="s">
        <v>48</v>
      </c>
    </row>
    <row r="25" spans="1:13" x14ac:dyDescent="0.25">
      <c r="A25" s="29" t="s">
        <v>110</v>
      </c>
      <c r="B25" s="69">
        <f>SUM(C25+E25+F25+G25+H25+I25+J25+L25)</f>
        <v>46383447310</v>
      </c>
      <c r="C25" s="135">
        <v>14078670000</v>
      </c>
      <c r="D25" s="135"/>
      <c r="E25" s="69">
        <v>359145100</v>
      </c>
      <c r="F25" s="69">
        <v>87280600</v>
      </c>
      <c r="G25" s="69">
        <v>1968771798</v>
      </c>
      <c r="H25" s="69">
        <v>17774416877</v>
      </c>
      <c r="I25" s="69">
        <v>8308553935.0000038</v>
      </c>
      <c r="J25" s="135">
        <v>3806609000</v>
      </c>
      <c r="K25" s="135"/>
      <c r="L25" s="69">
        <v>0</v>
      </c>
    </row>
    <row r="26" spans="1:13" x14ac:dyDescent="0.25">
      <c r="A26" s="29" t="s">
        <v>91</v>
      </c>
      <c r="B26" s="69">
        <f>SUM(C26+E26+F26+G26+H26+I26+J26)</f>
        <v>150518582000</v>
      </c>
      <c r="C26" s="138">
        <v>50139845000</v>
      </c>
      <c r="D26" s="138"/>
      <c r="E26" s="69">
        <v>1675986000</v>
      </c>
      <c r="F26" s="69">
        <v>1666704000</v>
      </c>
      <c r="G26" s="69">
        <v>7196775000</v>
      </c>
      <c r="H26" s="69">
        <v>55234575000</v>
      </c>
      <c r="I26" s="69">
        <v>26759523000</v>
      </c>
      <c r="J26" s="135">
        <v>7845174000</v>
      </c>
      <c r="K26" s="135"/>
      <c r="L26" s="62" t="s">
        <v>48</v>
      </c>
    </row>
    <row r="27" spans="1:13" x14ac:dyDescent="0.25">
      <c r="A27" s="29" t="s">
        <v>111</v>
      </c>
      <c r="B27" s="69">
        <f>SUM(C27+E27+F27+G27+H27+I27+J27+L27)</f>
        <v>46383447310</v>
      </c>
      <c r="C27" s="135">
        <f>C25</f>
        <v>14078670000</v>
      </c>
      <c r="D27" s="135"/>
      <c r="E27" s="69">
        <f>E25</f>
        <v>359145100</v>
      </c>
      <c r="F27" s="69">
        <f t="shared" ref="F27:L27" si="0">F25</f>
        <v>87280600</v>
      </c>
      <c r="G27" s="69">
        <f t="shared" si="0"/>
        <v>1968771798</v>
      </c>
      <c r="H27" s="69">
        <f t="shared" si="0"/>
        <v>17774416877</v>
      </c>
      <c r="I27" s="69">
        <f t="shared" si="0"/>
        <v>8308553935.0000038</v>
      </c>
      <c r="J27" s="135">
        <f t="shared" si="0"/>
        <v>3806609000</v>
      </c>
      <c r="K27" s="135"/>
      <c r="L27" s="69">
        <f t="shared" si="0"/>
        <v>0</v>
      </c>
    </row>
    <row r="28" spans="1:13" x14ac:dyDescent="0.25">
      <c r="B28" s="46"/>
      <c r="C28" s="46"/>
      <c r="D28" s="46"/>
      <c r="E28" s="46"/>
      <c r="F28" s="46"/>
      <c r="G28" s="94"/>
      <c r="H28" s="46"/>
      <c r="I28" s="46"/>
      <c r="J28" s="46"/>
      <c r="K28" s="100"/>
      <c r="L28" s="46"/>
      <c r="M28" s="51"/>
    </row>
    <row r="29" spans="1:13" x14ac:dyDescent="0.25">
      <c r="A29" s="52" t="s">
        <v>4</v>
      </c>
      <c r="B29" s="46"/>
      <c r="C29" s="46"/>
      <c r="D29" s="46"/>
      <c r="E29" s="46"/>
      <c r="F29" s="46"/>
      <c r="G29" s="46"/>
      <c r="H29" s="46"/>
      <c r="I29" s="46"/>
      <c r="J29" s="46"/>
      <c r="K29" s="100"/>
      <c r="L29" s="100"/>
      <c r="M29" s="51"/>
    </row>
    <row r="30" spans="1:13" x14ac:dyDescent="0.25">
      <c r="A30" s="29" t="s">
        <v>109</v>
      </c>
      <c r="B30" s="62">
        <f>B24</f>
        <v>48223970000</v>
      </c>
      <c r="C30" s="69"/>
      <c r="D30" s="69"/>
      <c r="E30" s="69"/>
      <c r="F30" s="69"/>
      <c r="G30" s="69"/>
      <c r="H30" s="69"/>
      <c r="I30" s="69"/>
      <c r="J30" s="69"/>
      <c r="K30" s="106"/>
      <c r="L30" s="69"/>
    </row>
    <row r="31" spans="1:13" x14ac:dyDescent="0.25">
      <c r="A31" s="29" t="s">
        <v>110</v>
      </c>
      <c r="B31" s="62">
        <v>46036308822.129997</v>
      </c>
      <c r="C31" s="70"/>
      <c r="D31" s="69"/>
      <c r="E31" s="69"/>
      <c r="F31" s="69"/>
      <c r="G31" s="69"/>
      <c r="H31" s="69"/>
      <c r="I31" s="69"/>
      <c r="J31" s="69"/>
      <c r="K31" s="106"/>
      <c r="L31" s="106"/>
    </row>
    <row r="32" spans="1:13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  <c r="M32" s="51"/>
    </row>
    <row r="33" spans="1:13" x14ac:dyDescent="0.25">
      <c r="A33" s="5" t="s">
        <v>5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51"/>
      <c r="M33" s="51"/>
    </row>
    <row r="34" spans="1:13" x14ac:dyDescent="0.25">
      <c r="A34" s="29" t="s">
        <v>60</v>
      </c>
      <c r="B34" s="92">
        <v>1.0347772084</v>
      </c>
      <c r="C34" s="92">
        <v>1.0347772084</v>
      </c>
      <c r="D34" s="92">
        <v>1.0347772084</v>
      </c>
      <c r="E34" s="92">
        <v>1.0347772084</v>
      </c>
      <c r="F34" s="92">
        <v>1.0347772084</v>
      </c>
      <c r="G34" s="92">
        <v>1.0347772084</v>
      </c>
      <c r="H34" s="92">
        <v>1.0347772084</v>
      </c>
      <c r="I34" s="92">
        <v>1.0347772084</v>
      </c>
      <c r="J34" s="92">
        <v>1.0347772084</v>
      </c>
      <c r="K34" s="92">
        <v>1.0347772084</v>
      </c>
      <c r="L34" s="92">
        <v>1.0347772084</v>
      </c>
      <c r="M34" s="51"/>
    </row>
    <row r="35" spans="1:13" x14ac:dyDescent="0.25">
      <c r="A35" s="29" t="s">
        <v>112</v>
      </c>
      <c r="B35" s="92">
        <v>1.060947463</v>
      </c>
      <c r="C35" s="92">
        <v>1.060947463</v>
      </c>
      <c r="D35" s="92">
        <v>1.060947463</v>
      </c>
      <c r="E35" s="92">
        <v>1.060947463</v>
      </c>
      <c r="F35" s="92">
        <v>1.060947463</v>
      </c>
      <c r="G35" s="92">
        <v>1.060947463</v>
      </c>
      <c r="H35" s="92">
        <v>1.060947463</v>
      </c>
      <c r="I35" s="92">
        <v>1.060947463</v>
      </c>
      <c r="J35" s="92">
        <v>1.060947463</v>
      </c>
      <c r="K35" s="92">
        <v>1.060947463</v>
      </c>
      <c r="L35" s="92">
        <v>1.060947463</v>
      </c>
      <c r="M35" s="51"/>
    </row>
    <row r="36" spans="1:13" x14ac:dyDescent="0.25">
      <c r="A36" s="29" t="s">
        <v>6</v>
      </c>
      <c r="B36" s="102">
        <v>376622</v>
      </c>
      <c r="C36" s="137">
        <v>147739</v>
      </c>
      <c r="D36" s="137"/>
      <c r="E36" s="102">
        <v>142525</v>
      </c>
      <c r="F36" s="102" t="s">
        <v>57</v>
      </c>
      <c r="G36" s="102">
        <v>85872</v>
      </c>
      <c r="H36" s="102" t="s">
        <v>57</v>
      </c>
      <c r="I36" s="102" t="s">
        <v>57</v>
      </c>
      <c r="J36" s="102" t="s">
        <v>57</v>
      </c>
      <c r="K36" s="107" t="s">
        <v>57</v>
      </c>
      <c r="L36" s="107" t="s">
        <v>57</v>
      </c>
    </row>
    <row r="37" spans="1:13" x14ac:dyDescent="0.25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51"/>
    </row>
    <row r="38" spans="1:13" x14ac:dyDescent="0.25">
      <c r="A38" s="5" t="s">
        <v>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</row>
    <row r="39" spans="1:13" x14ac:dyDescent="0.25">
      <c r="A39" s="30" t="s">
        <v>78</v>
      </c>
      <c r="B39" s="82">
        <f>B23/B34</f>
        <v>33436044835.020748</v>
      </c>
      <c r="C39" s="136">
        <f>C23/C34</f>
        <v>12663561676.490438</v>
      </c>
      <c r="D39" s="136"/>
      <c r="E39" s="82">
        <f>E23/E34</f>
        <v>517747197.80347264</v>
      </c>
      <c r="F39" s="82">
        <f t="shared" ref="F39:L39" si="1">F23/F34</f>
        <v>110224789.52388185</v>
      </c>
      <c r="G39" s="82">
        <f t="shared" si="1"/>
        <v>2013938441.1281164</v>
      </c>
      <c r="H39" s="82">
        <f t="shared" si="1"/>
        <v>11667794932.078642</v>
      </c>
      <c r="I39" s="82">
        <f t="shared" si="1"/>
        <v>6452559986.6314192</v>
      </c>
      <c r="J39" s="136" t="s">
        <v>57</v>
      </c>
      <c r="K39" s="136"/>
      <c r="L39" s="82">
        <f t="shared" si="1"/>
        <v>10217811.364775321</v>
      </c>
    </row>
    <row r="40" spans="1:13" x14ac:dyDescent="0.25">
      <c r="A40" s="30" t="s">
        <v>113</v>
      </c>
      <c r="B40" s="82">
        <f>B25/B35</f>
        <v>43718891771.3638</v>
      </c>
      <c r="C40" s="136">
        <f>C25/C35</f>
        <v>13269903073.419197</v>
      </c>
      <c r="D40" s="136"/>
      <c r="E40" s="82">
        <f>E25/E35</f>
        <v>338513557.48046124</v>
      </c>
      <c r="F40" s="82">
        <f t="shared" ref="F40:L40" si="2">F25/F35</f>
        <v>82266656.025737628</v>
      </c>
      <c r="G40" s="82">
        <f t="shared" si="2"/>
        <v>1855673222.9067972</v>
      </c>
      <c r="H40" s="82">
        <f t="shared" si="2"/>
        <v>16753343117.235958</v>
      </c>
      <c r="I40" s="82">
        <f t="shared" si="2"/>
        <v>7831258591.7366991</v>
      </c>
      <c r="J40" s="136">
        <f t="shared" si="2"/>
        <v>3587933552.5589547</v>
      </c>
      <c r="K40" s="136"/>
      <c r="L40" s="82">
        <f t="shared" si="2"/>
        <v>0</v>
      </c>
    </row>
    <row r="41" spans="1:13" x14ac:dyDescent="0.25">
      <c r="A41" s="30" t="s">
        <v>79</v>
      </c>
      <c r="B41" s="82">
        <f>B39/B15</f>
        <v>166354.27519874199</v>
      </c>
      <c r="C41" s="136">
        <f>C39/D15</f>
        <v>69887.591413255257</v>
      </c>
      <c r="D41" s="136"/>
      <c r="E41" s="82">
        <f>E39/E15</f>
        <v>227982.03337889593</v>
      </c>
      <c r="F41" s="82">
        <f t="shared" ref="F41:I41" si="3">F39/F15</f>
        <v>487720.30762779579</v>
      </c>
      <c r="G41" s="82">
        <f t="shared" si="3"/>
        <v>141448.12762523643</v>
      </c>
      <c r="H41" s="82">
        <f t="shared" si="3"/>
        <v>155423.46488096126</v>
      </c>
      <c r="I41" s="82">
        <f t="shared" si="3"/>
        <v>301718.88088616007</v>
      </c>
      <c r="J41" s="136" t="s">
        <v>57</v>
      </c>
      <c r="K41" s="136"/>
      <c r="L41" s="82" t="s">
        <v>48</v>
      </c>
    </row>
    <row r="42" spans="1:13" x14ac:dyDescent="0.25">
      <c r="A42" s="30" t="s">
        <v>114</v>
      </c>
      <c r="B42" s="82">
        <f>B40/B18</f>
        <v>141501.57225878679</v>
      </c>
      <c r="C42" s="136">
        <f>C40/D18</f>
        <v>71899.043001138896</v>
      </c>
      <c r="D42" s="136"/>
      <c r="E42" s="82">
        <f>E40/E18</f>
        <v>216164.46837832773</v>
      </c>
      <c r="F42" s="82">
        <f t="shared" ref="F42:I42" si="4">F40/F18</f>
        <v>544812.2915611763</v>
      </c>
      <c r="G42" s="82">
        <f t="shared" si="4"/>
        <v>200072.58467997814</v>
      </c>
      <c r="H42" s="82">
        <f t="shared" si="4"/>
        <v>179199.30599246934</v>
      </c>
      <c r="I42" s="82">
        <f t="shared" si="4"/>
        <v>329792.74790435017</v>
      </c>
      <c r="J42" s="136">
        <f>J40/K18</f>
        <v>17936.170209603901</v>
      </c>
      <c r="K42" s="136"/>
      <c r="L42" s="82" t="s">
        <v>48</v>
      </c>
    </row>
    <row r="43" spans="1:13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3" x14ac:dyDescent="0.25">
      <c r="A44" s="5" t="s">
        <v>8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3" x14ac:dyDescent="0.25">
      <c r="B45" s="79"/>
      <c r="C45" s="79"/>
      <c r="D45" s="79"/>
      <c r="E45" s="79"/>
      <c r="F45" s="79"/>
      <c r="G45" s="79"/>
      <c r="H45" s="79"/>
      <c r="I45" s="79"/>
      <c r="J45" s="79"/>
    </row>
    <row r="46" spans="1:13" x14ac:dyDescent="0.25">
      <c r="A46" s="5" t="s">
        <v>9</v>
      </c>
      <c r="B46" s="79"/>
      <c r="C46" s="79"/>
      <c r="D46" s="79"/>
      <c r="E46" s="79"/>
      <c r="F46" s="79"/>
      <c r="G46" s="79"/>
      <c r="H46" s="79"/>
      <c r="I46" s="79"/>
      <c r="J46" s="79"/>
    </row>
    <row r="47" spans="1:13" x14ac:dyDescent="0.25">
      <c r="A47" s="30" t="s">
        <v>10</v>
      </c>
      <c r="B47" s="104" t="s">
        <v>57</v>
      </c>
      <c r="C47" s="134">
        <f>(D16/C36)*100</f>
        <v>93.579217403664572</v>
      </c>
      <c r="D47" s="134"/>
      <c r="E47" s="105">
        <f>(E16/E36)*100</f>
        <v>1.435537624978074</v>
      </c>
      <c r="F47" s="105" t="s">
        <v>48</v>
      </c>
      <c r="G47" s="105">
        <f t="shared" ref="G47" si="5">(G16/G36)*100</f>
        <v>9.3371529718651018</v>
      </c>
      <c r="H47" s="105" t="s">
        <v>48</v>
      </c>
      <c r="I47" s="105" t="s">
        <v>48</v>
      </c>
      <c r="J47" s="134" t="s">
        <v>57</v>
      </c>
      <c r="K47" s="134"/>
      <c r="L47" s="105" t="s">
        <v>48</v>
      </c>
    </row>
    <row r="48" spans="1:13" x14ac:dyDescent="0.25">
      <c r="A48" s="30" t="s">
        <v>11</v>
      </c>
      <c r="B48" s="104">
        <f>(B18/B36)*100</f>
        <v>82.035568819665343</v>
      </c>
      <c r="C48" s="134">
        <f>(D18/C36)*100</f>
        <v>124.92503672016191</v>
      </c>
      <c r="D48" s="134"/>
      <c r="E48" s="105">
        <f>(E18/E36)*100</f>
        <v>1.0987546044553587</v>
      </c>
      <c r="F48" s="105" t="s">
        <v>48</v>
      </c>
      <c r="G48" s="105">
        <f t="shared" ref="G48" si="6">(G18/G36)*100</f>
        <v>10.800959567728713</v>
      </c>
      <c r="H48" s="105" t="s">
        <v>48</v>
      </c>
      <c r="I48" s="105" t="s">
        <v>48</v>
      </c>
      <c r="J48" s="134" t="s">
        <v>57</v>
      </c>
      <c r="K48" s="134"/>
      <c r="L48" s="105" t="s">
        <v>48</v>
      </c>
    </row>
    <row r="49" spans="1:12" x14ac:dyDescent="0.25">
      <c r="B49" s="105"/>
      <c r="C49" s="105"/>
      <c r="D49" s="105"/>
      <c r="E49" s="105"/>
      <c r="F49" s="105"/>
      <c r="G49" s="105"/>
      <c r="H49" s="105"/>
      <c r="I49" s="105"/>
      <c r="J49" s="105"/>
      <c r="K49" s="109"/>
      <c r="L49" s="109"/>
    </row>
    <row r="50" spans="1:12" x14ac:dyDescent="0.25">
      <c r="A50" s="5" t="s">
        <v>12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9"/>
      <c r="L50" s="109"/>
    </row>
    <row r="51" spans="1:12" x14ac:dyDescent="0.25">
      <c r="A51" s="30" t="s">
        <v>13</v>
      </c>
      <c r="B51" s="104" t="s">
        <v>57</v>
      </c>
      <c r="C51" s="104" t="s">
        <v>57</v>
      </c>
      <c r="D51" s="105">
        <f>D18/D16*100</f>
        <v>133.49656065329503</v>
      </c>
      <c r="E51" s="105">
        <f>E18/E16*100</f>
        <v>76.539589442815242</v>
      </c>
      <c r="F51" s="105">
        <f t="shared" ref="F51:I51" si="7">F18/F16*100</f>
        <v>29.783037475345171</v>
      </c>
      <c r="G51" s="105">
        <f t="shared" si="7"/>
        <v>115.67722624095784</v>
      </c>
      <c r="H51" s="105">
        <f t="shared" si="7"/>
        <v>113.7168087772007</v>
      </c>
      <c r="I51" s="105">
        <f t="shared" si="7"/>
        <v>83.150080537852787</v>
      </c>
      <c r="J51" s="105" t="s">
        <v>57</v>
      </c>
      <c r="K51" s="105">
        <f>K18/K16*100</f>
        <v>275.3840859030837</v>
      </c>
      <c r="L51" s="105" t="s">
        <v>48</v>
      </c>
    </row>
    <row r="52" spans="1:12" x14ac:dyDescent="0.25">
      <c r="A52" s="30" t="s">
        <v>14</v>
      </c>
      <c r="B52" s="105">
        <f>B25/B24*100</f>
        <v>96.183386208145038</v>
      </c>
      <c r="C52" s="134">
        <f>C25/C24*100</f>
        <v>96.997278583485482</v>
      </c>
      <c r="D52" s="134"/>
      <c r="E52" s="105">
        <f>E25/E24*100</f>
        <v>75.015059611833806</v>
      </c>
      <c r="F52" s="105">
        <f t="shared" ref="F52:I52" si="8">F25/F24*100</f>
        <v>18.416426123799397</v>
      </c>
      <c r="G52" s="105">
        <f t="shared" si="8"/>
        <v>109.13066699925169</v>
      </c>
      <c r="H52" s="105">
        <f t="shared" si="8"/>
        <v>99.503818647991253</v>
      </c>
      <c r="I52" s="105">
        <f t="shared" si="8"/>
        <v>90.63430769626838</v>
      </c>
      <c r="J52" s="134">
        <f>J25/J24*100</f>
        <v>97.043996777614609</v>
      </c>
      <c r="K52" s="134"/>
      <c r="L52" s="105" t="s">
        <v>48</v>
      </c>
    </row>
    <row r="53" spans="1:12" x14ac:dyDescent="0.25">
      <c r="A53" s="30" t="s">
        <v>15</v>
      </c>
      <c r="B53" s="104" t="s">
        <v>57</v>
      </c>
      <c r="C53" s="104" t="s">
        <v>57</v>
      </c>
      <c r="D53" s="105">
        <f>AVERAGE(D51,C52)</f>
        <v>115.24691961839025</v>
      </c>
      <c r="E53" s="105">
        <f>AVERAGE(E51:E52)</f>
        <v>75.777324527324524</v>
      </c>
      <c r="F53" s="105">
        <f t="shared" ref="F53:I53" si="9">AVERAGE(F51:F52)</f>
        <v>24.099731799572282</v>
      </c>
      <c r="G53" s="105">
        <f t="shared" si="9"/>
        <v>112.40394662010476</v>
      </c>
      <c r="H53" s="105">
        <f t="shared" si="9"/>
        <v>106.61031371259597</v>
      </c>
      <c r="I53" s="105">
        <f t="shared" si="9"/>
        <v>86.892194117060583</v>
      </c>
      <c r="J53" s="105" t="s">
        <v>57</v>
      </c>
      <c r="K53" s="105">
        <f>+AVERAGE(K51,J52)</f>
        <v>186.21404134034916</v>
      </c>
      <c r="L53" s="105" t="s">
        <v>48</v>
      </c>
    </row>
    <row r="54" spans="1:12" x14ac:dyDescent="0.25">
      <c r="B54" s="105"/>
      <c r="C54" s="105"/>
      <c r="D54" s="105"/>
      <c r="E54" s="105"/>
      <c r="F54" s="105"/>
      <c r="G54" s="105"/>
      <c r="H54" s="105"/>
      <c r="I54" s="105"/>
      <c r="J54" s="105"/>
      <c r="K54" s="109"/>
      <c r="L54" s="109"/>
    </row>
    <row r="55" spans="1:12" x14ac:dyDescent="0.25">
      <c r="A55" s="5" t="s">
        <v>16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9"/>
      <c r="L55" s="109"/>
    </row>
    <row r="56" spans="1:12" x14ac:dyDescent="0.25">
      <c r="A56" s="30" t="s">
        <v>17</v>
      </c>
      <c r="B56" s="104" t="s">
        <v>57</v>
      </c>
      <c r="C56" s="134">
        <f>D18/D20*100</f>
        <v>133.49656065329503</v>
      </c>
      <c r="D56" s="134"/>
      <c r="E56" s="105">
        <f>E18/E20*100</f>
        <v>76.427525622254748</v>
      </c>
      <c r="F56" s="105">
        <f t="shared" ref="F56:I56" si="10">F18/F20*100</f>
        <v>29.7244094488189</v>
      </c>
      <c r="G56" s="105">
        <f t="shared" si="10"/>
        <v>115.66280084798603</v>
      </c>
      <c r="H56" s="105">
        <f t="shared" si="10"/>
        <v>112.1897950367206</v>
      </c>
      <c r="I56" s="105">
        <f t="shared" si="10"/>
        <v>83.147169018523059</v>
      </c>
      <c r="J56" s="134">
        <f>K18/K20*100</f>
        <v>275.3802948747952</v>
      </c>
      <c r="K56" s="134"/>
      <c r="L56" s="105" t="s">
        <v>48</v>
      </c>
    </row>
    <row r="57" spans="1:12" x14ac:dyDescent="0.25">
      <c r="A57" s="30" t="s">
        <v>18</v>
      </c>
      <c r="B57" s="105">
        <f>B25/B26*100</f>
        <v>30.815761544976557</v>
      </c>
      <c r="C57" s="134">
        <f>C25/C26*100</f>
        <v>28.078806386417828</v>
      </c>
      <c r="D57" s="134"/>
      <c r="E57" s="105">
        <f>E25/E26*100</f>
        <v>21.428884250823096</v>
      </c>
      <c r="F57" s="105">
        <f t="shared" ref="F57:I57" si="11">F25/F26*100</f>
        <v>5.2367186975011766</v>
      </c>
      <c r="G57" s="105">
        <f t="shared" si="11"/>
        <v>27.356306095438583</v>
      </c>
      <c r="H57" s="105">
        <f t="shared" si="11"/>
        <v>32.179874430101073</v>
      </c>
      <c r="I57" s="105">
        <f t="shared" si="11"/>
        <v>31.048961280064685</v>
      </c>
      <c r="J57" s="134">
        <f>J25/J26*100</f>
        <v>48.521664401579876</v>
      </c>
      <c r="K57" s="134"/>
      <c r="L57" s="105" t="s">
        <v>48</v>
      </c>
    </row>
    <row r="58" spans="1:12" x14ac:dyDescent="0.25">
      <c r="A58" s="30" t="s">
        <v>19</v>
      </c>
      <c r="B58" s="104" t="s">
        <v>57</v>
      </c>
      <c r="C58" s="134">
        <f>(C56+C57)/2</f>
        <v>80.787683519856429</v>
      </c>
      <c r="D58" s="134"/>
      <c r="E58" s="105">
        <f>(E56+E57)/2</f>
        <v>48.928204936538918</v>
      </c>
      <c r="F58" s="105">
        <f t="shared" ref="F58:I58" si="12">(F56+F57)/2</f>
        <v>17.480564073160039</v>
      </c>
      <c r="G58" s="105">
        <f t="shared" si="12"/>
        <v>71.509553471712309</v>
      </c>
      <c r="H58" s="105">
        <f t="shared" si="12"/>
        <v>72.184834733410838</v>
      </c>
      <c r="I58" s="105">
        <f t="shared" si="12"/>
        <v>57.098065149293873</v>
      </c>
      <c r="J58" s="134">
        <f>+(J56+J57)/2</f>
        <v>161.95097963818753</v>
      </c>
      <c r="K58" s="134"/>
      <c r="L58" s="105" t="s">
        <v>48</v>
      </c>
    </row>
    <row r="59" spans="1:12" x14ac:dyDescent="0.25">
      <c r="B59" s="105"/>
      <c r="C59" s="105"/>
      <c r="D59" s="105"/>
      <c r="E59" s="105"/>
      <c r="F59" s="105"/>
      <c r="G59" s="105"/>
      <c r="H59" s="105"/>
      <c r="I59" s="105"/>
      <c r="J59" s="105"/>
      <c r="K59" s="109"/>
      <c r="L59" s="109"/>
    </row>
    <row r="60" spans="1:12" x14ac:dyDescent="0.25">
      <c r="A60" s="5" t="s">
        <v>30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9"/>
      <c r="L60" s="109"/>
    </row>
    <row r="61" spans="1:12" x14ac:dyDescent="0.25">
      <c r="A61" s="30" t="s">
        <v>20</v>
      </c>
      <c r="B61" s="105">
        <f>B27/B25*100</f>
        <v>100</v>
      </c>
      <c r="C61" s="134">
        <f>C27/C25*100</f>
        <v>100</v>
      </c>
      <c r="D61" s="134"/>
      <c r="E61" s="105">
        <f>E27/E25*100</f>
        <v>100</v>
      </c>
      <c r="F61" s="105">
        <f t="shared" ref="F61:I61" si="13">F27/F25*100</f>
        <v>100</v>
      </c>
      <c r="G61" s="105">
        <f t="shared" si="13"/>
        <v>100</v>
      </c>
      <c r="H61" s="105">
        <f t="shared" si="13"/>
        <v>100</v>
      </c>
      <c r="I61" s="105">
        <f t="shared" si="13"/>
        <v>100</v>
      </c>
      <c r="J61" s="134">
        <f>J27/J25*100</f>
        <v>100</v>
      </c>
      <c r="K61" s="134"/>
      <c r="L61" s="105" t="s">
        <v>48</v>
      </c>
    </row>
    <row r="62" spans="1:12" x14ac:dyDescent="0.25">
      <c r="B62" s="105"/>
      <c r="C62" s="105"/>
      <c r="D62" s="105"/>
      <c r="E62" s="105"/>
      <c r="F62" s="105"/>
      <c r="G62" s="105"/>
      <c r="H62" s="105"/>
      <c r="I62" s="105"/>
      <c r="J62" s="105"/>
      <c r="K62" s="109"/>
      <c r="L62" s="109"/>
    </row>
    <row r="63" spans="1:12" x14ac:dyDescent="0.25">
      <c r="A63" s="5" t="s">
        <v>21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9"/>
      <c r="L63" s="109"/>
    </row>
    <row r="64" spans="1:12" x14ac:dyDescent="0.25">
      <c r="A64" s="30" t="s">
        <v>22</v>
      </c>
      <c r="B64" s="105">
        <f>((B18/B15)-1)*100</f>
        <v>53.718786226385994</v>
      </c>
      <c r="C64" s="134">
        <f>((D18/D15)-1)*100</f>
        <v>1.8565223869889014</v>
      </c>
      <c r="D64" s="134"/>
      <c r="E64" s="105">
        <f>((E18/E15)-1)*100</f>
        <v>-31.043593130779389</v>
      </c>
      <c r="F64" s="105">
        <f t="shared" ref="F64" si="14">((F18/F15)-1)*100</f>
        <v>-33.185840707964601</v>
      </c>
      <c r="G64" s="105">
        <f t="shared" ref="G64:I64" si="15">((G18/G15)-1)*100</f>
        <v>-34.85742379547689</v>
      </c>
      <c r="H64" s="105">
        <f t="shared" si="15"/>
        <v>24.535439783671453</v>
      </c>
      <c r="I64" s="105">
        <f t="shared" si="15"/>
        <v>11.035256709997189</v>
      </c>
      <c r="J64" s="134" t="s">
        <v>48</v>
      </c>
      <c r="K64" s="134"/>
      <c r="L64" s="105" t="s">
        <v>48</v>
      </c>
    </row>
    <row r="65" spans="1:12" x14ac:dyDescent="0.25">
      <c r="A65" s="30" t="s">
        <v>23</v>
      </c>
      <c r="B65" s="105">
        <f>((B40/B39)-1)*100</f>
        <v>30.753777807992556</v>
      </c>
      <c r="C65" s="134">
        <f>((C40/C39)-1)*100</f>
        <v>4.7880794709944441</v>
      </c>
      <c r="D65" s="134"/>
      <c r="E65" s="105">
        <f>((E40/E39)-1)*100</f>
        <v>-34.61798365754656</v>
      </c>
      <c r="F65" s="105">
        <f t="shared" ref="F65" si="16">((F40/F39)-1)*100</f>
        <v>-25.364651290249618</v>
      </c>
      <c r="G65" s="105">
        <f t="shared" ref="G65:I65" si="17">((G40/G39)-1)*100</f>
        <v>-7.8584933376943837</v>
      </c>
      <c r="H65" s="105">
        <f t="shared" si="17"/>
        <v>43.586197861392442</v>
      </c>
      <c r="I65" s="105">
        <f t="shared" si="17"/>
        <v>21.366691793051174</v>
      </c>
      <c r="J65" s="134" t="s">
        <v>48</v>
      </c>
      <c r="K65" s="134"/>
      <c r="L65" s="105">
        <f>((L40/L39)-1)*100</f>
        <v>-100</v>
      </c>
    </row>
    <row r="66" spans="1:12" x14ac:dyDescent="0.25">
      <c r="A66" s="30" t="s">
        <v>24</v>
      </c>
      <c r="B66" s="105">
        <f>((B42/B41)-1)*100</f>
        <v>-14.939623830084258</v>
      </c>
      <c r="C66" s="134">
        <f>((C42/C41)-1)*100</f>
        <v>2.8781240663877439</v>
      </c>
      <c r="D66" s="134"/>
      <c r="E66" s="105">
        <f>((E42/E41)-1)*100</f>
        <v>-5.1835510129554567</v>
      </c>
      <c r="F66" s="105">
        <f t="shared" ref="F66" si="18">((F42/F41)-1)*100</f>
        <v>11.705886148368116</v>
      </c>
      <c r="G66" s="105">
        <f t="shared" ref="G66:I66" si="19">((G42/G41)-1)*100</f>
        <v>41.445905321607277</v>
      </c>
      <c r="H66" s="105">
        <f t="shared" si="19"/>
        <v>15.297459189780627</v>
      </c>
      <c r="I66" s="105">
        <f t="shared" si="19"/>
        <v>9.3046437583674155</v>
      </c>
      <c r="J66" s="134" t="s">
        <v>48</v>
      </c>
      <c r="K66" s="134"/>
      <c r="L66" s="105" t="s">
        <v>48</v>
      </c>
    </row>
    <row r="67" spans="1:12" x14ac:dyDescent="0.25">
      <c r="B67" s="105"/>
      <c r="C67" s="105"/>
      <c r="D67" s="105"/>
      <c r="E67" s="105"/>
      <c r="F67" s="105"/>
      <c r="G67" s="105"/>
      <c r="H67" s="105"/>
      <c r="I67" s="105"/>
      <c r="J67" s="105"/>
      <c r="K67" s="109"/>
      <c r="L67" s="109"/>
    </row>
    <row r="68" spans="1:12" x14ac:dyDescent="0.25">
      <c r="A68" s="5" t="s">
        <v>25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9"/>
      <c r="L68" s="109"/>
    </row>
    <row r="69" spans="1:12" x14ac:dyDescent="0.25">
      <c r="A69" s="30" t="s">
        <v>31</v>
      </c>
      <c r="B69" s="105">
        <f>(B24/B17)*3</f>
        <v>146402.53435865365</v>
      </c>
      <c r="C69" s="134">
        <f>(C24/D17)*3</f>
        <v>105000</v>
      </c>
      <c r="D69" s="134"/>
      <c r="E69" s="105">
        <f>(E24/E17)*3</f>
        <v>234000</v>
      </c>
      <c r="F69" s="105">
        <f t="shared" ref="F69:H69" si="20">(F24/F17)*3</f>
        <v>936000</v>
      </c>
      <c r="G69" s="105">
        <f t="shared" si="20"/>
        <v>225000</v>
      </c>
      <c r="H69" s="105">
        <f t="shared" si="20"/>
        <v>225000</v>
      </c>
      <c r="I69" s="105">
        <f t="shared" ref="I69" si="21">(I24/I17)*3</f>
        <v>321000</v>
      </c>
      <c r="J69" s="134">
        <f>(J24/K17)*3</f>
        <v>54000</v>
      </c>
      <c r="K69" s="134"/>
      <c r="L69" s="105" t="s">
        <v>48</v>
      </c>
    </row>
    <row r="70" spans="1:12" x14ac:dyDescent="0.25">
      <c r="A70" s="30" t="s">
        <v>32</v>
      </c>
      <c r="B70" s="105">
        <f>(B25/B19)*3</f>
        <v>98157.439440923685</v>
      </c>
      <c r="C70" s="134">
        <f>(C25/D19)*3</f>
        <v>82859.247604623612</v>
      </c>
      <c r="D70" s="134"/>
      <c r="E70" s="105">
        <f>(E25/E19)*3</f>
        <v>251737.21962616825</v>
      </c>
      <c r="F70" s="105">
        <f t="shared" ref="F70:H70" si="22">(F25/F19)*3</f>
        <v>661216.66666666674</v>
      </c>
      <c r="G70" s="105">
        <f t="shared" si="22"/>
        <v>225569.6377176902</v>
      </c>
      <c r="H70" s="105">
        <f t="shared" si="22"/>
        <v>236579.00037268241</v>
      </c>
      <c r="I70" s="105">
        <f t="shared" ref="I70" si="23">(I25/I19)*3</f>
        <v>387423.43915631773</v>
      </c>
      <c r="J70" s="134">
        <f>(J25/K19)*3</f>
        <v>19444.556633554799</v>
      </c>
      <c r="K70" s="134"/>
      <c r="L70" s="105" t="s">
        <v>48</v>
      </c>
    </row>
    <row r="71" spans="1:12" x14ac:dyDescent="0.25">
      <c r="A71" s="30" t="s">
        <v>26</v>
      </c>
      <c r="B71" s="104" t="s">
        <v>57</v>
      </c>
      <c r="C71" s="134">
        <f>(C70/C69)*D53</f>
        <v>90.945457603146224</v>
      </c>
      <c r="D71" s="134"/>
      <c r="E71" s="105">
        <f>(E70/E69)*E53</f>
        <v>81.521252082130431</v>
      </c>
      <c r="F71" s="105">
        <f t="shared" ref="F71:H71" si="24">(F70/F69)*F53</f>
        <v>17.024726846232753</v>
      </c>
      <c r="G71" s="105">
        <f t="shared" si="24"/>
        <v>112.68852229838052</v>
      </c>
      <c r="H71" s="105">
        <f t="shared" si="24"/>
        <v>112.09671754464013</v>
      </c>
      <c r="I71" s="105">
        <f t="shared" ref="I71" si="25">(I70/I69)*I53</f>
        <v>104.8725005628348</v>
      </c>
      <c r="J71" s="134">
        <f>(J70/J69)*K53</f>
        <v>67.052768014917291</v>
      </c>
      <c r="K71" s="134"/>
      <c r="L71" s="105" t="s">
        <v>48</v>
      </c>
    </row>
    <row r="72" spans="1:12" x14ac:dyDescent="0.25">
      <c r="A72" s="30" t="s">
        <v>33</v>
      </c>
      <c r="B72" s="105">
        <f>B24/B17</f>
        <v>48800.84478621788</v>
      </c>
      <c r="C72" s="134">
        <f>C24/D17</f>
        <v>35000</v>
      </c>
      <c r="D72" s="134"/>
      <c r="E72" s="105">
        <f>E24/E17</f>
        <v>78000</v>
      </c>
      <c r="F72" s="105">
        <f>F24/F17</f>
        <v>312000</v>
      </c>
      <c r="G72" s="105">
        <f t="shared" ref="G72:H72" si="26">G24/G17</f>
        <v>75000</v>
      </c>
      <c r="H72" s="105">
        <f t="shared" si="26"/>
        <v>75000</v>
      </c>
      <c r="I72" s="105">
        <f t="shared" ref="I72" si="27">I24/I17</f>
        <v>107000</v>
      </c>
      <c r="J72" s="134">
        <f>J24/K17</f>
        <v>18000</v>
      </c>
      <c r="K72" s="134"/>
      <c r="L72" s="105" t="s">
        <v>48</v>
      </c>
    </row>
    <row r="73" spans="1:12" x14ac:dyDescent="0.25">
      <c r="A73" s="30" t="s">
        <v>34</v>
      </c>
      <c r="B73" s="105">
        <f>B25/B19</f>
        <v>32719.146480307896</v>
      </c>
      <c r="C73" s="134">
        <f>C25/D19</f>
        <v>27619.749201541203</v>
      </c>
      <c r="D73" s="134"/>
      <c r="E73" s="105">
        <f>E25/E19</f>
        <v>83912.40654205608</v>
      </c>
      <c r="F73" s="105">
        <f>F25/F19</f>
        <v>220405.55555555556</v>
      </c>
      <c r="G73" s="105">
        <f t="shared" ref="G73:H73" si="28">G25/G19</f>
        <v>75189.879239230067</v>
      </c>
      <c r="H73" s="105">
        <f t="shared" si="28"/>
        <v>78859.666790894131</v>
      </c>
      <c r="I73" s="105">
        <f t="shared" ref="I73" si="29">I25/I19</f>
        <v>129141.14638543924</v>
      </c>
      <c r="J73" s="134">
        <f>J25/K19</f>
        <v>6481.5188778515994</v>
      </c>
      <c r="K73" s="134"/>
      <c r="L73" s="105" t="s">
        <v>48</v>
      </c>
    </row>
    <row r="74" spans="1:12" x14ac:dyDescent="0.25">
      <c r="B74" s="105"/>
      <c r="C74" s="105"/>
      <c r="D74" s="105"/>
      <c r="E74" s="105"/>
      <c r="F74" s="105"/>
      <c r="G74" s="105"/>
      <c r="H74" s="105"/>
      <c r="I74" s="105"/>
      <c r="J74" s="105"/>
      <c r="K74" s="109"/>
      <c r="L74" s="109"/>
    </row>
    <row r="75" spans="1:12" x14ac:dyDescent="0.25">
      <c r="A75" s="5" t="s">
        <v>27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9"/>
      <c r="L75" s="109"/>
    </row>
    <row r="76" spans="1:12" x14ac:dyDescent="0.25">
      <c r="A76" s="30" t="s">
        <v>28</v>
      </c>
      <c r="B76" s="105">
        <f>(B31/B30)*100</f>
        <v>95.463539858145225</v>
      </c>
      <c r="C76" s="105"/>
      <c r="D76" s="105"/>
      <c r="E76" s="105"/>
      <c r="F76" s="105"/>
      <c r="G76" s="105"/>
      <c r="H76" s="105"/>
      <c r="I76" s="105"/>
      <c r="J76" s="105"/>
      <c r="K76" s="109"/>
      <c r="L76" s="109"/>
    </row>
    <row r="77" spans="1:12" x14ac:dyDescent="0.25">
      <c r="A77" s="30" t="s">
        <v>29</v>
      </c>
      <c r="B77" s="105">
        <f>(B25/B31)*100</f>
        <v>100.75405369533695</v>
      </c>
      <c r="C77" s="105"/>
      <c r="D77" s="105"/>
      <c r="E77" s="105"/>
      <c r="F77" s="105"/>
      <c r="G77" s="105"/>
      <c r="H77" s="105"/>
      <c r="I77" s="105"/>
      <c r="J77" s="105"/>
      <c r="K77" s="109"/>
      <c r="L77" s="109"/>
    </row>
    <row r="78" spans="1:12" ht="15.75" thickBot="1" x14ac:dyDescent="0.3">
      <c r="A78" s="32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2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2" x14ac:dyDescent="0.25">
      <c r="A80" s="110" t="s">
        <v>136</v>
      </c>
    </row>
    <row r="81" spans="1:5" x14ac:dyDescent="0.25">
      <c r="A81" s="2"/>
      <c r="B81" s="10"/>
    </row>
    <row r="82" spans="1:5" x14ac:dyDescent="0.25">
      <c r="A82" s="2"/>
      <c r="B82" s="31"/>
      <c r="C82" s="31"/>
      <c r="D82" s="31"/>
      <c r="E82" s="31"/>
    </row>
    <row r="83" spans="1:5" x14ac:dyDescent="0.25">
      <c r="A83" s="53"/>
    </row>
    <row r="84" spans="1:5" x14ac:dyDescent="0.25">
      <c r="A84" s="33"/>
    </row>
    <row r="85" spans="1:5" x14ac:dyDescent="0.25">
      <c r="A85" s="2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11"/>
    </row>
    <row r="90" spans="1:5" x14ac:dyDescent="0.25">
      <c r="A90" s="11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35"/>
    </row>
  </sheetData>
  <mergeCells count="55">
    <mergeCell ref="J70:K70"/>
    <mergeCell ref="J71:K71"/>
    <mergeCell ref="J72:K72"/>
    <mergeCell ref="J73:K73"/>
    <mergeCell ref="J64:K64"/>
    <mergeCell ref="J65:K65"/>
    <mergeCell ref="J66:K66"/>
    <mergeCell ref="J40:K40"/>
    <mergeCell ref="J39:K39"/>
    <mergeCell ref="J41:K41"/>
    <mergeCell ref="J42:K42"/>
    <mergeCell ref="J69:K69"/>
    <mergeCell ref="J61:K61"/>
    <mergeCell ref="J58:K58"/>
    <mergeCell ref="J57:K57"/>
    <mergeCell ref="J56:K56"/>
    <mergeCell ref="J48:K48"/>
    <mergeCell ref="J47:K47"/>
    <mergeCell ref="J52:K52"/>
    <mergeCell ref="C69:D69"/>
    <mergeCell ref="C70:D70"/>
    <mergeCell ref="C71:D71"/>
    <mergeCell ref="C64:D64"/>
    <mergeCell ref="C56:D56"/>
    <mergeCell ref="C57:D57"/>
    <mergeCell ref="C58:D58"/>
    <mergeCell ref="C61:D61"/>
    <mergeCell ref="C47:D47"/>
    <mergeCell ref="C48:D48"/>
    <mergeCell ref="C52:D52"/>
    <mergeCell ref="C65:D65"/>
    <mergeCell ref="C66:D66"/>
    <mergeCell ref="B9:B10"/>
    <mergeCell ref="C23:D23"/>
    <mergeCell ref="C25:D25"/>
    <mergeCell ref="C10:D10"/>
    <mergeCell ref="A9:A10"/>
    <mergeCell ref="C9:L9"/>
    <mergeCell ref="J10:K10"/>
    <mergeCell ref="A79:F79"/>
    <mergeCell ref="J23:K23"/>
    <mergeCell ref="J24:K24"/>
    <mergeCell ref="J25:K25"/>
    <mergeCell ref="J26:K26"/>
    <mergeCell ref="J27:K27"/>
    <mergeCell ref="C39:D39"/>
    <mergeCell ref="C40:D40"/>
    <mergeCell ref="C41:D41"/>
    <mergeCell ref="C42:D42"/>
    <mergeCell ref="C27:D27"/>
    <mergeCell ref="C36:D36"/>
    <mergeCell ref="C26:D26"/>
    <mergeCell ref="C24:D24"/>
    <mergeCell ref="C72:D72"/>
    <mergeCell ref="C73:D73"/>
  </mergeCells>
  <pageMargins left="0.7" right="0.7" top="0.75" bottom="0.75" header="0.3" footer="0.3"/>
  <pageSetup paperSize="9" orientation="portrait" r:id="rId1"/>
  <ignoredErrors>
    <ignoredError sqref="B49:I50 B54:I55 D53:E53 B52:E52 D51:E51 B48:E48 B59:I60 B57:E57 B67:I68 B66:F66 B65:F65 B64:F64 B74:J78 B69:H70 C58:E58 C56:E56 B72:H73 C71:H71 C47:E47 B62:I63 B61:E61" evalError="1"/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customWidth="1"/>
    <col min="2" max="12" width="18.7109375" customWidth="1"/>
  </cols>
  <sheetData>
    <row r="8" spans="1:12" ht="19.5" customHeight="1" x14ac:dyDescent="0.25"/>
    <row r="9" spans="1:12" s="5" customFormat="1" ht="15" customHeight="1" x14ac:dyDescent="0.25">
      <c r="A9" s="142" t="s">
        <v>0</v>
      </c>
      <c r="B9" s="123" t="s">
        <v>52</v>
      </c>
      <c r="C9" s="128" t="s">
        <v>87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2" s="5" customFormat="1" ht="51.75" customHeight="1" thickBot="1" x14ac:dyDescent="0.3">
      <c r="A10" s="143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50</v>
      </c>
      <c r="J10" s="139" t="s">
        <v>108</v>
      </c>
      <c r="K10" s="139"/>
      <c r="L10" s="42" t="s">
        <v>54</v>
      </c>
    </row>
    <row r="11" spans="1:12" ht="15.75" thickTop="1" x14ac:dyDescent="0.25"/>
    <row r="12" spans="1:12" x14ac:dyDescent="0.25">
      <c r="A12" s="5" t="s">
        <v>2</v>
      </c>
      <c r="D12" s="3"/>
      <c r="E12" s="3"/>
    </row>
    <row r="13" spans="1:12" x14ac:dyDescent="0.25">
      <c r="A13" s="30"/>
      <c r="D13" s="3"/>
      <c r="E13" s="3"/>
    </row>
    <row r="14" spans="1:12" s="28" customFormat="1" x14ac:dyDescent="0.25">
      <c r="A14" s="5" t="s">
        <v>41</v>
      </c>
      <c r="B14" s="58" t="s">
        <v>65</v>
      </c>
      <c r="C14" s="58" t="s">
        <v>42</v>
      </c>
      <c r="D14" s="58" t="s">
        <v>43</v>
      </c>
      <c r="E14" s="58" t="s">
        <v>42</v>
      </c>
      <c r="F14" s="58" t="s">
        <v>42</v>
      </c>
      <c r="G14" s="58" t="s">
        <v>42</v>
      </c>
      <c r="H14" s="56" t="s">
        <v>134</v>
      </c>
      <c r="I14" s="56" t="s">
        <v>51</v>
      </c>
      <c r="J14" s="56" t="s">
        <v>42</v>
      </c>
      <c r="K14" s="56" t="s">
        <v>121</v>
      </c>
      <c r="L14" s="56" t="s">
        <v>65</v>
      </c>
    </row>
    <row r="15" spans="1:12" s="30" customFormat="1" x14ac:dyDescent="0.25">
      <c r="A15" s="29" t="s">
        <v>68</v>
      </c>
      <c r="B15" s="69">
        <v>216115</v>
      </c>
      <c r="C15" s="69">
        <v>149767</v>
      </c>
      <c r="D15" s="69">
        <v>195200</v>
      </c>
      <c r="E15" s="69">
        <v>2348</v>
      </c>
      <c r="F15" s="69">
        <v>231</v>
      </c>
      <c r="G15" s="69">
        <v>16116</v>
      </c>
      <c r="H15" s="69">
        <v>85860</v>
      </c>
      <c r="I15" s="69">
        <v>25498</v>
      </c>
      <c r="J15" s="69" t="s">
        <v>48</v>
      </c>
      <c r="K15" s="62" t="s">
        <v>48</v>
      </c>
      <c r="L15" s="62" t="s">
        <v>48</v>
      </c>
    </row>
    <row r="16" spans="1:12" s="30" customFormat="1" x14ac:dyDescent="0.25">
      <c r="A16" s="29" t="s">
        <v>115</v>
      </c>
      <c r="B16" s="69" t="str">
        <f>'III Trimestre'!B16</f>
        <v>n.d</v>
      </c>
      <c r="C16" s="69" t="str">
        <f>'III Trimestre'!C16</f>
        <v>n.d</v>
      </c>
      <c r="D16" s="69">
        <f>'III Trimestre'!D16</f>
        <v>138253</v>
      </c>
      <c r="E16" s="69">
        <f>'III Trimestre'!E16</f>
        <v>2046</v>
      </c>
      <c r="F16" s="69">
        <f>'III Trimestre'!F16</f>
        <v>507</v>
      </c>
      <c r="G16" s="69">
        <f>'III Trimestre'!G16</f>
        <v>8018</v>
      </c>
      <c r="H16" s="69">
        <f>'III Trimestre'!H16</f>
        <v>82213</v>
      </c>
      <c r="I16" s="69">
        <f>'III Trimestre'!I16</f>
        <v>28558</v>
      </c>
      <c r="J16" s="69" t="str">
        <f>'III Trimestre'!J16</f>
        <v xml:space="preserve">n.d. </v>
      </c>
      <c r="K16" s="69">
        <f>'III Trimestre'!K16</f>
        <v>72640</v>
      </c>
      <c r="L16" s="69" t="str">
        <f>'III Trimestre'!L16</f>
        <v>n.d.</v>
      </c>
    </row>
    <row r="17" spans="1:12" s="30" customFormat="1" x14ac:dyDescent="0.25">
      <c r="A17" s="9" t="s">
        <v>56</v>
      </c>
      <c r="B17" s="69">
        <f>+'I Trimestre'!B17+'II Trimestre'!B17+'III Trimestre'!B17</f>
        <v>2270433</v>
      </c>
      <c r="C17" s="69" t="str">
        <f>'III Trimestre'!C17</f>
        <v>n.d</v>
      </c>
      <c r="D17" s="69">
        <f>+'I Trimestre'!D17+'II Trimestre'!D17+'III Trimestre'!D17</f>
        <v>1155395</v>
      </c>
      <c r="E17" s="69">
        <f>+'I Trimestre'!E17+'II Trimestre'!E17+'III Trimestre'!E17</f>
        <v>17184</v>
      </c>
      <c r="F17" s="69">
        <f>+'I Trimestre'!F17+'II Trimestre'!F17+'III Trimestre'!F17</f>
        <v>4279</v>
      </c>
      <c r="G17" s="69">
        <f>+'I Trimestre'!G17+'II Trimestre'!G17+'III Trimestre'!G17</f>
        <v>71900</v>
      </c>
      <c r="H17" s="69">
        <f>+'I Trimestre'!H17+'II Trimestre'!H17+'III Trimestre'!H17</f>
        <v>560605</v>
      </c>
      <c r="I17" s="69">
        <f>+'I Trimestre'!I17+'II Trimestre'!I17+'III Trimestre'!I17</f>
        <v>243150</v>
      </c>
      <c r="J17" s="69" t="str">
        <f>'III Trimestre'!J17</f>
        <v xml:space="preserve">n.d. </v>
      </c>
      <c r="K17" s="69">
        <f>'III Trimestre'!K17</f>
        <v>217920</v>
      </c>
      <c r="L17" s="69" t="str">
        <f>'III Trimestre'!L17</f>
        <v>n.d.</v>
      </c>
    </row>
    <row r="18" spans="1:12" s="30" customFormat="1" x14ac:dyDescent="0.25">
      <c r="A18" s="29" t="s">
        <v>116</v>
      </c>
      <c r="B18" s="69">
        <v>317508</v>
      </c>
      <c r="C18" s="69">
        <v>152710</v>
      </c>
      <c r="D18" s="69">
        <v>197754</v>
      </c>
      <c r="E18" s="69">
        <v>1614</v>
      </c>
      <c r="F18" s="69">
        <v>154</v>
      </c>
      <c r="G18" s="69">
        <v>9787</v>
      </c>
      <c r="H18" s="69">
        <v>99197</v>
      </c>
      <c r="I18" s="69">
        <v>27608</v>
      </c>
      <c r="J18" s="69">
        <v>163919</v>
      </c>
      <c r="K18" s="69">
        <v>200039</v>
      </c>
      <c r="L18" s="62" t="s">
        <v>48</v>
      </c>
    </row>
    <row r="19" spans="1:12" s="30" customFormat="1" x14ac:dyDescent="0.25">
      <c r="A19" s="9" t="s">
        <v>56</v>
      </c>
      <c r="B19" s="69">
        <f>+'I Trimestre'!B19+'II Trimestre'!B19+'III Trimestre'!B19</f>
        <v>2712877</v>
      </c>
      <c r="C19" s="69" t="str">
        <f>'III Trimestre'!C19</f>
        <v>n.d</v>
      </c>
      <c r="D19" s="69">
        <f>+'I Trimestre'!D19+'II Trimestre'!D19+'III Trimestre'!D19</f>
        <v>1442780</v>
      </c>
      <c r="E19" s="69">
        <f>+'I Trimestre'!E19+'II Trimestre'!E19+'III Trimestre'!E19</f>
        <v>7838</v>
      </c>
      <c r="F19" s="69">
        <f>+'I Trimestre'!F19+'II Trimestre'!F19+'III Trimestre'!F19</f>
        <v>761</v>
      </c>
      <c r="G19" s="69">
        <f>+'I Trimestre'!G19+'II Trimestre'!G19+'III Trimestre'!G19</f>
        <v>69777</v>
      </c>
      <c r="H19" s="69">
        <f>+'I Trimestre'!H19+'II Trimestre'!H19+'III Trimestre'!H19</f>
        <v>424626</v>
      </c>
      <c r="I19" s="69">
        <f>+'I Trimestre'!I19+'II Trimestre'!I19+'III Trimestre'!I19</f>
        <v>179793</v>
      </c>
      <c r="J19" s="69" t="str">
        <f>'III Trimestre'!J19</f>
        <v xml:space="preserve">n.d. </v>
      </c>
      <c r="K19" s="69">
        <f>'III Trimestre'!K19</f>
        <v>587302</v>
      </c>
      <c r="L19" s="69" t="str">
        <f>'III Trimestre'!L19</f>
        <v>n.d.</v>
      </c>
    </row>
    <row r="20" spans="1:12" s="30" customFormat="1" x14ac:dyDescent="0.25">
      <c r="A20" s="29" t="s">
        <v>91</v>
      </c>
      <c r="B20" s="69" t="str">
        <f>'III Trimestre'!B20</f>
        <v>n.d</v>
      </c>
      <c r="C20" s="69" t="str">
        <f>'III Trimestre'!C20</f>
        <v>n.d</v>
      </c>
      <c r="D20" s="69">
        <f>'III Trimestre'!D20</f>
        <v>138253</v>
      </c>
      <c r="E20" s="69">
        <f>'III Trimestre'!E20</f>
        <v>2049</v>
      </c>
      <c r="F20" s="69">
        <f>'III Trimestre'!F20</f>
        <v>508</v>
      </c>
      <c r="G20" s="69">
        <f>'III Trimestre'!G20</f>
        <v>8019</v>
      </c>
      <c r="H20" s="69">
        <f>'III Trimestre'!H20</f>
        <v>83332</v>
      </c>
      <c r="I20" s="69">
        <f>'III Trimestre'!I20</f>
        <v>28559</v>
      </c>
      <c r="J20" s="69" t="str">
        <f>'III Trimestre'!J20</f>
        <v xml:space="preserve">n.d. </v>
      </c>
      <c r="K20" s="69">
        <f>'III Trimestre'!K20</f>
        <v>72641</v>
      </c>
      <c r="L20" s="69" t="str">
        <f>'III Trimestre'!L20</f>
        <v>n.d.</v>
      </c>
    </row>
    <row r="21" spans="1:12" s="30" customFormat="1" x14ac:dyDescent="0.25">
      <c r="B21" s="69"/>
      <c r="C21" s="69"/>
      <c r="D21" s="69"/>
      <c r="E21" s="69"/>
      <c r="F21" s="69"/>
      <c r="G21" s="69"/>
      <c r="H21" s="69"/>
      <c r="I21" s="69"/>
      <c r="J21" s="69"/>
      <c r="K21" s="106"/>
      <c r="L21" s="106"/>
    </row>
    <row r="22" spans="1:12" s="30" customFormat="1" x14ac:dyDescent="0.25">
      <c r="A22" s="52" t="s">
        <v>3</v>
      </c>
      <c r="B22" s="69"/>
      <c r="C22" s="69"/>
      <c r="D22" s="69"/>
      <c r="E22" s="69"/>
      <c r="F22" s="69"/>
      <c r="G22" s="69"/>
      <c r="H22" s="69"/>
      <c r="I22" s="69"/>
      <c r="J22" s="69"/>
      <c r="K22" s="106"/>
      <c r="L22" s="106"/>
    </row>
    <row r="23" spans="1:12" s="30" customFormat="1" x14ac:dyDescent="0.25">
      <c r="A23" s="29" t="s">
        <v>68</v>
      </c>
      <c r="B23" s="69">
        <f>C23+I23+H23+G23+E23+F23+L23</f>
        <v>93500457479.820007</v>
      </c>
      <c r="C23" s="135">
        <f>'I Trimestre'!C23:D23+'II Trimestre'!C23:D23+'III Trimestre'!C23:D23</f>
        <v>37649475000</v>
      </c>
      <c r="D23" s="135"/>
      <c r="E23" s="69">
        <f>'I Trimestre'!E23+'II Trimestre'!E23+'III Trimestre'!E23</f>
        <v>1190458500</v>
      </c>
      <c r="F23" s="69">
        <f>'I Trimestre'!F23+'II Trimestre'!F23+'III Trimestre'!F23</f>
        <v>261346300.00000003</v>
      </c>
      <c r="G23" s="69">
        <f>'I Trimestre'!G23+'II Trimestre'!G23+'III Trimestre'!G23</f>
        <v>5242346534</v>
      </c>
      <c r="H23" s="69">
        <f>'I Trimestre'!H23+'II Trimestre'!H23+'III Trimestre'!H23</f>
        <v>28985777985.000004</v>
      </c>
      <c r="I23" s="69">
        <f>'I Trimestre'!I23+'II Trimestre'!I23+'III Trimestre'!I23</f>
        <v>20017724879</v>
      </c>
      <c r="J23" s="135" t="str">
        <f>'III Trimestre'!J23</f>
        <v xml:space="preserve">n.d. </v>
      </c>
      <c r="K23" s="135"/>
      <c r="L23" s="69">
        <f>+'I Trimestre'!J23+'II Trimestre'!J23+'III Trimestre'!L23</f>
        <v>153328281.81999999</v>
      </c>
    </row>
    <row r="24" spans="1:12" s="30" customFormat="1" x14ac:dyDescent="0.25">
      <c r="A24" s="29" t="s">
        <v>115</v>
      </c>
      <c r="B24" s="69">
        <f>SUM(C24:J24)</f>
        <v>120491710000</v>
      </c>
      <c r="C24" s="135">
        <f>'I Trimestre'!C24:D24+'II Trimestre'!C24:D24+'III Trimestre'!C24:D24</f>
        <v>40438825000</v>
      </c>
      <c r="D24" s="135"/>
      <c r="E24" s="69">
        <f>'I Trimestre'!E24+'II Trimestre'!E24+'III Trimestre'!E24</f>
        <v>1340352000</v>
      </c>
      <c r="F24" s="69">
        <f>'I Trimestre'!F24+'II Trimestre'!F24+'III Trimestre'!F24</f>
        <v>1335048000</v>
      </c>
      <c r="G24" s="69">
        <f>'I Trimestre'!G24+'II Trimestre'!G24+'III Trimestre'!G24</f>
        <v>5392500000</v>
      </c>
      <c r="H24" s="69">
        <f>'I Trimestre'!H24+'II Trimestre'!H24+'III Trimestre'!H24</f>
        <v>42045375000</v>
      </c>
      <c r="I24" s="69">
        <f>'I Trimestre'!I24+'II Trimestre'!I24+'III Trimestre'!I24</f>
        <v>26017050000</v>
      </c>
      <c r="J24" s="135">
        <f>'III Trimestre'!J24</f>
        <v>3922560000</v>
      </c>
      <c r="K24" s="135"/>
      <c r="L24" s="69" t="s">
        <v>48</v>
      </c>
    </row>
    <row r="25" spans="1:12" s="30" customFormat="1" x14ac:dyDescent="0.25">
      <c r="A25" s="29" t="s">
        <v>116</v>
      </c>
      <c r="B25" s="69">
        <f>+C25+E25+F25+G25+H25+I25+J25+L25</f>
        <v>107526076517.3</v>
      </c>
      <c r="C25" s="135">
        <f>'I Trimestre'!C25:D25+'II Trimestre'!C25:D25+'III Trimestre'!C25:D25</f>
        <v>40062800000</v>
      </c>
      <c r="D25" s="135"/>
      <c r="E25" s="69">
        <f>'I Trimestre'!E25+'II Trimestre'!E25+'III Trimestre'!E25</f>
        <v>691551100</v>
      </c>
      <c r="F25" s="69">
        <f>'I Trimestre'!F25+'II Trimestre'!F25+'III Trimestre'!F25</f>
        <v>184907600</v>
      </c>
      <c r="G25" s="69">
        <f>'I Trimestre'!G25+'II Trimestre'!G25+'III Trimestre'!G25</f>
        <v>5376648390</v>
      </c>
      <c r="H25" s="69">
        <f>'I Trimestre'!H25+'II Trimestre'!H25+'III Trimestre'!H25</f>
        <v>33293577539</v>
      </c>
      <c r="I25" s="69">
        <f>'I Trimestre'!I25+'II Trimestre'!I25+'III Trimestre'!I25</f>
        <v>23946903797.000004</v>
      </c>
      <c r="J25" s="135">
        <f>'III Trimestre'!J25</f>
        <v>3806609000</v>
      </c>
      <c r="K25" s="135"/>
      <c r="L25" s="69">
        <f>+'I Trimestre'!J25+'II Trimestre'!J25+'III Trimestre'!L25</f>
        <v>163079091.29999998</v>
      </c>
    </row>
    <row r="26" spans="1:12" s="30" customFormat="1" x14ac:dyDescent="0.25">
      <c r="A26" s="29" t="s">
        <v>91</v>
      </c>
      <c r="B26" s="69">
        <f>SUM(C26:J26)</f>
        <v>150518582000</v>
      </c>
      <c r="C26" s="135">
        <f>'III Trimestre'!C26</f>
        <v>50139845000</v>
      </c>
      <c r="D26" s="135"/>
      <c r="E26" s="69">
        <f>'III Trimestre'!E26</f>
        <v>1675986000</v>
      </c>
      <c r="F26" s="69">
        <f>'III Trimestre'!F26</f>
        <v>1666704000</v>
      </c>
      <c r="G26" s="69">
        <f>'III Trimestre'!G26</f>
        <v>7196775000</v>
      </c>
      <c r="H26" s="69">
        <f>'III Trimestre'!H26</f>
        <v>55234575000</v>
      </c>
      <c r="I26" s="69">
        <f>'III Trimestre'!I26</f>
        <v>26759523000</v>
      </c>
      <c r="J26" s="135">
        <f>'III Trimestre'!J26</f>
        <v>7845174000</v>
      </c>
      <c r="K26" s="135"/>
      <c r="L26" s="69" t="str">
        <f>'III Trimestre'!L26</f>
        <v>n.d.</v>
      </c>
    </row>
    <row r="27" spans="1:12" s="30" customFormat="1" x14ac:dyDescent="0.25">
      <c r="A27" s="29" t="s">
        <v>117</v>
      </c>
      <c r="B27" s="69">
        <f>+C27+E27+F27+G27+H27+I27+J27+L27</f>
        <v>107526076517.3</v>
      </c>
      <c r="C27" s="135">
        <f>C25</f>
        <v>40062800000</v>
      </c>
      <c r="D27" s="135"/>
      <c r="E27" s="69">
        <f t="shared" ref="E27:J27" si="0">E25</f>
        <v>691551100</v>
      </c>
      <c r="F27" s="69">
        <f t="shared" si="0"/>
        <v>184907600</v>
      </c>
      <c r="G27" s="69">
        <f t="shared" si="0"/>
        <v>5376648390</v>
      </c>
      <c r="H27" s="69">
        <f t="shared" si="0"/>
        <v>33293577539</v>
      </c>
      <c r="I27" s="69">
        <f t="shared" si="0"/>
        <v>23946903797.000004</v>
      </c>
      <c r="J27" s="135">
        <f t="shared" si="0"/>
        <v>3806609000</v>
      </c>
      <c r="K27" s="135"/>
      <c r="L27" s="69">
        <f t="shared" ref="L27" si="1">L25</f>
        <v>163079091.29999998</v>
      </c>
    </row>
    <row r="28" spans="1:12" s="30" customFormat="1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106"/>
      <c r="L28" s="106"/>
    </row>
    <row r="29" spans="1:12" s="30" customFormat="1" x14ac:dyDescent="0.25">
      <c r="A29" s="52" t="s">
        <v>4</v>
      </c>
      <c r="B29" s="69"/>
      <c r="C29" s="69"/>
      <c r="D29" s="69"/>
      <c r="E29" s="69"/>
      <c r="F29" s="69"/>
      <c r="G29" s="69"/>
      <c r="H29" s="69"/>
      <c r="I29" s="69"/>
      <c r="J29" s="69"/>
      <c r="K29" s="106"/>
      <c r="L29" s="106"/>
    </row>
    <row r="30" spans="1:12" s="30" customFormat="1" x14ac:dyDescent="0.25">
      <c r="A30" s="29" t="s">
        <v>115</v>
      </c>
      <c r="B30" s="69">
        <f>'I Trimestre'!B30+'II Trimestre'!B30+'III Trimestre'!B30</f>
        <v>120491710000</v>
      </c>
      <c r="C30" s="69"/>
      <c r="D30" s="69"/>
      <c r="E30" s="69"/>
      <c r="F30" s="69"/>
      <c r="G30" s="69"/>
      <c r="H30" s="69"/>
      <c r="I30" s="69"/>
      <c r="J30" s="69"/>
      <c r="K30" s="106"/>
      <c r="L30" s="106"/>
    </row>
    <row r="31" spans="1:12" s="30" customFormat="1" x14ac:dyDescent="0.25">
      <c r="A31" s="29" t="s">
        <v>116</v>
      </c>
      <c r="B31" s="69">
        <f>'I Trimestre'!B31+'II Trimestre'!B31+'III Trimestre'!B31</f>
        <v>119199074825.19</v>
      </c>
      <c r="C31" s="69"/>
      <c r="D31" s="69"/>
      <c r="E31" s="69"/>
      <c r="F31" s="69"/>
      <c r="G31" s="69"/>
      <c r="H31" s="69"/>
      <c r="I31" s="69"/>
      <c r="J31" s="69"/>
      <c r="K31" s="106"/>
      <c r="L31" s="106"/>
    </row>
    <row r="32" spans="1:12" s="4" customFormat="1" x14ac:dyDescent="0.25">
      <c r="A32" s="30"/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</row>
    <row r="33" spans="1:13" s="4" customFormat="1" x14ac:dyDescent="0.25">
      <c r="A33" s="5" t="s">
        <v>5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51"/>
    </row>
    <row r="34" spans="1:13" s="4" customFormat="1" x14ac:dyDescent="0.25">
      <c r="A34" s="29" t="s">
        <v>69</v>
      </c>
      <c r="B34" s="92">
        <v>1.0347772084</v>
      </c>
      <c r="C34" s="92">
        <v>1.0347772084</v>
      </c>
      <c r="D34" s="92">
        <v>1.0347772084</v>
      </c>
      <c r="E34" s="92">
        <v>1.0347772084</v>
      </c>
      <c r="F34" s="92">
        <v>1.0347772084</v>
      </c>
      <c r="G34" s="92">
        <v>1.0347772084</v>
      </c>
      <c r="H34" s="92">
        <v>1.0347772084</v>
      </c>
      <c r="I34" s="92">
        <v>1.0347772084</v>
      </c>
      <c r="J34" s="92">
        <v>1.0347772084</v>
      </c>
      <c r="K34" s="92">
        <v>1.0347772084</v>
      </c>
      <c r="L34" s="92">
        <v>1.0347772084</v>
      </c>
    </row>
    <row r="35" spans="1:13" s="4" customFormat="1" x14ac:dyDescent="0.25">
      <c r="A35" s="29" t="s">
        <v>118</v>
      </c>
      <c r="B35" s="92">
        <v>1.060947463</v>
      </c>
      <c r="C35" s="92">
        <v>1.060947463</v>
      </c>
      <c r="D35" s="92">
        <v>1.060947463</v>
      </c>
      <c r="E35" s="92">
        <v>1.060947463</v>
      </c>
      <c r="F35" s="92">
        <v>1.060947463</v>
      </c>
      <c r="G35" s="92">
        <v>1.060947463</v>
      </c>
      <c r="H35" s="92">
        <v>1.060947463</v>
      </c>
      <c r="I35" s="92">
        <v>1.060947463</v>
      </c>
      <c r="J35" s="92">
        <v>1.060947463</v>
      </c>
      <c r="K35" s="92">
        <v>1.060947463</v>
      </c>
      <c r="L35" s="92">
        <v>1.060947463</v>
      </c>
    </row>
    <row r="36" spans="1:13" s="30" customFormat="1" x14ac:dyDescent="0.25">
      <c r="A36" s="29" t="s">
        <v>6</v>
      </c>
      <c r="B36" s="102">
        <v>376622</v>
      </c>
      <c r="C36" s="137">
        <v>147739</v>
      </c>
      <c r="D36" s="137"/>
      <c r="E36" s="102">
        <v>142525</v>
      </c>
      <c r="F36" s="102" t="s">
        <v>57</v>
      </c>
      <c r="G36" s="102">
        <v>85872</v>
      </c>
      <c r="H36" s="102" t="s">
        <v>57</v>
      </c>
      <c r="I36" s="102" t="s">
        <v>57</v>
      </c>
      <c r="J36" s="102" t="s">
        <v>57</v>
      </c>
      <c r="K36" s="107" t="s">
        <v>57</v>
      </c>
      <c r="L36" s="107" t="s">
        <v>57</v>
      </c>
    </row>
    <row r="37" spans="1:13" x14ac:dyDescent="0.25">
      <c r="A37" s="30"/>
      <c r="B37" s="108"/>
      <c r="C37" s="108"/>
      <c r="D37" s="108"/>
      <c r="E37" s="108"/>
      <c r="F37" s="111"/>
      <c r="G37" s="111"/>
      <c r="H37" s="111"/>
      <c r="I37" s="111"/>
      <c r="J37" s="111"/>
      <c r="K37" s="111"/>
      <c r="L37" s="111"/>
    </row>
    <row r="38" spans="1:13" s="4" customFormat="1" x14ac:dyDescent="0.25">
      <c r="A38" s="5" t="s">
        <v>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3" s="30" customFormat="1" x14ac:dyDescent="0.25">
      <c r="A39" s="30" t="s">
        <v>70</v>
      </c>
      <c r="B39" s="82">
        <f>B23/B34</f>
        <v>90358056517.685486</v>
      </c>
      <c r="C39" s="136">
        <f>C23/C34</f>
        <v>36384136309.123604</v>
      </c>
      <c r="D39" s="136"/>
      <c r="E39" s="82">
        <f>E23/E34</f>
        <v>1150449092.1680799</v>
      </c>
      <c r="F39" s="82">
        <f t="shared" ref="F39:I39" si="2">F23/F34</f>
        <v>252562868.48847455</v>
      </c>
      <c r="G39" s="82">
        <f t="shared" si="2"/>
        <v>5066159644.2637691</v>
      </c>
      <c r="H39" s="82">
        <f t="shared" si="2"/>
        <v>28011612306.207039</v>
      </c>
      <c r="I39" s="82">
        <f t="shared" si="2"/>
        <v>19344961134.147842</v>
      </c>
      <c r="J39" s="136" t="s">
        <v>57</v>
      </c>
      <c r="K39" s="136"/>
      <c r="L39" s="82">
        <f t="shared" ref="L39" si="3">L23/L34</f>
        <v>148175163.28667527</v>
      </c>
      <c r="M39" s="77"/>
    </row>
    <row r="40" spans="1:13" s="30" customFormat="1" x14ac:dyDescent="0.25">
      <c r="A40" s="30" t="s">
        <v>119</v>
      </c>
      <c r="B40" s="82">
        <f>B25/B35</f>
        <v>101349105650.57829</v>
      </c>
      <c r="C40" s="136">
        <f>C25/C35</f>
        <v>37761342005.301537</v>
      </c>
      <c r="D40" s="136"/>
      <c r="E40" s="82">
        <f>E25/E35</f>
        <v>651824076.23137891</v>
      </c>
      <c r="F40" s="82">
        <f t="shared" ref="F40:I40" si="4">F25/F35</f>
        <v>174285350.07486984</v>
      </c>
      <c r="G40" s="82">
        <f t="shared" si="4"/>
        <v>5067780052.7432899</v>
      </c>
      <c r="H40" s="82">
        <f t="shared" si="4"/>
        <v>31380986052.652451</v>
      </c>
      <c r="I40" s="82">
        <f t="shared" si="4"/>
        <v>22571243753.471329</v>
      </c>
      <c r="J40" s="136">
        <f t="shared" ref="J40:L40" si="5">J25/J35</f>
        <v>3587933552.5589547</v>
      </c>
      <c r="K40" s="136"/>
      <c r="L40" s="82">
        <f t="shared" si="5"/>
        <v>153710807.54448253</v>
      </c>
      <c r="M40" s="77"/>
    </row>
    <row r="41" spans="1:13" s="30" customFormat="1" x14ac:dyDescent="0.25">
      <c r="A41" s="30" t="s">
        <v>71</v>
      </c>
      <c r="B41" s="82">
        <f>B39/B15</f>
        <v>418101.73526911822</v>
      </c>
      <c r="C41" s="136">
        <f>C39/D15</f>
        <v>186394.14092788732</v>
      </c>
      <c r="D41" s="136"/>
      <c r="E41" s="82">
        <f>E39/E15</f>
        <v>489969.80075301527</v>
      </c>
      <c r="F41" s="82">
        <f t="shared" ref="F41:I41" si="6">F39/F15</f>
        <v>1093345.7510323573</v>
      </c>
      <c r="G41" s="82">
        <f t="shared" si="6"/>
        <v>314355.89750954142</v>
      </c>
      <c r="H41" s="82">
        <f t="shared" si="6"/>
        <v>326247.52278368321</v>
      </c>
      <c r="I41" s="82">
        <f t="shared" si="6"/>
        <v>758685.4315690581</v>
      </c>
      <c r="J41" s="137" t="s">
        <v>57</v>
      </c>
      <c r="K41" s="137"/>
      <c r="L41" s="102" t="s">
        <v>57</v>
      </c>
      <c r="M41" s="78"/>
    </row>
    <row r="42" spans="1:13" s="30" customFormat="1" x14ac:dyDescent="0.25">
      <c r="A42" s="30" t="s">
        <v>120</v>
      </c>
      <c r="B42" s="82">
        <f>B40/B18</f>
        <v>319201.73869816918</v>
      </c>
      <c r="C42" s="136">
        <f>C40/D18</f>
        <v>190951.09077592127</v>
      </c>
      <c r="D42" s="136"/>
      <c r="E42" s="82">
        <f>E40/E18</f>
        <v>403856.30497607117</v>
      </c>
      <c r="F42" s="82">
        <f t="shared" ref="F42:I42" si="7">F40/F18</f>
        <v>1131723.0524342197</v>
      </c>
      <c r="G42" s="82">
        <f t="shared" si="7"/>
        <v>517807.3007809635</v>
      </c>
      <c r="H42" s="82">
        <f t="shared" si="7"/>
        <v>316350.15224908467</v>
      </c>
      <c r="I42" s="82">
        <f t="shared" si="7"/>
        <v>817561.71231061034</v>
      </c>
      <c r="J42" s="137">
        <f>J40/K18</f>
        <v>17936.170209603901</v>
      </c>
      <c r="K42" s="137"/>
      <c r="L42" s="102" t="s">
        <v>57</v>
      </c>
      <c r="M42" s="78"/>
    </row>
    <row r="43" spans="1:13" s="30" customFormat="1" x14ac:dyDescent="0.2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3" s="30" customFormat="1" x14ac:dyDescent="0.25">
      <c r="A44" s="5" t="s">
        <v>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1:13" s="30" customForma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3" s="30" customFormat="1" x14ac:dyDescent="0.25">
      <c r="A46" s="5" t="s">
        <v>9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s="30" customFormat="1" x14ac:dyDescent="0.25">
      <c r="A47" s="30" t="s">
        <v>10</v>
      </c>
      <c r="B47" s="104" t="s">
        <v>57</v>
      </c>
      <c r="C47" s="134">
        <f>D16/C36*100</f>
        <v>93.579217403664572</v>
      </c>
      <c r="D47" s="134"/>
      <c r="E47" s="105">
        <f>E16/E36*100</f>
        <v>1.435537624978074</v>
      </c>
      <c r="F47" s="104" t="s">
        <v>48</v>
      </c>
      <c r="G47" s="105">
        <f t="shared" ref="G47" si="8">G16/G36*100</f>
        <v>9.3371529718651018</v>
      </c>
      <c r="H47" s="104" t="s">
        <v>57</v>
      </c>
      <c r="I47" s="104" t="s">
        <v>57</v>
      </c>
      <c r="J47" s="140" t="s">
        <v>57</v>
      </c>
      <c r="K47" s="140"/>
      <c r="L47" s="104" t="s">
        <v>57</v>
      </c>
      <c r="M47" s="78"/>
    </row>
    <row r="48" spans="1:13" s="30" customFormat="1" x14ac:dyDescent="0.25">
      <c r="A48" s="30" t="s">
        <v>11</v>
      </c>
      <c r="B48" s="104">
        <f>(B18/B36)*100</f>
        <v>84.304156422088994</v>
      </c>
      <c r="C48" s="140">
        <f>(D18/C36)*100</f>
        <v>133.8536202356859</v>
      </c>
      <c r="D48" s="140"/>
      <c r="E48" s="105">
        <f>E18/E36*100</f>
        <v>1.1324329065076304</v>
      </c>
      <c r="F48" s="104" t="s">
        <v>48</v>
      </c>
      <c r="G48" s="105">
        <f t="shared" ref="G48" si="9">G18/G36*100</f>
        <v>11.39719582634619</v>
      </c>
      <c r="H48" s="104" t="s">
        <v>57</v>
      </c>
      <c r="I48" s="104" t="s">
        <v>57</v>
      </c>
      <c r="J48" s="140" t="s">
        <v>57</v>
      </c>
      <c r="K48" s="140"/>
      <c r="L48" s="104" t="s">
        <v>57</v>
      </c>
      <c r="M48" s="78"/>
    </row>
    <row r="49" spans="1:13" s="30" customFormat="1" x14ac:dyDescent="0.25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79"/>
    </row>
    <row r="50" spans="1:13" s="30" customFormat="1" x14ac:dyDescent="0.25">
      <c r="A50" s="5" t="s">
        <v>12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79"/>
    </row>
    <row r="51" spans="1:13" s="30" customFormat="1" x14ac:dyDescent="0.25">
      <c r="A51" s="30" t="s">
        <v>13</v>
      </c>
      <c r="B51" s="104" t="s">
        <v>57</v>
      </c>
      <c r="C51" s="104" t="s">
        <v>57</v>
      </c>
      <c r="D51" s="109">
        <f>D18/D16*100</f>
        <v>143.03776409915156</v>
      </c>
      <c r="E51" s="105">
        <f>E18/E16*100</f>
        <v>78.885630498533715</v>
      </c>
      <c r="F51" s="105">
        <f t="shared" ref="F51:H51" si="10">F18/F16*100</f>
        <v>30.374753451676529</v>
      </c>
      <c r="G51" s="105">
        <f t="shared" si="10"/>
        <v>122.0628585682215</v>
      </c>
      <c r="H51" s="105">
        <f t="shared" si="10"/>
        <v>120.65853332198071</v>
      </c>
      <c r="I51" s="105">
        <f t="shared" ref="I51" si="11">I18/I16*100</f>
        <v>96.673436515162123</v>
      </c>
      <c r="J51" s="104" t="s">
        <v>57</v>
      </c>
      <c r="K51" s="104">
        <f>K18/K16*100</f>
        <v>275.3840859030837</v>
      </c>
      <c r="L51" s="104" t="s">
        <v>57</v>
      </c>
      <c r="M51" s="78"/>
    </row>
    <row r="52" spans="1:13" s="30" customFormat="1" x14ac:dyDescent="0.25">
      <c r="A52" s="30" t="s">
        <v>14</v>
      </c>
      <c r="B52" s="105">
        <f>B25/B24*100</f>
        <v>89.239397894925716</v>
      </c>
      <c r="C52" s="141">
        <f>C25/C24*100</f>
        <v>99.070138660062455</v>
      </c>
      <c r="D52" s="141"/>
      <c r="E52" s="105">
        <f>E25/E24*100</f>
        <v>51.594737800219647</v>
      </c>
      <c r="F52" s="105">
        <f t="shared" ref="F52:H52" si="12">F25/F24*100</f>
        <v>13.850258567482218</v>
      </c>
      <c r="G52" s="105">
        <f t="shared" si="12"/>
        <v>99.706043393602229</v>
      </c>
      <c r="H52" s="105">
        <f t="shared" si="12"/>
        <v>79.184874766844146</v>
      </c>
      <c r="I52" s="105">
        <f t="shared" ref="I52" si="13">I25/I24*100</f>
        <v>92.043117098210615</v>
      </c>
      <c r="J52" s="140">
        <f>J25/J24*100</f>
        <v>97.043996777614609</v>
      </c>
      <c r="K52" s="140"/>
      <c r="L52" s="104" t="s">
        <v>57</v>
      </c>
      <c r="M52" s="78"/>
    </row>
    <row r="53" spans="1:13" s="30" customFormat="1" x14ac:dyDescent="0.25">
      <c r="A53" s="30" t="s">
        <v>15</v>
      </c>
      <c r="B53" s="104" t="s">
        <v>57</v>
      </c>
      <c r="C53" s="104" t="s">
        <v>57</v>
      </c>
      <c r="D53" s="109">
        <f>AVERAGE(D51,C52)</f>
        <v>121.05395137960701</v>
      </c>
      <c r="E53" s="105">
        <f>AVERAGE(E51:E52)</f>
        <v>65.240184149376688</v>
      </c>
      <c r="F53" s="105">
        <f t="shared" ref="F53:H53" si="14">AVERAGE(F51:F52)</f>
        <v>22.112506009579374</v>
      </c>
      <c r="G53" s="105">
        <f t="shared" si="14"/>
        <v>110.88445098091186</v>
      </c>
      <c r="H53" s="105">
        <f t="shared" si="14"/>
        <v>99.921704044412422</v>
      </c>
      <c r="I53" s="105">
        <f t="shared" ref="I53" si="15">AVERAGE(I51:I52)</f>
        <v>94.358276806686376</v>
      </c>
      <c r="J53" s="104" t="s">
        <v>57</v>
      </c>
      <c r="K53" s="104">
        <f>AVERAGE(K51,J52)</f>
        <v>186.21404134034916</v>
      </c>
      <c r="L53" s="104" t="s">
        <v>57</v>
      </c>
      <c r="M53" s="78"/>
    </row>
    <row r="54" spans="1:13" s="30" customFormat="1" x14ac:dyDescent="0.25"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79"/>
    </row>
    <row r="55" spans="1:13" s="30" customFormat="1" x14ac:dyDescent="0.25">
      <c r="A55" s="5" t="s">
        <v>16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79"/>
    </row>
    <row r="56" spans="1:13" s="30" customFormat="1" x14ac:dyDescent="0.25">
      <c r="A56" s="30" t="s">
        <v>17</v>
      </c>
      <c r="B56" s="104" t="s">
        <v>57</v>
      </c>
      <c r="C56" s="134" t="s">
        <v>57</v>
      </c>
      <c r="D56" s="134"/>
      <c r="E56" s="105">
        <f>E18/E20*100</f>
        <v>78.770131771595899</v>
      </c>
      <c r="F56" s="105">
        <f t="shared" ref="F56:H56" si="16">F18/F20*100</f>
        <v>30.314960629921263</v>
      </c>
      <c r="G56" s="105">
        <f t="shared" si="16"/>
        <v>122.04763686245168</v>
      </c>
      <c r="H56" s="105">
        <f t="shared" si="16"/>
        <v>119.03830461287382</v>
      </c>
      <c r="I56" s="105">
        <f t="shared" ref="I56" si="17">I18/I20*100</f>
        <v>96.670051472390497</v>
      </c>
      <c r="J56" s="140">
        <f>K18/K20*100</f>
        <v>275.3802948747952</v>
      </c>
      <c r="K56" s="140"/>
      <c r="L56" s="104" t="s">
        <v>57</v>
      </c>
      <c r="M56" s="78"/>
    </row>
    <row r="57" spans="1:13" s="30" customFormat="1" x14ac:dyDescent="0.25">
      <c r="A57" s="30" t="s">
        <v>18</v>
      </c>
      <c r="B57" s="105">
        <f>B25/B26*100</f>
        <v>71.437077793690619</v>
      </c>
      <c r="C57" s="134">
        <f>C25/C26*100</f>
        <v>79.902121755661597</v>
      </c>
      <c r="D57" s="134"/>
      <c r="E57" s="105">
        <f>E25/E26*100</f>
        <v>41.262343480196137</v>
      </c>
      <c r="F57" s="105">
        <f t="shared" ref="F57:H57" si="18">F25/F26*100</f>
        <v>11.094207489752229</v>
      </c>
      <c r="G57" s="105">
        <f t="shared" si="18"/>
        <v>74.709135550298569</v>
      </c>
      <c r="H57" s="105">
        <f t="shared" si="18"/>
        <v>60.276697229950628</v>
      </c>
      <c r="I57" s="105">
        <f t="shared" ref="I57" si="19">I25/I26*100</f>
        <v>89.489277506927181</v>
      </c>
      <c r="J57" s="140">
        <f>J25/J26*100</f>
        <v>48.521664401579876</v>
      </c>
      <c r="K57" s="140"/>
      <c r="L57" s="104" t="s">
        <v>57</v>
      </c>
      <c r="M57" s="78"/>
    </row>
    <row r="58" spans="1:13" s="30" customFormat="1" x14ac:dyDescent="0.25">
      <c r="A58" s="30" t="s">
        <v>19</v>
      </c>
      <c r="B58" s="104" t="s">
        <v>57</v>
      </c>
      <c r="C58" s="134" t="s">
        <v>57</v>
      </c>
      <c r="D58" s="134"/>
      <c r="E58" s="105">
        <f>(E56+E57)/2</f>
        <v>60.016237625896018</v>
      </c>
      <c r="F58" s="105">
        <f t="shared" ref="F58:H58" si="20">(F56+F57)/2</f>
        <v>20.704584059836748</v>
      </c>
      <c r="G58" s="105">
        <f t="shared" si="20"/>
        <v>98.378386206375126</v>
      </c>
      <c r="H58" s="105">
        <f t="shared" si="20"/>
        <v>89.657500921412222</v>
      </c>
      <c r="I58" s="105">
        <f t="shared" ref="I58" si="21">(I56+I57)/2</f>
        <v>93.079664489658839</v>
      </c>
      <c r="J58" s="140">
        <f>+(J56+J57)/2</f>
        <v>161.95097963818753</v>
      </c>
      <c r="K58" s="140"/>
      <c r="L58" s="104" t="s">
        <v>57</v>
      </c>
      <c r="M58" s="78"/>
    </row>
    <row r="59" spans="1:13" s="30" customFormat="1" x14ac:dyDescent="0.25"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79"/>
    </row>
    <row r="60" spans="1:13" s="30" customFormat="1" x14ac:dyDescent="0.25">
      <c r="A60" s="5" t="s">
        <v>30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79"/>
    </row>
    <row r="61" spans="1:13" s="30" customFormat="1" x14ac:dyDescent="0.25">
      <c r="A61" s="30" t="s">
        <v>20</v>
      </c>
      <c r="B61" s="105">
        <f>B27/B25*100</f>
        <v>100</v>
      </c>
      <c r="C61" s="134">
        <f>C27/C25*100</f>
        <v>100</v>
      </c>
      <c r="D61" s="134"/>
      <c r="E61" s="105">
        <f>E27/E25*100</f>
        <v>100</v>
      </c>
      <c r="F61" s="105">
        <f t="shared" ref="F61:H61" si="22">F27/F25*100</f>
        <v>100</v>
      </c>
      <c r="G61" s="105">
        <f t="shared" si="22"/>
        <v>100</v>
      </c>
      <c r="H61" s="105">
        <f t="shared" si="22"/>
        <v>100</v>
      </c>
      <c r="I61" s="105">
        <f t="shared" ref="I61:J61" si="23">I27/I25*100</f>
        <v>100</v>
      </c>
      <c r="J61" s="134">
        <f t="shared" si="23"/>
        <v>100</v>
      </c>
      <c r="K61" s="134"/>
      <c r="L61" s="105" t="s">
        <v>57</v>
      </c>
      <c r="M61" s="81"/>
    </row>
    <row r="62" spans="1:13" s="30" customFormat="1" x14ac:dyDescent="0.25"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79"/>
    </row>
    <row r="63" spans="1:13" s="30" customFormat="1" x14ac:dyDescent="0.25">
      <c r="A63" s="5" t="s">
        <v>21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79"/>
    </row>
    <row r="64" spans="1:13" s="30" customFormat="1" x14ac:dyDescent="0.25">
      <c r="A64" s="30" t="s">
        <v>22</v>
      </c>
      <c r="B64" s="105">
        <f>((B18/B15)-1)*100</f>
        <v>46.916225157902034</v>
      </c>
      <c r="C64" s="134">
        <f>((C18/C15)-1)*100</f>
        <v>1.9650523813657284</v>
      </c>
      <c r="D64" s="134"/>
      <c r="E64" s="105">
        <f>((E18/E15)-1)*100</f>
        <v>-31.26064735945485</v>
      </c>
      <c r="F64" s="105">
        <f t="shared" ref="F64:H64" si="24">((F18/F15)-1)*100</f>
        <v>-33.333333333333336</v>
      </c>
      <c r="G64" s="105">
        <f t="shared" si="24"/>
        <v>-39.271531397369074</v>
      </c>
      <c r="H64" s="105">
        <f t="shared" si="24"/>
        <v>15.533426508269276</v>
      </c>
      <c r="I64" s="105">
        <f t="shared" ref="I64" si="25">((I18/I15)-1)*100</f>
        <v>8.2751588359871278</v>
      </c>
      <c r="J64" s="134" t="s">
        <v>48</v>
      </c>
      <c r="K64" s="134"/>
      <c r="L64" s="105" t="s">
        <v>57</v>
      </c>
      <c r="M64" s="78"/>
    </row>
    <row r="65" spans="1:13" s="30" customFormat="1" x14ac:dyDescent="0.25">
      <c r="A65" s="30" t="s">
        <v>23</v>
      </c>
      <c r="B65" s="105">
        <f>((B40/B39)-1)*100</f>
        <v>12.1638839484574</v>
      </c>
      <c r="C65" s="134">
        <f>((C40/C39)-1)*100</f>
        <v>3.7851817739386284</v>
      </c>
      <c r="D65" s="134"/>
      <c r="E65" s="105">
        <f>((E40/E39)-1)*100</f>
        <v>-43.341771429191766</v>
      </c>
      <c r="F65" s="105">
        <f t="shared" ref="F65:H65" si="26">((F40/F39)-1)*100</f>
        <v>-30.993280557065273</v>
      </c>
      <c r="G65" s="105">
        <f t="shared" si="26"/>
        <v>3.1984947046725942E-2</v>
      </c>
      <c r="H65" s="105">
        <f t="shared" si="26"/>
        <v>12.02848914804806</v>
      </c>
      <c r="I65" s="105">
        <f t="shared" ref="I65" si="27">((I40/I39)-1)*100</f>
        <v>16.677638155749165</v>
      </c>
      <c r="J65" s="134" t="s">
        <v>48</v>
      </c>
      <c r="K65" s="134"/>
      <c r="L65" s="105">
        <f t="shared" ref="L65" si="28">((L40/L39)-1)*100</f>
        <v>3.735878628388889</v>
      </c>
      <c r="M65" s="80"/>
    </row>
    <row r="66" spans="1:13" s="30" customFormat="1" x14ac:dyDescent="0.25">
      <c r="A66" s="30" t="s">
        <v>24</v>
      </c>
      <c r="B66" s="105">
        <f>((B42/B41)-1)*100</f>
        <v>-23.654529084240792</v>
      </c>
      <c r="C66" s="134">
        <f>((C42/C41)-1)*100</f>
        <v>2.4447924303570012</v>
      </c>
      <c r="D66" s="134"/>
      <c r="E66" s="105">
        <f>((E42/E41)-1)*100</f>
        <v>-17.575265994883694</v>
      </c>
      <c r="F66" s="105">
        <f t="shared" ref="F66:H66" si="29">((F42/F41)-1)*100</f>
        <v>3.5100791644020912</v>
      </c>
      <c r="G66" s="105">
        <f t="shared" si="29"/>
        <v>64.72008474574487</v>
      </c>
      <c r="H66" s="105">
        <f t="shared" si="29"/>
        <v>-3.0336998270975135</v>
      </c>
      <c r="I66" s="105">
        <f t="shared" ref="I66" si="30">((I42/I41)-1)*100</f>
        <v>7.7603020028720771</v>
      </c>
      <c r="J66" s="134" t="s">
        <v>48</v>
      </c>
      <c r="K66" s="134"/>
      <c r="L66" s="105" t="s">
        <v>57</v>
      </c>
      <c r="M66" s="78"/>
    </row>
    <row r="67" spans="1:13" s="30" customFormat="1" x14ac:dyDescent="0.25"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79"/>
    </row>
    <row r="68" spans="1:13" s="30" customFormat="1" x14ac:dyDescent="0.25">
      <c r="A68" s="5" t="s">
        <v>25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79"/>
    </row>
    <row r="69" spans="1:13" s="30" customFormat="1" x14ac:dyDescent="0.25">
      <c r="A69" s="30" t="s">
        <v>37</v>
      </c>
      <c r="B69" s="105">
        <f>(B24/B17)*9</f>
        <v>477629.3288548924</v>
      </c>
      <c r="C69" s="134">
        <f>(C24/D17)*9</f>
        <v>315000</v>
      </c>
      <c r="D69" s="134"/>
      <c r="E69" s="105">
        <f>(E24/E17*9)</f>
        <v>702000</v>
      </c>
      <c r="F69" s="105">
        <f t="shared" ref="F69:H69" si="31">(F24/F17*9)</f>
        <v>2808000</v>
      </c>
      <c r="G69" s="105">
        <f t="shared" si="31"/>
        <v>675000</v>
      </c>
      <c r="H69" s="105">
        <f t="shared" si="31"/>
        <v>675000</v>
      </c>
      <c r="I69" s="105">
        <f t="shared" ref="I69" si="32">(I24/I17*9)</f>
        <v>963000</v>
      </c>
      <c r="J69" s="134">
        <f>(J24/K17)*3</f>
        <v>54000</v>
      </c>
      <c r="K69" s="134"/>
      <c r="L69" s="105" t="s">
        <v>57</v>
      </c>
      <c r="M69" s="78"/>
    </row>
    <row r="70" spans="1:13" s="30" customFormat="1" x14ac:dyDescent="0.25">
      <c r="A70" s="30" t="s">
        <v>38</v>
      </c>
      <c r="B70" s="105">
        <f>(B25/B19)*9</f>
        <v>356718.96980795666</v>
      </c>
      <c r="C70" s="134">
        <f>(C25/D19)*9</f>
        <v>249910.03479393947</v>
      </c>
      <c r="D70" s="134"/>
      <c r="E70" s="105">
        <f>(E25/E19)*9</f>
        <v>794075.00637917826</v>
      </c>
      <c r="F70" s="105">
        <f t="shared" ref="F70:H70" si="33">(F25/F19)*9</f>
        <v>2186817.8712220765</v>
      </c>
      <c r="G70" s="105">
        <f t="shared" si="33"/>
        <v>693492.6338191668</v>
      </c>
      <c r="H70" s="105">
        <f t="shared" si="33"/>
        <v>705661.44760565762</v>
      </c>
      <c r="I70" s="105">
        <f t="shared" ref="I70" si="34">(I25/I19)*9</f>
        <v>1198723.7221304502</v>
      </c>
      <c r="J70" s="134">
        <f>(J25/K19)*3</f>
        <v>19444.556633554799</v>
      </c>
      <c r="K70" s="134"/>
      <c r="L70" s="105" t="s">
        <v>57</v>
      </c>
      <c r="M70" s="78"/>
    </row>
    <row r="71" spans="1:13" s="30" customFormat="1" x14ac:dyDescent="0.25">
      <c r="A71" s="30" t="s">
        <v>26</v>
      </c>
      <c r="B71" s="104" t="s">
        <v>57</v>
      </c>
      <c r="C71" s="134">
        <f>(C70/C69)*D53</f>
        <v>96.039991114988723</v>
      </c>
      <c r="D71" s="134"/>
      <c r="E71" s="105">
        <f>(E70/E69)*E53</f>
        <v>73.797150490876149</v>
      </c>
      <c r="F71" s="105">
        <f t="shared" ref="F71:H71" si="35">(F70/F69)*F53</f>
        <v>17.220806025375264</v>
      </c>
      <c r="G71" s="105">
        <f t="shared" si="35"/>
        <v>113.92229623754795</v>
      </c>
      <c r="H71" s="105">
        <f t="shared" si="35"/>
        <v>104.46058418252468</v>
      </c>
      <c r="I71" s="105">
        <f t="shared" ref="I71" si="36">(I70/I69)*I53</f>
        <v>117.45535284270657</v>
      </c>
      <c r="J71" s="134">
        <f>(J70/J69)*K53</f>
        <v>67.052768014917291</v>
      </c>
      <c r="K71" s="134"/>
      <c r="L71" s="105" t="s">
        <v>57</v>
      </c>
      <c r="M71" s="78"/>
    </row>
    <row r="72" spans="1:13" s="30" customFormat="1" x14ac:dyDescent="0.25">
      <c r="A72" s="30" t="s">
        <v>33</v>
      </c>
      <c r="B72" s="105">
        <f>B24/B17</f>
        <v>53069.925428321381</v>
      </c>
      <c r="C72" s="134">
        <f>C24/D17</f>
        <v>35000</v>
      </c>
      <c r="D72" s="134"/>
      <c r="E72" s="105">
        <f>E24/E17</f>
        <v>78000</v>
      </c>
      <c r="F72" s="105">
        <f t="shared" ref="F72:H72" si="37">F24/F17</f>
        <v>312000</v>
      </c>
      <c r="G72" s="105">
        <f t="shared" si="37"/>
        <v>75000</v>
      </c>
      <c r="H72" s="105">
        <f t="shared" si="37"/>
        <v>75000</v>
      </c>
      <c r="I72" s="105">
        <f t="shared" ref="I72" si="38">I24/I17</f>
        <v>107000</v>
      </c>
      <c r="J72" s="134">
        <f>J24/K17</f>
        <v>18000</v>
      </c>
      <c r="K72" s="134"/>
      <c r="L72" s="105" t="s">
        <v>57</v>
      </c>
      <c r="M72" s="78"/>
    </row>
    <row r="73" spans="1:13" s="30" customFormat="1" x14ac:dyDescent="0.25">
      <c r="A73" s="30" t="s">
        <v>34</v>
      </c>
      <c r="B73" s="105">
        <f>B25/B19</f>
        <v>39635.441089772961</v>
      </c>
      <c r="C73" s="134">
        <f>C25/D19</f>
        <v>27767.781643771053</v>
      </c>
      <c r="D73" s="134"/>
      <c r="E73" s="105">
        <f>E25/E19</f>
        <v>88230.556264353145</v>
      </c>
      <c r="F73" s="105">
        <f t="shared" ref="F73:H73" si="39">F25/F19</f>
        <v>242979.76346911959</v>
      </c>
      <c r="G73" s="105">
        <f t="shared" si="39"/>
        <v>77054.737091018527</v>
      </c>
      <c r="H73" s="105">
        <f t="shared" si="39"/>
        <v>78406.827511739742</v>
      </c>
      <c r="I73" s="105">
        <f t="shared" ref="I73" si="40">I25/I19</f>
        <v>133191.52468116113</v>
      </c>
      <c r="J73" s="134">
        <f>J25/K19</f>
        <v>6481.5188778515994</v>
      </c>
      <c r="K73" s="134"/>
      <c r="L73" s="105" t="s">
        <v>57</v>
      </c>
      <c r="M73" s="78"/>
    </row>
    <row r="74" spans="1:13" s="30" customFormat="1" x14ac:dyDescent="0.25">
      <c r="B74" s="105"/>
      <c r="C74" s="105"/>
      <c r="D74" s="105"/>
      <c r="E74" s="105"/>
      <c r="F74" s="105"/>
      <c r="G74" s="105"/>
      <c r="H74" s="105"/>
      <c r="I74" s="105"/>
      <c r="J74" s="105"/>
      <c r="K74" s="109"/>
      <c r="L74" s="109"/>
    </row>
    <row r="75" spans="1:13" s="30" customFormat="1" x14ac:dyDescent="0.25">
      <c r="A75" s="5" t="s">
        <v>27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9"/>
      <c r="L75" s="109"/>
    </row>
    <row r="76" spans="1:13" s="30" customFormat="1" x14ac:dyDescent="0.25">
      <c r="A76" s="30" t="s">
        <v>28</v>
      </c>
      <c r="B76" s="105">
        <f>(B31/B30)*100</f>
        <v>98.927199908765502</v>
      </c>
      <c r="C76" s="105"/>
      <c r="D76" s="105"/>
      <c r="E76" s="105"/>
      <c r="F76" s="105"/>
      <c r="G76" s="105"/>
      <c r="H76" s="105"/>
      <c r="I76" s="105"/>
      <c r="J76" s="105"/>
      <c r="K76" s="109"/>
      <c r="L76" s="109"/>
    </row>
    <row r="77" spans="1:13" s="30" customFormat="1" x14ac:dyDescent="0.25">
      <c r="A77" s="30" t="s">
        <v>29</v>
      </c>
      <c r="B77" s="105">
        <f>(B25/B31)*100</f>
        <v>90.20714017704509</v>
      </c>
      <c r="C77" s="105"/>
      <c r="D77" s="105"/>
      <c r="E77" s="105"/>
      <c r="F77" s="105"/>
      <c r="G77" s="105"/>
      <c r="H77" s="105"/>
      <c r="I77" s="105"/>
      <c r="J77" s="105"/>
      <c r="K77" s="109"/>
      <c r="L77" s="109"/>
    </row>
    <row r="78" spans="1:13" s="4" customFormat="1" ht="15.75" thickBot="1" x14ac:dyDescent="0.3">
      <c r="A78" s="19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3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3" x14ac:dyDescent="0.25">
      <c r="A80" s="12"/>
    </row>
    <row r="81" spans="1:5" x14ac:dyDescent="0.25">
      <c r="A81" s="2"/>
      <c r="B81" s="8"/>
    </row>
    <row r="82" spans="1:5" x14ac:dyDescent="0.25">
      <c r="A82" s="2"/>
      <c r="B82" s="6"/>
      <c r="C82" s="6"/>
      <c r="D82" s="6"/>
      <c r="E82" s="6"/>
    </row>
    <row r="83" spans="1:5" x14ac:dyDescent="0.25">
      <c r="A83" s="2"/>
    </row>
    <row r="84" spans="1:5" x14ac:dyDescent="0.25">
      <c r="A84" s="14"/>
    </row>
    <row r="85" spans="1:5" x14ac:dyDescent="0.25">
      <c r="A85" s="13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11"/>
    </row>
    <row r="90" spans="1:5" x14ac:dyDescent="0.25">
      <c r="A90" s="11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15"/>
    </row>
  </sheetData>
  <mergeCells count="55">
    <mergeCell ref="J64:K64"/>
    <mergeCell ref="J65:K65"/>
    <mergeCell ref="J66:K66"/>
    <mergeCell ref="J73:K73"/>
    <mergeCell ref="J69:K69"/>
    <mergeCell ref="J70:K70"/>
    <mergeCell ref="J71:K71"/>
    <mergeCell ref="J72:K72"/>
    <mergeCell ref="C64:D64"/>
    <mergeCell ref="C56:D56"/>
    <mergeCell ref="C57:D57"/>
    <mergeCell ref="C58:D58"/>
    <mergeCell ref="C61:D61"/>
    <mergeCell ref="A9:A10"/>
    <mergeCell ref="C9:L9"/>
    <mergeCell ref="J10:K10"/>
    <mergeCell ref="C72:D72"/>
    <mergeCell ref="J39:K39"/>
    <mergeCell ref="J40:K40"/>
    <mergeCell ref="J41:K41"/>
    <mergeCell ref="J42:K42"/>
    <mergeCell ref="J47:K47"/>
    <mergeCell ref="J48:K48"/>
    <mergeCell ref="J52:K52"/>
    <mergeCell ref="C26:D26"/>
    <mergeCell ref="B9:B10"/>
    <mergeCell ref="C23:D23"/>
    <mergeCell ref="C24:D24"/>
    <mergeCell ref="J61:K61"/>
    <mergeCell ref="C10:D10"/>
    <mergeCell ref="C39:D39"/>
    <mergeCell ref="C40:D40"/>
    <mergeCell ref="C41:D41"/>
    <mergeCell ref="C27:D27"/>
    <mergeCell ref="A79:F79"/>
    <mergeCell ref="C42:D42"/>
    <mergeCell ref="C36:D36"/>
    <mergeCell ref="J25:K25"/>
    <mergeCell ref="J26:K26"/>
    <mergeCell ref="J27:K27"/>
    <mergeCell ref="C25:D25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J56:K56"/>
    <mergeCell ref="J57:K57"/>
    <mergeCell ref="J58:K58"/>
    <mergeCell ref="J24:K24"/>
    <mergeCell ref="J23:K23"/>
  </mergeCells>
  <pageMargins left="0.7" right="0.7" top="0.75" bottom="0.75" header="0.3" footer="0.3"/>
  <pageSetup orientation="portrait" horizontalDpi="4294967292" verticalDpi="4294967292"/>
  <ignoredErrors>
    <ignoredError sqref="C23:D25" formulaRange="1"/>
    <ignoredError sqref="B74:J77 B49:I50 J49:J50 J43:J46 B54:I55 D53:I53 B52:I52 D51:I51 C47:G47 B48:G48 J54:J55 J59:J63 J67:J68 B72:I73 C71:I71 B59:I70 D58:I58 B57:I57 D56:I56" evalError="1"/>
    <ignoredError sqref="B25:B26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5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28" customWidth="1"/>
    <col min="2" max="12" width="18.7109375" style="28" customWidth="1"/>
    <col min="13" max="16384" width="11.42578125" style="28"/>
  </cols>
  <sheetData>
    <row r="8" spans="1:13" ht="18.75" customHeight="1" x14ac:dyDescent="0.25"/>
    <row r="9" spans="1:13" s="5" customFormat="1" ht="15" customHeight="1" x14ac:dyDescent="0.25">
      <c r="A9" s="142" t="s">
        <v>0</v>
      </c>
      <c r="B9" s="123" t="s">
        <v>52</v>
      </c>
      <c r="C9" s="128" t="s">
        <v>87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s="5" customFormat="1" ht="51.75" customHeight="1" thickBot="1" x14ac:dyDescent="0.3">
      <c r="A10" s="143"/>
      <c r="B10" s="124"/>
      <c r="C10" s="129" t="s">
        <v>1</v>
      </c>
      <c r="D10" s="129"/>
      <c r="E10" s="42" t="s">
        <v>44</v>
      </c>
      <c r="F10" s="42" t="s">
        <v>45</v>
      </c>
      <c r="G10" s="43" t="s">
        <v>46</v>
      </c>
      <c r="H10" s="43" t="s">
        <v>53</v>
      </c>
      <c r="I10" s="42" t="s">
        <v>50</v>
      </c>
      <c r="J10" s="139" t="s">
        <v>108</v>
      </c>
      <c r="K10" s="139"/>
      <c r="L10" s="42" t="s">
        <v>54</v>
      </c>
    </row>
    <row r="11" spans="1:13" ht="15.75" thickTop="1" x14ac:dyDescent="0.25"/>
    <row r="12" spans="1:13" x14ac:dyDescent="0.25">
      <c r="A12" s="1" t="s">
        <v>2</v>
      </c>
      <c r="D12" s="3"/>
      <c r="E12" s="3"/>
    </row>
    <row r="13" spans="1:13" x14ac:dyDescent="0.25">
      <c r="D13" s="3"/>
      <c r="E13" s="3"/>
    </row>
    <row r="14" spans="1:13" x14ac:dyDescent="0.25">
      <c r="A14" s="1" t="s">
        <v>41</v>
      </c>
      <c r="B14" s="60" t="s">
        <v>65</v>
      </c>
      <c r="C14" s="60" t="s">
        <v>42</v>
      </c>
      <c r="D14" s="60" t="s">
        <v>43</v>
      </c>
      <c r="E14" s="61" t="s">
        <v>42</v>
      </c>
      <c r="F14" s="61" t="s">
        <v>42</v>
      </c>
      <c r="G14" s="61" t="s">
        <v>42</v>
      </c>
      <c r="H14" s="56" t="s">
        <v>134</v>
      </c>
      <c r="I14" s="61" t="s">
        <v>51</v>
      </c>
      <c r="J14" s="61" t="s">
        <v>42</v>
      </c>
      <c r="K14" s="61" t="s">
        <v>121</v>
      </c>
      <c r="L14" s="61" t="s">
        <v>65</v>
      </c>
    </row>
    <row r="15" spans="1:13" s="30" customFormat="1" x14ac:dyDescent="0.25">
      <c r="A15" s="29" t="s">
        <v>63</v>
      </c>
      <c r="B15" s="69">
        <v>206143</v>
      </c>
      <c r="C15" s="69">
        <v>141207</v>
      </c>
      <c r="D15" s="69">
        <v>180820</v>
      </c>
      <c r="E15" s="69">
        <v>2285</v>
      </c>
      <c r="F15" s="69">
        <v>230</v>
      </c>
      <c r="G15" s="69">
        <v>13266</v>
      </c>
      <c r="H15" s="69">
        <v>79173</v>
      </c>
      <c r="I15" s="69">
        <v>22498</v>
      </c>
      <c r="J15" s="69" t="s">
        <v>48</v>
      </c>
      <c r="K15" s="69" t="s">
        <v>48</v>
      </c>
      <c r="L15" s="69" t="s">
        <v>48</v>
      </c>
      <c r="M15" s="62"/>
    </row>
    <row r="16" spans="1:13" s="30" customFormat="1" x14ac:dyDescent="0.25">
      <c r="A16" s="29" t="s">
        <v>122</v>
      </c>
      <c r="B16" s="69" t="s">
        <v>49</v>
      </c>
      <c r="C16" s="70" t="s">
        <v>49</v>
      </c>
      <c r="D16" s="69">
        <v>138253</v>
      </c>
      <c r="E16" s="69">
        <v>2128</v>
      </c>
      <c r="F16" s="69">
        <v>528</v>
      </c>
      <c r="G16" s="69">
        <v>8019</v>
      </c>
      <c r="H16" s="69">
        <v>85003</v>
      </c>
      <c r="I16" s="69">
        <v>29485</v>
      </c>
      <c r="J16" s="62" t="s">
        <v>48</v>
      </c>
      <c r="K16" s="62">
        <v>72641</v>
      </c>
      <c r="L16" s="69" t="s">
        <v>48</v>
      </c>
      <c r="M16" s="62"/>
    </row>
    <row r="17" spans="1:13" s="30" customFormat="1" x14ac:dyDescent="0.25">
      <c r="A17" s="9" t="s">
        <v>56</v>
      </c>
      <c r="B17" s="69">
        <f>+SUM(D17+E17+F17+G17+H17+I17+K17+D1)</f>
        <v>712703</v>
      </c>
      <c r="C17" s="70" t="s">
        <v>49</v>
      </c>
      <c r="D17" s="69">
        <v>277172</v>
      </c>
      <c r="E17" s="69">
        <v>4461</v>
      </c>
      <c r="F17" s="69">
        <v>1102</v>
      </c>
      <c r="G17" s="69">
        <v>24057</v>
      </c>
      <c r="H17" s="69">
        <v>179197</v>
      </c>
      <c r="I17" s="69">
        <v>8791</v>
      </c>
      <c r="J17" s="62" t="s">
        <v>48</v>
      </c>
      <c r="K17" s="62">
        <v>217923</v>
      </c>
      <c r="L17" s="69" t="s">
        <v>48</v>
      </c>
      <c r="M17" s="62"/>
    </row>
    <row r="18" spans="1:13" s="64" customFormat="1" x14ac:dyDescent="0.25">
      <c r="A18" s="29" t="s">
        <v>123</v>
      </c>
      <c r="B18" s="69">
        <v>306110</v>
      </c>
      <c r="C18" s="69">
        <v>139862</v>
      </c>
      <c r="D18" s="69">
        <v>177865</v>
      </c>
      <c r="E18" s="69">
        <v>1931</v>
      </c>
      <c r="F18" s="69">
        <v>168</v>
      </c>
      <c r="G18" s="69">
        <v>10034</v>
      </c>
      <c r="H18" s="69">
        <v>101425</v>
      </c>
      <c r="I18" s="69">
        <v>24470</v>
      </c>
      <c r="J18" s="62">
        <v>162502</v>
      </c>
      <c r="K18" s="62">
        <v>204203</v>
      </c>
      <c r="L18" s="69" t="s">
        <v>48</v>
      </c>
      <c r="M18" s="62"/>
    </row>
    <row r="19" spans="1:13" s="64" customFormat="1" x14ac:dyDescent="0.25">
      <c r="A19" s="9" t="s">
        <v>56</v>
      </c>
      <c r="B19" s="69">
        <f>+SUM(D19+E19+F19+G19+H19+I19+K19+L1)</f>
        <v>1340403</v>
      </c>
      <c r="C19" s="70" t="s">
        <v>49</v>
      </c>
      <c r="D19" s="69">
        <v>400283</v>
      </c>
      <c r="E19" s="69">
        <v>5293</v>
      </c>
      <c r="F19" s="69">
        <v>466</v>
      </c>
      <c r="G19" s="69">
        <v>20466</v>
      </c>
      <c r="H19" s="69">
        <v>257342</v>
      </c>
      <c r="I19" s="69">
        <v>66320</v>
      </c>
      <c r="J19" s="62" t="s">
        <v>48</v>
      </c>
      <c r="K19" s="62">
        <v>590233</v>
      </c>
      <c r="L19" s="69" t="s">
        <v>48</v>
      </c>
      <c r="M19" s="62"/>
    </row>
    <row r="20" spans="1:13" s="30" customFormat="1" x14ac:dyDescent="0.25">
      <c r="A20" s="29" t="s">
        <v>91</v>
      </c>
      <c r="B20" s="69" t="s">
        <v>49</v>
      </c>
      <c r="C20" s="70" t="s">
        <v>49</v>
      </c>
      <c r="D20" s="69">
        <v>138253</v>
      </c>
      <c r="E20" s="69">
        <v>2128</v>
      </c>
      <c r="F20" s="69">
        <v>528</v>
      </c>
      <c r="G20" s="69">
        <v>8019</v>
      </c>
      <c r="H20" s="69">
        <v>85003</v>
      </c>
      <c r="I20" s="69">
        <v>29485</v>
      </c>
      <c r="J20" s="62" t="s">
        <v>48</v>
      </c>
      <c r="K20" s="62">
        <v>72641</v>
      </c>
      <c r="L20" s="69" t="s">
        <v>48</v>
      </c>
      <c r="M20" s="62"/>
    </row>
    <row r="21" spans="1:13" s="30" customFormat="1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7"/>
      <c r="L21" s="47"/>
      <c r="M21" s="62"/>
    </row>
    <row r="22" spans="1:13" s="30" customFormat="1" x14ac:dyDescent="0.25">
      <c r="A22" s="52" t="s">
        <v>3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47"/>
      <c r="M22" s="62"/>
    </row>
    <row r="23" spans="1:13" s="30" customFormat="1" x14ac:dyDescent="0.25">
      <c r="A23" s="29" t="s">
        <v>63</v>
      </c>
      <c r="B23" s="69">
        <f>C23+H23+I23+G23+E23+F23+L23</f>
        <v>32784785719.580009</v>
      </c>
      <c r="C23" s="135">
        <v>12598192000</v>
      </c>
      <c r="D23" s="135"/>
      <c r="E23" s="69">
        <v>409746674</v>
      </c>
      <c r="F23" s="69">
        <v>118408699.99999997</v>
      </c>
      <c r="G23" s="69">
        <v>1942480498</v>
      </c>
      <c r="H23" s="69">
        <v>11943220603.000004</v>
      </c>
      <c r="I23" s="69">
        <v>5755079063.0000038</v>
      </c>
      <c r="J23" s="135" t="s">
        <v>57</v>
      </c>
      <c r="K23" s="135"/>
      <c r="L23" s="62">
        <v>17658181.579999998</v>
      </c>
      <c r="M23" s="62"/>
    </row>
    <row r="24" spans="1:13" s="30" customFormat="1" x14ac:dyDescent="0.25">
      <c r="A24" s="29" t="s">
        <v>122</v>
      </c>
      <c r="B24" s="69">
        <f>+SUM(C24+E24+F24+G24+H24+I24+J24)</f>
        <v>30500103000</v>
      </c>
      <c r="C24" s="135">
        <v>9701020000</v>
      </c>
      <c r="D24" s="135"/>
      <c r="E24" s="69">
        <v>347958000</v>
      </c>
      <c r="F24" s="69">
        <v>343824000</v>
      </c>
      <c r="G24" s="69">
        <v>1804275000</v>
      </c>
      <c r="H24" s="69">
        <v>13439775000</v>
      </c>
      <c r="I24" s="69">
        <v>940637000</v>
      </c>
      <c r="J24" s="135">
        <v>3922614000</v>
      </c>
      <c r="K24" s="135"/>
      <c r="L24" s="62" t="s">
        <v>48</v>
      </c>
      <c r="M24" s="62"/>
    </row>
    <row r="25" spans="1:13" s="30" customFormat="1" x14ac:dyDescent="0.25">
      <c r="A25" s="29" t="s">
        <v>123</v>
      </c>
      <c r="B25" s="69">
        <f>+C25+E25+F25+G25+H25+I25+J25+L25</f>
        <v>40139707361.940002</v>
      </c>
      <c r="C25" s="135">
        <v>9749900110</v>
      </c>
      <c r="D25" s="135"/>
      <c r="E25" s="69">
        <v>679146193</v>
      </c>
      <c r="F25" s="69">
        <v>106929708</v>
      </c>
      <c r="G25" s="69">
        <v>1792891868</v>
      </c>
      <c r="H25" s="69">
        <v>21542335613</v>
      </c>
      <c r="I25" s="69">
        <v>2270063583.0000038</v>
      </c>
      <c r="J25" s="135">
        <v>3956676000</v>
      </c>
      <c r="K25" s="135"/>
      <c r="L25" s="62">
        <v>41764286.939999998</v>
      </c>
      <c r="M25" s="62"/>
    </row>
    <row r="26" spans="1:13" s="30" customFormat="1" x14ac:dyDescent="0.25">
      <c r="A26" s="29" t="s">
        <v>91</v>
      </c>
      <c r="B26" s="69">
        <f>+SUM(C26+E26+F26+G26+H26+I26+J26)</f>
        <v>150991813000</v>
      </c>
      <c r="C26" s="138">
        <v>50139845000</v>
      </c>
      <c r="D26" s="138"/>
      <c r="E26" s="69">
        <v>1688310000</v>
      </c>
      <c r="F26" s="69">
        <v>1678872000</v>
      </c>
      <c r="G26" s="69">
        <v>7196775000</v>
      </c>
      <c r="H26" s="69">
        <v>55485150000</v>
      </c>
      <c r="I26" s="69">
        <v>26957687000</v>
      </c>
      <c r="J26" s="135">
        <v>7845174000</v>
      </c>
      <c r="K26" s="135"/>
      <c r="L26" s="62" t="s">
        <v>48</v>
      </c>
      <c r="M26" s="62"/>
    </row>
    <row r="27" spans="1:13" s="30" customFormat="1" x14ac:dyDescent="0.25">
      <c r="A27" s="29" t="s">
        <v>124</v>
      </c>
      <c r="B27" s="69">
        <f>+C27+E27+F27+G27+H27+I27+J27+L27</f>
        <v>40139707361.940002</v>
      </c>
      <c r="C27" s="135">
        <f>C25</f>
        <v>9749900110</v>
      </c>
      <c r="D27" s="135"/>
      <c r="E27" s="69">
        <f>E25</f>
        <v>679146193</v>
      </c>
      <c r="F27" s="69">
        <f t="shared" ref="F27:I27" si="0">F25</f>
        <v>106929708</v>
      </c>
      <c r="G27" s="69">
        <f t="shared" si="0"/>
        <v>1792891868</v>
      </c>
      <c r="H27" s="69">
        <f t="shared" si="0"/>
        <v>21542335613</v>
      </c>
      <c r="I27" s="69">
        <f t="shared" si="0"/>
        <v>2270063583.0000038</v>
      </c>
      <c r="J27" s="135">
        <f>J25</f>
        <v>3956676000</v>
      </c>
      <c r="K27" s="135"/>
      <c r="L27" s="62">
        <f>+L25</f>
        <v>41764286.939999998</v>
      </c>
      <c r="M27" s="62"/>
    </row>
    <row r="28" spans="1:13" s="30" customFormat="1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62"/>
    </row>
    <row r="29" spans="1:13" s="30" customFormat="1" x14ac:dyDescent="0.25">
      <c r="A29" s="52" t="s">
        <v>4</v>
      </c>
      <c r="B29" s="46"/>
      <c r="C29" s="46"/>
      <c r="D29" s="46"/>
      <c r="E29" s="46"/>
      <c r="F29" s="46"/>
      <c r="G29" s="46"/>
      <c r="H29" s="46"/>
      <c r="I29" s="46"/>
      <c r="J29" s="46"/>
      <c r="K29" s="47"/>
      <c r="L29" s="47"/>
      <c r="M29" s="62"/>
    </row>
    <row r="30" spans="1:13" s="30" customFormat="1" x14ac:dyDescent="0.25">
      <c r="A30" s="29" t="s">
        <v>122</v>
      </c>
      <c r="B30" s="69">
        <f>B24</f>
        <v>30500103000</v>
      </c>
      <c r="C30" s="69"/>
      <c r="D30" s="69"/>
      <c r="E30" s="69"/>
      <c r="F30" s="69"/>
      <c r="G30" s="69"/>
      <c r="H30" s="69"/>
      <c r="I30" s="69"/>
      <c r="J30" s="69"/>
      <c r="K30" s="62"/>
      <c r="L30" s="62"/>
      <c r="M30" s="62"/>
    </row>
    <row r="31" spans="1:13" s="30" customFormat="1" x14ac:dyDescent="0.25">
      <c r="A31" s="29" t="s">
        <v>123</v>
      </c>
      <c r="B31" s="69">
        <v>29055918039.880001</v>
      </c>
      <c r="C31" s="70"/>
      <c r="D31" s="69"/>
      <c r="E31" s="69"/>
      <c r="F31" s="69"/>
      <c r="G31" s="69"/>
      <c r="H31" s="69"/>
      <c r="I31" s="69"/>
      <c r="J31" s="69"/>
      <c r="K31" s="62"/>
      <c r="L31" s="62"/>
      <c r="M31" s="62"/>
    </row>
    <row r="32" spans="1:13" s="30" customFormat="1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</row>
    <row r="33" spans="1:12" s="30" customFormat="1" x14ac:dyDescent="0.25">
      <c r="A33" s="5" t="s">
        <v>5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51"/>
    </row>
    <row r="34" spans="1:12" s="30" customFormat="1" x14ac:dyDescent="0.25">
      <c r="A34" s="29" t="s">
        <v>64</v>
      </c>
      <c r="B34" s="92">
        <v>1.0451999999999999</v>
      </c>
      <c r="C34" s="92">
        <v>1.0451999999999999</v>
      </c>
      <c r="D34" s="92">
        <v>1.0451999999999999</v>
      </c>
      <c r="E34" s="92">
        <v>1.0451999999999999</v>
      </c>
      <c r="F34" s="92">
        <v>1.0451999999999999</v>
      </c>
      <c r="G34" s="92">
        <v>1.0451999999999999</v>
      </c>
      <c r="H34" s="92">
        <v>1.0451999999999999</v>
      </c>
      <c r="I34" s="92">
        <v>1.0451999999999999</v>
      </c>
      <c r="J34" s="92">
        <v>1.0451999999999999</v>
      </c>
      <c r="K34" s="92">
        <v>1.0451999999999999</v>
      </c>
      <c r="L34" s="92">
        <v>1.0451999999999999</v>
      </c>
    </row>
    <row r="35" spans="1:12" s="30" customFormat="1" x14ac:dyDescent="0.25">
      <c r="A35" s="29" t="s">
        <v>125</v>
      </c>
      <c r="B35" s="92">
        <v>1.0610999999999999</v>
      </c>
      <c r="C35" s="92">
        <v>1.0610999999999999</v>
      </c>
      <c r="D35" s="92">
        <v>1.0610999999999999</v>
      </c>
      <c r="E35" s="92">
        <v>1.0610999999999999</v>
      </c>
      <c r="F35" s="92">
        <v>1.0610999999999999</v>
      </c>
      <c r="G35" s="92">
        <v>1.0610999999999999</v>
      </c>
      <c r="H35" s="92">
        <v>1.0610999999999999</v>
      </c>
      <c r="I35" s="92">
        <v>1.0610999999999999</v>
      </c>
      <c r="J35" s="92">
        <v>1.0610999999999999</v>
      </c>
      <c r="K35" s="92">
        <v>1.0610999999999999</v>
      </c>
      <c r="L35" s="92">
        <v>1.0610999999999999</v>
      </c>
    </row>
    <row r="36" spans="1:12" s="30" customFormat="1" x14ac:dyDescent="0.25">
      <c r="A36" s="29" t="s">
        <v>6</v>
      </c>
      <c r="B36" s="102">
        <v>376622</v>
      </c>
      <c r="C36" s="137">
        <v>147739</v>
      </c>
      <c r="D36" s="137"/>
      <c r="E36" s="102">
        <v>142525</v>
      </c>
      <c r="F36" s="102" t="s">
        <v>57</v>
      </c>
      <c r="G36" s="102">
        <v>85872</v>
      </c>
      <c r="H36" s="102" t="s">
        <v>57</v>
      </c>
      <c r="I36" s="102" t="s">
        <v>57</v>
      </c>
      <c r="J36" s="102" t="s">
        <v>57</v>
      </c>
      <c r="K36" s="107" t="s">
        <v>57</v>
      </c>
      <c r="L36" s="107" t="s">
        <v>57</v>
      </c>
    </row>
    <row r="37" spans="1:12" x14ac:dyDescent="0.25">
      <c r="A37" s="30"/>
      <c r="B37" s="108"/>
      <c r="C37" s="108"/>
      <c r="D37" s="108"/>
      <c r="E37" s="108"/>
      <c r="F37" s="111"/>
      <c r="G37" s="111"/>
      <c r="H37" s="111"/>
      <c r="I37" s="111"/>
      <c r="J37" s="111"/>
      <c r="K37" s="111"/>
      <c r="L37" s="111"/>
    </row>
    <row r="38" spans="1:12" s="30" customFormat="1" x14ac:dyDescent="0.25">
      <c r="A38" s="5" t="s">
        <v>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2" s="30" customFormat="1" x14ac:dyDescent="0.25">
      <c r="A39" s="30" t="s">
        <v>80</v>
      </c>
      <c r="B39" s="82">
        <f>B23/B34</f>
        <v>31366997435.495609</v>
      </c>
      <c r="C39" s="136">
        <f>C23/C34</f>
        <v>12053379257.558363</v>
      </c>
      <c r="D39" s="136"/>
      <c r="E39" s="82">
        <f>E23/E34</f>
        <v>392027051.28205132</v>
      </c>
      <c r="F39" s="82">
        <f t="shared" ref="F39:I39" si="1">F23/F34</f>
        <v>113288078.83658628</v>
      </c>
      <c r="G39" s="82">
        <f t="shared" si="1"/>
        <v>1858477323.0003829</v>
      </c>
      <c r="H39" s="82">
        <f t="shared" si="1"/>
        <v>11426732302.908539</v>
      </c>
      <c r="I39" s="82">
        <f t="shared" si="1"/>
        <v>5506198873.8997364</v>
      </c>
      <c r="J39" s="136" t="s">
        <v>48</v>
      </c>
      <c r="K39" s="136"/>
      <c r="L39" s="107">
        <f t="shared" ref="L39" si="2">L23/L34</f>
        <v>16894548.00995025</v>
      </c>
    </row>
    <row r="40" spans="1:12" s="30" customFormat="1" x14ac:dyDescent="0.25">
      <c r="A40" s="30" t="s">
        <v>126</v>
      </c>
      <c r="B40" s="82">
        <f>B25/B35</f>
        <v>37828392575.572525</v>
      </c>
      <c r="C40" s="136">
        <f>C25/C35</f>
        <v>9188483752.7094536</v>
      </c>
      <c r="D40" s="136"/>
      <c r="E40" s="82">
        <f>E25/E35</f>
        <v>640039763.45302045</v>
      </c>
      <c r="F40" s="82">
        <f t="shared" ref="F40:I40" si="3">F25/F35</f>
        <v>100772507.77495053</v>
      </c>
      <c r="G40" s="82">
        <f t="shared" si="3"/>
        <v>1689654008.1047971</v>
      </c>
      <c r="H40" s="82">
        <f t="shared" si="3"/>
        <v>20301890126.284046</v>
      </c>
      <c r="I40" s="82">
        <f t="shared" si="3"/>
        <v>2139349338.4223957</v>
      </c>
      <c r="J40" s="136">
        <f>J25/J35</f>
        <v>3728843652.8131189</v>
      </c>
      <c r="K40" s="136"/>
      <c r="L40" s="107">
        <f t="shared" ref="L40" si="4">L25/L35</f>
        <v>39359426.010743566</v>
      </c>
    </row>
    <row r="41" spans="1:12" s="30" customFormat="1" x14ac:dyDescent="0.25">
      <c r="A41" s="30" t="s">
        <v>81</v>
      </c>
      <c r="B41" s="82">
        <f>B39/B15</f>
        <v>152161.35127312405</v>
      </c>
      <c r="C41" s="136">
        <f>C39/D15</f>
        <v>66659.546828660343</v>
      </c>
      <c r="D41" s="136"/>
      <c r="E41" s="82">
        <f>E39/E15</f>
        <v>171565.44913875332</v>
      </c>
      <c r="F41" s="82">
        <f t="shared" ref="F41:I41" si="5">F39/F15</f>
        <v>492556.86450689688</v>
      </c>
      <c r="G41" s="82">
        <f t="shared" si="5"/>
        <v>140093.27023973939</v>
      </c>
      <c r="H41" s="82">
        <f t="shared" si="5"/>
        <v>144326.1251046258</v>
      </c>
      <c r="I41" s="82">
        <f t="shared" si="5"/>
        <v>244741.70476930111</v>
      </c>
      <c r="J41" s="137" t="s">
        <v>48</v>
      </c>
      <c r="K41" s="137"/>
      <c r="L41" s="107" t="s">
        <v>48</v>
      </c>
    </row>
    <row r="42" spans="1:12" s="30" customFormat="1" x14ac:dyDescent="0.25">
      <c r="A42" s="30" t="s">
        <v>127</v>
      </c>
      <c r="B42" s="82">
        <f>B40/B18</f>
        <v>123577.77457636969</v>
      </c>
      <c r="C42" s="136">
        <f>C40/D18</f>
        <v>51659.875482582036</v>
      </c>
      <c r="D42" s="136"/>
      <c r="E42" s="82">
        <f>E40/E18</f>
        <v>331455.08205749374</v>
      </c>
      <c r="F42" s="82">
        <f t="shared" ref="F42:I42" si="6">F40/F18</f>
        <v>599836.35580327699</v>
      </c>
      <c r="G42" s="82">
        <f t="shared" si="6"/>
        <v>168392.86506924429</v>
      </c>
      <c r="H42" s="82">
        <f t="shared" si="6"/>
        <v>200166.52823548482</v>
      </c>
      <c r="I42" s="82">
        <f t="shared" si="6"/>
        <v>87427.43516233738</v>
      </c>
      <c r="J42" s="137">
        <f>J40/K18</f>
        <v>18260.474394661778</v>
      </c>
      <c r="K42" s="137"/>
      <c r="L42" s="107" t="s">
        <v>48</v>
      </c>
    </row>
    <row r="43" spans="1:12" s="30" customFormat="1" x14ac:dyDescent="0.25">
      <c r="B43" s="79"/>
      <c r="C43" s="79"/>
      <c r="D43" s="79"/>
      <c r="E43" s="79"/>
      <c r="F43" s="79"/>
      <c r="G43" s="79"/>
      <c r="H43" s="79"/>
      <c r="I43" s="79"/>
      <c r="J43" s="79"/>
      <c r="K43" s="64"/>
      <c r="L43" s="64"/>
    </row>
    <row r="44" spans="1:12" s="30" customFormat="1" x14ac:dyDescent="0.25">
      <c r="A44" s="5" t="s">
        <v>8</v>
      </c>
      <c r="B44" s="79"/>
      <c r="C44" s="79"/>
      <c r="D44" s="79"/>
      <c r="E44" s="79"/>
      <c r="F44" s="79"/>
      <c r="G44" s="79"/>
      <c r="H44" s="79"/>
      <c r="I44" s="79"/>
      <c r="J44" s="79"/>
      <c r="K44" s="64"/>
      <c r="L44" s="64"/>
    </row>
    <row r="45" spans="1:12" s="30" customForma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64"/>
      <c r="L45" s="64"/>
    </row>
    <row r="46" spans="1:12" s="30" customFormat="1" x14ac:dyDescent="0.25">
      <c r="A46" s="5" t="s">
        <v>9</v>
      </c>
      <c r="B46" s="79"/>
      <c r="C46" s="79"/>
      <c r="D46" s="79"/>
      <c r="E46" s="79"/>
      <c r="F46" s="79"/>
      <c r="G46" s="79"/>
      <c r="H46" s="79"/>
      <c r="I46" s="79"/>
      <c r="J46" s="79"/>
      <c r="K46" s="64"/>
      <c r="L46" s="64"/>
    </row>
    <row r="47" spans="1:12" s="30" customFormat="1" x14ac:dyDescent="0.25">
      <c r="A47" s="30" t="s">
        <v>10</v>
      </c>
      <c r="B47" s="104" t="s">
        <v>57</v>
      </c>
      <c r="C47" s="134">
        <f>(D16/C36)*100</f>
        <v>93.579217403664572</v>
      </c>
      <c r="D47" s="134"/>
      <c r="E47" s="105">
        <f>(E16/E36)*100</f>
        <v>1.4930713909840378</v>
      </c>
      <c r="F47" s="104" t="s">
        <v>48</v>
      </c>
      <c r="G47" s="105">
        <f t="shared" ref="G47" si="7">G16/G36*100</f>
        <v>9.3383174958077149</v>
      </c>
      <c r="H47" s="104" t="s">
        <v>57</v>
      </c>
      <c r="I47" s="104" t="s">
        <v>57</v>
      </c>
      <c r="J47" s="140" t="s">
        <v>48</v>
      </c>
      <c r="K47" s="140"/>
      <c r="L47" s="109" t="s">
        <v>57</v>
      </c>
    </row>
    <row r="48" spans="1:12" s="30" customFormat="1" x14ac:dyDescent="0.25">
      <c r="A48" s="30" t="s">
        <v>11</v>
      </c>
      <c r="B48" s="104">
        <f>(B18/B36)*100</f>
        <v>81.277779842919429</v>
      </c>
      <c r="C48" s="134">
        <f>(D18/C36)*100</f>
        <v>120.39136585464907</v>
      </c>
      <c r="D48" s="134"/>
      <c r="E48" s="105">
        <f>(E18/E36)*100</f>
        <v>1.3548500263111736</v>
      </c>
      <c r="F48" s="104" t="s">
        <v>48</v>
      </c>
      <c r="G48" s="105">
        <f>(G18/G36)*100</f>
        <v>11.684833240171418</v>
      </c>
      <c r="H48" s="104" t="s">
        <v>57</v>
      </c>
      <c r="I48" s="104" t="s">
        <v>57</v>
      </c>
      <c r="J48" s="140" t="s">
        <v>48</v>
      </c>
      <c r="K48" s="140"/>
      <c r="L48" s="109" t="s">
        <v>57</v>
      </c>
    </row>
    <row r="49" spans="1:12" s="30" customFormat="1" x14ac:dyDescent="0.25">
      <c r="B49" s="105"/>
      <c r="C49" s="105"/>
      <c r="D49" s="105"/>
      <c r="E49" s="105"/>
      <c r="F49" s="105"/>
      <c r="G49" s="105"/>
      <c r="H49" s="105"/>
      <c r="I49" s="105"/>
      <c r="J49" s="105"/>
      <c r="K49" s="109"/>
      <c r="L49" s="109"/>
    </row>
    <row r="50" spans="1:12" s="30" customFormat="1" x14ac:dyDescent="0.25">
      <c r="A50" s="5" t="s">
        <v>12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9"/>
      <c r="L50" s="109"/>
    </row>
    <row r="51" spans="1:12" s="30" customFormat="1" x14ac:dyDescent="0.25">
      <c r="A51" s="30" t="s">
        <v>13</v>
      </c>
      <c r="B51" s="104" t="s">
        <v>57</v>
      </c>
      <c r="C51" s="104" t="s">
        <v>57</v>
      </c>
      <c r="D51" s="105">
        <f>D18/D16*100</f>
        <v>128.65181949035465</v>
      </c>
      <c r="E51" s="105">
        <f>E18/E16*100</f>
        <v>90.742481203007515</v>
      </c>
      <c r="F51" s="105">
        <f t="shared" ref="F51:I51" si="8">F18/F16*100</f>
        <v>31.818181818181817</v>
      </c>
      <c r="G51" s="105">
        <f t="shared" si="8"/>
        <v>125.12782142411771</v>
      </c>
      <c r="H51" s="105">
        <f t="shared" si="8"/>
        <v>119.31931814171264</v>
      </c>
      <c r="I51" s="105">
        <f t="shared" si="8"/>
        <v>82.991351534678643</v>
      </c>
      <c r="J51" s="104" t="s">
        <v>57</v>
      </c>
      <c r="K51" s="109">
        <f>K18/K16*100</f>
        <v>281.1125948156</v>
      </c>
      <c r="L51" s="109" t="s">
        <v>48</v>
      </c>
    </row>
    <row r="52" spans="1:12" s="30" customFormat="1" x14ac:dyDescent="0.25">
      <c r="A52" s="30" t="s">
        <v>14</v>
      </c>
      <c r="B52" s="105">
        <f>B25/B24*100</f>
        <v>131.60515347092436</v>
      </c>
      <c r="C52" s="134">
        <f>C25/C24*100</f>
        <v>100.50386567598046</v>
      </c>
      <c r="D52" s="134"/>
      <c r="E52" s="105">
        <f>E25/E24*100</f>
        <v>195.18050827973491</v>
      </c>
      <c r="F52" s="105">
        <f t="shared" ref="F52:I52" si="9">F25/F24*100</f>
        <v>31.100129135836941</v>
      </c>
      <c r="G52" s="105">
        <f t="shared" si="9"/>
        <v>99.36910216014742</v>
      </c>
      <c r="H52" s="105">
        <f t="shared" si="9"/>
        <v>160.28791860726835</v>
      </c>
      <c r="I52" s="105">
        <f t="shared" si="9"/>
        <v>241.33258451453682</v>
      </c>
      <c r="J52" s="140">
        <f>J25/J24*100</f>
        <v>100.86834952406738</v>
      </c>
      <c r="K52" s="140"/>
      <c r="L52" s="109" t="s">
        <v>48</v>
      </c>
    </row>
    <row r="53" spans="1:12" s="30" customFormat="1" x14ac:dyDescent="0.25">
      <c r="A53" s="30" t="s">
        <v>15</v>
      </c>
      <c r="B53" s="104" t="s">
        <v>57</v>
      </c>
      <c r="C53" s="104" t="s">
        <v>57</v>
      </c>
      <c r="D53" s="105">
        <f>AVERAGE(D51,C52)</f>
        <v>114.57784258316755</v>
      </c>
      <c r="E53" s="105">
        <f>AVERAGE(E51:E52)</f>
        <v>142.96149474137121</v>
      </c>
      <c r="F53" s="105">
        <f t="shared" ref="F53:I53" si="10">AVERAGE(F51:F52)</f>
        <v>31.459155477009379</v>
      </c>
      <c r="G53" s="105">
        <f t="shared" si="10"/>
        <v>112.24846179213256</v>
      </c>
      <c r="H53" s="105">
        <f t="shared" si="10"/>
        <v>139.8036183744905</v>
      </c>
      <c r="I53" s="105">
        <f t="shared" si="10"/>
        <v>162.16196802460775</v>
      </c>
      <c r="J53" s="104" t="s">
        <v>57</v>
      </c>
      <c r="K53" s="109">
        <f>AVERAGE(K51,J52)</f>
        <v>190.99047216983371</v>
      </c>
      <c r="L53" s="109" t="s">
        <v>48</v>
      </c>
    </row>
    <row r="54" spans="1:12" s="30" customFormat="1" x14ac:dyDescent="0.25">
      <c r="B54" s="105"/>
      <c r="C54" s="105"/>
      <c r="D54" s="105"/>
      <c r="E54" s="105"/>
      <c r="F54" s="105"/>
      <c r="G54" s="105"/>
      <c r="H54" s="105"/>
      <c r="I54" s="105"/>
      <c r="J54" s="105"/>
      <c r="K54" s="109"/>
      <c r="L54" s="109"/>
    </row>
    <row r="55" spans="1:12" s="30" customFormat="1" x14ac:dyDescent="0.25">
      <c r="A55" s="5" t="s">
        <v>16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9"/>
      <c r="L55" s="109" t="s">
        <v>48</v>
      </c>
    </row>
    <row r="56" spans="1:12" s="30" customFormat="1" x14ac:dyDescent="0.25">
      <c r="A56" s="30" t="s">
        <v>17</v>
      </c>
      <c r="B56" s="104" t="s">
        <v>57</v>
      </c>
      <c r="C56" s="134">
        <f>D18/D20*100</f>
        <v>128.65181949035465</v>
      </c>
      <c r="D56" s="134"/>
      <c r="E56" s="105">
        <f>E18/E20*100</f>
        <v>90.742481203007515</v>
      </c>
      <c r="F56" s="105">
        <f t="shared" ref="F56:I56" si="11">F18/F20*100</f>
        <v>31.818181818181817</v>
      </c>
      <c r="G56" s="105">
        <f t="shared" si="11"/>
        <v>125.12782142411771</v>
      </c>
      <c r="H56" s="105">
        <f t="shared" si="11"/>
        <v>119.31931814171264</v>
      </c>
      <c r="I56" s="105">
        <f t="shared" si="11"/>
        <v>82.991351534678643</v>
      </c>
      <c r="J56" s="140">
        <f>K18/K20*100</f>
        <v>281.1125948156</v>
      </c>
      <c r="K56" s="140"/>
      <c r="L56" s="109" t="s">
        <v>48</v>
      </c>
    </row>
    <row r="57" spans="1:12" s="30" customFormat="1" x14ac:dyDescent="0.25">
      <c r="A57" s="30" t="s">
        <v>18</v>
      </c>
      <c r="B57" s="105">
        <f>B25/B26*100</f>
        <v>26.584029004234822</v>
      </c>
      <c r="C57" s="134">
        <f>C25/C26*100</f>
        <v>19.445413343419791</v>
      </c>
      <c r="D57" s="134"/>
      <c r="E57" s="105">
        <f>E25/E26*100</f>
        <v>40.226391657930122</v>
      </c>
      <c r="F57" s="105">
        <f t="shared" ref="F57:I57" si="12">F25/F26*100</f>
        <v>6.3691399939959688</v>
      </c>
      <c r="G57" s="105">
        <f t="shared" si="12"/>
        <v>24.912434639126555</v>
      </c>
      <c r="H57" s="105">
        <f t="shared" si="12"/>
        <v>38.825407542378457</v>
      </c>
      <c r="I57" s="105">
        <f t="shared" si="12"/>
        <v>8.4208396031900055</v>
      </c>
      <c r="J57" s="140">
        <f>J25/J26*100</f>
        <v>50.434521911177498</v>
      </c>
      <c r="K57" s="140"/>
      <c r="L57" s="109" t="s">
        <v>48</v>
      </c>
    </row>
    <row r="58" spans="1:12" s="30" customFormat="1" x14ac:dyDescent="0.25">
      <c r="A58" s="30" t="s">
        <v>19</v>
      </c>
      <c r="B58" s="104" t="s">
        <v>57</v>
      </c>
      <c r="C58" s="134">
        <f>(C56+C57)/2</f>
        <v>74.048616416887228</v>
      </c>
      <c r="D58" s="134"/>
      <c r="E58" s="105">
        <f>(E56+E57)/2</f>
        <v>65.484436430468818</v>
      </c>
      <c r="F58" s="105">
        <f t="shared" ref="F58:I58" si="13">(F56+F57)/2</f>
        <v>19.093660906088893</v>
      </c>
      <c r="G58" s="105">
        <f t="shared" si="13"/>
        <v>75.020128031622136</v>
      </c>
      <c r="H58" s="105">
        <f t="shared" si="13"/>
        <v>79.07236284204555</v>
      </c>
      <c r="I58" s="105">
        <f t="shared" si="13"/>
        <v>45.706095568934323</v>
      </c>
      <c r="J58" s="140">
        <f>(J56+J57)/2</f>
        <v>165.77355836338876</v>
      </c>
      <c r="K58" s="140"/>
      <c r="L58" s="109" t="s">
        <v>48</v>
      </c>
    </row>
    <row r="59" spans="1:12" s="30" customFormat="1" x14ac:dyDescent="0.25">
      <c r="B59" s="105"/>
      <c r="C59" s="105"/>
      <c r="D59" s="105"/>
      <c r="E59" s="105"/>
      <c r="F59" s="105"/>
      <c r="G59" s="105"/>
      <c r="H59" s="105"/>
      <c r="I59" s="105"/>
      <c r="J59" s="105"/>
      <c r="K59" s="109"/>
      <c r="L59" s="109"/>
    </row>
    <row r="60" spans="1:12" s="30" customFormat="1" x14ac:dyDescent="0.25">
      <c r="A60" s="5" t="s">
        <v>30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9"/>
      <c r="L60" s="109"/>
    </row>
    <row r="61" spans="1:12" s="30" customFormat="1" x14ac:dyDescent="0.25">
      <c r="A61" s="30" t="s">
        <v>20</v>
      </c>
      <c r="B61" s="105">
        <f>B27/B25*100</f>
        <v>100</v>
      </c>
      <c r="C61" s="134">
        <f>C27/C25*100</f>
        <v>100</v>
      </c>
      <c r="D61" s="134"/>
      <c r="E61" s="105">
        <f>E27/E25*100</f>
        <v>100</v>
      </c>
      <c r="F61" s="105">
        <f t="shared" ref="F61:I61" si="14">F27/F25*100</f>
        <v>100</v>
      </c>
      <c r="G61" s="105">
        <f t="shared" si="14"/>
        <v>100</v>
      </c>
      <c r="H61" s="105">
        <f t="shared" si="14"/>
        <v>100</v>
      </c>
      <c r="I61" s="105">
        <f t="shared" si="14"/>
        <v>100</v>
      </c>
      <c r="J61" s="134">
        <f>J27/J25*100</f>
        <v>100</v>
      </c>
      <c r="K61" s="134"/>
      <c r="L61" s="109">
        <f t="shared" ref="L61" si="15">L27/L25*100</f>
        <v>100</v>
      </c>
    </row>
    <row r="62" spans="1:12" s="30" customFormat="1" x14ac:dyDescent="0.25">
      <c r="B62" s="105"/>
      <c r="C62" s="105"/>
      <c r="D62" s="105"/>
      <c r="E62" s="105"/>
      <c r="F62" s="105"/>
      <c r="G62" s="105"/>
      <c r="H62" s="105"/>
      <c r="I62" s="105"/>
      <c r="J62" s="105"/>
      <c r="K62" s="109"/>
      <c r="L62" s="109"/>
    </row>
    <row r="63" spans="1:12" s="30" customFormat="1" x14ac:dyDescent="0.25">
      <c r="A63" s="5" t="s">
        <v>21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9"/>
      <c r="L63" s="109"/>
    </row>
    <row r="64" spans="1:12" s="30" customFormat="1" x14ac:dyDescent="0.25">
      <c r="A64" s="30" t="s">
        <v>22</v>
      </c>
      <c r="B64" s="105">
        <f>((B18/B15)-1)*100</f>
        <v>48.494006587660031</v>
      </c>
      <c r="C64" s="134">
        <f>((D18/D15)-1)*100</f>
        <v>-1.6342218781108309</v>
      </c>
      <c r="D64" s="134"/>
      <c r="E64" s="105">
        <f>((E18/E15)-1)*100</f>
        <v>-15.492341356673956</v>
      </c>
      <c r="F64" s="105">
        <f t="shared" ref="F64:I64" si="16">((F18/F15)-1)*100</f>
        <v>-26.956521739130434</v>
      </c>
      <c r="G64" s="105">
        <f t="shared" si="16"/>
        <v>-24.363033318257198</v>
      </c>
      <c r="H64" s="105">
        <f t="shared" si="16"/>
        <v>28.105541030401771</v>
      </c>
      <c r="I64" s="105">
        <f t="shared" si="16"/>
        <v>8.7652235754289265</v>
      </c>
      <c r="J64" s="140" t="s">
        <v>48</v>
      </c>
      <c r="K64" s="140"/>
      <c r="L64" s="109" t="s">
        <v>48</v>
      </c>
    </row>
    <row r="65" spans="1:12" s="30" customFormat="1" x14ac:dyDescent="0.25">
      <c r="A65" s="30" t="s">
        <v>23</v>
      </c>
      <c r="B65" s="105">
        <f>((B40/B39)-1)*100</f>
        <v>20.599342201510986</v>
      </c>
      <c r="C65" s="134">
        <f>((C40/C39)-1)*100</f>
        <v>-23.768400907591179</v>
      </c>
      <c r="D65" s="134"/>
      <c r="E65" s="105">
        <f>((E40/E39)-1)*100</f>
        <v>63.264183264876706</v>
      </c>
      <c r="F65" s="105">
        <f t="shared" ref="F65:I65" si="17">((F40/F39)-1)*100</f>
        <v>-11.04756227677669</v>
      </c>
      <c r="G65" s="105">
        <f t="shared" si="17"/>
        <v>-9.0839588305028247</v>
      </c>
      <c r="H65" s="105">
        <f t="shared" si="17"/>
        <v>77.670129903335905</v>
      </c>
      <c r="I65" s="105">
        <f t="shared" si="17"/>
        <v>-61.146529803649962</v>
      </c>
      <c r="J65" s="140" t="s">
        <v>48</v>
      </c>
      <c r="K65" s="140"/>
      <c r="L65" s="109">
        <f t="shared" ref="L65" si="18">((L40/L39)-1)*100</f>
        <v>132.971169086988</v>
      </c>
    </row>
    <row r="66" spans="1:12" s="30" customFormat="1" x14ac:dyDescent="0.25">
      <c r="A66" s="30" t="s">
        <v>24</v>
      </c>
      <c r="B66" s="105">
        <f>((B42/B41)-1)*100</f>
        <v>-18.785043940263048</v>
      </c>
      <c r="C66" s="134">
        <f>((C42/C41)-1)*100</f>
        <v>-22.501910168445939</v>
      </c>
      <c r="D66" s="134"/>
      <c r="E66" s="105">
        <f>((E42/E41)-1)*100</f>
        <v>93.194541046216074</v>
      </c>
      <c r="F66" s="105">
        <f t="shared" ref="F66:I66" si="19">((F42/F41)-1)*100</f>
        <v>21.780123073460487</v>
      </c>
      <c r="G66" s="105">
        <f t="shared" si="19"/>
        <v>20.200538384946153</v>
      </c>
      <c r="H66" s="105">
        <f t="shared" si="19"/>
        <v>38.690433274210648</v>
      </c>
      <c r="I66" s="105">
        <f t="shared" si="19"/>
        <v>-64.277671741827419</v>
      </c>
      <c r="J66" s="140" t="s">
        <v>48</v>
      </c>
      <c r="K66" s="140"/>
      <c r="L66" s="109" t="s">
        <v>48</v>
      </c>
    </row>
    <row r="67" spans="1:12" s="30" customFormat="1" x14ac:dyDescent="0.25">
      <c r="B67" s="105"/>
      <c r="C67" s="105"/>
      <c r="D67" s="105"/>
      <c r="E67" s="105"/>
      <c r="F67" s="105"/>
      <c r="G67" s="105"/>
      <c r="H67" s="105"/>
      <c r="I67" s="105"/>
      <c r="J67" s="105"/>
      <c r="K67" s="109"/>
      <c r="L67" s="109"/>
    </row>
    <row r="68" spans="1:12" s="30" customFormat="1" x14ac:dyDescent="0.25">
      <c r="A68" s="5" t="s">
        <v>25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9"/>
      <c r="L68" s="109"/>
    </row>
    <row r="69" spans="1:12" s="30" customFormat="1" x14ac:dyDescent="0.25">
      <c r="A69" s="30" t="s">
        <v>31</v>
      </c>
      <c r="B69" s="105">
        <f>(B24/B17)*3</f>
        <v>128384.907878878</v>
      </c>
      <c r="C69" s="134">
        <f>(C24/D17)*3</f>
        <v>105000</v>
      </c>
      <c r="D69" s="134"/>
      <c r="E69" s="105">
        <f>(E24/E17)*3</f>
        <v>234000</v>
      </c>
      <c r="F69" s="105">
        <f t="shared" ref="F69:I69" si="20">(F24/F17)*3</f>
        <v>936000</v>
      </c>
      <c r="G69" s="105">
        <f t="shared" si="20"/>
        <v>225000</v>
      </c>
      <c r="H69" s="105">
        <f t="shared" si="20"/>
        <v>225000</v>
      </c>
      <c r="I69" s="105">
        <f t="shared" si="20"/>
        <v>321000</v>
      </c>
      <c r="J69" s="140">
        <f>(J24/K17)*3</f>
        <v>54000</v>
      </c>
      <c r="K69" s="140"/>
      <c r="L69" s="109" t="s">
        <v>48</v>
      </c>
    </row>
    <row r="70" spans="1:12" s="30" customFormat="1" x14ac:dyDescent="0.25">
      <c r="A70" s="30" t="s">
        <v>32</v>
      </c>
      <c r="B70" s="105">
        <f>(B25/B19)*3</f>
        <v>89837.998039261336</v>
      </c>
      <c r="C70" s="134">
        <f>(C25/D19)*3</f>
        <v>73072.551994463924</v>
      </c>
      <c r="D70" s="134"/>
      <c r="E70" s="105">
        <f>(E25/E19)*3</f>
        <v>384930.7725297563</v>
      </c>
      <c r="F70" s="105">
        <f t="shared" ref="F70:I70" si="21">(F25/F19)*3</f>
        <v>688388.678111588</v>
      </c>
      <c r="G70" s="105">
        <f t="shared" si="21"/>
        <v>262810.30020521843</v>
      </c>
      <c r="H70" s="105">
        <f t="shared" si="21"/>
        <v>251132.760447187</v>
      </c>
      <c r="I70" s="105">
        <f t="shared" si="21"/>
        <v>102686.83276538014</v>
      </c>
      <c r="J70" s="140">
        <f>(J25/K19)*3</f>
        <v>20110.749483678479</v>
      </c>
      <c r="K70" s="140"/>
      <c r="L70" s="109" t="s">
        <v>48</v>
      </c>
    </row>
    <row r="71" spans="1:12" s="30" customFormat="1" x14ac:dyDescent="0.25">
      <c r="A71" s="30" t="s">
        <v>26</v>
      </c>
      <c r="B71" s="104" t="s">
        <v>57</v>
      </c>
      <c r="C71" s="134">
        <f>(C70/C69)*D53</f>
        <v>79.738051043542995</v>
      </c>
      <c r="D71" s="134"/>
      <c r="E71" s="105">
        <f>(E70/E69)*E53</f>
        <v>235.17213082395176</v>
      </c>
      <c r="F71" s="105">
        <f t="shared" ref="F71:I71" si="22">(F70/F69)*F53</f>
        <v>23.136887236458772</v>
      </c>
      <c r="G71" s="105">
        <f t="shared" si="22"/>
        <v>131.11134196073044</v>
      </c>
      <c r="H71" s="105">
        <f t="shared" si="22"/>
        <v>156.0411937906261</v>
      </c>
      <c r="I71" s="105">
        <f t="shared" si="22"/>
        <v>51.875074428186345</v>
      </c>
      <c r="J71" s="140">
        <f>(J70/J69)*K53</f>
        <v>71.128917399573922</v>
      </c>
      <c r="K71" s="140"/>
      <c r="L71" s="109" t="s">
        <v>48</v>
      </c>
    </row>
    <row r="72" spans="1:12" s="30" customFormat="1" x14ac:dyDescent="0.25">
      <c r="A72" s="30" t="s">
        <v>33</v>
      </c>
      <c r="B72" s="105">
        <f>B24/B17</f>
        <v>42794.969292959337</v>
      </c>
      <c r="C72" s="134">
        <f>C24/D17</f>
        <v>35000</v>
      </c>
      <c r="D72" s="134"/>
      <c r="E72" s="105">
        <f>E24/E17</f>
        <v>78000</v>
      </c>
      <c r="F72" s="105">
        <f>F24/F17</f>
        <v>312000</v>
      </c>
      <c r="G72" s="105">
        <f t="shared" ref="G72:I72" si="23">G24/G17</f>
        <v>75000</v>
      </c>
      <c r="H72" s="105">
        <f t="shared" si="23"/>
        <v>75000</v>
      </c>
      <c r="I72" s="105">
        <f t="shared" si="23"/>
        <v>107000</v>
      </c>
      <c r="J72" s="140">
        <f>J24/K17</f>
        <v>18000</v>
      </c>
      <c r="K72" s="140"/>
      <c r="L72" s="109" t="s">
        <v>48</v>
      </c>
    </row>
    <row r="73" spans="1:12" s="30" customFormat="1" x14ac:dyDescent="0.25">
      <c r="A73" s="30" t="s">
        <v>34</v>
      </c>
      <c r="B73" s="105">
        <f>B25/B19</f>
        <v>29945.999346420445</v>
      </c>
      <c r="C73" s="134">
        <f>C25/D19</f>
        <v>24357.517331487972</v>
      </c>
      <c r="D73" s="134"/>
      <c r="E73" s="105">
        <f>E25/E19</f>
        <v>128310.25750991877</v>
      </c>
      <c r="F73" s="105">
        <f>F25/F19</f>
        <v>229462.89270386266</v>
      </c>
      <c r="G73" s="105">
        <f t="shared" ref="G73:I73" si="24">G25/G19</f>
        <v>87603.433401739472</v>
      </c>
      <c r="H73" s="105">
        <f t="shared" si="24"/>
        <v>83710.920149062338</v>
      </c>
      <c r="I73" s="105">
        <f t="shared" si="24"/>
        <v>34228.944255126713</v>
      </c>
      <c r="J73" s="140">
        <f>J25/K19</f>
        <v>6703.58316122616</v>
      </c>
      <c r="K73" s="140"/>
      <c r="L73" s="109" t="s">
        <v>48</v>
      </c>
    </row>
    <row r="74" spans="1:12" s="30" customFormat="1" x14ac:dyDescent="0.25">
      <c r="B74" s="105"/>
      <c r="C74" s="105"/>
      <c r="D74" s="105"/>
      <c r="E74" s="105"/>
      <c r="F74" s="105"/>
      <c r="G74" s="105"/>
      <c r="H74" s="105"/>
      <c r="I74" s="105"/>
      <c r="J74" s="105"/>
      <c r="K74" s="109"/>
      <c r="L74" s="109"/>
    </row>
    <row r="75" spans="1:12" s="30" customFormat="1" x14ac:dyDescent="0.25">
      <c r="A75" s="5" t="s">
        <v>27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9"/>
      <c r="L75" s="109"/>
    </row>
    <row r="76" spans="1:12" s="30" customFormat="1" x14ac:dyDescent="0.25">
      <c r="A76" s="30" t="s">
        <v>28</v>
      </c>
      <c r="B76" s="105">
        <f>(B31/B30)*100</f>
        <v>95.264983334253003</v>
      </c>
      <c r="C76" s="105"/>
      <c r="D76" s="105"/>
      <c r="E76" s="105"/>
      <c r="F76" s="105"/>
      <c r="G76" s="105"/>
      <c r="H76" s="105"/>
      <c r="I76" s="105"/>
      <c r="J76" s="105"/>
      <c r="K76" s="109"/>
      <c r="L76" s="109"/>
    </row>
    <row r="77" spans="1:12" s="30" customFormat="1" x14ac:dyDescent="0.25">
      <c r="A77" s="30" t="s">
        <v>29</v>
      </c>
      <c r="B77" s="105">
        <f>(B25/B31)*100</f>
        <v>138.14640895822743</v>
      </c>
      <c r="C77" s="105"/>
      <c r="D77" s="105"/>
      <c r="E77" s="105"/>
      <c r="F77" s="105"/>
      <c r="G77" s="105"/>
      <c r="H77" s="105"/>
      <c r="I77" s="105"/>
      <c r="J77" s="105"/>
      <c r="K77" s="109"/>
      <c r="L77" s="109"/>
    </row>
    <row r="78" spans="1:12" s="30" customFormat="1" ht="15.75" thickBot="1" x14ac:dyDescent="0.3">
      <c r="A78" s="32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2" x14ac:dyDescent="0.25">
      <c r="A80" s="33"/>
    </row>
    <row r="81" spans="1:5" x14ac:dyDescent="0.25">
      <c r="A81" s="2"/>
      <c r="B81" s="2"/>
    </row>
    <row r="82" spans="1:5" x14ac:dyDescent="0.25">
      <c r="A82" s="2"/>
      <c r="B82" s="34"/>
      <c r="C82" s="34"/>
      <c r="D82" s="34"/>
      <c r="E82" s="34"/>
    </row>
    <row r="83" spans="1:5" x14ac:dyDescent="0.25">
      <c r="A83" s="2"/>
    </row>
    <row r="84" spans="1:5" x14ac:dyDescent="0.25">
      <c r="A84" s="33"/>
    </row>
    <row r="85" spans="1:5" x14ac:dyDescent="0.25">
      <c r="A85" s="2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11"/>
    </row>
    <row r="90" spans="1:5" x14ac:dyDescent="0.25">
      <c r="A90" s="11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5" spans="1:5" x14ac:dyDescent="0.25">
      <c r="A95" s="35"/>
    </row>
  </sheetData>
  <mergeCells count="55">
    <mergeCell ref="J71:K71"/>
    <mergeCell ref="J72:K72"/>
    <mergeCell ref="J73:K73"/>
    <mergeCell ref="A79:F79"/>
    <mergeCell ref="J64:K64"/>
    <mergeCell ref="J65:K65"/>
    <mergeCell ref="J66:K66"/>
    <mergeCell ref="J69:K69"/>
    <mergeCell ref="J70:K70"/>
    <mergeCell ref="C73:D73"/>
    <mergeCell ref="C71:D71"/>
    <mergeCell ref="C69:D69"/>
    <mergeCell ref="C70:D70"/>
    <mergeCell ref="C64:D64"/>
    <mergeCell ref="A9:A10"/>
    <mergeCell ref="C9:L9"/>
    <mergeCell ref="J10:K10"/>
    <mergeCell ref="C26:D26"/>
    <mergeCell ref="C24:D24"/>
    <mergeCell ref="B9:B10"/>
    <mergeCell ref="C23:D23"/>
    <mergeCell ref="C25:D25"/>
    <mergeCell ref="C10:D10"/>
    <mergeCell ref="J25:K25"/>
    <mergeCell ref="J24:K24"/>
    <mergeCell ref="C57:D57"/>
    <mergeCell ref="C58:D58"/>
    <mergeCell ref="C61:D61"/>
    <mergeCell ref="J26:K26"/>
    <mergeCell ref="J47:K47"/>
    <mergeCell ref="J48:K48"/>
    <mergeCell ref="C47:D47"/>
    <mergeCell ref="C48:D48"/>
    <mergeCell ref="J27:K27"/>
    <mergeCell ref="J52:K52"/>
    <mergeCell ref="J56:K56"/>
    <mergeCell ref="J57:K57"/>
    <mergeCell ref="J58:K58"/>
    <mergeCell ref="J61:K61"/>
    <mergeCell ref="J23:K23"/>
    <mergeCell ref="C72:D72"/>
    <mergeCell ref="C39:D39"/>
    <mergeCell ref="C40:D40"/>
    <mergeCell ref="C41:D41"/>
    <mergeCell ref="C42:D42"/>
    <mergeCell ref="C27:D27"/>
    <mergeCell ref="C36:D36"/>
    <mergeCell ref="J39:K39"/>
    <mergeCell ref="J40:K40"/>
    <mergeCell ref="J41:K41"/>
    <mergeCell ref="J42:K42"/>
    <mergeCell ref="C52:D52"/>
    <mergeCell ref="C65:D65"/>
    <mergeCell ref="C66:D66"/>
    <mergeCell ref="C56:D56"/>
  </mergeCells>
  <pageMargins left="0.7" right="0.7" top="0.75" bottom="0.75" header="0.3" footer="0.3"/>
  <pageSetup orientation="portrait" horizontalDpi="300" verticalDpi="300" r:id="rId1"/>
  <ignoredErrors>
    <ignoredError sqref="B49:I50 C47:G47 B48:G48 B54:I55 D53:I53 B52:I52 D51:I51 B59:I63 B57:I57 B67:I68 B66:I66 B65:I65 B64:I64 B74:J77 B69:I70 B72:I73 C71:I71 C58:I58 C56:I56" evalError="1"/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80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2" customWidth="1"/>
    <col min="2" max="12" width="18.7109375" style="10" customWidth="1"/>
    <col min="13" max="16384" width="11.42578125" style="2"/>
  </cols>
  <sheetData>
    <row r="8" spans="1:12" ht="18.75" customHeight="1" x14ac:dyDescent="0.25"/>
    <row r="9" spans="1:12" s="5" customFormat="1" ht="15" customHeight="1" x14ac:dyDescent="0.25">
      <c r="A9" s="142" t="s">
        <v>0</v>
      </c>
      <c r="B9" s="123" t="s">
        <v>52</v>
      </c>
      <c r="C9" s="128" t="s">
        <v>87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2" s="5" customFormat="1" ht="51.75" customHeight="1" thickBot="1" x14ac:dyDescent="0.3">
      <c r="A10" s="143"/>
      <c r="B10" s="124"/>
      <c r="C10" s="129" t="s">
        <v>1</v>
      </c>
      <c r="D10" s="129"/>
      <c r="E10" s="83" t="s">
        <v>44</v>
      </c>
      <c r="F10" s="83" t="s">
        <v>45</v>
      </c>
      <c r="G10" s="88" t="s">
        <v>46</v>
      </c>
      <c r="H10" s="88" t="s">
        <v>53</v>
      </c>
      <c r="I10" s="83" t="s">
        <v>50</v>
      </c>
      <c r="J10" s="129" t="s">
        <v>108</v>
      </c>
      <c r="K10" s="129"/>
      <c r="L10" s="83" t="s">
        <v>54</v>
      </c>
    </row>
    <row r="11" spans="1:12" ht="15.75" thickTop="1" x14ac:dyDescent="0.25">
      <c r="E11" s="117"/>
    </row>
    <row r="12" spans="1:12" x14ac:dyDescent="0.25">
      <c r="A12" s="7" t="s">
        <v>2</v>
      </c>
    </row>
    <row r="14" spans="1:12" s="28" customFormat="1" x14ac:dyDescent="0.25">
      <c r="A14" s="1" t="s">
        <v>41</v>
      </c>
      <c r="B14" s="60" t="s">
        <v>65</v>
      </c>
      <c r="C14" s="60" t="s">
        <v>42</v>
      </c>
      <c r="D14" s="60" t="s">
        <v>43</v>
      </c>
      <c r="E14" s="61" t="s">
        <v>42</v>
      </c>
      <c r="F14" s="61" t="s">
        <v>42</v>
      </c>
      <c r="G14" s="61" t="s">
        <v>42</v>
      </c>
      <c r="H14" s="61" t="s">
        <v>134</v>
      </c>
      <c r="I14" s="61" t="s">
        <v>51</v>
      </c>
      <c r="J14" s="61" t="s">
        <v>42</v>
      </c>
      <c r="K14" s="61" t="s">
        <v>121</v>
      </c>
      <c r="L14" s="61" t="s">
        <v>65</v>
      </c>
    </row>
    <row r="15" spans="1:12" s="22" customFormat="1" x14ac:dyDescent="0.25">
      <c r="A15" s="21" t="s">
        <v>72</v>
      </c>
      <c r="B15" s="89">
        <v>232691</v>
      </c>
      <c r="C15" s="89">
        <v>154637</v>
      </c>
      <c r="D15" s="89">
        <v>201503</v>
      </c>
      <c r="E15" s="89">
        <v>2447</v>
      </c>
      <c r="F15" s="89">
        <v>250</v>
      </c>
      <c r="G15" s="89">
        <v>16748</v>
      </c>
      <c r="H15" s="89">
        <v>102271</v>
      </c>
      <c r="I15" s="89">
        <v>28266</v>
      </c>
      <c r="J15" s="87" t="s">
        <v>48</v>
      </c>
      <c r="K15" s="87" t="s">
        <v>48</v>
      </c>
      <c r="L15" s="87" t="s">
        <v>48</v>
      </c>
    </row>
    <row r="16" spans="1:12" s="22" customFormat="1" x14ac:dyDescent="0.25">
      <c r="A16" s="21" t="s">
        <v>128</v>
      </c>
      <c r="B16" s="89" t="str">
        <f>'IV Trimestre'!B16</f>
        <v>n.d</v>
      </c>
      <c r="C16" s="89" t="str">
        <f>'IV Trimestre'!C16</f>
        <v>n.d</v>
      </c>
      <c r="D16" s="89">
        <f>'IV Trimestre'!D16</f>
        <v>138253</v>
      </c>
      <c r="E16" s="89">
        <f>'IV Trimestre'!E16</f>
        <v>2128</v>
      </c>
      <c r="F16" s="89">
        <f>'IV Trimestre'!F16</f>
        <v>528</v>
      </c>
      <c r="G16" s="89">
        <f>'IV Trimestre'!G16</f>
        <v>8019</v>
      </c>
      <c r="H16" s="89">
        <f>'IV Trimestre'!H16</f>
        <v>85003</v>
      </c>
      <c r="I16" s="89">
        <f>'IV Trimestre'!I16</f>
        <v>29485</v>
      </c>
      <c r="J16" s="87" t="s">
        <v>48</v>
      </c>
      <c r="K16" s="87">
        <f>+'IV Trimestre'!K16</f>
        <v>72641</v>
      </c>
      <c r="L16" s="87" t="s">
        <v>48</v>
      </c>
    </row>
    <row r="17" spans="1:12" s="22" customFormat="1" x14ac:dyDescent="0.25">
      <c r="A17" s="21" t="s">
        <v>56</v>
      </c>
      <c r="B17" s="89">
        <f>+D17+E17+F17+G17+H17+I17+K17</f>
        <v>2983136</v>
      </c>
      <c r="C17" s="89" t="str">
        <f>'IV Trimestre'!C17</f>
        <v>n.d</v>
      </c>
      <c r="D17" s="89">
        <f>+'I Trimestre'!D17+'II Trimestre'!D17+'III Trimestre'!D17+'IV Trimestre'!D17</f>
        <v>1432567</v>
      </c>
      <c r="E17" s="89">
        <f>+'I Trimestre'!E17+'II Trimestre'!E17+'III Trimestre'!E17+'IV Trimestre'!E17</f>
        <v>21645</v>
      </c>
      <c r="F17" s="89">
        <f>+'I Trimestre'!F17+'II Trimestre'!F17+'III Trimestre'!F17+'IV Trimestre'!F17</f>
        <v>5381</v>
      </c>
      <c r="G17" s="89">
        <f>+'I Trimestre'!G17+'II Trimestre'!G17+'III Trimestre'!G17+'IV Trimestre'!G17</f>
        <v>95957</v>
      </c>
      <c r="H17" s="89">
        <f>+'I Trimestre'!H17+'II Trimestre'!H17+'III Trimestre'!H17+'IV Trimestre'!H17</f>
        <v>739802</v>
      </c>
      <c r="I17" s="89">
        <f>+'I Trimestre'!I17+'II Trimestre'!I17+'III Trimestre'!I17+'IV Trimestre'!I17</f>
        <v>251941</v>
      </c>
      <c r="J17" s="87" t="s">
        <v>48</v>
      </c>
      <c r="K17" s="87">
        <f>+'III Trimestre'!K17+'IV Trimestre'!K17</f>
        <v>435843</v>
      </c>
      <c r="L17" s="87" t="s">
        <v>48</v>
      </c>
    </row>
    <row r="18" spans="1:12" s="22" customFormat="1" x14ac:dyDescent="0.25">
      <c r="A18" s="21" t="s">
        <v>129</v>
      </c>
      <c r="B18" s="89">
        <v>328292</v>
      </c>
      <c r="C18" s="89">
        <v>154353</v>
      </c>
      <c r="D18" s="89">
        <v>200526</v>
      </c>
      <c r="E18" s="89">
        <v>2030</v>
      </c>
      <c r="F18" s="89">
        <v>184</v>
      </c>
      <c r="G18" s="89">
        <v>11214</v>
      </c>
      <c r="H18" s="89">
        <v>119554</v>
      </c>
      <c r="I18" s="89">
        <v>29660</v>
      </c>
      <c r="J18" s="89">
        <v>167807</v>
      </c>
      <c r="K18" s="87">
        <v>210321</v>
      </c>
      <c r="L18" s="87" t="s">
        <v>48</v>
      </c>
    </row>
    <row r="19" spans="1:12" s="22" customFormat="1" x14ac:dyDescent="0.25">
      <c r="A19" s="21" t="s">
        <v>56</v>
      </c>
      <c r="B19" s="89">
        <f>+SUM(D19+E19+F19+G19+H19+I19+K19)</f>
        <v>4053280</v>
      </c>
      <c r="C19" s="89" t="str">
        <f>'IV Trimestre'!C19</f>
        <v>n.d</v>
      </c>
      <c r="D19" s="89">
        <f>+SUM('I Trimestre'!D19+'II Trimestre'!D19+'III Trimestre'!D19+'IV Trimestre'!D19)</f>
        <v>1843063</v>
      </c>
      <c r="E19" s="89">
        <f>+SUM('I Trimestre'!E19+'II Trimestre'!E19+'III Trimestre'!E19+'IV Trimestre'!E19)</f>
        <v>13131</v>
      </c>
      <c r="F19" s="89">
        <f>+SUM('I Trimestre'!F19+'II Trimestre'!F19+'III Trimestre'!F19+'IV Trimestre'!F19)</f>
        <v>1227</v>
      </c>
      <c r="G19" s="89">
        <f>+SUM('I Trimestre'!G19+'II Trimestre'!G19+'III Trimestre'!G19+'IV Trimestre'!G19)</f>
        <v>90243</v>
      </c>
      <c r="H19" s="89">
        <f>+SUM('I Trimestre'!H19+'II Trimestre'!H19+'III Trimestre'!H19+'IV Trimestre'!H19)</f>
        <v>681968</v>
      </c>
      <c r="I19" s="89">
        <f>+SUM('I Trimestre'!I19+'II Trimestre'!I19+'III Trimestre'!I19+'IV Trimestre'!I19)</f>
        <v>246113</v>
      </c>
      <c r="J19" s="87" t="s">
        <v>48</v>
      </c>
      <c r="K19" s="87">
        <f>+SUM('III Trimestre'!K19+'IV Trimestre'!K19)</f>
        <v>1177535</v>
      </c>
      <c r="L19" s="87" t="s">
        <v>48</v>
      </c>
    </row>
    <row r="20" spans="1:12" s="22" customFormat="1" x14ac:dyDescent="0.25">
      <c r="A20" s="21" t="s">
        <v>91</v>
      </c>
      <c r="B20" s="89" t="str">
        <f>'IV Trimestre'!B20</f>
        <v>n.d</v>
      </c>
      <c r="C20" s="89" t="str">
        <f>'IV Trimestre'!C20</f>
        <v>n.d</v>
      </c>
      <c r="D20" s="89">
        <f>'IV Trimestre'!D20</f>
        <v>138253</v>
      </c>
      <c r="E20" s="89">
        <f>'IV Trimestre'!E20</f>
        <v>2128</v>
      </c>
      <c r="F20" s="89">
        <f>'IV Trimestre'!F20</f>
        <v>528</v>
      </c>
      <c r="G20" s="89">
        <f>'IV Trimestre'!G20</f>
        <v>8019</v>
      </c>
      <c r="H20" s="89">
        <f>'IV Trimestre'!H20</f>
        <v>85003</v>
      </c>
      <c r="I20" s="89">
        <f>'IV Trimestre'!I20</f>
        <v>29485</v>
      </c>
      <c r="J20" s="87" t="s">
        <v>48</v>
      </c>
      <c r="K20" s="87">
        <f>'IV Trimestre'!K20</f>
        <v>72641</v>
      </c>
      <c r="L20" s="87" t="s">
        <v>48</v>
      </c>
    </row>
    <row r="21" spans="1:12" s="10" customFormat="1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112"/>
      <c r="L21" s="112"/>
    </row>
    <row r="22" spans="1:12" s="10" customFormat="1" x14ac:dyDescent="0.25">
      <c r="A22" s="44" t="s">
        <v>3</v>
      </c>
      <c r="B22" s="94"/>
      <c r="C22" s="94"/>
      <c r="D22" s="94"/>
      <c r="E22" s="94"/>
      <c r="F22" s="94"/>
      <c r="G22" s="94"/>
      <c r="H22" s="94"/>
      <c r="I22" s="94"/>
      <c r="J22" s="94"/>
      <c r="K22" s="112"/>
      <c r="L22" s="112"/>
    </row>
    <row r="23" spans="1:12" s="22" customFormat="1" x14ac:dyDescent="0.25">
      <c r="A23" s="21" t="s">
        <v>72</v>
      </c>
      <c r="B23" s="89">
        <f>C23+I23+G23+H23+E23+F23+L23</f>
        <v>126285243199.39999</v>
      </c>
      <c r="C23" s="144">
        <f>'I Trimestre'!C23:D23+'II Trimestre'!C23:D23+'III Trimestre'!C23:D23+'IV Trimestre'!C23:D23</f>
        <v>50247667000</v>
      </c>
      <c r="D23" s="144"/>
      <c r="E23" s="89">
        <f>'I Trimestre'!E23+'II Trimestre'!E23+'III Trimestre'!E23+'IV Trimestre'!E23</f>
        <v>1600205174</v>
      </c>
      <c r="F23" s="89">
        <f>'I Trimestre'!F23+'II Trimestre'!F23+'III Trimestre'!F23+'IV Trimestre'!F23</f>
        <v>379755000</v>
      </c>
      <c r="G23" s="89">
        <f>'I Trimestre'!G23+'II Trimestre'!G23+'III Trimestre'!G23+'IV Trimestre'!G23</f>
        <v>7184827032</v>
      </c>
      <c r="H23" s="89">
        <f>'I Trimestre'!H23+'II Trimestre'!H23+'III Trimestre'!H23+'IV Trimestre'!H23</f>
        <v>40928998588.000008</v>
      </c>
      <c r="I23" s="89">
        <f>'I Trimestre'!I23+'II Trimestre'!I23+'III Trimestre'!I23+'IV Trimestre'!I23</f>
        <v>25772803942.000004</v>
      </c>
      <c r="J23" s="144" t="s">
        <v>48</v>
      </c>
      <c r="K23" s="144"/>
      <c r="L23" s="89">
        <f>+'I Trimestre'!J23+'II Trimestre'!J23+'III Trimestre'!L23+'IV Trimestre'!L23</f>
        <v>170986463.39999998</v>
      </c>
    </row>
    <row r="24" spans="1:12" s="22" customFormat="1" x14ac:dyDescent="0.25">
      <c r="A24" s="21" t="s">
        <v>128</v>
      </c>
      <c r="B24" s="89">
        <f>+SUM(C24+E24+F24+G24+H24+I24+J24)</f>
        <v>150991813000</v>
      </c>
      <c r="C24" s="144">
        <f>'I Trimestre'!C24:D24+'II Trimestre'!C24:D24+'III Trimestre'!C24:D24+'IV Trimestre'!C24:D24</f>
        <v>50139845000</v>
      </c>
      <c r="D24" s="144"/>
      <c r="E24" s="89">
        <f>+'I Trimestre'!E24+'II Trimestre'!E24+'III Trimestre'!E24+'IV Trimestre'!E24</f>
        <v>1688310000</v>
      </c>
      <c r="F24" s="89">
        <f>+'I Trimestre'!F24+'II Trimestre'!F24+'III Trimestre'!F24+'IV Trimestre'!F24</f>
        <v>1678872000</v>
      </c>
      <c r="G24" s="89">
        <f>+'I Trimestre'!G24+'II Trimestre'!G24+'III Trimestre'!G24+'IV Trimestre'!G24</f>
        <v>7196775000</v>
      </c>
      <c r="H24" s="89">
        <f>+'I Trimestre'!H24+'II Trimestre'!H24+'III Trimestre'!H24+'IV Trimestre'!H24</f>
        <v>55485150000</v>
      </c>
      <c r="I24" s="89">
        <f>+'I Trimestre'!I24+'II Trimestre'!I24+'III Trimestre'!I24+'IV Trimestre'!I24</f>
        <v>26957687000</v>
      </c>
      <c r="J24" s="144">
        <f>+'III Trimestre'!J24:K24+'IV Trimestre'!J24:K24</f>
        <v>7845174000</v>
      </c>
      <c r="K24" s="144"/>
      <c r="L24" s="87" t="s">
        <v>48</v>
      </c>
    </row>
    <row r="25" spans="1:12" s="22" customFormat="1" x14ac:dyDescent="0.25">
      <c r="A25" s="21" t="s">
        <v>129</v>
      </c>
      <c r="B25" s="89">
        <f>+SUM(C25+E25+F25+G25+H25+I25+J25+L25)</f>
        <v>147665783879.23999</v>
      </c>
      <c r="C25" s="144">
        <f>'I Trimestre'!C25:D25+'II Trimestre'!C25:D25+'III Trimestre'!C25:D25+'IV Trimestre'!C25:D25</f>
        <v>49812700110</v>
      </c>
      <c r="D25" s="144"/>
      <c r="E25" s="89">
        <f>'I Trimestre'!E25+'II Trimestre'!E25+'III Trimestre'!E25+'IV Trimestre'!E25</f>
        <v>1370697293</v>
      </c>
      <c r="F25" s="89">
        <f>'I Trimestre'!F25+'II Trimestre'!F25+'III Trimestre'!F25+'IV Trimestre'!F25</f>
        <v>291837308</v>
      </c>
      <c r="G25" s="89">
        <f>'I Trimestre'!G25+'II Trimestre'!G25+'III Trimestre'!G25+'IV Trimestre'!G25</f>
        <v>7169540258</v>
      </c>
      <c r="H25" s="89">
        <f>'I Trimestre'!H25+'II Trimestre'!H25+'III Trimestre'!H25+'IV Trimestre'!H25</f>
        <v>54835913152</v>
      </c>
      <c r="I25" s="89">
        <f>'I Trimestre'!I25+'II Trimestre'!I25+'III Trimestre'!I25+'IV Trimestre'!I25</f>
        <v>26216967380.000008</v>
      </c>
      <c r="J25" s="144">
        <f>+'III Trimestre'!J25:K25+'IV Trimestre'!J25:K25</f>
        <v>7763285000</v>
      </c>
      <c r="K25" s="144"/>
      <c r="L25" s="87">
        <f>+'I Trimestre'!J25+'II Trimestre'!J25+'III Trimestre'!L25+'IV Trimestre'!L25</f>
        <v>204843378.23999998</v>
      </c>
    </row>
    <row r="26" spans="1:12" s="22" customFormat="1" x14ac:dyDescent="0.25">
      <c r="A26" s="21" t="s">
        <v>91</v>
      </c>
      <c r="B26" s="89">
        <f>+SUM(C26+E26+F26+G26+H26+I26+J26)</f>
        <v>150991813000</v>
      </c>
      <c r="C26" s="144">
        <f>'IV Trimestre'!C26</f>
        <v>50139845000</v>
      </c>
      <c r="D26" s="144"/>
      <c r="E26" s="89">
        <f>'IV Trimestre'!E26</f>
        <v>1688310000</v>
      </c>
      <c r="F26" s="89">
        <f>'IV Trimestre'!F26</f>
        <v>1678872000</v>
      </c>
      <c r="G26" s="89">
        <f>'IV Trimestre'!G26</f>
        <v>7196775000</v>
      </c>
      <c r="H26" s="89">
        <f>'IV Trimestre'!H26</f>
        <v>55485150000</v>
      </c>
      <c r="I26" s="89">
        <f>'IV Trimestre'!I26</f>
        <v>26957687000</v>
      </c>
      <c r="J26" s="144">
        <f>+'IV Trimestre'!J26:K26</f>
        <v>7845174000</v>
      </c>
      <c r="K26" s="144"/>
      <c r="L26" s="87" t="s">
        <v>48</v>
      </c>
    </row>
    <row r="27" spans="1:12" s="22" customFormat="1" x14ac:dyDescent="0.25">
      <c r="A27" s="21" t="s">
        <v>130</v>
      </c>
      <c r="B27" s="89">
        <f>+SUM(C27+E27+F27+G27+H27+I27+J27+L27)</f>
        <v>147665783879.23999</v>
      </c>
      <c r="C27" s="144">
        <f>C25</f>
        <v>49812700110</v>
      </c>
      <c r="D27" s="144"/>
      <c r="E27" s="89">
        <f>E25</f>
        <v>1370697293</v>
      </c>
      <c r="F27" s="89">
        <f t="shared" ref="F27:J27" si="0">F25</f>
        <v>291837308</v>
      </c>
      <c r="G27" s="89">
        <f t="shared" si="0"/>
        <v>7169540258</v>
      </c>
      <c r="H27" s="89">
        <f t="shared" si="0"/>
        <v>54835913152</v>
      </c>
      <c r="I27" s="89">
        <f t="shared" si="0"/>
        <v>26216967380.000008</v>
      </c>
      <c r="J27" s="144">
        <f t="shared" si="0"/>
        <v>7763285000</v>
      </c>
      <c r="K27" s="144"/>
      <c r="L27" s="87">
        <f>+'I Trimestre'!J27+'II Trimestre'!J27+'III Trimestre'!L27+'IV Trimestre'!L27</f>
        <v>204843378.23999998</v>
      </c>
    </row>
    <row r="28" spans="1:12" s="10" customFormat="1" x14ac:dyDescent="0.25">
      <c r="B28" s="94"/>
      <c r="C28" s="94"/>
      <c r="D28" s="94"/>
      <c r="E28" s="94"/>
      <c r="F28" s="94"/>
      <c r="G28" s="94"/>
      <c r="H28" s="94"/>
      <c r="I28" s="94"/>
      <c r="J28" s="94"/>
      <c r="K28" s="112"/>
      <c r="L28" s="112"/>
    </row>
    <row r="29" spans="1:12" s="10" customFormat="1" x14ac:dyDescent="0.25">
      <c r="A29" s="44" t="s">
        <v>4</v>
      </c>
      <c r="B29" s="94"/>
      <c r="C29" s="94"/>
      <c r="D29" s="94"/>
      <c r="E29" s="94"/>
      <c r="F29" s="94"/>
      <c r="G29" s="94"/>
      <c r="H29" s="94"/>
      <c r="I29" s="94"/>
      <c r="J29" s="94"/>
      <c r="K29" s="112"/>
      <c r="L29" s="112"/>
    </row>
    <row r="30" spans="1:12" s="22" customFormat="1" x14ac:dyDescent="0.25">
      <c r="A30" s="21" t="s">
        <v>128</v>
      </c>
      <c r="B30" s="89">
        <f>B26</f>
        <v>150991813000</v>
      </c>
      <c r="C30" s="84"/>
      <c r="D30" s="84"/>
      <c r="E30" s="84"/>
      <c r="F30" s="84"/>
      <c r="G30" s="84"/>
      <c r="H30" s="84"/>
      <c r="I30" s="84"/>
      <c r="J30" s="84"/>
      <c r="K30" s="87"/>
      <c r="L30" s="87"/>
    </row>
    <row r="31" spans="1:12" s="22" customFormat="1" x14ac:dyDescent="0.25">
      <c r="A31" s="21" t="s">
        <v>129</v>
      </c>
      <c r="B31" s="89">
        <f>'I Trimestre'!B31+'II Trimestre'!B31+'III Trimestre'!B31+'IV Trimestre'!B31</f>
        <v>148254992865.07001</v>
      </c>
      <c r="C31" s="84"/>
      <c r="D31" s="84"/>
      <c r="E31" s="84"/>
      <c r="F31" s="84"/>
      <c r="G31" s="84"/>
      <c r="H31" s="84"/>
      <c r="I31" s="84"/>
      <c r="J31" s="84"/>
      <c r="K31" s="87"/>
      <c r="L31" s="87"/>
    </row>
    <row r="32" spans="1:12" s="10" customForma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55"/>
      <c r="L32" s="55"/>
    </row>
    <row r="33" spans="1:12" s="10" customFormat="1" x14ac:dyDescent="0.25">
      <c r="A33" s="17" t="s">
        <v>5</v>
      </c>
      <c r="B33" s="16"/>
      <c r="C33" s="16"/>
      <c r="D33" s="16"/>
      <c r="E33" s="16"/>
      <c r="F33" s="16"/>
      <c r="G33" s="16"/>
      <c r="H33" s="16"/>
      <c r="I33" s="16"/>
      <c r="J33" s="16"/>
      <c r="K33" s="55"/>
      <c r="L33" s="55"/>
    </row>
    <row r="34" spans="1:12" s="10" customFormat="1" x14ac:dyDescent="0.25">
      <c r="A34" s="9" t="s">
        <v>73</v>
      </c>
      <c r="B34" s="93">
        <v>1.0451999999999999</v>
      </c>
      <c r="C34" s="93">
        <v>1.0451999999999999</v>
      </c>
      <c r="D34" s="93">
        <v>1.0451999999999999</v>
      </c>
      <c r="E34" s="93">
        <v>1.0451999999999999</v>
      </c>
      <c r="F34" s="93">
        <v>1.0451999999999999</v>
      </c>
      <c r="G34" s="93">
        <v>1.0451999999999999</v>
      </c>
      <c r="H34" s="93">
        <v>1.0451999999999999</v>
      </c>
      <c r="I34" s="93">
        <v>1.0451999999999999</v>
      </c>
      <c r="J34" s="93">
        <v>1.0451999999999999</v>
      </c>
      <c r="K34" s="93">
        <v>1.0451999999999999</v>
      </c>
      <c r="L34" s="93">
        <v>1.0451999999999999</v>
      </c>
    </row>
    <row r="35" spans="1:12" s="10" customFormat="1" x14ac:dyDescent="0.25">
      <c r="A35" s="9" t="s">
        <v>131</v>
      </c>
      <c r="B35" s="93">
        <v>1.0610999999999999</v>
      </c>
      <c r="C35" s="93">
        <v>1.0610999999999999</v>
      </c>
      <c r="D35" s="93">
        <v>1.0610999999999999</v>
      </c>
      <c r="E35" s="93">
        <v>1.0610999999999999</v>
      </c>
      <c r="F35" s="93">
        <v>1.0610999999999999</v>
      </c>
      <c r="G35" s="93">
        <v>1.0610999999999999</v>
      </c>
      <c r="H35" s="93">
        <v>1.0610999999999999</v>
      </c>
      <c r="I35" s="93">
        <v>1.0610999999999999</v>
      </c>
      <c r="J35" s="93">
        <v>1.0610999999999999</v>
      </c>
      <c r="K35" s="93">
        <v>1.0610999999999999</v>
      </c>
      <c r="L35" s="93">
        <v>1.0610999999999999</v>
      </c>
    </row>
    <row r="36" spans="1:12" s="10" customFormat="1" x14ac:dyDescent="0.25">
      <c r="A36" s="9" t="s">
        <v>6</v>
      </c>
      <c r="B36" s="103">
        <v>376622</v>
      </c>
      <c r="C36" s="137">
        <v>147739</v>
      </c>
      <c r="D36" s="137"/>
      <c r="E36" s="103">
        <v>142525</v>
      </c>
      <c r="F36" s="103" t="s">
        <v>57</v>
      </c>
      <c r="G36" s="103">
        <v>85872</v>
      </c>
      <c r="H36" s="103" t="s">
        <v>57</v>
      </c>
      <c r="I36" s="103" t="s">
        <v>57</v>
      </c>
      <c r="J36" s="103" t="s">
        <v>57</v>
      </c>
      <c r="K36" s="107" t="s">
        <v>57</v>
      </c>
      <c r="L36" s="107" t="s">
        <v>57</v>
      </c>
    </row>
    <row r="37" spans="1:12" x14ac:dyDescent="0.25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s="10" customFormat="1" x14ac:dyDescent="0.25">
      <c r="A38" s="17" t="s">
        <v>7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s="22" customFormat="1" x14ac:dyDescent="0.25">
      <c r="A39" s="22" t="s">
        <v>84</v>
      </c>
      <c r="B39" s="85">
        <f>B23/B34</f>
        <v>120823998468.61845</v>
      </c>
      <c r="C39" s="126">
        <f>C23/C34</f>
        <v>48074690968.235748</v>
      </c>
      <c r="D39" s="126"/>
      <c r="E39" s="85">
        <f>E23/E34</f>
        <v>1531003802.1431305</v>
      </c>
      <c r="F39" s="85">
        <f t="shared" ref="F39:I39" si="1">F23/F34</f>
        <v>363332376.57864529</v>
      </c>
      <c r="G39" s="85">
        <f t="shared" si="1"/>
        <v>6874116946.0390358</v>
      </c>
      <c r="H39" s="85">
        <f t="shared" si="1"/>
        <v>39159011278.224274</v>
      </c>
      <c r="I39" s="85">
        <f t="shared" si="1"/>
        <v>24658250996.938393</v>
      </c>
      <c r="J39" s="137" t="s">
        <v>48</v>
      </c>
      <c r="K39" s="126"/>
      <c r="L39" s="86">
        <f t="shared" ref="L39" si="2">L23/L34</f>
        <v>163592100.45924225</v>
      </c>
    </row>
    <row r="40" spans="1:12" s="22" customFormat="1" x14ac:dyDescent="0.25">
      <c r="A40" s="22" t="s">
        <v>132</v>
      </c>
      <c r="B40" s="85">
        <f>B25/B35</f>
        <v>139162928922.0997</v>
      </c>
      <c r="C40" s="126">
        <f>C25/C35</f>
        <v>46944397427.198196</v>
      </c>
      <c r="D40" s="126"/>
      <c r="E40" s="85">
        <f>E25/E35</f>
        <v>1291770137.5930638</v>
      </c>
      <c r="F40" s="85">
        <f t="shared" ref="F40:I40" si="3">F25/F35</f>
        <v>275032803.69427955</v>
      </c>
      <c r="G40" s="85">
        <f t="shared" si="3"/>
        <v>6756705548.9586287</v>
      </c>
      <c r="H40" s="85">
        <f t="shared" si="3"/>
        <v>51678365047.592125</v>
      </c>
      <c r="I40" s="85">
        <f t="shared" si="3"/>
        <v>24707348393.176899</v>
      </c>
      <c r="J40" s="126">
        <f>J25/J35</f>
        <v>7316261426.8212233</v>
      </c>
      <c r="K40" s="126"/>
      <c r="L40" s="86">
        <f t="shared" ref="L40" si="4">L25/L35</f>
        <v>193048137.06530958</v>
      </c>
    </row>
    <row r="41" spans="1:12" s="22" customFormat="1" x14ac:dyDescent="0.25">
      <c r="A41" s="22" t="s">
        <v>85</v>
      </c>
      <c r="B41" s="85">
        <f>B39/B15</f>
        <v>519246.54786226567</v>
      </c>
      <c r="C41" s="126">
        <f>C39/D15</f>
        <v>238580.5222167201</v>
      </c>
      <c r="D41" s="126"/>
      <c r="E41" s="85">
        <f>E39/E15</f>
        <v>625665.6322611894</v>
      </c>
      <c r="F41" s="85">
        <f t="shared" ref="F41:I41" si="5">F39/F15</f>
        <v>1453329.5063145813</v>
      </c>
      <c r="G41" s="85">
        <f t="shared" si="5"/>
        <v>410444.04979932145</v>
      </c>
      <c r="H41" s="85">
        <f t="shared" si="5"/>
        <v>382894.57693993679</v>
      </c>
      <c r="I41" s="85">
        <f t="shared" si="5"/>
        <v>872364.35990017664</v>
      </c>
      <c r="J41" s="137" t="s">
        <v>48</v>
      </c>
      <c r="K41" s="126"/>
      <c r="L41" s="114" t="s">
        <v>48</v>
      </c>
    </row>
    <row r="42" spans="1:12" s="22" customFormat="1" x14ac:dyDescent="0.25">
      <c r="A42" s="22" t="s">
        <v>133</v>
      </c>
      <c r="B42" s="85">
        <f>B40/B18</f>
        <v>423899.8480684869</v>
      </c>
      <c r="C42" s="126">
        <f>C40/D18</f>
        <v>234106.28759960402</v>
      </c>
      <c r="D42" s="126"/>
      <c r="E42" s="85">
        <f>E40/E18</f>
        <v>636339.96925766696</v>
      </c>
      <c r="F42" s="85">
        <f t="shared" ref="F42:I42" si="6">F40/F18</f>
        <v>1494743.4983384758</v>
      </c>
      <c r="G42" s="85">
        <f t="shared" si="6"/>
        <v>602524.125999521</v>
      </c>
      <c r="H42" s="85">
        <f t="shared" si="6"/>
        <v>432259.6069357121</v>
      </c>
      <c r="I42" s="85">
        <f t="shared" si="6"/>
        <v>833019.16362700262</v>
      </c>
      <c r="J42" s="126">
        <f>J40/K18</f>
        <v>34786.166986754644</v>
      </c>
      <c r="K42" s="126"/>
      <c r="L42" s="114" t="s">
        <v>48</v>
      </c>
    </row>
    <row r="43" spans="1:12" s="22" customFormat="1" x14ac:dyDescent="0.25">
      <c r="B43" s="63"/>
      <c r="C43" s="63"/>
      <c r="D43" s="63"/>
      <c r="E43" s="63"/>
      <c r="F43" s="63"/>
      <c r="G43" s="63"/>
      <c r="H43" s="63"/>
      <c r="I43" s="63"/>
      <c r="J43" s="63"/>
    </row>
    <row r="44" spans="1:12" s="22" customFormat="1" x14ac:dyDescent="0.25">
      <c r="A44" s="17" t="s">
        <v>8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2" s="22" customFormat="1" x14ac:dyDescent="0.25">
      <c r="B45" s="63"/>
      <c r="C45" s="63"/>
      <c r="D45" s="63"/>
      <c r="E45" s="63"/>
      <c r="F45" s="63"/>
      <c r="G45" s="63"/>
      <c r="H45" s="63"/>
      <c r="I45" s="63"/>
      <c r="J45" s="63"/>
    </row>
    <row r="46" spans="1:12" s="22" customFormat="1" x14ac:dyDescent="0.25">
      <c r="A46" s="17" t="s">
        <v>9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2" s="22" customFormat="1" x14ac:dyDescent="0.25">
      <c r="A47" s="22" t="s">
        <v>10</v>
      </c>
      <c r="B47" s="115" t="s">
        <v>48</v>
      </c>
      <c r="C47" s="145">
        <f>D16/C36*100</f>
        <v>93.579217403664572</v>
      </c>
      <c r="D47" s="145"/>
      <c r="E47" s="115">
        <f>E16/E36*100</f>
        <v>1.4930713909840378</v>
      </c>
      <c r="F47" s="115" t="s">
        <v>48</v>
      </c>
      <c r="G47" s="115">
        <f t="shared" ref="G47" si="7">G16/G36*100</f>
        <v>9.3383174958077149</v>
      </c>
      <c r="H47" s="115" t="s">
        <v>48</v>
      </c>
      <c r="I47" s="115" t="s">
        <v>48</v>
      </c>
      <c r="J47" s="140" t="s">
        <v>48</v>
      </c>
      <c r="K47" s="145"/>
      <c r="L47" s="96" t="s">
        <v>48</v>
      </c>
    </row>
    <row r="48" spans="1:12" s="22" customFormat="1" x14ac:dyDescent="0.25">
      <c r="A48" s="22" t="s">
        <v>11</v>
      </c>
      <c r="B48" s="115">
        <f>(B18/B36)*100</f>
        <v>87.167504819155553</v>
      </c>
      <c r="C48" s="145">
        <f>D18/C36*100</f>
        <v>135.72990205700594</v>
      </c>
      <c r="D48" s="145"/>
      <c r="E48" s="115">
        <f>E18/E36*100</f>
        <v>1.4243115242939837</v>
      </c>
      <c r="F48" s="115" t="s">
        <v>48</v>
      </c>
      <c r="G48" s="115">
        <f t="shared" ref="G48" si="8">G18/G36*100</f>
        <v>13.058971492453885</v>
      </c>
      <c r="H48" s="115" t="s">
        <v>48</v>
      </c>
      <c r="I48" s="115" t="s">
        <v>48</v>
      </c>
      <c r="J48" s="140" t="s">
        <v>48</v>
      </c>
      <c r="K48" s="145"/>
      <c r="L48" s="96" t="s">
        <v>48</v>
      </c>
    </row>
    <row r="49" spans="1:12" s="22" customFormat="1" x14ac:dyDescent="0.25">
      <c r="B49" s="115"/>
      <c r="C49" s="115"/>
      <c r="D49" s="115"/>
      <c r="E49" s="115"/>
      <c r="F49" s="115"/>
      <c r="G49" s="115"/>
      <c r="H49" s="115"/>
      <c r="I49" s="115"/>
      <c r="J49" s="115"/>
      <c r="K49" s="96"/>
      <c r="L49" s="96"/>
    </row>
    <row r="50" spans="1:12" s="22" customFormat="1" x14ac:dyDescent="0.25">
      <c r="A50" s="17" t="s">
        <v>12</v>
      </c>
      <c r="B50" s="115"/>
      <c r="C50" s="115"/>
      <c r="D50" s="115"/>
      <c r="E50" s="115"/>
      <c r="F50" s="115"/>
      <c r="G50" s="115"/>
      <c r="H50" s="115"/>
      <c r="I50" s="115"/>
      <c r="J50" s="115"/>
      <c r="K50" s="96"/>
      <c r="L50" s="96"/>
    </row>
    <row r="51" spans="1:12" s="22" customFormat="1" x14ac:dyDescent="0.25">
      <c r="A51" s="22" t="s">
        <v>13</v>
      </c>
      <c r="B51" s="115" t="s">
        <v>48</v>
      </c>
      <c r="C51" s="115" t="s">
        <v>48</v>
      </c>
      <c r="D51" s="115">
        <f>D18/D16*100</f>
        <v>145.04278388172409</v>
      </c>
      <c r="E51" s="115">
        <f>E18/E16*100</f>
        <v>95.39473684210526</v>
      </c>
      <c r="F51" s="115">
        <f t="shared" ref="F51:I51" si="9">F18/F16*100</f>
        <v>34.848484848484851</v>
      </c>
      <c r="G51" s="115">
        <f t="shared" si="9"/>
        <v>139.84287317620652</v>
      </c>
      <c r="H51" s="115">
        <f t="shared" si="9"/>
        <v>140.64680070115173</v>
      </c>
      <c r="I51" s="115">
        <f t="shared" si="9"/>
        <v>100.59352212989656</v>
      </c>
      <c r="J51" s="115" t="s">
        <v>48</v>
      </c>
      <c r="K51" s="96">
        <f>K18/K16*100</f>
        <v>289.53483569884776</v>
      </c>
      <c r="L51" s="116" t="s">
        <v>48</v>
      </c>
    </row>
    <row r="52" spans="1:12" s="22" customFormat="1" x14ac:dyDescent="0.25">
      <c r="A52" s="22" t="s">
        <v>14</v>
      </c>
      <c r="B52" s="115">
        <f>B25/B24*100</f>
        <v>97.797212276164927</v>
      </c>
      <c r="C52" s="145">
        <f>C25/C24*100</f>
        <v>99.347535099081369</v>
      </c>
      <c r="D52" s="145"/>
      <c r="E52" s="115">
        <f>E25/E24*100</f>
        <v>81.187536234459316</v>
      </c>
      <c r="F52" s="115">
        <f t="shared" ref="F52:I52" si="10">F25/F24*100</f>
        <v>17.382939735727319</v>
      </c>
      <c r="G52" s="115">
        <f t="shared" si="10"/>
        <v>99.621570189425128</v>
      </c>
      <c r="H52" s="115">
        <f t="shared" si="10"/>
        <v>98.829890794203493</v>
      </c>
      <c r="I52" s="115">
        <f t="shared" si="10"/>
        <v>97.252287928114939</v>
      </c>
      <c r="J52" s="145">
        <f>J25/J24*100</f>
        <v>98.956186312757382</v>
      </c>
      <c r="K52" s="145"/>
      <c r="L52" s="116" t="s">
        <v>48</v>
      </c>
    </row>
    <row r="53" spans="1:12" s="22" customFormat="1" x14ac:dyDescent="0.25">
      <c r="A53" s="22" t="s">
        <v>15</v>
      </c>
      <c r="B53" s="115" t="s">
        <v>48</v>
      </c>
      <c r="C53" s="115" t="s">
        <v>48</v>
      </c>
      <c r="D53" s="115">
        <f>AVERAGE(D51,C52)</f>
        <v>122.19515949040273</v>
      </c>
      <c r="E53" s="115">
        <f>AVERAGE(E51:E52)</f>
        <v>88.291136538282288</v>
      </c>
      <c r="F53" s="115">
        <f t="shared" ref="F53:I53" si="11">AVERAGE(F51:F52)</f>
        <v>26.115712292106085</v>
      </c>
      <c r="G53" s="115">
        <f t="shared" si="11"/>
        <v>119.73222168281583</v>
      </c>
      <c r="H53" s="115">
        <f t="shared" si="11"/>
        <v>119.73834574767761</v>
      </c>
      <c r="I53" s="115">
        <f t="shared" si="11"/>
        <v>98.922905029005747</v>
      </c>
      <c r="J53" s="115" t="s">
        <v>48</v>
      </c>
      <c r="K53" s="96">
        <f>AVERAGE(K51,J52)</f>
        <v>194.24551100580257</v>
      </c>
      <c r="L53" s="116" t="s">
        <v>48</v>
      </c>
    </row>
    <row r="54" spans="1:12" s="22" customFormat="1" x14ac:dyDescent="0.25">
      <c r="B54" s="115"/>
      <c r="C54" s="115"/>
      <c r="D54" s="115"/>
      <c r="E54" s="115"/>
      <c r="F54" s="115"/>
      <c r="G54" s="115"/>
      <c r="H54" s="115"/>
      <c r="I54" s="115"/>
      <c r="J54" s="115"/>
      <c r="K54" s="96"/>
      <c r="L54" s="96"/>
    </row>
    <row r="55" spans="1:12" s="22" customFormat="1" x14ac:dyDescent="0.25">
      <c r="A55" s="17" t="s">
        <v>16</v>
      </c>
      <c r="B55" s="115"/>
      <c r="C55" s="115"/>
      <c r="D55" s="115"/>
      <c r="E55" s="115"/>
      <c r="F55" s="115"/>
      <c r="G55" s="115"/>
      <c r="H55" s="115"/>
      <c r="I55" s="115"/>
      <c r="J55" s="115"/>
      <c r="K55" s="96"/>
      <c r="L55" s="96"/>
    </row>
    <row r="56" spans="1:12" s="22" customFormat="1" x14ac:dyDescent="0.25">
      <c r="A56" s="22" t="s">
        <v>17</v>
      </c>
      <c r="B56" s="115" t="s">
        <v>48</v>
      </c>
      <c r="C56" s="145">
        <f>D18/D20*100</f>
        <v>145.04278388172409</v>
      </c>
      <c r="D56" s="145"/>
      <c r="E56" s="115">
        <f>E18/E20*100</f>
        <v>95.39473684210526</v>
      </c>
      <c r="F56" s="115">
        <f t="shared" ref="F56:I56" si="12">F18/F20*100</f>
        <v>34.848484848484851</v>
      </c>
      <c r="G56" s="115">
        <f t="shared" si="12"/>
        <v>139.84287317620652</v>
      </c>
      <c r="H56" s="115">
        <f t="shared" si="12"/>
        <v>140.64680070115173</v>
      </c>
      <c r="I56" s="115">
        <f t="shared" si="12"/>
        <v>100.59352212989656</v>
      </c>
      <c r="J56" s="145">
        <f>K18/K20*100</f>
        <v>289.53483569884776</v>
      </c>
      <c r="K56" s="145"/>
      <c r="L56" s="116" t="s">
        <v>48</v>
      </c>
    </row>
    <row r="57" spans="1:12" s="22" customFormat="1" x14ac:dyDescent="0.25">
      <c r="A57" s="22" t="s">
        <v>18</v>
      </c>
      <c r="B57" s="115">
        <f>B25/B26*100</f>
        <v>97.797212276164927</v>
      </c>
      <c r="C57" s="145">
        <f>C25/C26*100</f>
        <v>99.347535099081369</v>
      </c>
      <c r="D57" s="145"/>
      <c r="E57" s="115">
        <f>E25/E26*100</f>
        <v>81.187536234459316</v>
      </c>
      <c r="F57" s="115">
        <f t="shared" ref="F57:I57" si="13">F25/F26*100</f>
        <v>17.382939735727319</v>
      </c>
      <c r="G57" s="115">
        <f t="shared" si="13"/>
        <v>99.621570189425128</v>
      </c>
      <c r="H57" s="115">
        <f t="shared" si="13"/>
        <v>98.829890794203493</v>
      </c>
      <c r="I57" s="115">
        <f t="shared" si="13"/>
        <v>97.252287928114939</v>
      </c>
      <c r="J57" s="145">
        <f>J25/J26*100</f>
        <v>98.956186312757382</v>
      </c>
      <c r="K57" s="145"/>
      <c r="L57" s="116" t="s">
        <v>48</v>
      </c>
    </row>
    <row r="58" spans="1:12" s="22" customFormat="1" x14ac:dyDescent="0.25">
      <c r="A58" s="22" t="s">
        <v>19</v>
      </c>
      <c r="B58" s="115" t="s">
        <v>48</v>
      </c>
      <c r="C58" s="145">
        <f>(C56+C57)/2</f>
        <v>122.19515949040273</v>
      </c>
      <c r="D58" s="145"/>
      <c r="E58" s="115">
        <f>(E56+E57)/2</f>
        <v>88.291136538282288</v>
      </c>
      <c r="F58" s="115">
        <f t="shared" ref="F58:I58" si="14">(F56+F57)/2</f>
        <v>26.115712292106085</v>
      </c>
      <c r="G58" s="115">
        <f t="shared" si="14"/>
        <v>119.73222168281583</v>
      </c>
      <c r="H58" s="115">
        <f t="shared" si="14"/>
        <v>119.73834574767761</v>
      </c>
      <c r="I58" s="115">
        <f t="shared" si="14"/>
        <v>98.922905029005747</v>
      </c>
      <c r="J58" s="145">
        <f>(J56+J57)/2</f>
        <v>194.24551100580257</v>
      </c>
      <c r="K58" s="145"/>
      <c r="L58" s="116" t="s">
        <v>48</v>
      </c>
    </row>
    <row r="59" spans="1:12" s="22" customFormat="1" x14ac:dyDescent="0.25">
      <c r="B59" s="115"/>
      <c r="C59" s="115"/>
      <c r="D59" s="115"/>
      <c r="E59" s="115"/>
      <c r="F59" s="115"/>
      <c r="G59" s="115"/>
      <c r="H59" s="115"/>
      <c r="I59" s="115"/>
      <c r="J59" s="115"/>
      <c r="K59" s="96"/>
      <c r="L59" s="96"/>
    </row>
    <row r="60" spans="1:12" s="22" customFormat="1" x14ac:dyDescent="0.25">
      <c r="A60" s="17" t="s">
        <v>30</v>
      </c>
      <c r="B60" s="115"/>
      <c r="C60" s="115"/>
      <c r="D60" s="115"/>
      <c r="E60" s="115"/>
      <c r="F60" s="115"/>
      <c r="G60" s="115"/>
      <c r="H60" s="115"/>
      <c r="I60" s="115"/>
      <c r="J60" s="115"/>
      <c r="K60" s="96"/>
      <c r="L60" s="96"/>
    </row>
    <row r="61" spans="1:12" s="22" customFormat="1" x14ac:dyDescent="0.25">
      <c r="A61" s="22" t="s">
        <v>20</v>
      </c>
      <c r="B61" s="115">
        <f>B27/B25*100</f>
        <v>100</v>
      </c>
      <c r="C61" s="145">
        <f>C27/C25*100</f>
        <v>100</v>
      </c>
      <c r="D61" s="145"/>
      <c r="E61" s="115">
        <f>E27/E25*100</f>
        <v>100</v>
      </c>
      <c r="F61" s="115">
        <f t="shared" ref="F61:I61" si="15">F27/F25*100</f>
        <v>100</v>
      </c>
      <c r="G61" s="115">
        <f t="shared" si="15"/>
        <v>100</v>
      </c>
      <c r="H61" s="115">
        <f t="shared" si="15"/>
        <v>100</v>
      </c>
      <c r="I61" s="115">
        <f t="shared" si="15"/>
        <v>100</v>
      </c>
      <c r="J61" s="145">
        <f>J27/J25*100</f>
        <v>100</v>
      </c>
      <c r="K61" s="145"/>
      <c r="L61" s="96">
        <f t="shared" ref="L61" si="16">L27/L25*100</f>
        <v>100</v>
      </c>
    </row>
    <row r="62" spans="1:12" s="22" customFormat="1" x14ac:dyDescent="0.25">
      <c r="B62" s="115"/>
      <c r="C62" s="115"/>
      <c r="D62" s="115"/>
      <c r="E62" s="115"/>
      <c r="F62" s="115"/>
      <c r="G62" s="115"/>
      <c r="H62" s="115"/>
      <c r="I62" s="115"/>
      <c r="J62" s="115"/>
      <c r="K62" s="96"/>
      <c r="L62" s="96"/>
    </row>
    <row r="63" spans="1:12" s="22" customFormat="1" x14ac:dyDescent="0.25">
      <c r="A63" s="17" t="s">
        <v>21</v>
      </c>
      <c r="B63" s="115"/>
      <c r="C63" s="115"/>
      <c r="D63" s="115"/>
      <c r="E63" s="115"/>
      <c r="F63" s="115"/>
      <c r="G63" s="115"/>
      <c r="H63" s="115"/>
      <c r="I63" s="115"/>
      <c r="J63" s="115"/>
      <c r="K63" s="96"/>
      <c r="L63" s="96"/>
    </row>
    <row r="64" spans="1:12" s="22" customFormat="1" x14ac:dyDescent="0.25">
      <c r="A64" s="22" t="s">
        <v>22</v>
      </c>
      <c r="B64" s="99">
        <f>((B18/B15)-1)*100</f>
        <v>41.084958163401254</v>
      </c>
      <c r="C64" s="131">
        <f>((D18/D15)-1)*100</f>
        <v>-0.48485630486890807</v>
      </c>
      <c r="D64" s="131"/>
      <c r="E64" s="99">
        <f>((E18/E15)-1)*100</f>
        <v>-17.041275030649771</v>
      </c>
      <c r="F64" s="99">
        <f t="shared" ref="F64:I64" si="17">((F18/F15)-1)*100</f>
        <v>-26.400000000000002</v>
      </c>
      <c r="G64" s="99">
        <f t="shared" si="17"/>
        <v>-33.042751373298309</v>
      </c>
      <c r="H64" s="99">
        <f t="shared" si="17"/>
        <v>16.899218742360979</v>
      </c>
      <c r="I64" s="99">
        <f t="shared" si="17"/>
        <v>4.931720087737923</v>
      </c>
      <c r="J64" s="140" t="s">
        <v>48</v>
      </c>
      <c r="K64" s="145"/>
      <c r="L64" s="116" t="s">
        <v>48</v>
      </c>
    </row>
    <row r="65" spans="1:12" s="22" customFormat="1" x14ac:dyDescent="0.25">
      <c r="A65" s="22" t="s">
        <v>23</v>
      </c>
      <c r="B65" s="99">
        <f>((B40/B39)-1)*100</f>
        <v>15.178218471427595</v>
      </c>
      <c r="C65" s="131">
        <f>((C40/C39)-1)*100</f>
        <v>-2.3511197228170744</v>
      </c>
      <c r="D65" s="131"/>
      <c r="E65" s="99">
        <f>((E40/E39)-1)*100</f>
        <v>-15.625935364444066</v>
      </c>
      <c r="F65" s="99">
        <f t="shared" ref="F65:I65" si="18">((F40/F39)-1)*100</f>
        <v>-24.302698734378492</v>
      </c>
      <c r="G65" s="99">
        <f t="shared" si="18"/>
        <v>-1.7080215248310715</v>
      </c>
      <c r="H65" s="99">
        <f t="shared" si="18"/>
        <v>31.970556356538225</v>
      </c>
      <c r="I65" s="99">
        <f t="shared" si="18"/>
        <v>0.1991114302656749</v>
      </c>
      <c r="J65" s="140" t="s">
        <v>48</v>
      </c>
      <c r="K65" s="145"/>
      <c r="L65" s="96">
        <f t="shared" ref="L65" si="19">((L40/L39)-1)*100</f>
        <v>18.005781772700004</v>
      </c>
    </row>
    <row r="66" spans="1:12" s="22" customFormat="1" x14ac:dyDescent="0.25">
      <c r="A66" s="22" t="s">
        <v>24</v>
      </c>
      <c r="B66" s="99">
        <f>((B42/B41)-1)*100</f>
        <v>-18.362510099743645</v>
      </c>
      <c r="C66" s="131">
        <f>((C42/C41)-1)*100</f>
        <v>-1.8753562007261415</v>
      </c>
      <c r="D66" s="131"/>
      <c r="E66" s="99">
        <f>((E42/E41)-1)*100</f>
        <v>1.7060769276873833</v>
      </c>
      <c r="F66" s="99">
        <f t="shared" ref="F66:I66" si="20">((F42/F41)-1)*100</f>
        <v>2.8495941108987788</v>
      </c>
      <c r="G66" s="99">
        <f t="shared" si="20"/>
        <v>46.798114455335217</v>
      </c>
      <c r="H66" s="99">
        <f t="shared" si="20"/>
        <v>12.892590537660986</v>
      </c>
      <c r="I66" s="99">
        <f t="shared" si="20"/>
        <v>-4.5101792418108637</v>
      </c>
      <c r="J66" s="140" t="s">
        <v>48</v>
      </c>
      <c r="K66" s="145"/>
      <c r="L66" s="116" t="s">
        <v>48</v>
      </c>
    </row>
    <row r="67" spans="1:12" s="22" customFormat="1" x14ac:dyDescent="0.25">
      <c r="B67" s="115"/>
      <c r="C67" s="115"/>
      <c r="D67" s="115"/>
      <c r="E67" s="115"/>
      <c r="F67" s="115"/>
      <c r="G67" s="115"/>
      <c r="H67" s="115"/>
      <c r="I67" s="115"/>
      <c r="J67" s="115"/>
      <c r="K67" s="96"/>
      <c r="L67" s="96"/>
    </row>
    <row r="68" spans="1:12" s="22" customFormat="1" x14ac:dyDescent="0.25">
      <c r="A68" s="17" t="s">
        <v>25</v>
      </c>
      <c r="B68" s="115"/>
      <c r="C68" s="115"/>
      <c r="D68" s="115"/>
      <c r="E68" s="115"/>
      <c r="F68" s="115"/>
      <c r="G68" s="115"/>
      <c r="H68" s="115"/>
      <c r="I68" s="115"/>
      <c r="J68" s="115"/>
      <c r="K68" s="96"/>
      <c r="L68" s="96"/>
    </row>
    <row r="69" spans="1:12" s="22" customFormat="1" x14ac:dyDescent="0.25">
      <c r="A69" s="22" t="s">
        <v>39</v>
      </c>
      <c r="B69" s="115">
        <f>(B24/B17)*12</f>
        <v>607381.54613131948</v>
      </c>
      <c r="C69" s="145">
        <f>(C24/D17)*12</f>
        <v>420000</v>
      </c>
      <c r="D69" s="145"/>
      <c r="E69" s="115">
        <f>(E24/E17)*12</f>
        <v>936000</v>
      </c>
      <c r="F69" s="115">
        <f t="shared" ref="F69:I69" si="21">(F24/F17)*12</f>
        <v>3744000</v>
      </c>
      <c r="G69" s="115">
        <f t="shared" si="21"/>
        <v>900000</v>
      </c>
      <c r="H69" s="115">
        <f t="shared" si="21"/>
        <v>900000</v>
      </c>
      <c r="I69" s="115">
        <f t="shared" si="21"/>
        <v>1284000</v>
      </c>
      <c r="J69" s="145">
        <f>(J24/K17)*12</f>
        <v>216000</v>
      </c>
      <c r="K69" s="145"/>
      <c r="L69" s="116" t="s">
        <v>48</v>
      </c>
    </row>
    <row r="70" spans="1:12" s="22" customFormat="1" x14ac:dyDescent="0.25">
      <c r="A70" s="22" t="s">
        <v>40</v>
      </c>
      <c r="B70" s="115">
        <f>(B25/B19)*12</f>
        <v>437174.19140816329</v>
      </c>
      <c r="C70" s="145">
        <f>(C25/D19)*12</f>
        <v>324325.53923550091</v>
      </c>
      <c r="D70" s="145"/>
      <c r="E70" s="115">
        <f>(E25/E19)*12</f>
        <v>1252636.3198537813</v>
      </c>
      <c r="F70" s="115">
        <f t="shared" ref="F70:I70" si="22">(F25/F19)*12</f>
        <v>2854154.6014669929</v>
      </c>
      <c r="G70" s="115">
        <f t="shared" si="22"/>
        <v>953364.61660184164</v>
      </c>
      <c r="H70" s="115">
        <f t="shared" si="22"/>
        <v>964900.05077071069</v>
      </c>
      <c r="I70" s="115">
        <f t="shared" si="22"/>
        <v>1278289.2759017204</v>
      </c>
      <c r="J70" s="145">
        <f>(J25/K19)*12</f>
        <v>79113.928673033079</v>
      </c>
      <c r="K70" s="145"/>
      <c r="L70" s="116" t="s">
        <v>48</v>
      </c>
    </row>
    <row r="71" spans="1:12" s="22" customFormat="1" x14ac:dyDescent="0.25">
      <c r="A71" s="22" t="s">
        <v>26</v>
      </c>
      <c r="B71" s="115" t="s">
        <v>48</v>
      </c>
      <c r="C71" s="145">
        <f>(C70/C69)*D53</f>
        <v>94.359549984983104</v>
      </c>
      <c r="D71" s="145"/>
      <c r="E71" s="115">
        <f>(E70/E69)*E53</f>
        <v>118.15885080023679</v>
      </c>
      <c r="F71" s="115">
        <f t="shared" ref="F71:I71" si="23">(F70/F69)*F53</f>
        <v>19.908728741747513</v>
      </c>
      <c r="G71" s="115">
        <f t="shared" si="23"/>
        <v>126.83162624391603</v>
      </c>
      <c r="H71" s="115">
        <f t="shared" si="23"/>
        <v>128.37281765681672</v>
      </c>
      <c r="I71" s="115">
        <f t="shared" si="23"/>
        <v>98.482935077587541</v>
      </c>
      <c r="J71" s="145">
        <f>(J70/J69)*K53</f>
        <v>71.145951401712622</v>
      </c>
      <c r="K71" s="145"/>
      <c r="L71" s="116" t="s">
        <v>48</v>
      </c>
    </row>
    <row r="72" spans="1:12" s="22" customFormat="1" x14ac:dyDescent="0.25">
      <c r="A72" s="22" t="s">
        <v>33</v>
      </c>
      <c r="B72" s="115">
        <f>B24/B17</f>
        <v>50615.128844276624</v>
      </c>
      <c r="C72" s="145">
        <f>C24/D17</f>
        <v>35000</v>
      </c>
      <c r="D72" s="145"/>
      <c r="E72" s="115">
        <f>E24/E17</f>
        <v>78000</v>
      </c>
      <c r="F72" s="115">
        <f t="shared" ref="F72:I72" si="24">F24/F17</f>
        <v>312000</v>
      </c>
      <c r="G72" s="115">
        <f t="shared" si="24"/>
        <v>75000</v>
      </c>
      <c r="H72" s="115">
        <f t="shared" si="24"/>
        <v>75000</v>
      </c>
      <c r="I72" s="115">
        <f t="shared" si="24"/>
        <v>107000</v>
      </c>
      <c r="J72" s="145">
        <f>J24/K17</f>
        <v>18000</v>
      </c>
      <c r="K72" s="145"/>
      <c r="L72" s="116" t="s">
        <v>48</v>
      </c>
    </row>
    <row r="73" spans="1:12" s="22" customFormat="1" x14ac:dyDescent="0.25">
      <c r="A73" s="22" t="s">
        <v>34</v>
      </c>
      <c r="B73" s="115">
        <f>B25/B19</f>
        <v>36431.182617346938</v>
      </c>
      <c r="C73" s="145">
        <f>C25/D19</f>
        <v>27027.128269625075</v>
      </c>
      <c r="D73" s="145"/>
      <c r="E73" s="115">
        <f>E25/E19</f>
        <v>104386.3599878151</v>
      </c>
      <c r="F73" s="115">
        <f t="shared" ref="F73:I73" si="25">F25/F19</f>
        <v>237846.21678891606</v>
      </c>
      <c r="G73" s="115">
        <f t="shared" si="25"/>
        <v>79447.051383486803</v>
      </c>
      <c r="H73" s="115">
        <f t="shared" si="25"/>
        <v>80408.337564225891</v>
      </c>
      <c r="I73" s="115">
        <f t="shared" si="25"/>
        <v>106524.10632514337</v>
      </c>
      <c r="J73" s="145">
        <f>J25/K19</f>
        <v>6592.8273894194226</v>
      </c>
      <c r="K73" s="145"/>
      <c r="L73" s="116" t="s">
        <v>48</v>
      </c>
    </row>
    <row r="74" spans="1:12" s="22" customFormat="1" x14ac:dyDescent="0.25">
      <c r="B74" s="115"/>
      <c r="C74" s="115"/>
      <c r="D74" s="115"/>
      <c r="E74" s="115"/>
      <c r="F74" s="115"/>
      <c r="G74" s="115"/>
      <c r="H74" s="115"/>
      <c r="I74" s="115"/>
      <c r="J74" s="115"/>
      <c r="K74" s="96"/>
      <c r="L74" s="96"/>
    </row>
    <row r="75" spans="1:12" s="22" customFormat="1" x14ac:dyDescent="0.25">
      <c r="A75" s="17" t="s">
        <v>27</v>
      </c>
      <c r="B75" s="115"/>
      <c r="C75" s="115"/>
      <c r="D75" s="115"/>
      <c r="E75" s="115"/>
      <c r="F75" s="115"/>
      <c r="G75" s="115"/>
      <c r="H75" s="115"/>
      <c r="I75" s="115"/>
      <c r="J75" s="115"/>
      <c r="K75" s="96"/>
      <c r="L75" s="96"/>
    </row>
    <row r="76" spans="1:12" s="22" customFormat="1" x14ac:dyDescent="0.25">
      <c r="A76" s="22" t="s">
        <v>28</v>
      </c>
      <c r="B76" s="115">
        <f>(B31/B30)*100</f>
        <v>98.187438060015893</v>
      </c>
      <c r="C76" s="115"/>
      <c r="D76" s="115"/>
      <c r="E76" s="115"/>
      <c r="F76" s="115"/>
      <c r="G76" s="115"/>
      <c r="H76" s="115"/>
      <c r="I76" s="115"/>
      <c r="J76" s="115"/>
      <c r="K76" s="96"/>
      <c r="L76" s="96"/>
    </row>
    <row r="77" spans="1:12" s="22" customFormat="1" x14ac:dyDescent="0.25">
      <c r="A77" s="22" t="s">
        <v>29</v>
      </c>
      <c r="B77" s="115">
        <f>(B25/B31)*100</f>
        <v>99.602570561406807</v>
      </c>
      <c r="C77" s="115"/>
      <c r="D77" s="115"/>
      <c r="E77" s="115"/>
      <c r="F77" s="115"/>
      <c r="G77" s="115"/>
      <c r="H77" s="115"/>
      <c r="I77" s="115"/>
      <c r="J77" s="115"/>
      <c r="K77" s="96"/>
      <c r="L77" s="96"/>
    </row>
    <row r="78" spans="1:12" s="10" customFormat="1" ht="15.75" thickBot="1" x14ac:dyDescent="0.3">
      <c r="A78" s="18"/>
      <c r="B78" s="39"/>
      <c r="C78" s="39"/>
      <c r="D78" s="39"/>
      <c r="E78" s="39"/>
      <c r="F78" s="39"/>
      <c r="G78" s="39"/>
      <c r="H78" s="39"/>
      <c r="I78" s="40"/>
      <c r="J78" s="40"/>
      <c r="K78" s="40"/>
      <c r="L78" s="40"/>
    </row>
    <row r="79" spans="1:12" s="10" customFormat="1" ht="15.75" thickTop="1" x14ac:dyDescent="0.25">
      <c r="A79" s="118" t="s">
        <v>135</v>
      </c>
      <c r="B79" s="118"/>
      <c r="C79" s="118"/>
      <c r="D79" s="118"/>
      <c r="E79" s="118"/>
      <c r="F79" s="118"/>
    </row>
    <row r="80" spans="1:12" ht="33.75" customHeight="1" x14ac:dyDescent="0.25">
      <c r="A80" s="146" t="s">
        <v>137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</row>
  </sheetData>
  <mergeCells count="56">
    <mergeCell ref="A80:L80"/>
    <mergeCell ref="J69:K69"/>
    <mergeCell ref="J70:K70"/>
    <mergeCell ref="J71:K71"/>
    <mergeCell ref="J72:K72"/>
    <mergeCell ref="J73:K73"/>
    <mergeCell ref="J58:K58"/>
    <mergeCell ref="J61:K61"/>
    <mergeCell ref="J64:K64"/>
    <mergeCell ref="J65:K65"/>
    <mergeCell ref="J66:K66"/>
    <mergeCell ref="J47:K47"/>
    <mergeCell ref="J48:K48"/>
    <mergeCell ref="J52:K52"/>
    <mergeCell ref="J56:K56"/>
    <mergeCell ref="J57:K57"/>
    <mergeCell ref="C42:D42"/>
    <mergeCell ref="C27:D27"/>
    <mergeCell ref="C36:D36"/>
    <mergeCell ref="J39:K39"/>
    <mergeCell ref="J40:K40"/>
    <mergeCell ref="J41:K41"/>
    <mergeCell ref="J42:K42"/>
    <mergeCell ref="J27:K27"/>
    <mergeCell ref="C69:D69"/>
    <mergeCell ref="A9:A10"/>
    <mergeCell ref="C9:L9"/>
    <mergeCell ref="J10:K10"/>
    <mergeCell ref="C26:D26"/>
    <mergeCell ref="B9:B10"/>
    <mergeCell ref="C23:D23"/>
    <mergeCell ref="C24:D24"/>
    <mergeCell ref="C25:D25"/>
    <mergeCell ref="C10:D10"/>
    <mergeCell ref="J24:K24"/>
    <mergeCell ref="J25:K25"/>
    <mergeCell ref="J26:K26"/>
    <mergeCell ref="C39:D39"/>
    <mergeCell ref="C40:D40"/>
    <mergeCell ref="C41:D41"/>
    <mergeCell ref="A79:F79"/>
    <mergeCell ref="J23:K23"/>
    <mergeCell ref="C72:D72"/>
    <mergeCell ref="C73:D73"/>
    <mergeCell ref="C47:D47"/>
    <mergeCell ref="C48:D48"/>
    <mergeCell ref="C52:D52"/>
    <mergeCell ref="C65:D65"/>
    <mergeCell ref="C66:D66"/>
    <mergeCell ref="C64:D64"/>
    <mergeCell ref="C56:D56"/>
    <mergeCell ref="C57:D57"/>
    <mergeCell ref="C58:D58"/>
    <mergeCell ref="C61:D61"/>
    <mergeCell ref="C71:D71"/>
    <mergeCell ref="C70:D70"/>
  </mergeCells>
  <pageMargins left="0.7" right="0.7" top="0.75" bottom="0.75" header="0.3" footer="0.3"/>
  <pageSetup orientation="portrait" r:id="rId1"/>
  <ignoredErrors>
    <ignoredError sqref="B25:B26" formula="1"/>
    <ignoredError sqref="C23:D25 J24:K25 J27:K27 J26" formulaRange="1"/>
    <ignoredError sqref="B49:I50 C47:G47 B54:I55 D53:I53 B52:I52 D51:I51 B59:I63 C58:I58 B57:I57 C56:I56 B75:J77 C71 B67:I68 B66:I66 B65:I65 B64:I64 B73:C73 B69:I69 B48:D48 E71:I71 B72:C72 E72:I72 E73:I73 B70:C70 E70:I70 F48:G48 B74:I74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2012-11-21T16:57:56Z</cp:lastPrinted>
  <dcterms:created xsi:type="dcterms:W3CDTF">2012-04-24T21:09:42Z</dcterms:created>
  <dcterms:modified xsi:type="dcterms:W3CDTF">2020-04-06T19:13:50Z</dcterms:modified>
</cp:coreProperties>
</file>