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NDICADORES AÑO 2019\Indicadores Anuales 2019\Analista - Deyanira Rodríguez\"/>
    </mc:Choice>
  </mc:AlternateContent>
  <bookViews>
    <workbookView xWindow="0" yWindow="0" windowWidth="20490" windowHeight="8460" tabRatio="670"/>
  </bookViews>
  <sheets>
    <sheet name="I Trimestre" sheetId="2" r:id="rId1"/>
    <sheet name="II Trimestre" sheetId="3" r:id="rId2"/>
    <sheet name="I Semestre" sheetId="5" r:id="rId3"/>
    <sheet name="III Trimestre" sheetId="1" r:id="rId4"/>
    <sheet name="III Trimestre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C62" i="5" l="1"/>
  <c r="C62" i="3"/>
  <c r="C62" i="2"/>
  <c r="F40" i="2"/>
  <c r="G40" i="2"/>
  <c r="F41" i="2"/>
  <c r="G41" i="2"/>
  <c r="F78" i="5"/>
  <c r="F77" i="5"/>
  <c r="F78" i="3"/>
  <c r="F77" i="3"/>
  <c r="E70" i="5" l="1"/>
  <c r="F70" i="5"/>
  <c r="G70" i="5"/>
  <c r="C71" i="5"/>
  <c r="D71" i="5"/>
  <c r="E71" i="5"/>
  <c r="E72" i="5" s="1"/>
  <c r="F71" i="5"/>
  <c r="G71" i="5"/>
  <c r="G72" i="5" s="1"/>
  <c r="F72" i="5"/>
  <c r="E73" i="5"/>
  <c r="F73" i="5"/>
  <c r="G73" i="5"/>
  <c r="C74" i="5"/>
  <c r="D74" i="5"/>
  <c r="E74" i="5"/>
  <c r="F74" i="5"/>
  <c r="G74" i="5"/>
  <c r="C65" i="5"/>
  <c r="D65" i="5"/>
  <c r="E65" i="5"/>
  <c r="F65" i="5"/>
  <c r="G65" i="5"/>
  <c r="C57" i="5"/>
  <c r="D57" i="5"/>
  <c r="E57" i="5"/>
  <c r="F57" i="5"/>
  <c r="G57" i="5"/>
  <c r="E58" i="5"/>
  <c r="E59" i="5" s="1"/>
  <c r="F58" i="5"/>
  <c r="G58" i="5"/>
  <c r="G59" i="5" s="1"/>
  <c r="F59" i="5"/>
  <c r="C52" i="5"/>
  <c r="D52" i="5"/>
  <c r="E52" i="5"/>
  <c r="F52" i="5"/>
  <c r="G52" i="5"/>
  <c r="E53" i="5"/>
  <c r="E54" i="5" s="1"/>
  <c r="F53" i="5"/>
  <c r="G53" i="5"/>
  <c r="G54" i="5" s="1"/>
  <c r="F54" i="5"/>
  <c r="D70" i="3"/>
  <c r="E70" i="3"/>
  <c r="F70" i="3"/>
  <c r="G70" i="3"/>
  <c r="C71" i="3"/>
  <c r="D71" i="3"/>
  <c r="E71" i="3"/>
  <c r="E72" i="3" s="1"/>
  <c r="F71" i="3"/>
  <c r="G71" i="3"/>
  <c r="G72" i="3" s="1"/>
  <c r="D72" i="3"/>
  <c r="F72" i="3"/>
  <c r="D73" i="3"/>
  <c r="E73" i="3"/>
  <c r="F73" i="3"/>
  <c r="G73" i="3"/>
  <c r="C74" i="3"/>
  <c r="D74" i="3"/>
  <c r="E74" i="3"/>
  <c r="F74" i="3"/>
  <c r="G74" i="3"/>
  <c r="C65" i="3"/>
  <c r="D65" i="3"/>
  <c r="E65" i="3"/>
  <c r="F65" i="3"/>
  <c r="G65" i="3"/>
  <c r="C57" i="3"/>
  <c r="D57" i="3"/>
  <c r="E57" i="3"/>
  <c r="F57" i="3"/>
  <c r="G57" i="3"/>
  <c r="D58" i="3"/>
  <c r="E58" i="3"/>
  <c r="E59" i="3" s="1"/>
  <c r="F58" i="3"/>
  <c r="G58" i="3"/>
  <c r="G59" i="3" s="1"/>
  <c r="D59" i="3"/>
  <c r="F59" i="3"/>
  <c r="C52" i="3"/>
  <c r="D52" i="3"/>
  <c r="E52" i="3"/>
  <c r="F52" i="3"/>
  <c r="G52" i="3"/>
  <c r="D53" i="3"/>
  <c r="E53" i="3"/>
  <c r="E54" i="3" s="1"/>
  <c r="F53" i="3"/>
  <c r="G53" i="3"/>
  <c r="G54" i="3" s="1"/>
  <c r="D54" i="3"/>
  <c r="F54" i="3"/>
  <c r="D70" i="2"/>
  <c r="E70" i="2"/>
  <c r="C71" i="2"/>
  <c r="D71" i="2"/>
  <c r="E71" i="2"/>
  <c r="E72" i="2"/>
  <c r="D73" i="2"/>
  <c r="E73" i="2"/>
  <c r="C74" i="2"/>
  <c r="D74" i="2"/>
  <c r="E74" i="2"/>
  <c r="C65" i="2"/>
  <c r="D65" i="2"/>
  <c r="E65" i="2"/>
  <c r="C57" i="2"/>
  <c r="D57" i="2"/>
  <c r="E57" i="2"/>
  <c r="F57" i="2"/>
  <c r="G57" i="2"/>
  <c r="D58" i="2"/>
  <c r="E58" i="2"/>
  <c r="E59" i="2" s="1"/>
  <c r="F58" i="2"/>
  <c r="G58" i="2"/>
  <c r="G59" i="2" s="1"/>
  <c r="D59" i="2"/>
  <c r="F59" i="2"/>
  <c r="E52" i="2"/>
  <c r="E53" i="2"/>
  <c r="E54" i="2" s="1"/>
  <c r="C52" i="2"/>
  <c r="D52" i="2"/>
  <c r="D53" i="2"/>
  <c r="D54" i="2"/>
  <c r="D72" i="2" s="1"/>
  <c r="G28" i="4" l="1"/>
  <c r="E28" i="4"/>
  <c r="D28" i="4"/>
  <c r="F28" i="4" l="1"/>
  <c r="F21" i="3" l="1"/>
  <c r="F17" i="3"/>
  <c r="F18" i="3"/>
  <c r="F19" i="3"/>
  <c r="F16" i="3"/>
  <c r="C26" i="2" l="1"/>
  <c r="C78" i="2" s="1"/>
  <c r="G20" i="7" l="1"/>
  <c r="F20" i="7" s="1"/>
  <c r="B32" i="2" l="1"/>
  <c r="D25" i="7" l="1"/>
  <c r="G28" i="1" l="1"/>
  <c r="F28" i="1" s="1"/>
  <c r="G28" i="3"/>
  <c r="F28" i="3" s="1"/>
  <c r="G28" i="2"/>
  <c r="F28" i="2" s="1"/>
  <c r="E26" i="7" l="1"/>
  <c r="E26" i="6"/>
  <c r="E26" i="5"/>
  <c r="C27" i="2" l="1"/>
  <c r="C58" i="2" s="1"/>
  <c r="C59" i="2" s="1"/>
  <c r="C25" i="2"/>
  <c r="F25" i="2"/>
  <c r="C70" i="2" l="1"/>
  <c r="C72" i="2" s="1"/>
  <c r="C53" i="2"/>
  <c r="C54" i="2" s="1"/>
  <c r="C73" i="2"/>
  <c r="F27" i="1"/>
  <c r="C27" i="1"/>
  <c r="F21" i="1"/>
  <c r="C21" i="1"/>
  <c r="F27" i="3"/>
  <c r="C27" i="3"/>
  <c r="C58" i="3" s="1"/>
  <c r="C59" i="3" s="1"/>
  <c r="C21" i="3"/>
  <c r="B27" i="1" l="1"/>
  <c r="B27" i="3"/>
  <c r="B21" i="3"/>
  <c r="B21" i="1"/>
  <c r="F21" i="2"/>
  <c r="C17" i="3"/>
  <c r="C16" i="3"/>
  <c r="B16" i="3" l="1"/>
  <c r="B17" i="3"/>
  <c r="E41" i="2"/>
  <c r="F32" i="7" l="1"/>
  <c r="E25" i="7"/>
  <c r="G25" i="7"/>
  <c r="F25" i="7" s="1"/>
  <c r="G19" i="7"/>
  <c r="F19" i="7" s="1"/>
  <c r="F32" i="6"/>
  <c r="G25" i="6"/>
  <c r="E25" i="6"/>
  <c r="D25" i="6"/>
  <c r="G20" i="6"/>
  <c r="G19" i="6"/>
  <c r="C25" i="6" l="1"/>
  <c r="C25" i="7"/>
  <c r="B25" i="7" s="1"/>
  <c r="F32" i="5"/>
  <c r="G25" i="5"/>
  <c r="E25" i="5"/>
  <c r="D25" i="5"/>
  <c r="D70" i="5" l="1"/>
  <c r="D73" i="5"/>
  <c r="D53" i="5"/>
  <c r="D54" i="5" s="1"/>
  <c r="C25" i="5"/>
  <c r="E28" i="2"/>
  <c r="C70" i="5" l="1"/>
  <c r="C73" i="5"/>
  <c r="C53" i="5"/>
  <c r="C54" i="5" s="1"/>
  <c r="D72" i="5"/>
  <c r="G74" i="1"/>
  <c r="G71" i="1"/>
  <c r="G65" i="1"/>
  <c r="G57" i="1"/>
  <c r="G52" i="1"/>
  <c r="C72" i="5" l="1"/>
  <c r="F25" i="1"/>
  <c r="C25" i="1"/>
  <c r="F24" i="1"/>
  <c r="C24" i="1"/>
  <c r="F20" i="1"/>
  <c r="F19" i="1"/>
  <c r="F18" i="1"/>
  <c r="F17" i="1"/>
  <c r="C17" i="1"/>
  <c r="F16" i="1"/>
  <c r="C16" i="1"/>
  <c r="B16" i="1" l="1"/>
  <c r="F65" i="1"/>
  <c r="F52" i="1"/>
  <c r="F57" i="1"/>
  <c r="B25" i="1"/>
  <c r="B17" i="1"/>
  <c r="B24" i="1"/>
  <c r="B32" i="3" l="1"/>
  <c r="B32" i="5" s="1"/>
  <c r="C25" i="3" l="1"/>
  <c r="F25" i="3"/>
  <c r="F24" i="3"/>
  <c r="C24" i="3"/>
  <c r="C70" i="3" l="1"/>
  <c r="C73" i="3"/>
  <c r="C53" i="3"/>
  <c r="C54" i="3" s="1"/>
  <c r="B24" i="3"/>
  <c r="C72" i="3" l="1"/>
  <c r="F19" i="2"/>
  <c r="F20" i="2"/>
  <c r="F24" i="2" l="1"/>
  <c r="C24" i="2"/>
  <c r="B24" i="2" l="1"/>
  <c r="F16" i="2"/>
  <c r="F17" i="2"/>
  <c r="C16" i="2"/>
  <c r="B16" i="2" l="1"/>
  <c r="C28" i="4"/>
  <c r="E28" i="1"/>
  <c r="D28" i="1"/>
  <c r="E28" i="3"/>
  <c r="D28" i="3"/>
  <c r="C28" i="3" l="1"/>
  <c r="C28" i="1"/>
  <c r="B28" i="4"/>
  <c r="G57" i="4"/>
  <c r="E57" i="4"/>
  <c r="D57" i="4"/>
  <c r="E57" i="1"/>
  <c r="D57" i="1"/>
  <c r="B28" i="1" l="1"/>
  <c r="B28" i="3"/>
  <c r="C32" i="5"/>
  <c r="E52" i="4"/>
  <c r="D52" i="4"/>
  <c r="E52" i="1"/>
  <c r="D52" i="1"/>
  <c r="C32" i="7" l="1"/>
  <c r="D19" i="7"/>
  <c r="D19" i="6"/>
  <c r="D19" i="5"/>
  <c r="D17" i="7" l="1"/>
  <c r="D18" i="7"/>
  <c r="D20" i="7"/>
  <c r="D16" i="7"/>
  <c r="D20" i="5"/>
  <c r="D20" i="6"/>
  <c r="D21" i="5" l="1"/>
  <c r="D16" i="5"/>
  <c r="D17" i="5"/>
  <c r="D18" i="5"/>
  <c r="C32" i="6"/>
  <c r="D16" i="6"/>
  <c r="D17" i="6"/>
  <c r="D18" i="6"/>
  <c r="B32" i="1" l="1"/>
  <c r="B32" i="6" s="1"/>
  <c r="B32" i="4"/>
  <c r="D27" i="7"/>
  <c r="E27" i="7"/>
  <c r="G27" i="7"/>
  <c r="E24" i="7"/>
  <c r="G24" i="7"/>
  <c r="F24" i="7" s="1"/>
  <c r="E28" i="7"/>
  <c r="G26" i="7"/>
  <c r="F26" i="7" s="1"/>
  <c r="F78" i="7" s="1"/>
  <c r="E21" i="7"/>
  <c r="G21" i="7"/>
  <c r="G57" i="7" s="1"/>
  <c r="E16" i="7"/>
  <c r="G16" i="7"/>
  <c r="F16" i="7" s="1"/>
  <c r="E17" i="7"/>
  <c r="G17" i="7"/>
  <c r="F17" i="7" s="1"/>
  <c r="E18" i="7"/>
  <c r="G18" i="7"/>
  <c r="F18" i="7" s="1"/>
  <c r="E19" i="7"/>
  <c r="D27" i="6"/>
  <c r="E27" i="6"/>
  <c r="G27" i="6"/>
  <c r="E24" i="6"/>
  <c r="E28" i="6"/>
  <c r="E21" i="6"/>
  <c r="G21" i="6"/>
  <c r="E16" i="6"/>
  <c r="E17" i="6"/>
  <c r="E18" i="6"/>
  <c r="E19" i="6"/>
  <c r="E27" i="5"/>
  <c r="G27" i="5"/>
  <c r="D27" i="5"/>
  <c r="D58" i="5" s="1"/>
  <c r="D59" i="5" s="1"/>
  <c r="E21" i="5"/>
  <c r="F21" i="5"/>
  <c r="G21" i="5"/>
  <c r="E17" i="5"/>
  <c r="E18" i="5"/>
  <c r="E19" i="5"/>
  <c r="E16" i="5"/>
  <c r="E57" i="7" l="1"/>
  <c r="G28" i="7"/>
  <c r="F28" i="7" s="1"/>
  <c r="F62" i="7" s="1"/>
  <c r="E28" i="5"/>
  <c r="E41" i="5"/>
  <c r="B32" i="7"/>
  <c r="E57" i="6"/>
  <c r="G26" i="5"/>
  <c r="G24" i="5"/>
  <c r="F25" i="6"/>
  <c r="B25" i="6" s="1"/>
  <c r="G26" i="6"/>
  <c r="G28" i="6" s="1"/>
  <c r="F28" i="6" s="1"/>
  <c r="G24" i="6"/>
  <c r="E24" i="5"/>
  <c r="G17" i="5"/>
  <c r="G18" i="5"/>
  <c r="G19" i="5"/>
  <c r="G20" i="5"/>
  <c r="G16" i="5"/>
  <c r="G17" i="6"/>
  <c r="G18" i="6"/>
  <c r="G57" i="6"/>
  <c r="G16" i="6"/>
  <c r="G41" i="5" l="1"/>
  <c r="G28" i="5"/>
  <c r="F28" i="5" s="1"/>
  <c r="C19" i="7"/>
  <c r="C18" i="7"/>
  <c r="C17" i="7"/>
  <c r="C16" i="7"/>
  <c r="F26" i="6"/>
  <c r="F78" i="6" s="1"/>
  <c r="F31" i="6"/>
  <c r="F77" i="6" s="1"/>
  <c r="F24" i="6"/>
  <c r="F20" i="6"/>
  <c r="F19" i="6"/>
  <c r="F18" i="6"/>
  <c r="F17" i="6"/>
  <c r="F16" i="6"/>
  <c r="C19" i="6"/>
  <c r="C18" i="6"/>
  <c r="C17" i="6"/>
  <c r="C16" i="6"/>
  <c r="F26" i="5"/>
  <c r="F25" i="5"/>
  <c r="F24" i="5"/>
  <c r="F20" i="5"/>
  <c r="F19" i="5"/>
  <c r="F18" i="5"/>
  <c r="F17" i="5"/>
  <c r="F16" i="5"/>
  <c r="C19" i="5"/>
  <c r="C18" i="5"/>
  <c r="C17" i="5"/>
  <c r="C16" i="5"/>
  <c r="F27" i="4"/>
  <c r="F27" i="7" s="1"/>
  <c r="F26" i="4"/>
  <c r="F25" i="4"/>
  <c r="F31" i="4" s="1"/>
  <c r="F24" i="4"/>
  <c r="C27" i="4"/>
  <c r="C26" i="4"/>
  <c r="C25" i="4"/>
  <c r="C31" i="4" s="1"/>
  <c r="C77" i="4" s="1"/>
  <c r="C24" i="4"/>
  <c r="F21" i="4"/>
  <c r="F21" i="7" s="1"/>
  <c r="F20" i="4"/>
  <c r="F19" i="4"/>
  <c r="F18" i="4"/>
  <c r="F17" i="4"/>
  <c r="F16" i="4"/>
  <c r="C20" i="4"/>
  <c r="C19" i="4"/>
  <c r="C18" i="4"/>
  <c r="C17" i="4"/>
  <c r="C16" i="4"/>
  <c r="F27" i="6"/>
  <c r="F26" i="1"/>
  <c r="F31" i="1"/>
  <c r="F77" i="1" s="1"/>
  <c r="C26" i="1"/>
  <c r="C31" i="1"/>
  <c r="C77" i="1" s="1"/>
  <c r="F21" i="6"/>
  <c r="C20" i="1"/>
  <c r="B20" i="1" s="1"/>
  <c r="C19" i="1"/>
  <c r="B19" i="1" s="1"/>
  <c r="C18" i="1"/>
  <c r="F27" i="5"/>
  <c r="F26" i="3"/>
  <c r="F31" i="3"/>
  <c r="C26" i="3"/>
  <c r="C31" i="3"/>
  <c r="C77" i="3" s="1"/>
  <c r="F20" i="3"/>
  <c r="C19" i="3"/>
  <c r="B19" i="3" s="1"/>
  <c r="C18" i="3"/>
  <c r="F27" i="2"/>
  <c r="B27" i="2" s="1"/>
  <c r="F26" i="2"/>
  <c r="F18" i="2"/>
  <c r="C21" i="2"/>
  <c r="C20" i="2"/>
  <c r="C19" i="2"/>
  <c r="C18" i="2"/>
  <c r="C17" i="2"/>
  <c r="C78" i="4" l="1"/>
  <c r="C62" i="4"/>
  <c r="F62" i="4"/>
  <c r="C78" i="1"/>
  <c r="C62" i="1"/>
  <c r="F78" i="1"/>
  <c r="F62" i="1"/>
  <c r="F62" i="6"/>
  <c r="C78" i="3"/>
  <c r="F41" i="5"/>
  <c r="F31" i="5"/>
  <c r="B25" i="5"/>
  <c r="B26" i="4"/>
  <c r="F74" i="1"/>
  <c r="F71" i="1"/>
  <c r="F57" i="4"/>
  <c r="F57" i="6"/>
  <c r="B26" i="3"/>
  <c r="B19" i="5"/>
  <c r="C52" i="1"/>
  <c r="C52" i="4"/>
  <c r="B18" i="5"/>
  <c r="B18" i="3"/>
  <c r="B17" i="5"/>
  <c r="B24" i="4"/>
  <c r="B21" i="5"/>
  <c r="C21" i="5"/>
  <c r="B16" i="5"/>
  <c r="B16" i="4"/>
  <c r="B18" i="4"/>
  <c r="B20" i="4"/>
  <c r="B18" i="1"/>
  <c r="B17" i="4"/>
  <c r="B19" i="4"/>
  <c r="B17" i="7"/>
  <c r="B19" i="6"/>
  <c r="B18" i="6"/>
  <c r="B27" i="4"/>
  <c r="B27" i="7" s="1"/>
  <c r="C27" i="7"/>
  <c r="C21" i="4"/>
  <c r="C57" i="4" s="1"/>
  <c r="D21" i="7"/>
  <c r="D57" i="7" s="1"/>
  <c r="B27" i="6"/>
  <c r="C27" i="6"/>
  <c r="C57" i="1"/>
  <c r="D21" i="6"/>
  <c r="D57" i="6" s="1"/>
  <c r="B27" i="5"/>
  <c r="C27" i="5"/>
  <c r="C58" i="5" s="1"/>
  <c r="C59" i="5" s="1"/>
  <c r="B16" i="7"/>
  <c r="B18" i="7"/>
  <c r="B70" i="7" s="1"/>
  <c r="D24" i="7"/>
  <c r="C24" i="7" s="1"/>
  <c r="B24" i="7" s="1"/>
  <c r="D24" i="6"/>
  <c r="C24" i="6" s="1"/>
  <c r="B24" i="6" s="1"/>
  <c r="D24" i="5"/>
  <c r="C24" i="5" s="1"/>
  <c r="B24" i="5" s="1"/>
  <c r="C31" i="7"/>
  <c r="C77" i="7" s="1"/>
  <c r="C31" i="6"/>
  <c r="C77" i="6" s="1"/>
  <c r="C31" i="5"/>
  <c r="C77" i="5" s="1"/>
  <c r="C31" i="2"/>
  <c r="C77" i="2" s="1"/>
  <c r="B17" i="2"/>
  <c r="B17" i="6"/>
  <c r="B16" i="6"/>
  <c r="B19" i="2"/>
  <c r="B18" i="2"/>
  <c r="B21" i="2"/>
  <c r="B31" i="1"/>
  <c r="B25" i="3"/>
  <c r="B31" i="3" s="1"/>
  <c r="B77" i="3" s="1"/>
  <c r="B25" i="4"/>
  <c r="B31" i="4" s="1"/>
  <c r="B26" i="1"/>
  <c r="B20" i="2"/>
  <c r="B57" i="2" l="1"/>
  <c r="B52" i="2"/>
  <c r="B52" i="1"/>
  <c r="B57" i="5"/>
  <c r="B19" i="7"/>
  <c r="F57" i="7"/>
  <c r="B57" i="3"/>
  <c r="B52" i="4"/>
  <c r="B52" i="3"/>
  <c r="B21" i="4"/>
  <c r="B21" i="7" s="1"/>
  <c r="C21" i="7"/>
  <c r="C57" i="7" s="1"/>
  <c r="B21" i="6"/>
  <c r="B57" i="6" s="1"/>
  <c r="C21" i="6"/>
  <c r="C57" i="6" s="1"/>
  <c r="B57" i="7" l="1"/>
  <c r="B57" i="1"/>
  <c r="B57" i="4"/>
  <c r="B70" i="3"/>
  <c r="B71" i="3" l="1"/>
  <c r="C74" i="4" l="1"/>
  <c r="D74" i="4"/>
  <c r="E74" i="4"/>
  <c r="G74" i="4"/>
  <c r="C73" i="4"/>
  <c r="D73" i="4"/>
  <c r="E73" i="4"/>
  <c r="D74" i="1"/>
  <c r="E74" i="1"/>
  <c r="D73" i="1"/>
  <c r="E73" i="1"/>
  <c r="G73" i="1"/>
  <c r="G40" i="5" l="1"/>
  <c r="E40" i="5"/>
  <c r="E66" i="5" s="1"/>
  <c r="E74" i="6"/>
  <c r="E40" i="6"/>
  <c r="G40" i="6"/>
  <c r="G42" i="6" s="1"/>
  <c r="E40" i="7"/>
  <c r="G40" i="7"/>
  <c r="G42" i="7" s="1"/>
  <c r="G71" i="4"/>
  <c r="E71" i="4"/>
  <c r="G65" i="4"/>
  <c r="E65" i="4"/>
  <c r="G58" i="4"/>
  <c r="G59" i="4" s="1"/>
  <c r="E58" i="4"/>
  <c r="E59" i="4" s="1"/>
  <c r="G41" i="4"/>
  <c r="E41" i="4"/>
  <c r="G40" i="4"/>
  <c r="G42" i="4" s="1"/>
  <c r="E40" i="4"/>
  <c r="E42" i="4" s="1"/>
  <c r="D70" i="4"/>
  <c r="F40" i="4"/>
  <c r="D40" i="4"/>
  <c r="G41" i="3"/>
  <c r="E41" i="3"/>
  <c r="G40" i="3"/>
  <c r="G42" i="3" s="1"/>
  <c r="E40" i="3"/>
  <c r="E42" i="3" s="1"/>
  <c r="F40" i="3"/>
  <c r="D40" i="3"/>
  <c r="E40" i="2"/>
  <c r="E71" i="1"/>
  <c r="G70" i="1"/>
  <c r="E65" i="1"/>
  <c r="G58" i="1"/>
  <c r="G59" i="1" s="1"/>
  <c r="E58" i="1"/>
  <c r="E59" i="1" s="1"/>
  <c r="G53" i="1"/>
  <c r="G54" i="1" s="1"/>
  <c r="G41" i="1"/>
  <c r="G43" i="1" s="1"/>
  <c r="E41" i="1"/>
  <c r="G40" i="1"/>
  <c r="G42" i="1" s="1"/>
  <c r="E40" i="1"/>
  <c r="E42" i="1" s="1"/>
  <c r="F40" i="1"/>
  <c r="E66" i="3" l="1"/>
  <c r="E42" i="2"/>
  <c r="E66" i="2"/>
  <c r="G72" i="1"/>
  <c r="C73" i="1"/>
  <c r="F74" i="4"/>
  <c r="F73" i="1"/>
  <c r="G73" i="6"/>
  <c r="E74" i="7"/>
  <c r="G73" i="7"/>
  <c r="E41" i="7"/>
  <c r="E43" i="7" s="1"/>
  <c r="G74" i="7"/>
  <c r="G74" i="6"/>
  <c r="F40" i="5"/>
  <c r="F42" i="5" s="1"/>
  <c r="G65" i="6"/>
  <c r="G70" i="6"/>
  <c r="G42" i="5"/>
  <c r="G71" i="7"/>
  <c r="G71" i="6"/>
  <c r="G41" i="7"/>
  <c r="G66" i="7" s="1"/>
  <c r="G52" i="7"/>
  <c r="G58" i="7"/>
  <c r="E65" i="7"/>
  <c r="G53" i="7"/>
  <c r="G65" i="7"/>
  <c r="E58" i="7"/>
  <c r="G70" i="7"/>
  <c r="E65" i="6"/>
  <c r="F40" i="6"/>
  <c r="F42" i="6" s="1"/>
  <c r="E71" i="6"/>
  <c r="E71" i="7"/>
  <c r="E42" i="6"/>
  <c r="E42" i="7"/>
  <c r="F40" i="7"/>
  <c r="F42" i="7" s="1"/>
  <c r="E73" i="6"/>
  <c r="D40" i="1"/>
  <c r="D42" i="1" s="1"/>
  <c r="D70" i="1"/>
  <c r="D71" i="1"/>
  <c r="F42" i="3"/>
  <c r="F65" i="4"/>
  <c r="F42" i="4"/>
  <c r="E70" i="4"/>
  <c r="E42" i="5"/>
  <c r="E41" i="6"/>
  <c r="G41" i="6"/>
  <c r="G52" i="6"/>
  <c r="E53" i="6"/>
  <c r="G53" i="6"/>
  <c r="E58" i="6"/>
  <c r="G58" i="6"/>
  <c r="C65" i="4"/>
  <c r="F41" i="7"/>
  <c r="F58" i="7"/>
  <c r="E66" i="4"/>
  <c r="G66" i="4"/>
  <c r="D71" i="4"/>
  <c r="F41" i="4"/>
  <c r="F58" i="4"/>
  <c r="F71" i="4"/>
  <c r="D41" i="4"/>
  <c r="E43" i="4"/>
  <c r="E67" i="4" s="1"/>
  <c r="G43" i="4"/>
  <c r="G67" i="4" s="1"/>
  <c r="D53" i="4"/>
  <c r="E53" i="4"/>
  <c r="E54" i="4" s="1"/>
  <c r="D58" i="4"/>
  <c r="F41" i="3"/>
  <c r="D41" i="3"/>
  <c r="D66" i="3" s="1"/>
  <c r="E43" i="3"/>
  <c r="E67" i="3" s="1"/>
  <c r="G43" i="3"/>
  <c r="D40" i="2"/>
  <c r="D42" i="2" s="1"/>
  <c r="E43" i="2"/>
  <c r="E67" i="2" s="1"/>
  <c r="F42" i="1"/>
  <c r="G66" i="1"/>
  <c r="E70" i="1"/>
  <c r="E66" i="1"/>
  <c r="F70" i="1"/>
  <c r="B77" i="1"/>
  <c r="F41" i="1"/>
  <c r="F43" i="1" s="1"/>
  <c r="F53" i="1"/>
  <c r="F58" i="1"/>
  <c r="D41" i="1"/>
  <c r="E43" i="1"/>
  <c r="E67" i="1" s="1"/>
  <c r="G67" i="1"/>
  <c r="D53" i="1"/>
  <c r="E53" i="1"/>
  <c r="E54" i="1" s="1"/>
  <c r="D58" i="1"/>
  <c r="E72" i="4" l="1"/>
  <c r="E72" i="1"/>
  <c r="G43" i="7"/>
  <c r="G67" i="7" s="1"/>
  <c r="E66" i="7"/>
  <c r="G54" i="6"/>
  <c r="G72" i="6" s="1"/>
  <c r="G54" i="7"/>
  <c r="G72" i="7" s="1"/>
  <c r="B74" i="4"/>
  <c r="F54" i="1"/>
  <c r="F72" i="1" s="1"/>
  <c r="B74" i="3"/>
  <c r="E53" i="7"/>
  <c r="E73" i="7"/>
  <c r="F73" i="6"/>
  <c r="F74" i="6"/>
  <c r="F71" i="6"/>
  <c r="F74" i="7"/>
  <c r="F52" i="7"/>
  <c r="E67" i="7"/>
  <c r="F71" i="7"/>
  <c r="F58" i="6"/>
  <c r="F59" i="6" s="1"/>
  <c r="F53" i="6"/>
  <c r="F41" i="6"/>
  <c r="F43" i="6" s="1"/>
  <c r="F67" i="6" s="1"/>
  <c r="E59" i="7"/>
  <c r="G59" i="7"/>
  <c r="E52" i="6"/>
  <c r="E54" i="6" s="1"/>
  <c r="F65" i="7"/>
  <c r="E70" i="6"/>
  <c r="E70" i="7"/>
  <c r="D42" i="4"/>
  <c r="G59" i="6"/>
  <c r="D65" i="4"/>
  <c r="D42" i="3"/>
  <c r="D73" i="7"/>
  <c r="D65" i="1"/>
  <c r="D54" i="1"/>
  <c r="D72" i="1" s="1"/>
  <c r="D59" i="1"/>
  <c r="E52" i="7"/>
  <c r="G43" i="5"/>
  <c r="D40" i="5"/>
  <c r="D42" i="5" s="1"/>
  <c r="E43" i="5"/>
  <c r="E67" i="5" s="1"/>
  <c r="G66" i="6"/>
  <c r="G43" i="6"/>
  <c r="G67" i="6" s="1"/>
  <c r="D40" i="6"/>
  <c r="D42" i="6" s="1"/>
  <c r="E59" i="6"/>
  <c r="F70" i="6"/>
  <c r="E66" i="6"/>
  <c r="E43" i="6"/>
  <c r="E67" i="6" s="1"/>
  <c r="F65" i="6"/>
  <c r="F52" i="6"/>
  <c r="F59" i="7"/>
  <c r="F66" i="7"/>
  <c r="F43" i="7"/>
  <c r="F67" i="7" s="1"/>
  <c r="F59" i="4"/>
  <c r="D66" i="4"/>
  <c r="D43" i="4"/>
  <c r="F66" i="4"/>
  <c r="F43" i="4"/>
  <c r="F67" i="4" s="1"/>
  <c r="C70" i="4"/>
  <c r="C71" i="4"/>
  <c r="C58" i="4"/>
  <c r="C59" i="4" s="1"/>
  <c r="C53" i="4"/>
  <c r="C54" i="4" s="1"/>
  <c r="C41" i="4"/>
  <c r="B40" i="4"/>
  <c r="B42" i="4" s="1"/>
  <c r="C40" i="4"/>
  <c r="C42" i="4" s="1"/>
  <c r="D59" i="4"/>
  <c r="D54" i="4"/>
  <c r="D72" i="4" s="1"/>
  <c r="B65" i="4"/>
  <c r="D43" i="3"/>
  <c r="D67" i="3" s="1"/>
  <c r="C41" i="3"/>
  <c r="B40" i="3"/>
  <c r="B42" i="3" s="1"/>
  <c r="C40" i="3"/>
  <c r="C42" i="3" s="1"/>
  <c r="F43" i="3"/>
  <c r="B65" i="3"/>
  <c r="B40" i="2"/>
  <c r="C40" i="2"/>
  <c r="C42" i="2" s="1"/>
  <c r="F59" i="1"/>
  <c r="D66" i="1"/>
  <c r="D43" i="1"/>
  <c r="D67" i="1" s="1"/>
  <c r="C71" i="1"/>
  <c r="C58" i="1"/>
  <c r="C53" i="1"/>
  <c r="C41" i="1"/>
  <c r="B40" i="1"/>
  <c r="B42" i="1" s="1"/>
  <c r="C40" i="1"/>
  <c r="C42" i="1" s="1"/>
  <c r="F66" i="1"/>
  <c r="F67" i="1"/>
  <c r="C70" i="1"/>
  <c r="C66" i="3" l="1"/>
  <c r="E72" i="6"/>
  <c r="C72" i="4"/>
  <c r="D67" i="4"/>
  <c r="F43" i="5"/>
  <c r="F54" i="6"/>
  <c r="F72" i="6" s="1"/>
  <c r="B77" i="4"/>
  <c r="C74" i="1"/>
  <c r="C59" i="1"/>
  <c r="B70" i="4"/>
  <c r="B73" i="4"/>
  <c r="B70" i="1"/>
  <c r="B73" i="1"/>
  <c r="B73" i="3"/>
  <c r="D73" i="6"/>
  <c r="F66" i="6"/>
  <c r="E54" i="7"/>
  <c r="E72" i="7" s="1"/>
  <c r="D70" i="6"/>
  <c r="B52" i="5"/>
  <c r="D65" i="7"/>
  <c r="D52" i="7"/>
  <c r="B65" i="2"/>
  <c r="D40" i="7"/>
  <c r="D52" i="6"/>
  <c r="D65" i="6"/>
  <c r="C65" i="1"/>
  <c r="C54" i="1"/>
  <c r="C72" i="1" s="1"/>
  <c r="D70" i="7"/>
  <c r="C40" i="5"/>
  <c r="B40" i="5"/>
  <c r="C40" i="6"/>
  <c r="C42" i="6" s="1"/>
  <c r="B40" i="6"/>
  <c r="B42" i="6" s="1"/>
  <c r="C66" i="4"/>
  <c r="C43" i="4"/>
  <c r="C67" i="4" s="1"/>
  <c r="B71" i="4"/>
  <c r="B62" i="4"/>
  <c r="B58" i="4"/>
  <c r="B59" i="4" s="1"/>
  <c r="B53" i="4"/>
  <c r="B54" i="4" s="1"/>
  <c r="B41" i="4"/>
  <c r="B78" i="4"/>
  <c r="B62" i="3"/>
  <c r="B58" i="3"/>
  <c r="B59" i="3" s="1"/>
  <c r="B53" i="3"/>
  <c r="B54" i="3" s="1"/>
  <c r="B72" i="3" s="1"/>
  <c r="B41" i="3"/>
  <c r="B78" i="3"/>
  <c r="C43" i="3"/>
  <c r="C67" i="3" s="1"/>
  <c r="B71" i="1"/>
  <c r="B62" i="1"/>
  <c r="B58" i="1"/>
  <c r="B53" i="1"/>
  <c r="B41" i="1"/>
  <c r="B78" i="1"/>
  <c r="C66" i="1"/>
  <c r="C43" i="1"/>
  <c r="C67" i="1" s="1"/>
  <c r="B72" i="4" l="1"/>
  <c r="C73" i="7"/>
  <c r="B59" i="1"/>
  <c r="B74" i="1"/>
  <c r="C73" i="6"/>
  <c r="C70" i="6"/>
  <c r="C42" i="5"/>
  <c r="C70" i="7"/>
  <c r="B65" i="1"/>
  <c r="B54" i="1"/>
  <c r="B72" i="1" s="1"/>
  <c r="C65" i="6"/>
  <c r="C52" i="6"/>
  <c r="C40" i="7"/>
  <c r="B40" i="7"/>
  <c r="B42" i="7" s="1"/>
  <c r="B65" i="5"/>
  <c r="D42" i="7"/>
  <c r="C52" i="7"/>
  <c r="C65" i="7"/>
  <c r="B42" i="2"/>
  <c r="B66" i="4"/>
  <c r="B43" i="4"/>
  <c r="B67" i="4" s="1"/>
  <c r="B66" i="3"/>
  <c r="B43" i="3"/>
  <c r="B67" i="3" s="1"/>
  <c r="B66" i="1"/>
  <c r="B43" i="1"/>
  <c r="B67" i="1" s="1"/>
  <c r="B65" i="7" l="1"/>
  <c r="B52" i="7"/>
  <c r="C42" i="7"/>
  <c r="B42" i="5"/>
  <c r="B65" i="6"/>
  <c r="B52" i="6"/>
  <c r="D41" i="2" l="1"/>
  <c r="D26" i="6"/>
  <c r="D26" i="7"/>
  <c r="D26" i="5"/>
  <c r="C26" i="5" s="1"/>
  <c r="D28" i="2"/>
  <c r="C28" i="2" s="1"/>
  <c r="D43" i="2" l="1"/>
  <c r="D67" i="2" s="1"/>
  <c r="D66" i="2"/>
  <c r="B26" i="5"/>
  <c r="C78" i="5"/>
  <c r="D53" i="6"/>
  <c r="D54" i="6" s="1"/>
  <c r="C26" i="6"/>
  <c r="D53" i="7"/>
  <c r="D54" i="7" s="1"/>
  <c r="C26" i="7"/>
  <c r="D41" i="5"/>
  <c r="D66" i="5" s="1"/>
  <c r="B26" i="2"/>
  <c r="B58" i="2" s="1"/>
  <c r="B59" i="2" s="1"/>
  <c r="D28" i="7"/>
  <c r="B28" i="2"/>
  <c r="C41" i="5"/>
  <c r="C66" i="5" s="1"/>
  <c r="C41" i="2"/>
  <c r="C66" i="2" s="1"/>
  <c r="D58" i="6"/>
  <c r="D59" i="6" s="1"/>
  <c r="D71" i="7"/>
  <c r="D71" i="6"/>
  <c r="D74" i="6"/>
  <c r="D58" i="7"/>
  <c r="D59" i="7" s="1"/>
  <c r="D41" i="6"/>
  <c r="D74" i="7"/>
  <c r="D28" i="5"/>
  <c r="C28" i="5" s="1"/>
  <c r="D28" i="6"/>
  <c r="C28" i="6" s="1"/>
  <c r="C62" i="6" s="1"/>
  <c r="D41" i="7"/>
  <c r="B26" i="6" l="1"/>
  <c r="B74" i="6" s="1"/>
  <c r="C78" i="6"/>
  <c r="B26" i="7"/>
  <c r="B41" i="7" s="1"/>
  <c r="C78" i="7"/>
  <c r="D72" i="7"/>
  <c r="B62" i="2"/>
  <c r="D72" i="6"/>
  <c r="C28" i="7"/>
  <c r="C62" i="7" s="1"/>
  <c r="B74" i="2"/>
  <c r="B41" i="2"/>
  <c r="B66" i="2" s="1"/>
  <c r="B78" i="5"/>
  <c r="B78" i="2"/>
  <c r="B71" i="2"/>
  <c r="B41" i="6"/>
  <c r="B66" i="6" s="1"/>
  <c r="B58" i="6"/>
  <c r="B59" i="6" s="1"/>
  <c r="D66" i="7"/>
  <c r="D43" i="7"/>
  <c r="D67" i="7" s="1"/>
  <c r="D43" i="5"/>
  <c r="D67" i="5" s="1"/>
  <c r="B28" i="6"/>
  <c r="B62" i="6" s="1"/>
  <c r="C74" i="7"/>
  <c r="C53" i="7"/>
  <c r="C54" i="7" s="1"/>
  <c r="C58" i="7"/>
  <c r="C59" i="7" s="1"/>
  <c r="C71" i="7"/>
  <c r="C41" i="7"/>
  <c r="C74" i="6"/>
  <c r="C53" i="6"/>
  <c r="C54" i="6" s="1"/>
  <c r="C58" i="6"/>
  <c r="C59" i="6" s="1"/>
  <c r="C71" i="6"/>
  <c r="C41" i="6"/>
  <c r="B28" i="5"/>
  <c r="C43" i="2"/>
  <c r="C67" i="2" s="1"/>
  <c r="D43" i="6"/>
  <c r="D67" i="6" s="1"/>
  <c r="D66" i="6"/>
  <c r="B78" i="6" l="1"/>
  <c r="B71" i="6"/>
  <c r="B28" i="7"/>
  <c r="B62" i="7" s="1"/>
  <c r="C72" i="7"/>
  <c r="C72" i="6"/>
  <c r="B43" i="2"/>
  <c r="B67" i="2" s="1"/>
  <c r="B62" i="5"/>
  <c r="B71" i="5"/>
  <c r="B58" i="5"/>
  <c r="B59" i="5" s="1"/>
  <c r="B41" i="5"/>
  <c r="B74" i="5"/>
  <c r="B78" i="7"/>
  <c r="B74" i="7"/>
  <c r="B58" i="7"/>
  <c r="B59" i="7" s="1"/>
  <c r="B71" i="7"/>
  <c r="B43" i="6"/>
  <c r="B67" i="6" s="1"/>
  <c r="C43" i="7"/>
  <c r="C67" i="7" s="1"/>
  <c r="C66" i="7"/>
  <c r="B66" i="7"/>
  <c r="B43" i="7"/>
  <c r="B67" i="7" s="1"/>
  <c r="C43" i="6"/>
  <c r="C67" i="6" s="1"/>
  <c r="C66" i="6"/>
  <c r="C43" i="5"/>
  <c r="C67" i="5" s="1"/>
  <c r="F73" i="7"/>
  <c r="F31" i="2"/>
  <c r="B25" i="2"/>
  <c r="B53" i="2" l="1"/>
  <c r="B54" i="2" s="1"/>
  <c r="B31" i="2"/>
  <c r="B77" i="2" s="1"/>
  <c r="B43" i="5"/>
  <c r="B67" i="5" s="1"/>
  <c r="B66" i="5"/>
  <c r="F53" i="7"/>
  <c r="F54" i="7" s="1"/>
  <c r="F31" i="7"/>
  <c r="F77" i="7" s="1"/>
  <c r="B73" i="2"/>
  <c r="F70" i="7"/>
  <c r="B70" i="2"/>
  <c r="B72" i="2" l="1"/>
  <c r="F72" i="7"/>
  <c r="B31" i="6"/>
  <c r="B77" i="6" s="1"/>
  <c r="B73" i="6"/>
  <c r="B70" i="6"/>
  <c r="B53" i="6"/>
  <c r="B54" i="6" s="1"/>
  <c r="B73" i="7"/>
  <c r="B53" i="7"/>
  <c r="B54" i="7" s="1"/>
  <c r="B31" i="7"/>
  <c r="B77" i="7" s="1"/>
  <c r="B73" i="5"/>
  <c r="B31" i="5"/>
  <c r="B77" i="5" s="1"/>
  <c r="B53" i="5"/>
  <c r="B54" i="5" s="1"/>
  <c r="B70" i="5"/>
  <c r="B72" i="5" l="1"/>
  <c r="B72" i="7"/>
  <c r="B72" i="6"/>
  <c r="E20" i="6"/>
  <c r="C20" i="6" s="1"/>
  <c r="B20" i="6" s="1"/>
  <c r="E20" i="5"/>
  <c r="C20" i="5" s="1"/>
  <c r="B20" i="5" s="1"/>
  <c r="C20" i="3"/>
  <c r="B20" i="3" s="1"/>
  <c r="E20" i="7"/>
  <c r="C20" i="7" s="1"/>
  <c r="B20" i="7" s="1"/>
</calcChain>
</file>

<file path=xl/sharedStrings.xml><?xml version="1.0" encoding="utf-8"?>
<sst xmlns="http://schemas.openxmlformats.org/spreadsheetml/2006/main" count="618" uniqueCount="128">
  <si>
    <t>Indicador</t>
  </si>
  <si>
    <t>Total IAFA</t>
  </si>
  <si>
    <t>Total</t>
  </si>
  <si>
    <t xml:space="preserve">Atención integral 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</si>
  <si>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</si>
  <si>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</si>
  <si>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</si>
  <si>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</si>
  <si>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</si>
  <si>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</si>
  <si>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</si>
  <si>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</si>
  <si>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</si>
  <si>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</si>
  <si>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</si>
  <si>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</si>
  <si>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</si>
  <si>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</si>
  <si>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</si>
  <si>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</si>
  <si>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</si>
  <si>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</si>
  <si>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</si>
  <si>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</si>
  <si>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</si>
  <si>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</si>
  <si>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</si>
  <si>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</si>
  <si>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</si>
  <si>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</si>
  <si>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</si>
  <si>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</si>
  <si>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</si>
  <si>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</si>
  <si>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</si>
  <si>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</si>
  <si>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</si>
  <si>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</si>
  <si>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</si>
  <si>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</si>
  <si>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</si>
  <si>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</si>
  <si>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</si>
  <si>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</si>
  <si>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na</t>
  </si>
  <si>
    <t>na.</t>
  </si>
  <si>
    <t xml:space="preserve"> 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</si>
  <si>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</si>
  <si>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</si>
  <si>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</si>
  <si>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</si>
  <si>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</si>
  <si>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</si>
  <si>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</si>
  <si>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</si>
  <si>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</si>
  <si>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</si>
  <si>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</si>
  <si>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</si>
  <si>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</si>
  <si>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</si>
  <si>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</si>
  <si>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</si>
  <si>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1S 2018</t>
  </si>
  <si>
    <t>IPC (1S 2018)</t>
  </si>
  <si>
    <t>Gasto efectivo real 1S 2018</t>
  </si>
  <si>
    <t>Gasto efectivo real por beneficiario 1S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</si>
  <si>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</si>
  <si>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</si>
  <si>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</si>
  <si>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</si>
  <si>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</si>
  <si>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IPC ( 2018)</t>
  </si>
  <si>
    <t>Gasto efectivo real  2018</t>
  </si>
  <si>
    <t>Gasto efectivo real por beneficiario  2018</t>
  </si>
  <si>
    <t xml:space="preserve">n.d. </t>
  </si>
  <si>
    <t>Apoyo económico</t>
  </si>
  <si>
    <t>Total prevención consumo drogas</t>
  </si>
  <si>
    <t>Divulgación y movilización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</si>
  <si>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</si>
  <si>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</si>
  <si>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</si>
  <si>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</si>
  <si>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</si>
  <si>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</si>
  <si>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</si>
  <si>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Fuentes:  Informes Trimestrales IAFA 2018 y 2019 - Cronogramas de Metas e Inversión - Modificaciones 2019 - IPC, INEC 2018 y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</si>
  <si>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</si>
  <si>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</si>
  <si>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</si>
  <si>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</si>
  <si>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</si>
  <si>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</si>
  <si>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</si>
  <si>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</si>
  <si>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</si>
  <si>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</si>
  <si>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</si>
  <si>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</si>
  <si>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</si>
  <si>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</si>
  <si>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</si>
  <si>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</si>
  <si>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</si>
  <si>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</si>
  <si>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</si>
  <si>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</si>
  <si>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</si>
  <si>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</si>
  <si>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</si>
  <si>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</si>
  <si>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</si>
  <si>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</si>
  <si>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</si>
  <si>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</si>
  <si>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</si>
  <si>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</si>
  <si>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</si>
  <si>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</si>
  <si>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</si>
  <si>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</si>
  <si>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</si>
  <si>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</si>
  <si>
    <t>n.d.</t>
  </si>
  <si>
    <t xml:space="preserve">Gasto programado acumulado por beneficiario (GPB) </t>
  </si>
  <si>
    <t xml:space="preserve">Gasto efectivo acumulado por beneficiario (GEB) </t>
  </si>
  <si>
    <t>Tratamiento</t>
  </si>
  <si>
    <t>Prevención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</si>
</sst>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____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 indent="1"/>
    </xf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0" fillId="0" borderId="8" xfId="0" applyFill="1" applyBorder="1"/>
    <xf numFmtId="166" fontId="0" fillId="0" borderId="0" xfId="0" applyNumberFormat="1" applyFill="1"/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 indent="2"/>
    </xf>
    <xf numFmtId="0" fontId="0" fillId="0" borderId="8" xfId="0" applyFont="1" applyFill="1" applyBorder="1"/>
    <xf numFmtId="0" fontId="0" fillId="0" borderId="0" xfId="0" applyFont="1" applyFill="1" applyBorder="1"/>
    <xf numFmtId="166" fontId="0" fillId="0" borderId="0" xfId="0" applyNumberFormat="1" applyFont="1" applyFill="1"/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8" xfId="0" applyFill="1" applyBorder="1" applyAlignment="1">
      <alignment horizontal="right"/>
    </xf>
    <xf numFmtId="0" fontId="2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left"/>
    </xf>
    <xf numFmtId="1" fontId="0" fillId="0" borderId="0" xfId="0" applyNumberFormat="1" applyFont="1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165" fontId="0" fillId="0" borderId="0" xfId="0" applyNumberFormat="1" applyFont="1" applyFill="1"/>
    <xf numFmtId="2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mruColors>
      <color rgb="FF102D7C"/>
      <color rgb="FFA2BFE6"/>
      <color rgb="FF40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resultado 2019</a:t>
            </a:r>
          </a:p>
        </c:rich>
      </c:tx>
      <c:layout>
        <c:manualLayout>
          <c:xMode val="edge"/>
          <c:yMode val="edge"/>
          <c:x val="0.27103237986140283"/>
          <c:y val="3.363776301033587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(Anual!$B$52:$C$52,Anual!$F$52)</c:f>
              <c:numCache>
                <c:formatCode>#,##0.00</c:formatCode>
                <c:ptCount val="3"/>
                <c:pt idx="0">
                  <c:v>156.32015617374327</c:v>
                </c:pt>
                <c:pt idx="1">
                  <c:v>384.13597733711049</c:v>
                </c:pt>
                <c:pt idx="2">
                  <c:v>108.90330188679245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15D-A6F6-F2611599A16F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(Anual!$B$53:$C$53,Anual!$F$53)</c:f>
              <c:numCache>
                <c:formatCode>#,##0.00</c:formatCode>
                <c:ptCount val="3"/>
                <c:pt idx="0">
                  <c:v>88.029911611287631</c:v>
                </c:pt>
                <c:pt idx="1">
                  <c:v>86.181618685007194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15D-A6F6-F2611599A16F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(Anual!$B$54:$C$54,Anual!$F$54)</c:f>
              <c:numCache>
                <c:formatCode>#,##0.00</c:formatCode>
                <c:ptCount val="3"/>
                <c:pt idx="0">
                  <c:v>122.17503389251544</c:v>
                </c:pt>
                <c:pt idx="1">
                  <c:v>235.15879801105885</c:v>
                </c:pt>
                <c:pt idx="2">
                  <c:v>104.45165094339623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A-415D-A6F6-F2611599A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431296"/>
        <c:axId val="51432832"/>
        <c:axId val="0"/>
      </c:bar3DChart>
      <c:catAx>
        <c:axId val="5143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432832"/>
        <c:crosses val="autoZero"/>
        <c:auto val="1"/>
        <c:lblAlgn val="ctr"/>
        <c:lblOffset val="100"/>
        <c:noMultiLvlLbl val="0"/>
      </c:catAx>
      <c:valAx>
        <c:axId val="51432832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43129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avance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(Anual!$B$57:$C$57,Anual!$F$57)</c:f>
              <c:numCache>
                <c:formatCode>#,##0.00</c:formatCode>
                <c:ptCount val="3"/>
                <c:pt idx="0">
                  <c:v>151.58542356838618</c:v>
                </c:pt>
                <c:pt idx="1">
                  <c:v>325.17985611510795</c:v>
                </c:pt>
                <c:pt idx="2">
                  <c:v>108.90330188679245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B-4FE8-AF2F-80E7B021D776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(Anual!$B$58:$C$58,Anual!$F$58)</c:f>
              <c:numCache>
                <c:formatCode>#,##0.00</c:formatCode>
                <c:ptCount val="3"/>
                <c:pt idx="0">
                  <c:v>88.029911611287631</c:v>
                </c:pt>
                <c:pt idx="1">
                  <c:v>86.181618685007194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B-4FE8-AF2F-80E7B021D776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(Anual!$B$59:$C$59,Anual!$F$59)</c:f>
              <c:numCache>
                <c:formatCode>#,##0.00</c:formatCode>
                <c:ptCount val="3"/>
                <c:pt idx="0">
                  <c:v>119.80766758983691</c:v>
                </c:pt>
                <c:pt idx="1">
                  <c:v>205.68073740005758</c:v>
                </c:pt>
                <c:pt idx="2">
                  <c:v>104.45165094339623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B-4FE8-AF2F-80E7B021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1813376"/>
        <c:axId val="51905280"/>
        <c:axId val="0"/>
      </c:bar3DChart>
      <c:catAx>
        <c:axId val="518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905280"/>
        <c:crosses val="autoZero"/>
        <c:auto val="1"/>
        <c:lblAlgn val="ctr"/>
        <c:lblOffset val="100"/>
        <c:noMultiLvlLbl val="0"/>
      </c:catAx>
      <c:valAx>
        <c:axId val="5190528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81337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(Anual!$B$65:$C$65,Anual!$F$65)</c:f>
              <c:numCache>
                <c:formatCode>#,##0.00</c:formatCode>
                <c:ptCount val="3"/>
                <c:pt idx="0">
                  <c:v>98.082869511440947</c:v>
                </c:pt>
                <c:pt idx="1">
                  <c:v>186.68076109936575</c:v>
                </c:pt>
                <c:pt idx="2">
                  <c:v>61.451048951048961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4-4B1D-8408-67DF75180DC4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(Anual!$B$66:$C$66,Anual!$F$66)</c:f>
              <c:numCache>
                <c:formatCode>#,##0.00</c:formatCode>
                <c:ptCount val="3"/>
                <c:pt idx="0">
                  <c:v>31.228278336197324</c:v>
                </c:pt>
                <c:pt idx="1">
                  <c:v>24.382936262575395</c:v>
                </c:pt>
                <c:pt idx="2">
                  <c:v>89.408431663855552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4-4B1D-8408-67DF75180DC4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(Anual!$B$67:$C$67,Anual!$F$67)</c:f>
              <c:numCache>
                <c:formatCode>#,##0.00</c:formatCode>
                <c:ptCount val="3"/>
                <c:pt idx="0">
                  <c:v>-33.750819210230695</c:v>
                </c:pt>
                <c:pt idx="1">
                  <c:v>-56.612736834662122</c:v>
                </c:pt>
                <c:pt idx="2">
                  <c:v>17.316321507011768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4-4B1D-8408-67DF75180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442432"/>
        <c:axId val="53443968"/>
        <c:axId val="0"/>
      </c:bar3DChart>
      <c:catAx>
        <c:axId val="534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443968"/>
        <c:crosses val="autoZero"/>
        <c:auto val="1"/>
        <c:lblAlgn val="ctr"/>
        <c:lblOffset val="100"/>
        <c:noMultiLvlLbl val="0"/>
      </c:catAx>
      <c:valAx>
        <c:axId val="5344396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44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827598584010774E-2"/>
          <c:y val="0.91459253653348627"/>
          <c:w val="0.97896336993967359"/>
          <c:h val="6.256661020890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Indicadores de gasto medio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(Anual!$B$70:$C$70,Anual!$F$70)</c:f>
              <c:numCache>
                <c:formatCode>#,##0.00</c:formatCode>
                <c:ptCount val="3"/>
                <c:pt idx="0">
                  <c:v>43785.030746705714</c:v>
                </c:pt>
                <c:pt idx="1">
                  <c:v>220157.30311614732</c:v>
                </c:pt>
                <c:pt idx="2">
                  <c:v>7075.4716981132078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6-4CC8-8744-8962E0789E60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(Anual!$B$71:$C$71,Anual!$F$71)</c:f>
              <c:numCache>
                <c:formatCode>#,##0.00</c:formatCode>
                <c:ptCount val="3"/>
                <c:pt idx="0">
                  <c:v>24657.04027474243</c:v>
                </c:pt>
                <c:pt idx="1">
                  <c:v>49392.699115044248</c:v>
                </c:pt>
                <c:pt idx="2">
                  <c:v>6497.0221981591767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6-4CC8-8744-8962E0789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27968"/>
        <c:axId val="62229504"/>
        <c:axId val="0"/>
      </c:bar3DChart>
      <c:catAx>
        <c:axId val="622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229504"/>
        <c:crosses val="autoZero"/>
        <c:auto val="1"/>
        <c:lblAlgn val="ctr"/>
        <c:lblOffset val="100"/>
        <c:noMultiLvlLbl val="0"/>
      </c:catAx>
      <c:valAx>
        <c:axId val="622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227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IAFA: 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Anual!$A$77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(Anual!$B$77:$C$77,Anual!$F$77)</c:f>
              <c:numCache>
                <c:formatCode>#,##0.00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A-4C7E-8A80-E93546000EF6}"/>
            </c:ext>
          </c:extLst>
        </c:ser>
        <c:ser>
          <c:idx val="1"/>
          <c:order val="1"/>
          <c:tx>
            <c:strRef>
              <c:f>Anual!$A$78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(Anual!$B$78:$C$78,Anual!$F$78)</c:f>
              <c:numCache>
                <c:formatCode>#,##0.00</c:formatCode>
                <c:ptCount val="3"/>
                <c:pt idx="0">
                  <c:v>88.029911611287631</c:v>
                </c:pt>
                <c:pt idx="1">
                  <c:v>86.181618685007194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A-4C7E-8A80-E9354600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4949760"/>
        <c:axId val="74951296"/>
        <c:axId val="0"/>
      </c:bar3DChart>
      <c:catAx>
        <c:axId val="7494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4951296"/>
        <c:crosses val="autoZero"/>
        <c:auto val="1"/>
        <c:lblAlgn val="ctr"/>
        <c:lblOffset val="100"/>
        <c:noMultiLvlLbl val="0"/>
      </c:catAx>
      <c:valAx>
        <c:axId val="7495129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4949760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IAFA: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2810955789796492E-17"/>
                  <c:y val="-1.9753095636712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E5-4428-9BC5-6D3C6CA5C6F7}"/>
                </c:ext>
              </c:extLst>
            </c:dLbl>
            <c:dLbl>
              <c:idx val="1"/>
              <c:layout>
                <c:manualLayout>
                  <c:x val="0"/>
                  <c:y val="-2.3703714764054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E5-4428-9BC5-6D3C6CA5C6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(Anual!$B$9,Anual!$C$9,Anual!$F$9)</c:f>
              <c:strCache>
                <c:ptCount val="3"/>
                <c:pt idx="0">
                  <c:v>Total IAFA</c:v>
                </c:pt>
                <c:pt idx="1">
                  <c:v>Tratamiento</c:v>
                </c:pt>
                <c:pt idx="2">
                  <c:v>Prevención</c:v>
                </c:pt>
              </c:strCache>
            </c:strRef>
          </c:cat>
          <c:val>
            <c:numRef>
              <c:f>(Anual!$B$72:$C$72,Anual!$F$72)</c:f>
              <c:numCache>
                <c:formatCode>#,##0.00</c:formatCode>
                <c:ptCount val="3"/>
                <c:pt idx="0">
                  <c:v>68.801475752815961</c:v>
                </c:pt>
                <c:pt idx="1">
                  <c:v>52.758312306759862</c:v>
                </c:pt>
                <c:pt idx="2">
                  <c:v>95.912290200324847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B-40D4-89CE-4BB7AF3B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5014528"/>
        <c:axId val="75016064"/>
        <c:axId val="0"/>
      </c:bar3DChart>
      <c:catAx>
        <c:axId val="750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5016064"/>
        <c:crosses val="autoZero"/>
        <c:auto val="1"/>
        <c:lblAlgn val="ctr"/>
        <c:lblOffset val="100"/>
        <c:noMultiLvlLbl val="0"/>
      </c:catAx>
      <c:valAx>
        <c:axId val="7501606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50145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11907</xdr:rowOff>
    </xdr:from>
    <xdr:ext cx="12049125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4907"/>
          <a:ext cx="12049125" cy="38100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71437</xdr:rowOff>
    </xdr:from>
    <xdr:to>
      <xdr:col>6</xdr:col>
      <xdr:colOff>1175543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47625" y="1214437"/>
          <a:ext cx="1184354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037219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11907</xdr:colOff>
      <xdr:row>6</xdr:row>
      <xdr:rowOff>11906</xdr:rowOff>
    </xdr:from>
    <xdr:ext cx="12037218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7" y="1154906"/>
          <a:ext cx="12037218" cy="38100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71437</xdr:rowOff>
    </xdr:from>
    <xdr:to>
      <xdr:col>6</xdr:col>
      <xdr:colOff>1231105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47625" y="1214437"/>
          <a:ext cx="1189910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06-08-2019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037219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49124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49124" cy="38100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71437</xdr:rowOff>
    </xdr:from>
    <xdr:to>
      <xdr:col>6</xdr:col>
      <xdr:colOff>1195387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47625" y="1214437"/>
          <a:ext cx="1186338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037219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49124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49124" cy="38100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71437</xdr:rowOff>
    </xdr:from>
    <xdr:to>
      <xdr:col>6</xdr:col>
      <xdr:colOff>1207293</xdr:colOff>
      <xdr:row>7</xdr:row>
      <xdr:rowOff>178592</xdr:rowOff>
    </xdr:to>
    <xdr:sp macro="" textlink="">
      <xdr:nvSpPr>
        <xdr:cNvPr id="3" name="CuadroTexto 2"/>
        <xdr:cNvSpPr txBox="1"/>
      </xdr:nvSpPr>
      <xdr:spPr>
        <a:xfrm>
          <a:off x="47625" y="1214437"/>
          <a:ext cx="1187529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01-11-2019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037219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49124" cy="39290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4912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5</xdr:row>
      <xdr:rowOff>166689</xdr:rowOff>
    </xdr:from>
    <xdr:to>
      <xdr:col>6</xdr:col>
      <xdr:colOff>1238250</xdr:colOff>
      <xdr:row>8</xdr:row>
      <xdr:rowOff>71436</xdr:rowOff>
    </xdr:to>
    <xdr:sp macro="" textlink="">
      <xdr:nvSpPr>
        <xdr:cNvPr id="3" name="CuadroTexto 2"/>
        <xdr:cNvSpPr txBox="1"/>
      </xdr:nvSpPr>
      <xdr:spPr>
        <a:xfrm>
          <a:off x="0" y="1119189"/>
          <a:ext cx="11953875" cy="4762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06-08-2019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11906</xdr:colOff>
      <xdr:row>6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12037219" cy="114299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049124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049124" cy="381000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71436</xdr:rowOff>
    </xdr:from>
    <xdr:to>
      <xdr:col>6</xdr:col>
      <xdr:colOff>1207293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47625" y="1214436"/>
          <a:ext cx="1187529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10-03-2020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037219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14</xdr:row>
      <xdr:rowOff>164306</xdr:rowOff>
    </xdr:from>
    <xdr:to>
      <xdr:col>17</xdr:col>
      <xdr:colOff>250030</xdr:colOff>
      <xdr:row>31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-1</xdr:colOff>
      <xdr:row>32</xdr:row>
      <xdr:rowOff>164307</xdr:rowOff>
    </xdr:from>
    <xdr:to>
      <xdr:col>17</xdr:col>
      <xdr:colOff>226218</xdr:colOff>
      <xdr:row>49</xdr:row>
      <xdr:rowOff>-1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678657</xdr:colOff>
      <xdr:row>50</xdr:row>
      <xdr:rowOff>164306</xdr:rowOff>
    </xdr:from>
    <xdr:to>
      <xdr:col>17</xdr:col>
      <xdr:colOff>714374</xdr:colOff>
      <xdr:row>69</xdr:row>
      <xdr:rowOff>130968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11905</xdr:colOff>
      <xdr:row>14</xdr:row>
      <xdr:rowOff>188120</xdr:rowOff>
    </xdr:from>
    <xdr:to>
      <xdr:col>27</xdr:col>
      <xdr:colOff>214313</xdr:colOff>
      <xdr:row>31</xdr:row>
      <xdr:rowOff>166686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</xdr:colOff>
      <xdr:row>33</xdr:row>
      <xdr:rowOff>9525</xdr:rowOff>
    </xdr:from>
    <xdr:to>
      <xdr:col>27</xdr:col>
      <xdr:colOff>202406</xdr:colOff>
      <xdr:row>49</xdr:row>
      <xdr:rowOff>166686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11905</xdr:colOff>
      <xdr:row>52</xdr:row>
      <xdr:rowOff>0</xdr:rowOff>
    </xdr:from>
    <xdr:to>
      <xdr:col>28</xdr:col>
      <xdr:colOff>250030</xdr:colOff>
      <xdr:row>68</xdr:row>
      <xdr:rowOff>166686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2049124" cy="392906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43000"/>
          <a:ext cx="12049124" cy="392906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71436</xdr:rowOff>
    </xdr:from>
    <xdr:to>
      <xdr:col>6</xdr:col>
      <xdr:colOff>1207293</xdr:colOff>
      <xdr:row>7</xdr:row>
      <xdr:rowOff>178591</xdr:rowOff>
    </xdr:to>
    <xdr:sp macro="" textlink="">
      <xdr:nvSpPr>
        <xdr:cNvPr id="10" name="CuadroTexto 9"/>
        <xdr:cNvSpPr txBox="1"/>
      </xdr:nvSpPr>
      <xdr:spPr>
        <a:xfrm>
          <a:off x="47625" y="1214436"/>
          <a:ext cx="1187529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Instituto sobre Alcoholismo y Farmacodependencia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Programa Prevención y Tratamiento del Consumo de Alcohol, Tabaco y otras Drogas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10-03-2020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2037219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0</xdr:col>
      <xdr:colOff>3270461</xdr:colOff>
      <xdr:row>5</xdr:row>
      <xdr:rowOff>136071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2807818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85"/>
  <sheetViews>
    <sheetView showGridLines="0" tabSelected="1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5703125" style="11" customWidth="1"/>
    <col min="2" max="7" width="19.5703125" style="11" customWidth="1"/>
    <col min="8" max="16384" width="11.42578125" style="11"/>
  </cols>
  <sheetData>
    <row r="9" spans="1:7" s="6" customForma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77</v>
      </c>
      <c r="G10" s="33" t="s">
        <v>78</v>
      </c>
    </row>
    <row r="11" spans="1: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7" ht="15.75" thickTop="1" x14ac:dyDescent="0.25"/>
    <row r="13" spans="1:7" x14ac:dyDescent="0.25">
      <c r="A13" s="6" t="s">
        <v>4</v>
      </c>
    </row>
    <row r="15" spans="1:7" x14ac:dyDescent="0.25">
      <c r="A15" s="6" t="s">
        <v>41</v>
      </c>
    </row>
    <row r="16" spans="1:7" x14ac:dyDescent="0.25">
      <c r="A16" s="9" t="s">
        <v>47</v>
      </c>
      <c r="B16" s="23">
        <f>C16+F16</f>
        <v>98</v>
      </c>
      <c r="C16" s="23">
        <f>D16+E16</f>
        <v>98</v>
      </c>
      <c r="D16" s="23">
        <v>25</v>
      </c>
      <c r="E16" s="23">
        <v>73</v>
      </c>
      <c r="F16" s="23">
        <f t="shared" ref="F16:F21" si="0">SUM(G16:G16)</f>
        <v>0</v>
      </c>
      <c r="G16" s="23">
        <v>0</v>
      </c>
    </row>
    <row r="17" spans="1:9" x14ac:dyDescent="0.25">
      <c r="A17" s="12" t="s">
        <v>42</v>
      </c>
      <c r="B17" s="23">
        <f>C17+F17</f>
        <v>136</v>
      </c>
      <c r="C17" s="23">
        <f>D17+E17</f>
        <v>136</v>
      </c>
      <c r="D17" s="23">
        <v>63</v>
      </c>
      <c r="E17" s="23">
        <v>73</v>
      </c>
      <c r="F17" s="23">
        <f t="shared" si="0"/>
        <v>0</v>
      </c>
      <c r="G17" s="23">
        <v>0</v>
      </c>
    </row>
    <row r="18" spans="1:9" x14ac:dyDescent="0.25">
      <c r="A18" s="9" t="s">
        <v>79</v>
      </c>
      <c r="B18" s="23">
        <f t="shared" ref="B18:B21" si="1">C18+F18</f>
        <v>88</v>
      </c>
      <c r="C18" s="23">
        <f t="shared" ref="C18:C21" si="2">D18+E18</f>
        <v>88</v>
      </c>
      <c r="D18" s="23">
        <v>25</v>
      </c>
      <c r="E18" s="23">
        <v>63</v>
      </c>
      <c r="F18" s="23">
        <f t="shared" si="0"/>
        <v>0</v>
      </c>
      <c r="G18" s="23">
        <v>0</v>
      </c>
    </row>
    <row r="19" spans="1:9" x14ac:dyDescent="0.25">
      <c r="A19" s="9" t="s">
        <v>80</v>
      </c>
      <c r="B19" s="23">
        <f>C19+F19</f>
        <v>337</v>
      </c>
      <c r="C19" s="23">
        <f>D19+E19</f>
        <v>337</v>
      </c>
      <c r="D19" s="23">
        <v>67</v>
      </c>
      <c r="E19" s="23">
        <v>270</v>
      </c>
      <c r="F19" s="23">
        <f t="shared" si="0"/>
        <v>0</v>
      </c>
      <c r="G19" s="23">
        <v>0</v>
      </c>
    </row>
    <row r="20" spans="1:9" x14ac:dyDescent="0.25">
      <c r="A20" s="12" t="s">
        <v>42</v>
      </c>
      <c r="B20" s="23">
        <f>C20+F20</f>
        <v>313</v>
      </c>
      <c r="C20" s="23">
        <f>D20+E20</f>
        <v>313</v>
      </c>
      <c r="D20" s="23">
        <v>43</v>
      </c>
      <c r="E20" s="23">
        <v>270</v>
      </c>
      <c r="F20" s="23">
        <f t="shared" si="0"/>
        <v>0</v>
      </c>
      <c r="G20" s="23">
        <v>0</v>
      </c>
    </row>
    <row r="21" spans="1:9" x14ac:dyDescent="0.25">
      <c r="A21" s="9" t="s">
        <v>81</v>
      </c>
      <c r="B21" s="23">
        <f t="shared" si="1"/>
        <v>2113</v>
      </c>
      <c r="C21" s="23">
        <f t="shared" si="2"/>
        <v>417</v>
      </c>
      <c r="D21" s="23">
        <v>165</v>
      </c>
      <c r="E21" s="23">
        <v>252</v>
      </c>
      <c r="F21" s="23">
        <f t="shared" si="0"/>
        <v>1696</v>
      </c>
      <c r="G21" s="23">
        <v>1696</v>
      </c>
    </row>
    <row r="22" spans="1:9" x14ac:dyDescent="0.25">
      <c r="B22" s="21"/>
      <c r="C22" s="21"/>
      <c r="D22" s="21"/>
      <c r="E22" s="21"/>
      <c r="F22" s="21"/>
      <c r="G22" s="21"/>
    </row>
    <row r="23" spans="1:9" x14ac:dyDescent="0.25">
      <c r="A23" s="20" t="s">
        <v>5</v>
      </c>
      <c r="B23" s="21"/>
      <c r="C23" s="21"/>
      <c r="D23" s="21"/>
      <c r="E23" s="21"/>
      <c r="F23" s="21"/>
      <c r="G23" s="21"/>
    </row>
    <row r="24" spans="1:9" x14ac:dyDescent="0.25">
      <c r="A24" s="9" t="s">
        <v>47</v>
      </c>
      <c r="B24" s="23">
        <f>C24+F24</f>
        <v>6791266.6100000003</v>
      </c>
      <c r="C24" s="23">
        <f>D24+E24</f>
        <v>6791266.6100000003</v>
      </c>
      <c r="D24" s="23">
        <v>5953316.6100000003</v>
      </c>
      <c r="E24" s="23">
        <v>837950</v>
      </c>
      <c r="F24" s="23">
        <f>SUM(G24:G24)</f>
        <v>0</v>
      </c>
      <c r="G24" s="23">
        <v>0</v>
      </c>
    </row>
    <row r="25" spans="1:9" x14ac:dyDescent="0.25">
      <c r="A25" s="9" t="s">
        <v>79</v>
      </c>
      <c r="B25" s="23">
        <f>C25+F25</f>
        <v>29000000</v>
      </c>
      <c r="C25" s="23">
        <f>D25+E25</f>
        <v>29000000</v>
      </c>
      <c r="D25" s="23">
        <v>27000000</v>
      </c>
      <c r="E25" s="23">
        <v>2000000</v>
      </c>
      <c r="F25" s="23">
        <f>SUM(G25:G25)</f>
        <v>0</v>
      </c>
      <c r="G25" s="23">
        <v>0</v>
      </c>
    </row>
    <row r="26" spans="1:9" x14ac:dyDescent="0.25">
      <c r="A26" s="9" t="s">
        <v>80</v>
      </c>
      <c r="B26" s="23">
        <f>C26+F26</f>
        <v>14243984.02</v>
      </c>
      <c r="C26" s="23">
        <f>D26+E26</f>
        <v>14243984.02</v>
      </c>
      <c r="D26" s="23">
        <v>12741344.02</v>
      </c>
      <c r="E26" s="23">
        <v>1502640</v>
      </c>
      <c r="F26" s="23">
        <f>SUM(G26:G26)</f>
        <v>0</v>
      </c>
      <c r="G26" s="23">
        <v>0</v>
      </c>
      <c r="I26" s="10"/>
    </row>
    <row r="27" spans="1:9" x14ac:dyDescent="0.25">
      <c r="A27" s="9" t="s">
        <v>81</v>
      </c>
      <c r="B27" s="23">
        <f>C27+F27</f>
        <v>89715528</v>
      </c>
      <c r="C27" s="23">
        <f>D27+E27</f>
        <v>77715528</v>
      </c>
      <c r="D27" s="23">
        <v>69715528</v>
      </c>
      <c r="E27" s="23">
        <v>8000000</v>
      </c>
      <c r="F27" s="23">
        <f>SUM(G27:G27)</f>
        <v>12000000</v>
      </c>
      <c r="G27" s="23">
        <v>12000000</v>
      </c>
    </row>
    <row r="28" spans="1:9" x14ac:dyDescent="0.25">
      <c r="A28" s="9" t="s">
        <v>82</v>
      </c>
      <c r="B28" s="23">
        <f>+C28+F28</f>
        <v>14243984.02</v>
      </c>
      <c r="C28" s="23">
        <f>+D28+E28</f>
        <v>14243984.02</v>
      </c>
      <c r="D28" s="23">
        <f>D26</f>
        <v>12741344.02</v>
      </c>
      <c r="E28" s="23">
        <f>+E26</f>
        <v>1502640</v>
      </c>
      <c r="F28" s="23">
        <f>G28</f>
        <v>0</v>
      </c>
      <c r="G28" s="23">
        <f>G26</f>
        <v>0</v>
      </c>
    </row>
    <row r="29" spans="1:9" x14ac:dyDescent="0.25">
      <c r="B29" s="21"/>
      <c r="C29" s="21"/>
      <c r="D29" s="21"/>
      <c r="E29" s="21"/>
      <c r="F29" s="21"/>
      <c r="G29" s="21"/>
    </row>
    <row r="30" spans="1:9" x14ac:dyDescent="0.25">
      <c r="A30" s="20" t="s">
        <v>6</v>
      </c>
      <c r="B30" s="21"/>
      <c r="C30" s="21"/>
      <c r="D30" s="21"/>
      <c r="E30" s="21"/>
      <c r="F30" s="21"/>
      <c r="G30" s="21"/>
    </row>
    <row r="31" spans="1:9" x14ac:dyDescent="0.25">
      <c r="A31" s="9" t="s">
        <v>79</v>
      </c>
      <c r="B31" s="23">
        <f>B25</f>
        <v>29000000</v>
      </c>
      <c r="C31" s="23">
        <f>C25</f>
        <v>29000000</v>
      </c>
      <c r="D31" s="23"/>
      <c r="E31" s="23"/>
      <c r="F31" s="23">
        <f>F25</f>
        <v>0</v>
      </c>
      <c r="G31" s="23"/>
    </row>
    <row r="32" spans="1:9" x14ac:dyDescent="0.25">
      <c r="A32" s="9" t="s">
        <v>80</v>
      </c>
      <c r="B32" s="23">
        <f>C32+F32</f>
        <v>29000000</v>
      </c>
      <c r="C32" s="23">
        <v>29000000</v>
      </c>
      <c r="D32" s="23"/>
      <c r="E32" s="23"/>
      <c r="F32" s="23">
        <v>0</v>
      </c>
      <c r="G32" s="23"/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6" t="s">
        <v>7</v>
      </c>
      <c r="B34" s="22"/>
      <c r="C34" s="22"/>
      <c r="D34" s="22"/>
      <c r="E34" s="22"/>
      <c r="F34" s="22"/>
      <c r="G34" s="22"/>
    </row>
    <row r="35" spans="1:7" x14ac:dyDescent="0.25">
      <c r="A35" s="9" t="s">
        <v>48</v>
      </c>
      <c r="B35" s="31">
        <v>1.0304675706999999</v>
      </c>
      <c r="C35" s="31">
        <v>1.0304675706999999</v>
      </c>
      <c r="D35" s="31">
        <v>1.0304675706999999</v>
      </c>
      <c r="E35" s="31">
        <v>1.0304675706999999</v>
      </c>
      <c r="F35" s="31">
        <v>1.0304675706999999</v>
      </c>
      <c r="G35" s="31">
        <v>1.0304675706999999</v>
      </c>
    </row>
    <row r="36" spans="1:7" x14ac:dyDescent="0.25">
      <c r="A36" s="9" t="s">
        <v>83</v>
      </c>
      <c r="B36" s="31">
        <v>1.0451016243</v>
      </c>
      <c r="C36" s="31">
        <v>1.0451016243</v>
      </c>
      <c r="D36" s="31">
        <v>1.0451016243</v>
      </c>
      <c r="E36" s="31">
        <v>1.0451016243</v>
      </c>
      <c r="F36" s="31">
        <v>1.0451016243</v>
      </c>
      <c r="G36" s="31">
        <v>1.0451016243</v>
      </c>
    </row>
    <row r="37" spans="1:7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7" x14ac:dyDescent="0.25">
      <c r="B38" s="22"/>
      <c r="C38" s="22"/>
      <c r="D38" s="22"/>
      <c r="E38" s="22"/>
      <c r="F38" s="22"/>
      <c r="G38" s="22"/>
    </row>
    <row r="39" spans="1:7" x14ac:dyDescent="0.25">
      <c r="A39" s="6" t="s">
        <v>9</v>
      </c>
      <c r="B39" s="22"/>
      <c r="C39" s="22"/>
      <c r="D39" s="22"/>
      <c r="E39" s="22"/>
      <c r="F39" s="22"/>
      <c r="G39" s="22"/>
    </row>
    <row r="40" spans="1:7" x14ac:dyDescent="0.25">
      <c r="A40" s="11" t="s">
        <v>49</v>
      </c>
      <c r="B40" s="23">
        <f>B24/B35</f>
        <v>6590470.9697818737</v>
      </c>
      <c r="C40" s="23">
        <f t="shared" ref="C40:E40" si="3">C24/C35</f>
        <v>6590470.9697818737</v>
      </c>
      <c r="D40" s="23">
        <f>D24/D35</f>
        <v>5777296.4227839727</v>
      </c>
      <c r="E40" s="23">
        <f t="shared" si="3"/>
        <v>813174.54699790105</v>
      </c>
      <c r="F40" s="23">
        <f t="shared" ref="F40:G40" si="4">F24/F35</f>
        <v>0</v>
      </c>
      <c r="G40" s="23">
        <f t="shared" si="4"/>
        <v>0</v>
      </c>
    </row>
    <row r="41" spans="1:7" x14ac:dyDescent="0.25">
      <c r="A41" s="11" t="s">
        <v>84</v>
      </c>
      <c r="B41" s="23">
        <f>B26/B36</f>
        <v>13629281.29552999</v>
      </c>
      <c r="C41" s="23">
        <f>C26/C36</f>
        <v>13629281.29552999</v>
      </c>
      <c r="D41" s="23">
        <f t="shared" ref="D41" si="5">D26/D36</f>
        <v>12191488.103880847</v>
      </c>
      <c r="E41" s="23">
        <f>E26/E36</f>
        <v>1437793.1916491424</v>
      </c>
      <c r="F41" s="23">
        <f t="shared" ref="F41:G41" si="6">F26/F36</f>
        <v>0</v>
      </c>
      <c r="G41" s="23">
        <f t="shared" si="6"/>
        <v>0</v>
      </c>
    </row>
    <row r="42" spans="1:7" x14ac:dyDescent="0.25">
      <c r="A42" s="11" t="s">
        <v>50</v>
      </c>
      <c r="B42" s="23">
        <f t="shared" ref="B42:C42" si="7">B40/B16</f>
        <v>67249.703773284433</v>
      </c>
      <c r="C42" s="23">
        <f t="shared" si="7"/>
        <v>67249.703773284433</v>
      </c>
      <c r="D42" s="23">
        <f>D40/D16</f>
        <v>231091.85691135892</v>
      </c>
      <c r="E42" s="23">
        <f>E40/E16</f>
        <v>11139.37735613563</v>
      </c>
      <c r="F42" s="23" t="s">
        <v>123</v>
      </c>
      <c r="G42" s="23" t="s">
        <v>123</v>
      </c>
    </row>
    <row r="43" spans="1:7" x14ac:dyDescent="0.25">
      <c r="A43" s="11" t="s">
        <v>85</v>
      </c>
      <c r="B43" s="23">
        <f t="shared" ref="B43:C43" si="8">B41/B19</f>
        <v>40442.971203353081</v>
      </c>
      <c r="C43" s="23">
        <f t="shared" si="8"/>
        <v>40442.971203353081</v>
      </c>
      <c r="D43" s="23">
        <f>D41/D19</f>
        <v>181962.50901314698</v>
      </c>
      <c r="E43" s="23">
        <f>E41/E19</f>
        <v>5325.1599690708981</v>
      </c>
      <c r="F43" s="23" t="s">
        <v>123</v>
      </c>
      <c r="G43" s="23" t="s">
        <v>123</v>
      </c>
    </row>
    <row r="44" spans="1:7" x14ac:dyDescent="0.25">
      <c r="B44" s="24"/>
      <c r="C44" s="24"/>
      <c r="D44" s="24"/>
      <c r="E44" s="24"/>
      <c r="F44" s="24"/>
      <c r="G44" s="24"/>
    </row>
    <row r="45" spans="1:7" x14ac:dyDescent="0.25">
      <c r="A45" s="6" t="s">
        <v>10</v>
      </c>
      <c r="B45" s="24"/>
      <c r="C45" s="24"/>
      <c r="D45" s="24"/>
      <c r="E45" s="24"/>
      <c r="F45" s="24"/>
      <c r="G45" s="24"/>
    </row>
    <row r="46" spans="1:7" x14ac:dyDescent="0.25">
      <c r="B46" s="24"/>
      <c r="C46" s="24"/>
      <c r="D46" s="24"/>
      <c r="E46" s="24"/>
      <c r="F46" s="24"/>
      <c r="G46" s="24"/>
    </row>
    <row r="47" spans="1:7" x14ac:dyDescent="0.25">
      <c r="A47" s="6" t="s">
        <v>11</v>
      </c>
      <c r="B47" s="24"/>
      <c r="C47" s="24"/>
      <c r="D47" s="24"/>
      <c r="E47" s="24"/>
      <c r="F47" s="24"/>
      <c r="G47" s="24"/>
    </row>
    <row r="48" spans="1:7" x14ac:dyDescent="0.25">
      <c r="A48" s="11" t="s">
        <v>12</v>
      </c>
      <c r="B48" s="29" t="s">
        <v>44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</row>
    <row r="49" spans="1:7" x14ac:dyDescent="0.25">
      <c r="A49" s="11" t="s">
        <v>13</v>
      </c>
      <c r="B49" s="29" t="s">
        <v>44</v>
      </c>
      <c r="C49" s="29" t="s">
        <v>44</v>
      </c>
      <c r="D49" s="29" t="s">
        <v>44</v>
      </c>
      <c r="E49" s="29" t="s">
        <v>44</v>
      </c>
      <c r="F49" s="29" t="s">
        <v>44</v>
      </c>
      <c r="G49" s="29" t="s">
        <v>44</v>
      </c>
    </row>
    <row r="50" spans="1:7" x14ac:dyDescent="0.25">
      <c r="B50" s="24"/>
      <c r="C50" s="24"/>
      <c r="D50" s="24"/>
      <c r="E50" s="24"/>
      <c r="F50" s="24"/>
      <c r="G50" s="24"/>
    </row>
    <row r="51" spans="1:7" x14ac:dyDescent="0.25">
      <c r="A51" s="6" t="s">
        <v>14</v>
      </c>
      <c r="B51" s="24"/>
      <c r="C51" s="24"/>
      <c r="D51" s="24"/>
      <c r="E51" s="24"/>
      <c r="F51" s="24"/>
      <c r="G51" s="24"/>
    </row>
    <row r="52" spans="1:7" x14ac:dyDescent="0.25">
      <c r="A52" s="11" t="s">
        <v>15</v>
      </c>
      <c r="B52" s="26">
        <f>B19/B18*100</f>
        <v>382.95454545454544</v>
      </c>
      <c r="C52" s="26">
        <f t="shared" ref="C52:D52" si="9">C19/C18*100</f>
        <v>382.95454545454544</v>
      </c>
      <c r="D52" s="26">
        <f t="shared" si="9"/>
        <v>268</v>
      </c>
      <c r="E52" s="26">
        <f>E19/E18*100</f>
        <v>428.57142857142856</v>
      </c>
      <c r="F52" s="23" t="s">
        <v>123</v>
      </c>
      <c r="G52" s="23" t="s">
        <v>123</v>
      </c>
    </row>
    <row r="53" spans="1:7" x14ac:dyDescent="0.25">
      <c r="A53" s="11" t="s">
        <v>16</v>
      </c>
      <c r="B53" s="26">
        <f>B26/B25*100</f>
        <v>49.117186275862068</v>
      </c>
      <c r="C53" s="26">
        <f t="shared" ref="C53:D53" si="10">C26/C25*100</f>
        <v>49.117186275862068</v>
      </c>
      <c r="D53" s="26">
        <f t="shared" si="10"/>
        <v>47.190163037037038</v>
      </c>
      <c r="E53" s="26">
        <f>E26/E25*100</f>
        <v>75.132000000000005</v>
      </c>
      <c r="F53" s="23" t="s">
        <v>123</v>
      </c>
      <c r="G53" s="23" t="s">
        <v>123</v>
      </c>
    </row>
    <row r="54" spans="1:7" x14ac:dyDescent="0.25">
      <c r="A54" s="11" t="s">
        <v>17</v>
      </c>
      <c r="B54" s="26">
        <f t="shared" ref="B54" si="11">AVERAGE(B52:B53)</f>
        <v>216.03586586520376</v>
      </c>
      <c r="C54" s="26">
        <f t="shared" ref="C54:E54" si="12">AVERAGE(C52:C53)</f>
        <v>216.03586586520376</v>
      </c>
      <c r="D54" s="26">
        <f t="shared" si="12"/>
        <v>157.59508151851853</v>
      </c>
      <c r="E54" s="26">
        <f t="shared" si="12"/>
        <v>251.85171428571428</v>
      </c>
      <c r="F54" s="23" t="s">
        <v>123</v>
      </c>
      <c r="G54" s="23" t="s">
        <v>123</v>
      </c>
    </row>
    <row r="55" spans="1:7" x14ac:dyDescent="0.25">
      <c r="B55" s="26"/>
      <c r="C55" s="26"/>
      <c r="D55" s="26"/>
      <c r="E55" s="26"/>
      <c r="F55" s="26"/>
      <c r="G55" s="26"/>
    </row>
    <row r="56" spans="1:7" x14ac:dyDescent="0.25">
      <c r="A56" s="6" t="s">
        <v>18</v>
      </c>
      <c r="B56" s="26"/>
      <c r="C56" s="26"/>
      <c r="D56" s="26"/>
      <c r="E56" s="26"/>
      <c r="F56" s="26"/>
      <c r="G56" s="26"/>
    </row>
    <row r="57" spans="1:7" x14ac:dyDescent="0.25">
      <c r="A57" s="11" t="s">
        <v>19</v>
      </c>
      <c r="B57" s="26">
        <f>(B19/B21)*100</f>
        <v>15.948887837198297</v>
      </c>
      <c r="C57" s="26">
        <f t="shared" ref="C57:G57" si="13">(C19/C21)*100</f>
        <v>80.815347721822533</v>
      </c>
      <c r="D57" s="26">
        <f t="shared" si="13"/>
        <v>40.606060606060609</v>
      </c>
      <c r="E57" s="26">
        <f t="shared" si="13"/>
        <v>107.14285714285714</v>
      </c>
      <c r="F57" s="26">
        <f t="shared" si="13"/>
        <v>0</v>
      </c>
      <c r="G57" s="26">
        <f t="shared" si="13"/>
        <v>0</v>
      </c>
    </row>
    <row r="58" spans="1:7" x14ac:dyDescent="0.25">
      <c r="A58" s="11" t="s">
        <v>20</v>
      </c>
      <c r="B58" s="26">
        <f>B26/B27*100</f>
        <v>15.87683240297042</v>
      </c>
      <c r="C58" s="26">
        <f t="shared" ref="C58:G58" si="14">C26/C27*100</f>
        <v>18.328362923816201</v>
      </c>
      <c r="D58" s="26">
        <f t="shared" si="14"/>
        <v>18.276192385719288</v>
      </c>
      <c r="E58" s="26">
        <f t="shared" si="14"/>
        <v>18.783000000000001</v>
      </c>
      <c r="F58" s="26">
        <f t="shared" si="14"/>
        <v>0</v>
      </c>
      <c r="G58" s="26">
        <f t="shared" si="14"/>
        <v>0</v>
      </c>
    </row>
    <row r="59" spans="1:7" x14ac:dyDescent="0.25">
      <c r="A59" s="11" t="s">
        <v>21</v>
      </c>
      <c r="B59" s="26">
        <f t="shared" ref="B59" si="15">(B57+B58)/2</f>
        <v>15.912860120084359</v>
      </c>
      <c r="C59" s="26">
        <f t="shared" ref="C59:G59" si="16">(C57+C58)/2</f>
        <v>49.571855322819367</v>
      </c>
      <c r="D59" s="26">
        <f t="shared" si="16"/>
        <v>29.441126495889947</v>
      </c>
      <c r="E59" s="26">
        <f t="shared" si="16"/>
        <v>62.96292857142857</v>
      </c>
      <c r="F59" s="26">
        <f t="shared" si="16"/>
        <v>0</v>
      </c>
      <c r="G59" s="26">
        <f t="shared" si="16"/>
        <v>0</v>
      </c>
    </row>
    <row r="60" spans="1:7" x14ac:dyDescent="0.25">
      <c r="B60" s="26"/>
      <c r="C60" s="26"/>
      <c r="D60" s="26"/>
      <c r="E60" s="26"/>
      <c r="F60" s="26"/>
      <c r="G60" s="26"/>
    </row>
    <row r="61" spans="1:7" x14ac:dyDescent="0.25">
      <c r="A61" s="6" t="s">
        <v>32</v>
      </c>
      <c r="B61" s="26"/>
      <c r="C61" s="26"/>
      <c r="D61" s="26"/>
      <c r="E61" s="26"/>
      <c r="F61" s="26"/>
      <c r="G61" s="26"/>
    </row>
    <row r="62" spans="1:7" x14ac:dyDescent="0.25">
      <c r="A62" s="11" t="s">
        <v>22</v>
      </c>
      <c r="B62" s="26">
        <f t="shared" ref="B62:C62" si="17">B28/B26*100</f>
        <v>100</v>
      </c>
      <c r="C62" s="26">
        <f t="shared" si="17"/>
        <v>100</v>
      </c>
      <c r="D62" s="26"/>
      <c r="E62" s="26"/>
      <c r="F62" s="26"/>
      <c r="G62" s="26"/>
    </row>
    <row r="63" spans="1:7" x14ac:dyDescent="0.25">
      <c r="B63" s="26"/>
      <c r="C63" s="26"/>
      <c r="D63" s="26"/>
      <c r="E63" s="26"/>
      <c r="F63" s="26"/>
      <c r="G63" s="26"/>
    </row>
    <row r="64" spans="1:7" x14ac:dyDescent="0.25">
      <c r="A64" s="6" t="s">
        <v>23</v>
      </c>
      <c r="B64" s="26"/>
      <c r="C64" s="26"/>
      <c r="D64" s="26"/>
      <c r="E64" s="26"/>
      <c r="F64" s="26"/>
      <c r="G64" s="26"/>
    </row>
    <row r="65" spans="1:7" x14ac:dyDescent="0.25">
      <c r="A65" s="11" t="s">
        <v>24</v>
      </c>
      <c r="B65" s="26">
        <f t="shared" ref="B65" si="18">((B19/B16)-1)*100</f>
        <v>243.87755102040819</v>
      </c>
      <c r="C65" s="26">
        <f t="shared" ref="C65:E65" si="19">((C19/C16)-1)*100</f>
        <v>243.87755102040819</v>
      </c>
      <c r="D65" s="26">
        <f t="shared" si="19"/>
        <v>168.00000000000003</v>
      </c>
      <c r="E65" s="26">
        <f t="shared" si="19"/>
        <v>269.86301369863014</v>
      </c>
      <c r="F65" s="23" t="s">
        <v>123</v>
      </c>
      <c r="G65" s="23" t="s">
        <v>123</v>
      </c>
    </row>
    <row r="66" spans="1:7" x14ac:dyDescent="0.25">
      <c r="A66" s="11" t="s">
        <v>25</v>
      </c>
      <c r="B66" s="26">
        <f>((B41/B40)-1)*100</f>
        <v>106.80284243754255</v>
      </c>
      <c r="C66" s="26">
        <f t="shared" ref="C66:E66" si="20">((C41/C40)-1)*100</f>
        <v>106.80284243754255</v>
      </c>
      <c r="D66" s="26">
        <f t="shared" si="20"/>
        <v>111.02410559723354</v>
      </c>
      <c r="E66" s="26">
        <f t="shared" si="20"/>
        <v>76.812370352370806</v>
      </c>
      <c r="F66" s="23" t="s">
        <v>123</v>
      </c>
      <c r="G66" s="23" t="s">
        <v>123</v>
      </c>
    </row>
    <row r="67" spans="1:7" x14ac:dyDescent="0.25">
      <c r="A67" s="11" t="s">
        <v>26</v>
      </c>
      <c r="B67" s="26">
        <f t="shared" ref="B67" si="21">((B43/B42)-1)*100</f>
        <v>-39.861487955848176</v>
      </c>
      <c r="C67" s="26">
        <f t="shared" ref="C67:E67" si="22">((C43/C42)-1)*100</f>
        <v>-39.861487955848176</v>
      </c>
      <c r="D67" s="26">
        <f t="shared" si="22"/>
        <v>-21.259662090584499</v>
      </c>
      <c r="E67" s="26">
        <f t="shared" si="22"/>
        <v>-52.195173941766406</v>
      </c>
      <c r="F67" s="23" t="s">
        <v>123</v>
      </c>
      <c r="G67" s="23" t="s">
        <v>123</v>
      </c>
    </row>
    <row r="68" spans="1:7" x14ac:dyDescent="0.25">
      <c r="B68" s="26"/>
      <c r="C68" s="26"/>
      <c r="D68" s="26"/>
      <c r="E68" s="26"/>
      <c r="F68" s="26"/>
      <c r="G68" s="26"/>
    </row>
    <row r="69" spans="1:7" x14ac:dyDescent="0.25">
      <c r="A69" s="6" t="s">
        <v>27</v>
      </c>
      <c r="B69" s="26"/>
      <c r="C69" s="26"/>
      <c r="D69" s="26"/>
      <c r="E69" s="26"/>
      <c r="F69" s="26"/>
      <c r="G69" s="26"/>
    </row>
    <row r="70" spans="1:7" x14ac:dyDescent="0.25">
      <c r="A70" s="11" t="s">
        <v>33</v>
      </c>
      <c r="B70" s="26">
        <f t="shared" ref="B70" si="23">B25/B18</f>
        <v>329545.45454545453</v>
      </c>
      <c r="C70" s="26">
        <f t="shared" ref="C70:E70" si="24">C25/C18</f>
        <v>329545.45454545453</v>
      </c>
      <c r="D70" s="26">
        <f t="shared" si="24"/>
        <v>1080000</v>
      </c>
      <c r="E70" s="26">
        <f t="shared" si="24"/>
        <v>31746.031746031746</v>
      </c>
      <c r="F70" s="23" t="s">
        <v>123</v>
      </c>
      <c r="G70" s="23" t="s">
        <v>123</v>
      </c>
    </row>
    <row r="71" spans="1:7" x14ac:dyDescent="0.25">
      <c r="A71" s="11" t="s">
        <v>34</v>
      </c>
      <c r="B71" s="26">
        <f t="shared" ref="B71" si="25">B26/B19</f>
        <v>42267.014896142435</v>
      </c>
      <c r="C71" s="26">
        <f t="shared" ref="C71:E71" si="26">C26/C19</f>
        <v>42267.014896142435</v>
      </c>
      <c r="D71" s="26">
        <f t="shared" si="26"/>
        <v>190169.31373134328</v>
      </c>
      <c r="E71" s="26">
        <f t="shared" si="26"/>
        <v>5565.333333333333</v>
      </c>
      <c r="F71" s="23" t="s">
        <v>123</v>
      </c>
      <c r="G71" s="23" t="s">
        <v>123</v>
      </c>
    </row>
    <row r="72" spans="1:7" x14ac:dyDescent="0.25">
      <c r="A72" s="11" t="s">
        <v>28</v>
      </c>
      <c r="B72" s="26">
        <f>(B71/B70)*B54</f>
        <v>27.708442142588016</v>
      </c>
      <c r="C72" s="26">
        <f t="shared" ref="C72:E72" si="27">(C71/C70)*C54</f>
        <v>27.708442142588016</v>
      </c>
      <c r="D72" s="26">
        <f t="shared" si="27"/>
        <v>27.749767129455343</v>
      </c>
      <c r="E72" s="26">
        <f t="shared" si="27"/>
        <v>44.151620328</v>
      </c>
      <c r="F72" s="23" t="s">
        <v>123</v>
      </c>
      <c r="G72" s="23" t="s">
        <v>123</v>
      </c>
    </row>
    <row r="73" spans="1:7" x14ac:dyDescent="0.25">
      <c r="A73" s="11" t="s">
        <v>35</v>
      </c>
      <c r="B73" s="26">
        <f t="shared" ref="B73" si="28">B25/(B18*3)</f>
        <v>109848.48484848485</v>
      </c>
      <c r="C73" s="26">
        <f t="shared" ref="C73:E73" si="29">C25/(C18*3)</f>
        <v>109848.48484848485</v>
      </c>
      <c r="D73" s="26">
        <f t="shared" si="29"/>
        <v>360000</v>
      </c>
      <c r="E73" s="26">
        <f t="shared" si="29"/>
        <v>10582.010582010582</v>
      </c>
      <c r="F73" s="23" t="s">
        <v>123</v>
      </c>
      <c r="G73" s="23" t="s">
        <v>123</v>
      </c>
    </row>
    <row r="74" spans="1:7" x14ac:dyDescent="0.25">
      <c r="A74" s="11" t="s">
        <v>36</v>
      </c>
      <c r="B74" s="26">
        <f>B26/(B19*3)</f>
        <v>14089.004965380811</v>
      </c>
      <c r="C74" s="26">
        <f t="shared" ref="C74:E74" si="30">C26/(C19*3)</f>
        <v>14089.004965380811</v>
      </c>
      <c r="D74" s="26">
        <f t="shared" si="30"/>
        <v>63389.771243781091</v>
      </c>
      <c r="E74" s="26">
        <f t="shared" si="30"/>
        <v>1855.1111111111111</v>
      </c>
      <c r="F74" s="23" t="s">
        <v>123</v>
      </c>
      <c r="G74" s="23" t="s">
        <v>123</v>
      </c>
    </row>
    <row r="75" spans="1:7" x14ac:dyDescent="0.25">
      <c r="B75" s="26"/>
      <c r="C75" s="26"/>
      <c r="D75" s="26"/>
      <c r="E75" s="26"/>
      <c r="F75" s="26"/>
      <c r="G75" s="26"/>
    </row>
    <row r="76" spans="1:7" x14ac:dyDescent="0.25">
      <c r="A76" s="6" t="s">
        <v>29</v>
      </c>
      <c r="B76" s="26"/>
      <c r="C76" s="26"/>
      <c r="D76" s="26"/>
      <c r="E76" s="26"/>
      <c r="F76" s="26"/>
      <c r="G76" s="26"/>
    </row>
    <row r="77" spans="1:7" x14ac:dyDescent="0.25">
      <c r="A77" s="11" t="s">
        <v>30</v>
      </c>
      <c r="B77" s="26">
        <f>(B32/B31)*100</f>
        <v>100</v>
      </c>
      <c r="C77" s="26">
        <f t="shared" ref="C77" si="31">(C32/C31)*100</f>
        <v>100</v>
      </c>
      <c r="D77" s="26"/>
      <c r="E77" s="26"/>
      <c r="F77" s="23" t="s">
        <v>123</v>
      </c>
      <c r="G77" s="26"/>
    </row>
    <row r="78" spans="1:7" x14ac:dyDescent="0.25">
      <c r="A78" s="11" t="s">
        <v>31</v>
      </c>
      <c r="B78" s="26">
        <f>(B26/B32)*100</f>
        <v>49.117186275862068</v>
      </c>
      <c r="C78" s="26">
        <f t="shared" ref="C78" si="32">(C26/C32)*100</f>
        <v>49.117186275862068</v>
      </c>
      <c r="D78" s="26"/>
      <c r="E78" s="26"/>
      <c r="F78" s="23" t="s">
        <v>123</v>
      </c>
      <c r="G78" s="26"/>
    </row>
    <row r="79" spans="1:7" ht="15.75" thickBot="1" x14ac:dyDescent="0.3">
      <c r="A79" s="13"/>
      <c r="B79" s="13"/>
      <c r="C79" s="13"/>
      <c r="D79" s="13"/>
      <c r="E79" s="13"/>
      <c r="F79" s="13"/>
      <c r="G79" s="13"/>
    </row>
    <row r="80" spans="1:7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15"/>
      <c r="C83" s="15"/>
      <c r="D83" s="15"/>
    </row>
    <row r="84" spans="1:4" x14ac:dyDescent="0.25">
      <c r="A84" s="14"/>
    </row>
    <row r="85" spans="1:4" x14ac:dyDescent="0.25">
      <c r="A85" s="5"/>
    </row>
  </sheetData>
  <mergeCells count="10">
    <mergeCell ref="G10:G11"/>
    <mergeCell ref="D10:D11"/>
    <mergeCell ref="F9:G9"/>
    <mergeCell ref="C9:E9"/>
    <mergeCell ref="A80:G80"/>
    <mergeCell ref="A9:A11"/>
    <mergeCell ref="B9:B11"/>
    <mergeCell ref="C10:C11"/>
    <mergeCell ref="E10:E11"/>
    <mergeCell ref="F10:F11"/>
  </mergeCells>
  <pageMargins left="0.7" right="0.7" top="0.75" bottom="0.75" header="0.3" footer="0.3"/>
  <pageSetup orientation="portrait" r:id="rId1"/>
  <ignoredErrors>
    <ignoredError sqref="F44:G51 F63:G64 F55:G56 F68:G69 F60:G6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3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42578125" style="11" customWidth="1"/>
    <col min="2" max="7" width="19.5703125" style="11" customWidth="1"/>
    <col min="8" max="16384" width="11.42578125" style="11"/>
  </cols>
  <sheetData>
    <row r="9" spans="1:7" s="6" customForma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77</v>
      </c>
      <c r="G10" s="33" t="s">
        <v>78</v>
      </c>
    </row>
    <row r="11" spans="1: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7" ht="15.75" thickTop="1" x14ac:dyDescent="0.25"/>
    <row r="13" spans="1:7" x14ac:dyDescent="0.25">
      <c r="A13" s="6" t="s">
        <v>4</v>
      </c>
    </row>
    <row r="15" spans="1:7" x14ac:dyDescent="0.25">
      <c r="A15" s="6" t="s">
        <v>41</v>
      </c>
    </row>
    <row r="16" spans="1:7" x14ac:dyDescent="0.25">
      <c r="A16" s="9" t="s">
        <v>51</v>
      </c>
      <c r="B16" s="23">
        <f>C16+F16</f>
        <v>280</v>
      </c>
      <c r="C16" s="23">
        <f>D16+E16</f>
        <v>126</v>
      </c>
      <c r="D16" s="23">
        <v>24</v>
      </c>
      <c r="E16" s="23">
        <v>102</v>
      </c>
      <c r="F16" s="25">
        <f>+SUM(G16)</f>
        <v>154</v>
      </c>
      <c r="G16" s="23">
        <v>154</v>
      </c>
    </row>
    <row r="17" spans="1:9" x14ac:dyDescent="0.25">
      <c r="A17" s="12" t="s">
        <v>42</v>
      </c>
      <c r="B17" s="23">
        <f>C17+F17</f>
        <v>280</v>
      </c>
      <c r="C17" s="23">
        <f>D17+E17</f>
        <v>126</v>
      </c>
      <c r="D17" s="23">
        <v>24</v>
      </c>
      <c r="E17" s="23">
        <v>102</v>
      </c>
      <c r="F17" s="25">
        <f t="shared" ref="F17:F19" si="0">+SUM(G17)</f>
        <v>154</v>
      </c>
      <c r="G17" s="23">
        <v>154</v>
      </c>
    </row>
    <row r="18" spans="1:9" x14ac:dyDescent="0.25">
      <c r="A18" s="9" t="s">
        <v>87</v>
      </c>
      <c r="B18" s="23">
        <f t="shared" ref="B18:B20" si="1">C18+F18</f>
        <v>269</v>
      </c>
      <c r="C18" s="23">
        <f t="shared" ref="C18:C20" si="2">D18+E18</f>
        <v>89</v>
      </c>
      <c r="D18" s="23">
        <v>26</v>
      </c>
      <c r="E18" s="23">
        <v>63</v>
      </c>
      <c r="F18" s="25">
        <f t="shared" si="0"/>
        <v>180</v>
      </c>
      <c r="G18" s="23">
        <v>180</v>
      </c>
    </row>
    <row r="19" spans="1:9" ht="16.5" customHeight="1" x14ac:dyDescent="0.25">
      <c r="A19" s="9" t="s">
        <v>88</v>
      </c>
      <c r="B19" s="23">
        <f>C19+F19</f>
        <v>649</v>
      </c>
      <c r="C19" s="23">
        <f t="shared" si="2"/>
        <v>423</v>
      </c>
      <c r="D19" s="23">
        <v>50</v>
      </c>
      <c r="E19" s="23">
        <v>373</v>
      </c>
      <c r="F19" s="25">
        <f t="shared" si="0"/>
        <v>226</v>
      </c>
      <c r="G19" s="23">
        <v>226</v>
      </c>
    </row>
    <row r="20" spans="1:9" x14ac:dyDescent="0.25">
      <c r="A20" s="12" t="s">
        <v>42</v>
      </c>
      <c r="B20" s="23">
        <f t="shared" si="1"/>
        <v>621</v>
      </c>
      <c r="C20" s="23">
        <f t="shared" si="2"/>
        <v>395</v>
      </c>
      <c r="D20" s="23">
        <v>22</v>
      </c>
      <c r="E20" s="23">
        <v>373</v>
      </c>
      <c r="F20" s="23">
        <f>SUM(G20:G20)</f>
        <v>226</v>
      </c>
      <c r="G20" s="23">
        <v>226</v>
      </c>
    </row>
    <row r="21" spans="1:9" x14ac:dyDescent="0.25">
      <c r="A21" s="9" t="s">
        <v>81</v>
      </c>
      <c r="B21" s="23">
        <f>C21+F21</f>
        <v>2113</v>
      </c>
      <c r="C21" s="23">
        <f>D21+E21</f>
        <v>417</v>
      </c>
      <c r="D21" s="23">
        <v>165</v>
      </c>
      <c r="E21" s="23">
        <v>252</v>
      </c>
      <c r="F21" s="25">
        <f>+SUM(G21)</f>
        <v>1696</v>
      </c>
      <c r="G21" s="23">
        <v>1696</v>
      </c>
    </row>
    <row r="22" spans="1:9" x14ac:dyDescent="0.25">
      <c r="B22" s="23"/>
      <c r="C22" s="23"/>
      <c r="D22" s="23"/>
      <c r="E22" s="23"/>
      <c r="F22" s="23"/>
      <c r="G22" s="23"/>
    </row>
    <row r="23" spans="1:9" x14ac:dyDescent="0.25">
      <c r="A23" s="20" t="s">
        <v>5</v>
      </c>
      <c r="B23" s="23"/>
      <c r="C23" s="23"/>
      <c r="D23" s="23"/>
      <c r="E23" s="23"/>
      <c r="F23" s="23"/>
      <c r="G23" s="23"/>
    </row>
    <row r="24" spans="1:9" x14ac:dyDescent="0.25">
      <c r="A24" s="9" t="s">
        <v>51</v>
      </c>
      <c r="B24" s="23">
        <f>C24+F24</f>
        <v>20514852.199999999</v>
      </c>
      <c r="C24" s="23">
        <f>D24+E24</f>
        <v>20514852.199999999</v>
      </c>
      <c r="D24" s="23">
        <v>19575222.199999999</v>
      </c>
      <c r="E24" s="23">
        <v>939630</v>
      </c>
      <c r="F24" s="23">
        <f>SUM(G24:G24)</f>
        <v>0</v>
      </c>
      <c r="G24" s="23">
        <v>0</v>
      </c>
    </row>
    <row r="25" spans="1:9" x14ac:dyDescent="0.25">
      <c r="A25" s="9" t="s">
        <v>87</v>
      </c>
      <c r="B25" s="23">
        <f>C25+F25</f>
        <v>20420800</v>
      </c>
      <c r="C25" s="23">
        <f>D25+E25</f>
        <v>18600000</v>
      </c>
      <c r="D25" s="23">
        <v>16200000</v>
      </c>
      <c r="E25" s="23">
        <v>2400000</v>
      </c>
      <c r="F25" s="25">
        <f>SUM(G25:G25)</f>
        <v>1820800</v>
      </c>
      <c r="G25" s="23">
        <v>1820800</v>
      </c>
    </row>
    <row r="26" spans="1:9" x14ac:dyDescent="0.25">
      <c r="A26" s="9" t="s">
        <v>88</v>
      </c>
      <c r="B26" s="23">
        <f>C26+F26</f>
        <v>14813025.329999998</v>
      </c>
      <c r="C26" s="23">
        <f>D26+E26</f>
        <v>14813025.329999998</v>
      </c>
      <c r="D26" s="23">
        <v>12957745.329999998</v>
      </c>
      <c r="E26" s="23">
        <v>1855280</v>
      </c>
      <c r="F26" s="23">
        <f>SUM(G26:G26)</f>
        <v>0</v>
      </c>
      <c r="G26" s="23">
        <v>0</v>
      </c>
      <c r="I26" s="10"/>
    </row>
    <row r="27" spans="1:9" x14ac:dyDescent="0.25">
      <c r="A27" s="9" t="s">
        <v>81</v>
      </c>
      <c r="B27" s="23">
        <f>C27+F27</f>
        <v>89715528</v>
      </c>
      <c r="C27" s="23">
        <f>D27+E27</f>
        <v>77715528</v>
      </c>
      <c r="D27" s="23">
        <v>69715528</v>
      </c>
      <c r="E27" s="23">
        <v>8000000</v>
      </c>
      <c r="F27" s="23">
        <f>SUM(G27:G27)</f>
        <v>12000000</v>
      </c>
      <c r="G27" s="23">
        <v>12000000</v>
      </c>
    </row>
    <row r="28" spans="1:9" x14ac:dyDescent="0.25">
      <c r="A28" s="9" t="s">
        <v>89</v>
      </c>
      <c r="B28" s="23">
        <f>+C28+F28</f>
        <v>14813025.329999998</v>
      </c>
      <c r="C28" s="23">
        <f>+D28+E28</f>
        <v>14813025.329999998</v>
      </c>
      <c r="D28" s="23">
        <f>D26</f>
        <v>12957745.329999998</v>
      </c>
      <c r="E28" s="23">
        <f>+E26</f>
        <v>1855280</v>
      </c>
      <c r="F28" s="23">
        <f>+SUM(G28)</f>
        <v>0</v>
      </c>
      <c r="G28" s="23">
        <f>G26</f>
        <v>0</v>
      </c>
    </row>
    <row r="29" spans="1:9" x14ac:dyDescent="0.25">
      <c r="B29" s="23"/>
      <c r="C29" s="23"/>
      <c r="D29" s="23"/>
      <c r="E29" s="23"/>
      <c r="F29" s="23"/>
      <c r="G29" s="23"/>
    </row>
    <row r="30" spans="1:9" x14ac:dyDescent="0.25">
      <c r="A30" s="20" t="s">
        <v>6</v>
      </c>
      <c r="B30" s="23"/>
      <c r="C30" s="23"/>
      <c r="D30" s="23"/>
      <c r="E30" s="23"/>
      <c r="F30" s="23"/>
      <c r="G30" s="23"/>
    </row>
    <row r="31" spans="1:9" x14ac:dyDescent="0.25">
      <c r="A31" s="9" t="s">
        <v>87</v>
      </c>
      <c r="B31" s="23">
        <f>B25</f>
        <v>20420800</v>
      </c>
      <c r="C31" s="23">
        <f>C25</f>
        <v>18600000</v>
      </c>
      <c r="D31" s="23"/>
      <c r="E31" s="23"/>
      <c r="F31" s="23">
        <f>F25</f>
        <v>1820800</v>
      </c>
      <c r="G31" s="23"/>
    </row>
    <row r="32" spans="1:9" x14ac:dyDescent="0.25">
      <c r="A32" s="9" t="s">
        <v>88</v>
      </c>
      <c r="B32" s="23">
        <f>SUM(C32+ F32)</f>
        <v>20420800</v>
      </c>
      <c r="C32" s="23">
        <v>18600000</v>
      </c>
      <c r="D32" s="23"/>
      <c r="E32" s="23"/>
      <c r="F32" s="23">
        <v>1820800</v>
      </c>
      <c r="G32" s="23"/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6" t="s">
        <v>7</v>
      </c>
      <c r="B34" s="22"/>
      <c r="C34" s="22"/>
      <c r="D34" s="22"/>
      <c r="E34" s="22"/>
      <c r="F34" s="22"/>
      <c r="G34" s="22"/>
    </row>
    <row r="35" spans="1:7" x14ac:dyDescent="0.25">
      <c r="A35" s="9" t="s">
        <v>52</v>
      </c>
      <c r="B35" s="31">
        <v>1.0303325644000001</v>
      </c>
      <c r="C35" s="31">
        <v>1.0303325644000001</v>
      </c>
      <c r="D35" s="31">
        <v>1.0303325644000001</v>
      </c>
      <c r="E35" s="31">
        <v>1.0303325644000001</v>
      </c>
      <c r="F35" s="31">
        <v>1.0303325644000001</v>
      </c>
      <c r="G35" s="31">
        <v>1.0303325644000001</v>
      </c>
    </row>
    <row r="36" spans="1:7" x14ac:dyDescent="0.25">
      <c r="A36" s="9" t="s">
        <v>90</v>
      </c>
      <c r="B36" s="31">
        <v>1.0552807376</v>
      </c>
      <c r="C36" s="31">
        <v>1.0552807376</v>
      </c>
      <c r="D36" s="31">
        <v>1.0552807376</v>
      </c>
      <c r="E36" s="31">
        <v>1.0552807376</v>
      </c>
      <c r="F36" s="31">
        <v>1.0552807376</v>
      </c>
      <c r="G36" s="31">
        <v>1.0552807376</v>
      </c>
    </row>
    <row r="37" spans="1:7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7" x14ac:dyDescent="0.25">
      <c r="B38" s="22"/>
      <c r="C38" s="22"/>
      <c r="D38" s="22"/>
      <c r="E38" s="22"/>
      <c r="F38" s="22"/>
      <c r="G38" s="22"/>
    </row>
    <row r="39" spans="1:7" x14ac:dyDescent="0.25">
      <c r="A39" s="6" t="s">
        <v>9</v>
      </c>
      <c r="B39" s="22"/>
      <c r="C39" s="22"/>
      <c r="D39" s="22"/>
      <c r="E39" s="22"/>
      <c r="F39" s="22"/>
      <c r="G39" s="22"/>
    </row>
    <row r="40" spans="1:7" x14ac:dyDescent="0.25">
      <c r="A40" s="11" t="s">
        <v>53</v>
      </c>
      <c r="B40" s="23">
        <f>B24/B35</f>
        <v>19910903.439169217</v>
      </c>
      <c r="C40" s="23">
        <f t="shared" ref="C40:G40" si="3">C24/C35</f>
        <v>19910903.439169217</v>
      </c>
      <c r="D40" s="23">
        <f>D24/D35</f>
        <v>18998935.757601101</v>
      </c>
      <c r="E40" s="23">
        <f t="shared" si="3"/>
        <v>911967.6815681163</v>
      </c>
      <c r="F40" s="23">
        <f t="shared" si="3"/>
        <v>0</v>
      </c>
      <c r="G40" s="23">
        <f t="shared" si="3"/>
        <v>0</v>
      </c>
    </row>
    <row r="41" spans="1:7" x14ac:dyDescent="0.25">
      <c r="A41" s="11" t="s">
        <v>91</v>
      </c>
      <c r="B41" s="23">
        <f t="shared" ref="B41:F41" si="4">B26/B36</f>
        <v>14037047.017165225</v>
      </c>
      <c r="C41" s="23">
        <f t="shared" si="4"/>
        <v>14037047.017165225</v>
      </c>
      <c r="D41" s="23">
        <f t="shared" si="4"/>
        <v>12278955.607082805</v>
      </c>
      <c r="E41" s="23">
        <f t="shared" si="4"/>
        <v>1758091.4100824199</v>
      </c>
      <c r="F41" s="23">
        <f t="shared" si="4"/>
        <v>0</v>
      </c>
      <c r="G41" s="23">
        <f>G26/G36</f>
        <v>0</v>
      </c>
    </row>
    <row r="42" spans="1:7" x14ac:dyDescent="0.25">
      <c r="A42" s="11" t="s">
        <v>54</v>
      </c>
      <c r="B42" s="23">
        <f t="shared" ref="B42:G42" si="5">B40/B16</f>
        <v>71110.369425604353</v>
      </c>
      <c r="C42" s="23">
        <f t="shared" si="5"/>
        <v>158023.04316800967</v>
      </c>
      <c r="D42" s="23">
        <f t="shared" si="5"/>
        <v>791622.32323337917</v>
      </c>
      <c r="E42" s="23">
        <f t="shared" si="5"/>
        <v>8940.8596232168256</v>
      </c>
      <c r="F42" s="23">
        <f t="shared" si="5"/>
        <v>0</v>
      </c>
      <c r="G42" s="23">
        <f t="shared" si="5"/>
        <v>0</v>
      </c>
    </row>
    <row r="43" spans="1:7" x14ac:dyDescent="0.25">
      <c r="A43" s="11" t="s">
        <v>92</v>
      </c>
      <c r="B43" s="23">
        <f t="shared" ref="B43:G43" si="6">B41/B19</f>
        <v>21628.731921672148</v>
      </c>
      <c r="C43" s="23">
        <f t="shared" si="6"/>
        <v>33184.508314811406</v>
      </c>
      <c r="D43" s="23">
        <f t="shared" si="6"/>
        <v>245579.11214165611</v>
      </c>
      <c r="E43" s="23">
        <f t="shared" si="6"/>
        <v>4713.3817964676136</v>
      </c>
      <c r="F43" s="23">
        <f t="shared" si="6"/>
        <v>0</v>
      </c>
      <c r="G43" s="23">
        <f t="shared" si="6"/>
        <v>0</v>
      </c>
    </row>
    <row r="44" spans="1:7" x14ac:dyDescent="0.25">
      <c r="B44" s="24"/>
      <c r="C44" s="24"/>
      <c r="D44" s="24"/>
      <c r="E44" s="24"/>
      <c r="F44" s="24"/>
      <c r="G44" s="24"/>
    </row>
    <row r="45" spans="1:7" x14ac:dyDescent="0.25">
      <c r="A45" s="6" t="s">
        <v>10</v>
      </c>
      <c r="B45" s="24"/>
      <c r="C45" s="24"/>
      <c r="D45" s="24"/>
      <c r="E45" s="24"/>
      <c r="F45" s="24"/>
      <c r="G45" s="24"/>
    </row>
    <row r="46" spans="1:7" x14ac:dyDescent="0.25">
      <c r="B46" s="24"/>
      <c r="C46" s="24"/>
      <c r="D46" s="24"/>
      <c r="E46" s="24"/>
      <c r="F46" s="24"/>
      <c r="G46" s="24"/>
    </row>
    <row r="47" spans="1:7" x14ac:dyDescent="0.25">
      <c r="A47" s="6" t="s">
        <v>11</v>
      </c>
      <c r="B47" s="24"/>
      <c r="C47" s="24"/>
      <c r="D47" s="24"/>
      <c r="E47" s="24"/>
      <c r="F47" s="24"/>
      <c r="G47" s="24"/>
    </row>
    <row r="48" spans="1:7" x14ac:dyDescent="0.25">
      <c r="A48" s="11" t="s">
        <v>12</v>
      </c>
      <c r="B48" s="29" t="s">
        <v>44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</row>
    <row r="49" spans="1:7" x14ac:dyDescent="0.25">
      <c r="A49" s="11" t="s">
        <v>13</v>
      </c>
      <c r="B49" s="29" t="s">
        <v>44</v>
      </c>
      <c r="C49" s="29" t="s">
        <v>44</v>
      </c>
      <c r="D49" s="29" t="s">
        <v>44</v>
      </c>
      <c r="E49" s="29" t="s">
        <v>44</v>
      </c>
      <c r="F49" s="29" t="s">
        <v>44</v>
      </c>
      <c r="G49" s="29" t="s">
        <v>44</v>
      </c>
    </row>
    <row r="50" spans="1:7" x14ac:dyDescent="0.25">
      <c r="B50" s="24"/>
      <c r="C50" s="24"/>
      <c r="D50" s="24"/>
      <c r="E50" s="24"/>
      <c r="F50" s="24"/>
      <c r="G50" s="24"/>
    </row>
    <row r="51" spans="1:7" x14ac:dyDescent="0.25">
      <c r="A51" s="6" t="s">
        <v>14</v>
      </c>
      <c r="B51" s="24"/>
      <c r="C51" s="24"/>
      <c r="D51" s="24"/>
      <c r="E51" s="24"/>
      <c r="F51" s="24"/>
      <c r="G51" s="24"/>
    </row>
    <row r="52" spans="1:7" x14ac:dyDescent="0.25">
      <c r="A52" s="11" t="s">
        <v>15</v>
      </c>
      <c r="B52" s="26">
        <f>B19/B18*100</f>
        <v>241.26394052044611</v>
      </c>
      <c r="C52" s="26">
        <f t="shared" ref="C52:G52" si="7">C19/C18*100</f>
        <v>475.28089887640448</v>
      </c>
      <c r="D52" s="26">
        <f t="shared" si="7"/>
        <v>192.30769230769232</v>
      </c>
      <c r="E52" s="26">
        <f t="shared" si="7"/>
        <v>592.06349206349205</v>
      </c>
      <c r="F52" s="26">
        <f t="shared" si="7"/>
        <v>125.55555555555556</v>
      </c>
      <c r="G52" s="26">
        <f t="shared" si="7"/>
        <v>125.55555555555556</v>
      </c>
    </row>
    <row r="53" spans="1:7" x14ac:dyDescent="0.25">
      <c r="A53" s="11" t="s">
        <v>16</v>
      </c>
      <c r="B53" s="26">
        <f>B26/B25*100</f>
        <v>72.538908025150818</v>
      </c>
      <c r="C53" s="26">
        <f t="shared" ref="C53:G53" si="8">C26/C25*100</f>
        <v>79.63992112903226</v>
      </c>
      <c r="D53" s="26">
        <f t="shared" si="8"/>
        <v>79.986082283950608</v>
      </c>
      <c r="E53" s="26">
        <f t="shared" si="8"/>
        <v>77.303333333333342</v>
      </c>
      <c r="F53" s="26">
        <f t="shared" si="8"/>
        <v>0</v>
      </c>
      <c r="G53" s="26">
        <f t="shared" si="8"/>
        <v>0</v>
      </c>
    </row>
    <row r="54" spans="1:7" x14ac:dyDescent="0.25">
      <c r="A54" s="11" t="s">
        <v>17</v>
      </c>
      <c r="B54" s="26">
        <f t="shared" ref="B54" si="9">AVERAGE(B52:B53)</f>
        <v>156.90142427279847</v>
      </c>
      <c r="C54" s="26">
        <f t="shared" ref="C54:G54" si="10">AVERAGE(C52:C53)</f>
        <v>277.46041000271839</v>
      </c>
      <c r="D54" s="26">
        <f t="shared" si="10"/>
        <v>136.14688729582147</v>
      </c>
      <c r="E54" s="26">
        <f t="shared" si="10"/>
        <v>334.68341269841267</v>
      </c>
      <c r="F54" s="26">
        <f t="shared" si="10"/>
        <v>62.777777777777779</v>
      </c>
      <c r="G54" s="26">
        <f t="shared" si="10"/>
        <v>62.777777777777779</v>
      </c>
    </row>
    <row r="55" spans="1:7" x14ac:dyDescent="0.25">
      <c r="B55" s="26"/>
      <c r="C55" s="26"/>
      <c r="D55" s="26"/>
      <c r="E55" s="26"/>
      <c r="F55" s="26"/>
      <c r="G55" s="26"/>
    </row>
    <row r="56" spans="1:7" x14ac:dyDescent="0.25">
      <c r="A56" s="6" t="s">
        <v>18</v>
      </c>
      <c r="B56" s="26"/>
      <c r="C56" s="26"/>
      <c r="D56" s="26"/>
      <c r="E56" s="26"/>
      <c r="F56" s="26"/>
      <c r="G56" s="26"/>
    </row>
    <row r="57" spans="1:7" x14ac:dyDescent="0.25">
      <c r="A57" s="11" t="s">
        <v>19</v>
      </c>
      <c r="B57" s="26">
        <f>(B19/B21)*100</f>
        <v>30.714623757690489</v>
      </c>
      <c r="C57" s="26">
        <f t="shared" ref="C57:G57" si="11">(C19/C21)*100</f>
        <v>101.43884892086331</v>
      </c>
      <c r="D57" s="26">
        <f t="shared" si="11"/>
        <v>30.303030303030305</v>
      </c>
      <c r="E57" s="26">
        <f t="shared" si="11"/>
        <v>148.01587301587301</v>
      </c>
      <c r="F57" s="26">
        <f t="shared" si="11"/>
        <v>13.325471698113208</v>
      </c>
      <c r="G57" s="26">
        <f t="shared" si="11"/>
        <v>13.325471698113208</v>
      </c>
    </row>
    <row r="58" spans="1:7" x14ac:dyDescent="0.25">
      <c r="A58" s="11" t="s">
        <v>20</v>
      </c>
      <c r="B58" s="26">
        <f>B26/B27*100</f>
        <v>16.51110533507644</v>
      </c>
      <c r="C58" s="26">
        <f t="shared" ref="C58:G58" si="12">C26/C27*100</f>
        <v>19.060573493111953</v>
      </c>
      <c r="D58" s="26">
        <f t="shared" si="12"/>
        <v>18.586598569546801</v>
      </c>
      <c r="E58" s="26">
        <f t="shared" si="12"/>
        <v>23.190999999999999</v>
      </c>
      <c r="F58" s="26">
        <f t="shared" si="12"/>
        <v>0</v>
      </c>
      <c r="G58" s="26">
        <f t="shared" si="12"/>
        <v>0</v>
      </c>
    </row>
    <row r="59" spans="1:7" x14ac:dyDescent="0.25">
      <c r="A59" s="11" t="s">
        <v>21</v>
      </c>
      <c r="B59" s="26">
        <f t="shared" ref="B59" si="13">(B57+B58)/2</f>
        <v>23.612864546383463</v>
      </c>
      <c r="C59" s="26">
        <f t="shared" ref="C59:G59" si="14">(C57+C58)/2</f>
        <v>60.249711206987627</v>
      </c>
      <c r="D59" s="26">
        <f t="shared" si="14"/>
        <v>24.444814436288553</v>
      </c>
      <c r="E59" s="26">
        <f t="shared" si="14"/>
        <v>85.603436507936507</v>
      </c>
      <c r="F59" s="26">
        <f t="shared" si="14"/>
        <v>6.6627358490566042</v>
      </c>
      <c r="G59" s="26">
        <f t="shared" si="14"/>
        <v>6.6627358490566042</v>
      </c>
    </row>
    <row r="60" spans="1:7" x14ac:dyDescent="0.25">
      <c r="B60" s="26"/>
      <c r="C60" s="26"/>
      <c r="D60" s="26"/>
      <c r="E60" s="26"/>
      <c r="F60" s="26"/>
      <c r="G60" s="26"/>
    </row>
    <row r="61" spans="1:7" x14ac:dyDescent="0.25">
      <c r="A61" s="6" t="s">
        <v>32</v>
      </c>
      <c r="B61" s="26"/>
      <c r="C61" s="26"/>
      <c r="D61" s="26"/>
      <c r="E61" s="26"/>
      <c r="F61" s="26"/>
      <c r="G61" s="26"/>
    </row>
    <row r="62" spans="1:7" x14ac:dyDescent="0.25">
      <c r="A62" s="11" t="s">
        <v>22</v>
      </c>
      <c r="B62" s="26">
        <f t="shared" ref="B62:C62" si="15">B28/B26*100</f>
        <v>100</v>
      </c>
      <c r="C62" s="26">
        <f t="shared" si="15"/>
        <v>100</v>
      </c>
      <c r="D62" s="26"/>
      <c r="E62" s="26"/>
      <c r="F62" s="26"/>
      <c r="G62" s="26"/>
    </row>
    <row r="63" spans="1:7" x14ac:dyDescent="0.25">
      <c r="B63" s="26"/>
      <c r="C63" s="26"/>
      <c r="D63" s="26"/>
      <c r="E63" s="26"/>
      <c r="F63" s="26"/>
      <c r="G63" s="26"/>
    </row>
    <row r="64" spans="1:7" x14ac:dyDescent="0.25">
      <c r="A64" s="6" t="s">
        <v>23</v>
      </c>
      <c r="B64" s="26"/>
      <c r="C64" s="26"/>
      <c r="D64" s="26"/>
      <c r="E64" s="26"/>
      <c r="F64" s="26"/>
      <c r="G64" s="26"/>
    </row>
    <row r="65" spans="1:7" x14ac:dyDescent="0.25">
      <c r="A65" s="11" t="s">
        <v>24</v>
      </c>
      <c r="B65" s="26">
        <f>((B19/B16)-1)*100</f>
        <v>131.78571428571431</v>
      </c>
      <c r="C65" s="26">
        <f t="shared" ref="C65:G65" si="16">((C19/C16)-1)*100</f>
        <v>235.71428571428572</v>
      </c>
      <c r="D65" s="26">
        <f t="shared" si="16"/>
        <v>108.33333333333334</v>
      </c>
      <c r="E65" s="26">
        <f t="shared" si="16"/>
        <v>265.68627450980392</v>
      </c>
      <c r="F65" s="26">
        <f t="shared" si="16"/>
        <v>46.753246753246749</v>
      </c>
      <c r="G65" s="26">
        <f t="shared" si="16"/>
        <v>46.753246753246749</v>
      </c>
    </row>
    <row r="66" spans="1:7" x14ac:dyDescent="0.25">
      <c r="A66" s="11" t="s">
        <v>25</v>
      </c>
      <c r="B66" s="26">
        <f>((B41/B40)-1)*100</f>
        <v>-29.500702667508282</v>
      </c>
      <c r="C66" s="26">
        <f t="shared" ref="C66:E66" si="17">((C41/C40)-1)*100</f>
        <v>-29.500702667508282</v>
      </c>
      <c r="D66" s="26">
        <f t="shared" si="17"/>
        <v>-35.370297769598821</v>
      </c>
      <c r="E66" s="26">
        <f t="shared" si="17"/>
        <v>92.780012451691832</v>
      </c>
      <c r="F66" s="26" t="s">
        <v>123</v>
      </c>
      <c r="G66" s="26" t="s">
        <v>123</v>
      </c>
    </row>
    <row r="67" spans="1:7" x14ac:dyDescent="0.25">
      <c r="A67" s="11" t="s">
        <v>26</v>
      </c>
      <c r="B67" s="26">
        <f t="shared" ref="B67" si="18">((B43/B42)-1)*100</f>
        <v>-69.584278500619916</v>
      </c>
      <c r="C67" s="26">
        <f t="shared" ref="C67:E67" si="19">((C43/C42)-1)*100</f>
        <v>-79.000209305215236</v>
      </c>
      <c r="D67" s="26">
        <f t="shared" si="19"/>
        <v>-68.977742929407441</v>
      </c>
      <c r="E67" s="26">
        <f t="shared" si="19"/>
        <v>-47.282677560127162</v>
      </c>
      <c r="F67" s="26" t="s">
        <v>123</v>
      </c>
      <c r="G67" s="26" t="s">
        <v>123</v>
      </c>
    </row>
    <row r="68" spans="1:7" x14ac:dyDescent="0.25">
      <c r="B68" s="26"/>
      <c r="C68" s="26"/>
      <c r="D68" s="26"/>
      <c r="E68" s="26"/>
      <c r="F68" s="26"/>
      <c r="G68" s="26"/>
    </row>
    <row r="69" spans="1:7" x14ac:dyDescent="0.25">
      <c r="A69" s="6" t="s">
        <v>27</v>
      </c>
      <c r="B69" s="26"/>
      <c r="C69" s="26"/>
      <c r="D69" s="26"/>
      <c r="E69" s="26"/>
      <c r="F69" s="26"/>
      <c r="G69" s="26"/>
    </row>
    <row r="70" spans="1:7" x14ac:dyDescent="0.25">
      <c r="A70" s="11" t="s">
        <v>33</v>
      </c>
      <c r="B70" s="26">
        <f>B25/B18</f>
        <v>75913.754646840142</v>
      </c>
      <c r="C70" s="26">
        <f t="shared" ref="C70:G70" si="20">C25/C18</f>
        <v>208988.76404494382</v>
      </c>
      <c r="D70" s="26">
        <f t="shared" si="20"/>
        <v>623076.92307692312</v>
      </c>
      <c r="E70" s="26">
        <f t="shared" si="20"/>
        <v>38095.238095238092</v>
      </c>
      <c r="F70" s="26">
        <f t="shared" si="20"/>
        <v>10115.555555555555</v>
      </c>
      <c r="G70" s="26">
        <f t="shared" si="20"/>
        <v>10115.555555555555</v>
      </c>
    </row>
    <row r="71" spans="1:7" x14ac:dyDescent="0.25">
      <c r="A71" s="11" t="s">
        <v>34</v>
      </c>
      <c r="B71" s="26">
        <f>B26/B19</f>
        <v>22824.38417565485</v>
      </c>
      <c r="C71" s="26">
        <f t="shared" ref="C71:G71" si="21">C26/C19</f>
        <v>35018.972411347517</v>
      </c>
      <c r="D71" s="26">
        <f t="shared" si="21"/>
        <v>259154.90659999996</v>
      </c>
      <c r="E71" s="26">
        <f t="shared" si="21"/>
        <v>4973.9410187667563</v>
      </c>
      <c r="F71" s="26">
        <f t="shared" si="21"/>
        <v>0</v>
      </c>
      <c r="G71" s="26">
        <f t="shared" si="21"/>
        <v>0</v>
      </c>
    </row>
    <row r="72" spans="1:7" x14ac:dyDescent="0.25">
      <c r="A72" s="11" t="s">
        <v>28</v>
      </c>
      <c r="B72" s="26">
        <f>(B71/B70)*B54</f>
        <v>47.174301968988871</v>
      </c>
      <c r="C72" s="26">
        <f t="shared" ref="C72:G72" si="22">(C71/C70)*C54</f>
        <v>46.492348464421859</v>
      </c>
      <c r="D72" s="26">
        <f t="shared" si="22"/>
        <v>56.627251875726088</v>
      </c>
      <c r="E72" s="26">
        <f t="shared" si="22"/>
        <v>43.698258311438785</v>
      </c>
      <c r="F72" s="26">
        <f t="shared" si="22"/>
        <v>0</v>
      </c>
      <c r="G72" s="26">
        <f t="shared" si="22"/>
        <v>0</v>
      </c>
    </row>
    <row r="73" spans="1:7" x14ac:dyDescent="0.25">
      <c r="A73" s="11" t="s">
        <v>35</v>
      </c>
      <c r="B73" s="26">
        <f>B25/(B18*3)</f>
        <v>25304.584882280051</v>
      </c>
      <c r="C73" s="26">
        <f t="shared" ref="C73:G73" si="23">C25/(C18*3)</f>
        <v>69662.921348314601</v>
      </c>
      <c r="D73" s="26">
        <f t="shared" si="23"/>
        <v>207692.30769230769</v>
      </c>
      <c r="E73" s="26">
        <f t="shared" si="23"/>
        <v>12698.412698412698</v>
      </c>
      <c r="F73" s="26">
        <f t="shared" si="23"/>
        <v>3371.8518518518517</v>
      </c>
      <c r="G73" s="26">
        <f t="shared" si="23"/>
        <v>3371.8518518518517</v>
      </c>
    </row>
    <row r="74" spans="1:7" x14ac:dyDescent="0.25">
      <c r="A74" s="11" t="s">
        <v>36</v>
      </c>
      <c r="B74" s="26">
        <f>B26/(B19*3)</f>
        <v>7608.128058551617</v>
      </c>
      <c r="C74" s="26">
        <f t="shared" ref="C74:G74" si="24">C26/(C19*3)</f>
        <v>11672.990803782504</v>
      </c>
      <c r="D74" s="26">
        <f t="shared" si="24"/>
        <v>86384.968866666648</v>
      </c>
      <c r="E74" s="26">
        <f t="shared" si="24"/>
        <v>1657.9803395889187</v>
      </c>
      <c r="F74" s="26">
        <f t="shared" si="24"/>
        <v>0</v>
      </c>
      <c r="G74" s="26">
        <f t="shared" si="24"/>
        <v>0</v>
      </c>
    </row>
    <row r="75" spans="1:7" x14ac:dyDescent="0.25">
      <c r="B75" s="26"/>
      <c r="C75" s="26"/>
      <c r="D75" s="26"/>
      <c r="E75" s="26"/>
      <c r="F75" s="26"/>
      <c r="G75" s="26"/>
    </row>
    <row r="76" spans="1:7" x14ac:dyDescent="0.25">
      <c r="A76" s="6" t="s">
        <v>29</v>
      </c>
      <c r="B76" s="26"/>
      <c r="C76" s="26"/>
      <c r="D76" s="26"/>
      <c r="E76" s="26"/>
      <c r="F76" s="26"/>
      <c r="G76" s="26"/>
    </row>
    <row r="77" spans="1:7" x14ac:dyDescent="0.25">
      <c r="A77" s="11" t="s">
        <v>30</v>
      </c>
      <c r="B77" s="26">
        <f>(B32/B31)*100</f>
        <v>100</v>
      </c>
      <c r="C77" s="26">
        <f>(C32/C31)*100</f>
        <v>100</v>
      </c>
      <c r="D77" s="26"/>
      <c r="E77" s="26"/>
      <c r="F77" s="26">
        <f>(F32/F31)*100</f>
        <v>100</v>
      </c>
      <c r="G77" s="26"/>
    </row>
    <row r="78" spans="1:7" x14ac:dyDescent="0.25">
      <c r="A78" s="11" t="s">
        <v>31</v>
      </c>
      <c r="B78" s="26">
        <f>(B26/B32)*100</f>
        <v>72.538908025150818</v>
      </c>
      <c r="C78" s="26">
        <f>(C26/C32)*100</f>
        <v>79.63992112903226</v>
      </c>
      <c r="D78" s="26"/>
      <c r="E78" s="26"/>
      <c r="F78" s="26">
        <f>(F26/F32)*100</f>
        <v>0</v>
      </c>
      <c r="G78" s="26"/>
    </row>
    <row r="79" spans="1:7" ht="15.75" thickBot="1" x14ac:dyDescent="0.3">
      <c r="A79" s="13"/>
      <c r="B79" s="17"/>
      <c r="C79" s="17"/>
      <c r="D79" s="17"/>
      <c r="E79" s="17"/>
      <c r="F79" s="17"/>
      <c r="G79" s="17"/>
    </row>
    <row r="80" spans="1:7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15"/>
      <c r="C83" s="15"/>
      <c r="D83" s="15"/>
    </row>
    <row r="84" spans="1:4" x14ac:dyDescent="0.25">
      <c r="A84" s="14"/>
    </row>
    <row r="85" spans="1:4" x14ac:dyDescent="0.25">
      <c r="A85" s="14"/>
    </row>
    <row r="93" spans="1:4" x14ac:dyDescent="0.25">
      <c r="A93" s="5"/>
    </row>
  </sheetData>
  <mergeCells count="10">
    <mergeCell ref="F10:F11"/>
    <mergeCell ref="G10:G11"/>
    <mergeCell ref="D10:D11"/>
    <mergeCell ref="F9:G9"/>
    <mergeCell ref="A80:G80"/>
    <mergeCell ref="A9:A11"/>
    <mergeCell ref="B9:B11"/>
    <mergeCell ref="C9:E9"/>
    <mergeCell ref="C10:C11"/>
    <mergeCell ref="E10:E11"/>
  </mergeCells>
  <pageMargins left="0.7" right="0.7" top="0.75" bottom="0.75" header="0.3" footer="0.3"/>
  <pageSetup orientation="portrait" r:id="rId1"/>
  <ignoredErrors>
    <ignoredError sqref="F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92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5703125" style="1" customWidth="1"/>
    <col min="2" max="7" width="19.5703125" style="1" customWidth="1"/>
    <col min="8" max="16384" width="11.42578125" style="1"/>
  </cols>
  <sheetData>
    <row r="9" spans="1:7" s="6" customForma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2</v>
      </c>
      <c r="G10" s="33" t="s">
        <v>78</v>
      </c>
    </row>
    <row r="11" spans="1: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7" ht="15.75" thickTop="1" x14ac:dyDescent="0.25"/>
    <row r="13" spans="1:7" x14ac:dyDescent="0.25">
      <c r="A13" s="6" t="s">
        <v>4</v>
      </c>
    </row>
    <row r="15" spans="1:7" x14ac:dyDescent="0.25">
      <c r="A15" s="6" t="s">
        <v>43</v>
      </c>
    </row>
    <row r="16" spans="1:7" s="11" customFormat="1" x14ac:dyDescent="0.25">
      <c r="A16" s="9" t="s">
        <v>63</v>
      </c>
      <c r="B16" s="23">
        <f>C16+F16</f>
        <v>378</v>
      </c>
      <c r="C16" s="23">
        <f>D16+E16</f>
        <v>224</v>
      </c>
      <c r="D16" s="23">
        <f>+'I Trimestre'!D16+'II Trimestre'!D16</f>
        <v>49</v>
      </c>
      <c r="E16" s="23">
        <f>+'I Trimestre'!E16+'II Trimestre'!E16</f>
        <v>175</v>
      </c>
      <c r="F16" s="25">
        <f>SUM(G16:G16)</f>
        <v>154</v>
      </c>
      <c r="G16" s="25">
        <f>+'I Trimestre'!G16+'II Trimestre'!G16</f>
        <v>154</v>
      </c>
    </row>
    <row r="17" spans="1:9" s="11" customFormat="1" x14ac:dyDescent="0.25">
      <c r="A17" s="12" t="s">
        <v>42</v>
      </c>
      <c r="B17" s="23">
        <f>C17+F17</f>
        <v>416</v>
      </c>
      <c r="C17" s="23">
        <f>D17+E17</f>
        <v>262</v>
      </c>
      <c r="D17" s="23">
        <f>+'I Trimestre'!D17+'II Trimestre'!D17</f>
        <v>87</v>
      </c>
      <c r="E17" s="23">
        <f>+'I Trimestre'!E17+'II Trimestre'!E17</f>
        <v>175</v>
      </c>
      <c r="F17" s="25">
        <f>SUM(G17:G17)</f>
        <v>154</v>
      </c>
      <c r="G17" s="25">
        <f>+'I Trimestre'!G17+'II Trimestre'!G17</f>
        <v>154</v>
      </c>
    </row>
    <row r="18" spans="1:9" s="11" customFormat="1" x14ac:dyDescent="0.25">
      <c r="A18" s="9" t="s">
        <v>93</v>
      </c>
      <c r="B18" s="23">
        <f>C18+F18</f>
        <v>357</v>
      </c>
      <c r="C18" s="23">
        <f>D18+E18</f>
        <v>177</v>
      </c>
      <c r="D18" s="23">
        <f>+'I Trimestre'!D18+'II Trimestre'!D18</f>
        <v>51</v>
      </c>
      <c r="E18" s="23">
        <f>+'I Trimestre'!E18+'II Trimestre'!E18</f>
        <v>126</v>
      </c>
      <c r="F18" s="25">
        <f>SUM(G18:G18)</f>
        <v>180</v>
      </c>
      <c r="G18" s="25">
        <f>+'I Trimestre'!G18+'II Trimestre'!G18</f>
        <v>180</v>
      </c>
    </row>
    <row r="19" spans="1:9" s="11" customFormat="1" x14ac:dyDescent="0.25">
      <c r="A19" s="9" t="s">
        <v>94</v>
      </c>
      <c r="B19" s="23">
        <f>C19+F19</f>
        <v>986</v>
      </c>
      <c r="C19" s="23">
        <f>D19+E19</f>
        <v>760</v>
      </c>
      <c r="D19" s="23">
        <f>(+'I Trimestre'!D19+'II Trimestre'!D19)</f>
        <v>117</v>
      </c>
      <c r="E19" s="23">
        <f>+'I Trimestre'!E19+'II Trimestre'!E19</f>
        <v>643</v>
      </c>
      <c r="F19" s="25">
        <f>SUM(G19:G19)</f>
        <v>226</v>
      </c>
      <c r="G19" s="25">
        <f>+'I Trimestre'!G19+'II Trimestre'!G19</f>
        <v>226</v>
      </c>
    </row>
    <row r="20" spans="1:9" s="11" customFormat="1" x14ac:dyDescent="0.25">
      <c r="A20" s="12" t="s">
        <v>42</v>
      </c>
      <c r="B20" s="23">
        <f>C20+F20</f>
        <v>934</v>
      </c>
      <c r="C20" s="23">
        <f>D20+E20</f>
        <v>708</v>
      </c>
      <c r="D20" s="23">
        <f>(+'I Trimestre'!D20+'II Trimestre'!D20)</f>
        <v>65</v>
      </c>
      <c r="E20" s="23">
        <f>+'I Trimestre'!E20+'II Trimestre'!E20</f>
        <v>643</v>
      </c>
      <c r="F20" s="25">
        <f>SUM(G20:G20)</f>
        <v>226</v>
      </c>
      <c r="G20" s="25">
        <f>+'I Trimestre'!G20+'II Trimestre'!G20</f>
        <v>226</v>
      </c>
    </row>
    <row r="21" spans="1:9" s="11" customFormat="1" x14ac:dyDescent="0.25">
      <c r="A21" s="9" t="s">
        <v>81</v>
      </c>
      <c r="B21" s="23">
        <f>+'II Trimestre'!B21</f>
        <v>2113</v>
      </c>
      <c r="C21" s="23">
        <f>+'II Trimestre'!C21</f>
        <v>417</v>
      </c>
      <c r="D21" s="23">
        <f>+'II Trimestre'!D21</f>
        <v>165</v>
      </c>
      <c r="E21" s="23">
        <f>+'II Trimestre'!E21</f>
        <v>252</v>
      </c>
      <c r="F21" s="25">
        <f>+'II Trimestre'!F21</f>
        <v>1696</v>
      </c>
      <c r="G21" s="25">
        <f>+'II Trimestre'!G21</f>
        <v>1696</v>
      </c>
    </row>
    <row r="22" spans="1:9" s="11" customFormat="1" x14ac:dyDescent="0.25">
      <c r="B22" s="23"/>
      <c r="C22" s="23"/>
      <c r="D22" s="23"/>
      <c r="E22" s="23"/>
      <c r="F22" s="23"/>
      <c r="G22" s="23"/>
    </row>
    <row r="23" spans="1:9" s="11" customFormat="1" x14ac:dyDescent="0.25">
      <c r="A23" s="20" t="s">
        <v>5</v>
      </c>
      <c r="B23" s="23"/>
      <c r="C23" s="23"/>
      <c r="D23" s="23"/>
      <c r="E23" s="23"/>
      <c r="F23" s="23"/>
      <c r="G23" s="23"/>
    </row>
    <row r="24" spans="1:9" s="11" customFormat="1" x14ac:dyDescent="0.25">
      <c r="A24" s="9" t="s">
        <v>63</v>
      </c>
      <c r="B24" s="23">
        <f>C24+F24</f>
        <v>27306118.809999999</v>
      </c>
      <c r="C24" s="23">
        <f>D24+E24</f>
        <v>27306118.809999999</v>
      </c>
      <c r="D24" s="23">
        <f>+'I Trimestre'!D24+'II Trimestre'!D24</f>
        <v>25528538.809999999</v>
      </c>
      <c r="E24" s="23">
        <f>+'I Trimestre'!E24+'II Trimestre'!E24</f>
        <v>1777580</v>
      </c>
      <c r="F24" s="23">
        <f>SUM(G24:G24)</f>
        <v>0</v>
      </c>
      <c r="G24" s="23">
        <f>+'I Trimestre'!G24+'II Trimestre'!G24</f>
        <v>0</v>
      </c>
    </row>
    <row r="25" spans="1:9" s="11" customFormat="1" x14ac:dyDescent="0.25">
      <c r="A25" s="9" t="s">
        <v>93</v>
      </c>
      <c r="B25" s="23">
        <f t="shared" ref="B25:B26" si="0">C25+F25</f>
        <v>49420800</v>
      </c>
      <c r="C25" s="23">
        <f t="shared" ref="C25:C26" si="1">D25+E25</f>
        <v>47600000</v>
      </c>
      <c r="D25" s="23">
        <f>'I Trimestre'!D25+'II Trimestre'!D25</f>
        <v>43200000</v>
      </c>
      <c r="E25" s="23">
        <f>'I Trimestre'!E25+'II Trimestre'!E25</f>
        <v>4400000</v>
      </c>
      <c r="F25" s="23">
        <f>SUM(G25:G25)</f>
        <v>1820800</v>
      </c>
      <c r="G25" s="23">
        <f>'I Trimestre'!G25+'II Trimestre'!G25</f>
        <v>1820800</v>
      </c>
    </row>
    <row r="26" spans="1:9" s="11" customFormat="1" x14ac:dyDescent="0.25">
      <c r="A26" s="9" t="s">
        <v>94</v>
      </c>
      <c r="B26" s="23">
        <f t="shared" si="0"/>
        <v>29057009.349999998</v>
      </c>
      <c r="C26" s="23">
        <f t="shared" si="1"/>
        <v>29057009.349999998</v>
      </c>
      <c r="D26" s="23">
        <f>+'I Trimestre'!D26+'II Trimestre'!D26</f>
        <v>25699089.349999998</v>
      </c>
      <c r="E26" s="23">
        <f>+'I Trimestre'!E26+'II Trimestre'!E26</f>
        <v>3357920</v>
      </c>
      <c r="F26" s="23">
        <f>SUM(G26:G26)</f>
        <v>0</v>
      </c>
      <c r="G26" s="23">
        <f>+'I Trimestre'!G26+'II Trimestre'!G26</f>
        <v>0</v>
      </c>
      <c r="I26" s="10"/>
    </row>
    <row r="27" spans="1:9" s="11" customFormat="1" x14ac:dyDescent="0.25">
      <c r="A27" s="9" t="s">
        <v>81</v>
      </c>
      <c r="B27" s="23">
        <f>+'II Trimestre'!B27</f>
        <v>89715528</v>
      </c>
      <c r="C27" s="23">
        <f>+'II Trimestre'!C27</f>
        <v>77715528</v>
      </c>
      <c r="D27" s="23">
        <f>+'II Trimestre'!D27</f>
        <v>69715528</v>
      </c>
      <c r="E27" s="23">
        <f>+'II Trimestre'!E27</f>
        <v>8000000</v>
      </c>
      <c r="F27" s="23">
        <f>+'II Trimestre'!F27</f>
        <v>12000000</v>
      </c>
      <c r="G27" s="23">
        <f>+'II Trimestre'!G27</f>
        <v>12000000</v>
      </c>
    </row>
    <row r="28" spans="1:9" s="11" customFormat="1" x14ac:dyDescent="0.25">
      <c r="A28" s="9" t="s">
        <v>95</v>
      </c>
      <c r="B28" s="23">
        <f>+C28+F28</f>
        <v>29057009.349999998</v>
      </c>
      <c r="C28" s="23">
        <f>+D28+E28</f>
        <v>29057009.349999998</v>
      </c>
      <c r="D28" s="23">
        <f>D26</f>
        <v>25699089.349999998</v>
      </c>
      <c r="E28" s="23">
        <f>+E26</f>
        <v>3357920</v>
      </c>
      <c r="F28" s="23">
        <f>+SUM(G28)</f>
        <v>0</v>
      </c>
      <c r="G28" s="23">
        <f>G26</f>
        <v>0</v>
      </c>
    </row>
    <row r="29" spans="1:9" s="11" customFormat="1" x14ac:dyDescent="0.25">
      <c r="B29" s="23"/>
      <c r="C29" s="23"/>
      <c r="D29" s="23"/>
      <c r="E29" s="23"/>
      <c r="F29" s="23"/>
      <c r="G29" s="23"/>
    </row>
    <row r="30" spans="1:9" s="11" customFormat="1" x14ac:dyDescent="0.25">
      <c r="A30" s="20" t="s">
        <v>6</v>
      </c>
      <c r="B30" s="23"/>
      <c r="C30" s="23"/>
      <c r="D30" s="23"/>
      <c r="E30" s="23"/>
      <c r="F30" s="23"/>
      <c r="G30" s="23"/>
    </row>
    <row r="31" spans="1:9" s="11" customFormat="1" x14ac:dyDescent="0.25">
      <c r="A31" s="9" t="s">
        <v>93</v>
      </c>
      <c r="B31" s="23">
        <f>+B25</f>
        <v>49420800</v>
      </c>
      <c r="C31" s="23">
        <f>+C25</f>
        <v>47600000</v>
      </c>
      <c r="D31" s="23"/>
      <c r="E31" s="23"/>
      <c r="F31" s="23">
        <f>F25</f>
        <v>1820800</v>
      </c>
      <c r="G31" s="23"/>
    </row>
    <row r="32" spans="1:9" s="11" customFormat="1" x14ac:dyDescent="0.25">
      <c r="A32" s="9" t="s">
        <v>94</v>
      </c>
      <c r="B32" s="23">
        <f>'I Trimestre'!B32+'II Trimestre'!B32</f>
        <v>49420800</v>
      </c>
      <c r="C32" s="23">
        <f>+'I Trimestre'!C32+'II Trimestre'!C32</f>
        <v>47600000</v>
      </c>
      <c r="D32" s="23"/>
      <c r="E32" s="23"/>
      <c r="F32" s="23">
        <f>+'I Trimestre'!F32+'II Trimestre'!F32</f>
        <v>1820800</v>
      </c>
      <c r="G32" s="23"/>
    </row>
    <row r="33" spans="1:13" x14ac:dyDescent="0.25">
      <c r="B33" s="22"/>
      <c r="C33" s="22"/>
      <c r="D33" s="22"/>
      <c r="E33" s="22"/>
      <c r="F33" s="22"/>
      <c r="G33" s="22"/>
    </row>
    <row r="34" spans="1:13" x14ac:dyDescent="0.25">
      <c r="A34" s="6" t="s">
        <v>7</v>
      </c>
      <c r="B34" s="22"/>
      <c r="C34" s="22"/>
      <c r="D34" s="22"/>
      <c r="E34" s="22"/>
      <c r="F34" s="22"/>
      <c r="G34" s="22"/>
    </row>
    <row r="35" spans="1:13" x14ac:dyDescent="0.25">
      <c r="A35" s="3" t="s">
        <v>64</v>
      </c>
      <c r="B35" s="31">
        <v>1.0303325644000001</v>
      </c>
      <c r="C35" s="31">
        <v>1.0303325644000001</v>
      </c>
      <c r="D35" s="31">
        <v>1.0303325644000001</v>
      </c>
      <c r="E35" s="31">
        <v>1.0303325644000001</v>
      </c>
      <c r="F35" s="31">
        <v>1.0303325644000001</v>
      </c>
      <c r="G35" s="31">
        <v>1.0303325644000001</v>
      </c>
      <c r="H35" s="4"/>
      <c r="I35" s="4"/>
      <c r="M35" s="1" t="s">
        <v>46</v>
      </c>
    </row>
    <row r="36" spans="1:13" x14ac:dyDescent="0.25">
      <c r="A36" s="3" t="s">
        <v>96</v>
      </c>
      <c r="B36" s="31">
        <v>1.0552807376</v>
      </c>
      <c r="C36" s="31">
        <v>1.0552807376</v>
      </c>
      <c r="D36" s="31">
        <v>1.0552807376</v>
      </c>
      <c r="E36" s="31">
        <v>1.0552807376</v>
      </c>
      <c r="F36" s="31">
        <v>1.0552807376</v>
      </c>
      <c r="G36" s="31">
        <v>1.0552807376</v>
      </c>
      <c r="H36" s="4"/>
      <c r="I36" s="4"/>
    </row>
    <row r="37" spans="1:13" s="11" customFormat="1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13" x14ac:dyDescent="0.25">
      <c r="B38" s="22"/>
      <c r="C38" s="22"/>
      <c r="D38" s="22"/>
      <c r="E38" s="22"/>
      <c r="F38" s="22"/>
      <c r="G38" s="22"/>
    </row>
    <row r="39" spans="1:13" x14ac:dyDescent="0.25">
      <c r="A39" s="6" t="s">
        <v>9</v>
      </c>
      <c r="B39" s="22"/>
      <c r="C39" s="22"/>
      <c r="D39" s="22"/>
      <c r="E39" s="22"/>
      <c r="F39" s="22"/>
      <c r="G39" s="22"/>
    </row>
    <row r="40" spans="1:13" s="11" customFormat="1" x14ac:dyDescent="0.25">
      <c r="A40" s="11" t="s">
        <v>65</v>
      </c>
      <c r="B40" s="23">
        <f>B24/B35</f>
        <v>26502237.970029939</v>
      </c>
      <c r="C40" s="23">
        <f t="shared" ref="C40:G40" si="2">C24/C35</f>
        <v>26502237.970029939</v>
      </c>
      <c r="D40" s="23">
        <f>D24/D35</f>
        <v>24776989.189763393</v>
      </c>
      <c r="E40" s="23">
        <f t="shared" si="2"/>
        <v>1725248.7802665434</v>
      </c>
      <c r="F40" s="23">
        <f t="shared" si="2"/>
        <v>0</v>
      </c>
      <c r="G40" s="23">
        <f t="shared" si="2"/>
        <v>0</v>
      </c>
    </row>
    <row r="41" spans="1:13" s="11" customFormat="1" x14ac:dyDescent="0.25">
      <c r="A41" s="11" t="s">
        <v>97</v>
      </c>
      <c r="B41" s="23">
        <f t="shared" ref="B41:G41" si="3">B26/B36</f>
        <v>27534861.875792094</v>
      </c>
      <c r="C41" s="23">
        <f t="shared" si="3"/>
        <v>27534861.875792094</v>
      </c>
      <c r="D41" s="23">
        <f t="shared" si="3"/>
        <v>24352846.05729356</v>
      </c>
      <c r="E41" s="23">
        <f t="shared" si="3"/>
        <v>3182015.8184985337</v>
      </c>
      <c r="F41" s="23">
        <f t="shared" si="3"/>
        <v>0</v>
      </c>
      <c r="G41" s="23">
        <f t="shared" si="3"/>
        <v>0</v>
      </c>
    </row>
    <row r="42" spans="1:13" s="11" customFormat="1" x14ac:dyDescent="0.25">
      <c r="A42" s="11" t="s">
        <v>66</v>
      </c>
      <c r="B42" s="23">
        <f t="shared" ref="B42:G42" si="4">B40/B16</f>
        <v>70111.740661454867</v>
      </c>
      <c r="C42" s="23">
        <f t="shared" si="4"/>
        <v>118313.56236620508</v>
      </c>
      <c r="D42" s="23">
        <f>D40/D16</f>
        <v>505652.84060741618</v>
      </c>
      <c r="E42" s="23">
        <f t="shared" si="4"/>
        <v>9858.5644586659619</v>
      </c>
      <c r="F42" s="23">
        <f t="shared" si="4"/>
        <v>0</v>
      </c>
      <c r="G42" s="23">
        <f t="shared" si="4"/>
        <v>0</v>
      </c>
    </row>
    <row r="43" spans="1:13" s="11" customFormat="1" x14ac:dyDescent="0.25">
      <c r="A43" s="11" t="s">
        <v>98</v>
      </c>
      <c r="B43" s="23">
        <f t="shared" ref="B43:G43" si="5">B41/B19</f>
        <v>27925.823403440256</v>
      </c>
      <c r="C43" s="23">
        <f t="shared" si="5"/>
        <v>36230.08141551591</v>
      </c>
      <c r="D43" s="23">
        <f t="shared" si="5"/>
        <v>208143.98339567144</v>
      </c>
      <c r="E43" s="23">
        <f t="shared" si="5"/>
        <v>4948.7026726260247</v>
      </c>
      <c r="F43" s="23">
        <f t="shared" si="5"/>
        <v>0</v>
      </c>
      <c r="G43" s="23">
        <f t="shared" si="5"/>
        <v>0</v>
      </c>
    </row>
    <row r="44" spans="1:13" s="11" customFormat="1" x14ac:dyDescent="0.25">
      <c r="B44" s="24"/>
      <c r="C44" s="24"/>
      <c r="D44" s="24"/>
      <c r="E44" s="24"/>
      <c r="F44" s="24"/>
      <c r="G44" s="24"/>
    </row>
    <row r="45" spans="1:13" s="11" customFormat="1" x14ac:dyDescent="0.25">
      <c r="A45" s="6" t="s">
        <v>10</v>
      </c>
      <c r="B45" s="24"/>
      <c r="C45" s="24"/>
      <c r="D45" s="24"/>
      <c r="E45" s="24"/>
      <c r="F45" s="24"/>
      <c r="G45" s="24"/>
    </row>
    <row r="46" spans="1:13" s="11" customFormat="1" x14ac:dyDescent="0.25">
      <c r="B46" s="24"/>
      <c r="C46" s="24"/>
      <c r="D46" s="24"/>
      <c r="E46" s="24"/>
      <c r="F46" s="24"/>
      <c r="G46" s="24"/>
    </row>
    <row r="47" spans="1:13" s="11" customFormat="1" x14ac:dyDescent="0.25">
      <c r="A47" s="6" t="s">
        <v>11</v>
      </c>
      <c r="B47" s="24"/>
      <c r="C47" s="24"/>
      <c r="D47" s="24"/>
      <c r="E47" s="24"/>
      <c r="F47" s="24"/>
      <c r="G47" s="24"/>
    </row>
    <row r="48" spans="1:13" s="11" customFormat="1" x14ac:dyDescent="0.25">
      <c r="A48" s="11" t="s">
        <v>12</v>
      </c>
      <c r="B48" s="29" t="s">
        <v>44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</row>
    <row r="49" spans="1:7" s="11" customFormat="1" x14ac:dyDescent="0.25">
      <c r="A49" s="11" t="s">
        <v>13</v>
      </c>
      <c r="B49" s="29" t="s">
        <v>44</v>
      </c>
      <c r="C49" s="29" t="s">
        <v>44</v>
      </c>
      <c r="D49" s="29" t="s">
        <v>44</v>
      </c>
      <c r="E49" s="29" t="s">
        <v>44</v>
      </c>
      <c r="F49" s="29" t="s">
        <v>44</v>
      </c>
      <c r="G49" s="29" t="s">
        <v>44</v>
      </c>
    </row>
    <row r="50" spans="1:7" s="11" customFormat="1" x14ac:dyDescent="0.25">
      <c r="B50" s="24"/>
      <c r="C50" s="24"/>
      <c r="D50" s="24"/>
      <c r="E50" s="24"/>
      <c r="F50" s="24"/>
      <c r="G50" s="24"/>
    </row>
    <row r="51" spans="1:7" s="11" customFormat="1" x14ac:dyDescent="0.25">
      <c r="A51" s="6" t="s">
        <v>14</v>
      </c>
      <c r="B51" s="24"/>
      <c r="C51" s="24"/>
      <c r="D51" s="24"/>
      <c r="E51" s="24"/>
      <c r="F51" s="24"/>
      <c r="G51" s="24"/>
    </row>
    <row r="52" spans="1:7" s="11" customFormat="1" x14ac:dyDescent="0.25">
      <c r="A52" s="11" t="s">
        <v>15</v>
      </c>
      <c r="B52" s="26">
        <f>B19/B18*100</f>
        <v>276.1904761904762</v>
      </c>
      <c r="C52" s="26">
        <f t="shared" ref="C52:G52" si="6">C19/C18*100</f>
        <v>429.37853107344637</v>
      </c>
      <c r="D52" s="26">
        <f t="shared" si="6"/>
        <v>229.41176470588235</v>
      </c>
      <c r="E52" s="26">
        <f t="shared" si="6"/>
        <v>510.3174603174603</v>
      </c>
      <c r="F52" s="26">
        <f t="shared" si="6"/>
        <v>125.55555555555556</v>
      </c>
      <c r="G52" s="26">
        <f t="shared" si="6"/>
        <v>125.55555555555556</v>
      </c>
    </row>
    <row r="53" spans="1:7" s="11" customFormat="1" x14ac:dyDescent="0.25">
      <c r="A53" s="11" t="s">
        <v>16</v>
      </c>
      <c r="B53" s="26">
        <f>B26/B25*100</f>
        <v>58.795101151741768</v>
      </c>
      <c r="C53" s="26">
        <f t="shared" ref="C53:G53" si="7">C26/C25*100</f>
        <v>61.044137289915959</v>
      </c>
      <c r="D53" s="26">
        <f t="shared" si="7"/>
        <v>59.48863275462962</v>
      </c>
      <c r="E53" s="26">
        <f t="shared" si="7"/>
        <v>76.316363636363633</v>
      </c>
      <c r="F53" s="26">
        <f t="shared" si="7"/>
        <v>0</v>
      </c>
      <c r="G53" s="26">
        <f t="shared" si="7"/>
        <v>0</v>
      </c>
    </row>
    <row r="54" spans="1:7" s="11" customFormat="1" x14ac:dyDescent="0.25">
      <c r="A54" s="11" t="s">
        <v>17</v>
      </c>
      <c r="B54" s="26">
        <f t="shared" ref="B54" si="8">AVERAGE(B52:B53)</f>
        <v>167.492788671109</v>
      </c>
      <c r="C54" s="26">
        <f t="shared" ref="C54:G54" si="9">AVERAGE(C52:C53)</f>
        <v>245.21133418168117</v>
      </c>
      <c r="D54" s="26">
        <f t="shared" si="9"/>
        <v>144.45019873025598</v>
      </c>
      <c r="E54" s="26">
        <f t="shared" si="9"/>
        <v>293.31691197691197</v>
      </c>
      <c r="F54" s="26">
        <f t="shared" si="9"/>
        <v>62.777777777777779</v>
      </c>
      <c r="G54" s="26">
        <f t="shared" si="9"/>
        <v>62.777777777777779</v>
      </c>
    </row>
    <row r="55" spans="1:7" s="11" customFormat="1" x14ac:dyDescent="0.25">
      <c r="B55" s="26"/>
      <c r="C55" s="26"/>
      <c r="D55" s="26"/>
      <c r="E55" s="26"/>
      <c r="F55" s="26"/>
      <c r="G55" s="26"/>
    </row>
    <row r="56" spans="1:7" s="11" customFormat="1" x14ac:dyDescent="0.25">
      <c r="A56" s="6" t="s">
        <v>18</v>
      </c>
      <c r="B56" s="26"/>
      <c r="C56" s="26"/>
      <c r="D56" s="26"/>
      <c r="E56" s="26"/>
      <c r="F56" s="26"/>
      <c r="G56" s="26"/>
    </row>
    <row r="57" spans="1:7" s="11" customFormat="1" x14ac:dyDescent="0.25">
      <c r="A57" s="11" t="s">
        <v>19</v>
      </c>
      <c r="B57" s="26">
        <f>(B19/B21)*100</f>
        <v>46.663511594888782</v>
      </c>
      <c r="C57" s="26">
        <f t="shared" ref="C57:G57" si="10">(C19/C21)*100</f>
        <v>182.25419664268586</v>
      </c>
      <c r="D57" s="26">
        <f t="shared" si="10"/>
        <v>70.909090909090907</v>
      </c>
      <c r="E57" s="26">
        <f t="shared" si="10"/>
        <v>255.15873015873015</v>
      </c>
      <c r="F57" s="26">
        <f t="shared" si="10"/>
        <v>13.325471698113208</v>
      </c>
      <c r="G57" s="26">
        <f t="shared" si="10"/>
        <v>13.325471698113208</v>
      </c>
    </row>
    <row r="58" spans="1:7" s="11" customFormat="1" x14ac:dyDescent="0.25">
      <c r="A58" s="11" t="s">
        <v>20</v>
      </c>
      <c r="B58" s="26">
        <f>B26/B27*100</f>
        <v>32.387937738046865</v>
      </c>
      <c r="C58" s="26">
        <f t="shared" ref="C58:G58" si="11">C26/C27*100</f>
        <v>37.388936416928154</v>
      </c>
      <c r="D58" s="26">
        <f t="shared" si="11"/>
        <v>36.862790955266092</v>
      </c>
      <c r="E58" s="26">
        <f t="shared" si="11"/>
        <v>41.974000000000004</v>
      </c>
      <c r="F58" s="26">
        <f t="shared" si="11"/>
        <v>0</v>
      </c>
      <c r="G58" s="26">
        <f t="shared" si="11"/>
        <v>0</v>
      </c>
    </row>
    <row r="59" spans="1:7" s="11" customFormat="1" x14ac:dyDescent="0.25">
      <c r="A59" s="11" t="s">
        <v>21</v>
      </c>
      <c r="B59" s="26">
        <f t="shared" ref="B59" si="12">(B57+B58)/2</f>
        <v>39.525724666467823</v>
      </c>
      <c r="C59" s="26">
        <f t="shared" ref="C59:G59" si="13">(C57+C58)/2</f>
        <v>109.821566529807</v>
      </c>
      <c r="D59" s="26">
        <f t="shared" si="13"/>
        <v>53.885940932178499</v>
      </c>
      <c r="E59" s="26">
        <f t="shared" si="13"/>
        <v>148.56636507936508</v>
      </c>
      <c r="F59" s="26">
        <f t="shared" si="13"/>
        <v>6.6627358490566042</v>
      </c>
      <c r="G59" s="26">
        <f t="shared" si="13"/>
        <v>6.6627358490566042</v>
      </c>
    </row>
    <row r="60" spans="1:7" s="11" customFormat="1" x14ac:dyDescent="0.25">
      <c r="B60" s="26"/>
      <c r="C60" s="26"/>
      <c r="D60" s="26"/>
      <c r="E60" s="26"/>
      <c r="F60" s="26"/>
      <c r="G60" s="26"/>
    </row>
    <row r="61" spans="1:7" s="11" customFormat="1" x14ac:dyDescent="0.25">
      <c r="A61" s="6" t="s">
        <v>32</v>
      </c>
      <c r="B61" s="26"/>
      <c r="C61" s="26"/>
      <c r="D61" s="26"/>
      <c r="E61" s="26"/>
      <c r="F61" s="26"/>
      <c r="G61" s="26"/>
    </row>
    <row r="62" spans="1:7" s="11" customFormat="1" x14ac:dyDescent="0.25">
      <c r="A62" s="11" t="s">
        <v>22</v>
      </c>
      <c r="B62" s="26">
        <f t="shared" ref="B62:C62" si="14">B28/B26*100</f>
        <v>100</v>
      </c>
      <c r="C62" s="26">
        <f t="shared" si="14"/>
        <v>100</v>
      </c>
      <c r="D62" s="26"/>
      <c r="E62" s="26"/>
      <c r="F62" s="26"/>
      <c r="G62" s="26"/>
    </row>
    <row r="63" spans="1:7" s="11" customFormat="1" x14ac:dyDescent="0.25">
      <c r="B63" s="26"/>
      <c r="C63" s="26"/>
      <c r="D63" s="26"/>
      <c r="E63" s="26"/>
      <c r="F63" s="26"/>
      <c r="G63" s="26"/>
    </row>
    <row r="64" spans="1:7" s="11" customFormat="1" x14ac:dyDescent="0.25">
      <c r="A64" s="6" t="s">
        <v>23</v>
      </c>
      <c r="B64" s="26"/>
      <c r="C64" s="26"/>
      <c r="D64" s="26"/>
      <c r="E64" s="26"/>
      <c r="F64" s="26"/>
      <c r="G64" s="26"/>
    </row>
    <row r="65" spans="1:7" s="11" customFormat="1" x14ac:dyDescent="0.25">
      <c r="A65" s="11" t="s">
        <v>24</v>
      </c>
      <c r="B65" s="26">
        <f>((B19/B16)-1)*100</f>
        <v>160.84656084656083</v>
      </c>
      <c r="C65" s="26">
        <f t="shared" ref="C65:G65" si="15">((C19/C16)-1)*100</f>
        <v>239.28571428571428</v>
      </c>
      <c r="D65" s="26">
        <f t="shared" si="15"/>
        <v>138.77551020408166</v>
      </c>
      <c r="E65" s="26">
        <f t="shared" si="15"/>
        <v>267.42857142857144</v>
      </c>
      <c r="F65" s="26">
        <f t="shared" si="15"/>
        <v>46.753246753246749</v>
      </c>
      <c r="G65" s="26">
        <f t="shared" si="15"/>
        <v>46.753246753246749</v>
      </c>
    </row>
    <row r="66" spans="1:7" s="11" customFormat="1" x14ac:dyDescent="0.25">
      <c r="A66" s="11" t="s">
        <v>25</v>
      </c>
      <c r="B66" s="26">
        <f>((B41/B40)-1)*100</f>
        <v>3.8963649293689784</v>
      </c>
      <c r="C66" s="26">
        <f t="shared" ref="C66:E66" si="16">((C41/C40)-1)*100</f>
        <v>3.8963649293689784</v>
      </c>
      <c r="D66" s="26">
        <f t="shared" si="16"/>
        <v>-1.7118429088432863</v>
      </c>
      <c r="E66" s="26">
        <f t="shared" si="16"/>
        <v>84.438085387715873</v>
      </c>
      <c r="F66" s="26" t="s">
        <v>123</v>
      </c>
      <c r="G66" s="26" t="s">
        <v>123</v>
      </c>
    </row>
    <row r="67" spans="1:7" s="11" customFormat="1" x14ac:dyDescent="0.25">
      <c r="A67" s="11" t="s">
        <v>26</v>
      </c>
      <c r="B67" s="26">
        <f t="shared" ref="B67" si="17">((B43/B42)-1)*100</f>
        <v>-60.169547724846375</v>
      </c>
      <c r="C67" s="26">
        <f t="shared" ref="C67:E67" si="18">((C43/C42)-1)*100</f>
        <v>-69.377913494501769</v>
      </c>
      <c r="D67" s="26">
        <f t="shared" si="18"/>
        <v>-58.836583782336071</v>
      </c>
      <c r="E67" s="26">
        <f t="shared" si="18"/>
        <v>-49.803009420139531</v>
      </c>
      <c r="F67" s="26" t="s">
        <v>123</v>
      </c>
      <c r="G67" s="26" t="s">
        <v>123</v>
      </c>
    </row>
    <row r="68" spans="1:7" s="11" customFormat="1" x14ac:dyDescent="0.25">
      <c r="B68" s="26"/>
      <c r="C68" s="26"/>
      <c r="D68" s="26"/>
      <c r="E68" s="26"/>
      <c r="F68" s="26"/>
      <c r="G68" s="26"/>
    </row>
    <row r="69" spans="1:7" s="11" customFormat="1" x14ac:dyDescent="0.25">
      <c r="A69" s="6" t="s">
        <v>27</v>
      </c>
      <c r="B69" s="26"/>
      <c r="C69" s="26"/>
      <c r="D69" s="26"/>
      <c r="E69" s="26"/>
      <c r="F69" s="26"/>
      <c r="G69" s="26"/>
    </row>
    <row r="70" spans="1:7" s="11" customFormat="1" x14ac:dyDescent="0.25">
      <c r="A70" s="11" t="s">
        <v>37</v>
      </c>
      <c r="B70" s="26">
        <f t="shared" ref="B70" si="19">B25/B18</f>
        <v>138433.61344537814</v>
      </c>
      <c r="C70" s="26">
        <f t="shared" ref="C70:G70" si="20">C25/C18</f>
        <v>268926.55367231637</v>
      </c>
      <c r="D70" s="26">
        <f t="shared" si="20"/>
        <v>847058.82352941181</v>
      </c>
      <c r="E70" s="26">
        <f t="shared" si="20"/>
        <v>34920.634920634919</v>
      </c>
      <c r="F70" s="26">
        <f t="shared" si="20"/>
        <v>10115.555555555555</v>
      </c>
      <c r="G70" s="26">
        <f t="shared" si="20"/>
        <v>10115.555555555555</v>
      </c>
    </row>
    <row r="71" spans="1:7" s="11" customFormat="1" x14ac:dyDescent="0.25">
      <c r="A71" s="11" t="s">
        <v>38</v>
      </c>
      <c r="B71" s="26">
        <f t="shared" ref="B71" si="21">B26/B19</f>
        <v>29469.583519269774</v>
      </c>
      <c r="C71" s="26">
        <f t="shared" ref="C71:G71" si="22">C26/C19</f>
        <v>38232.907039473685</v>
      </c>
      <c r="D71" s="26">
        <f t="shared" si="22"/>
        <v>219650.3363247863</v>
      </c>
      <c r="E71" s="26">
        <f t="shared" si="22"/>
        <v>5222.2706065318816</v>
      </c>
      <c r="F71" s="26">
        <f t="shared" si="22"/>
        <v>0</v>
      </c>
      <c r="G71" s="26">
        <f t="shared" si="22"/>
        <v>0</v>
      </c>
    </row>
    <row r="72" spans="1:7" s="11" customFormat="1" x14ac:dyDescent="0.25">
      <c r="A72" s="11" t="s">
        <v>28</v>
      </c>
      <c r="B72" s="26">
        <f>(B71/B70)*B54</f>
        <v>35.655666292104897</v>
      </c>
      <c r="C72" s="26">
        <f t="shared" ref="C72:G72" si="23">(C71/C70)*C54</f>
        <v>34.861347891354107</v>
      </c>
      <c r="D72" s="26">
        <f t="shared" si="23"/>
        <v>37.457297949014588</v>
      </c>
      <c r="E72" s="26">
        <f t="shared" si="23"/>
        <v>43.864617332904899</v>
      </c>
      <c r="F72" s="26">
        <f t="shared" si="23"/>
        <v>0</v>
      </c>
      <c r="G72" s="26">
        <f t="shared" si="23"/>
        <v>0</v>
      </c>
    </row>
    <row r="73" spans="1:7" s="11" customFormat="1" x14ac:dyDescent="0.25">
      <c r="A73" s="11" t="s">
        <v>35</v>
      </c>
      <c r="B73" s="26">
        <f>B25/(B18*6)</f>
        <v>23072.268907563026</v>
      </c>
      <c r="C73" s="26">
        <f t="shared" ref="C73:G73" si="24">C25/(C18*6)</f>
        <v>44821.092278719399</v>
      </c>
      <c r="D73" s="26">
        <f t="shared" si="24"/>
        <v>141176.4705882353</v>
      </c>
      <c r="E73" s="26">
        <f t="shared" si="24"/>
        <v>5820.1058201058204</v>
      </c>
      <c r="F73" s="26">
        <f t="shared" si="24"/>
        <v>1685.9259259259259</v>
      </c>
      <c r="G73" s="26">
        <f t="shared" si="24"/>
        <v>1685.9259259259259</v>
      </c>
    </row>
    <row r="74" spans="1:7" s="11" customFormat="1" x14ac:dyDescent="0.25">
      <c r="A74" s="11" t="s">
        <v>36</v>
      </c>
      <c r="B74" s="26">
        <f>B26/(B19*6)</f>
        <v>4911.5972532116293</v>
      </c>
      <c r="C74" s="26">
        <f t="shared" ref="C74:G74" si="25">C26/(C19*6)</f>
        <v>6372.1511732456138</v>
      </c>
      <c r="D74" s="26">
        <f t="shared" si="25"/>
        <v>36608.389387464384</v>
      </c>
      <c r="E74" s="26">
        <f t="shared" si="25"/>
        <v>870.37843442198027</v>
      </c>
      <c r="F74" s="26">
        <f t="shared" si="25"/>
        <v>0</v>
      </c>
      <c r="G74" s="26">
        <f t="shared" si="25"/>
        <v>0</v>
      </c>
    </row>
    <row r="75" spans="1:7" s="11" customFormat="1" x14ac:dyDescent="0.25">
      <c r="B75" s="26"/>
      <c r="C75" s="26"/>
      <c r="D75" s="26"/>
      <c r="E75" s="26"/>
      <c r="F75" s="26"/>
      <c r="G75" s="26"/>
    </row>
    <row r="76" spans="1:7" s="11" customFormat="1" x14ac:dyDescent="0.25">
      <c r="A76" s="6" t="s">
        <v>29</v>
      </c>
      <c r="B76" s="26"/>
      <c r="C76" s="26"/>
      <c r="D76" s="26"/>
      <c r="E76" s="26"/>
      <c r="F76" s="26"/>
      <c r="G76" s="26"/>
    </row>
    <row r="77" spans="1:7" s="11" customFormat="1" x14ac:dyDescent="0.25">
      <c r="A77" s="11" t="s">
        <v>30</v>
      </c>
      <c r="B77" s="26">
        <f>(B32/B31)*100</f>
        <v>100</v>
      </c>
      <c r="C77" s="26">
        <f t="shared" ref="C77" si="26">(C32/C31)*100</f>
        <v>100</v>
      </c>
      <c r="D77" s="26"/>
      <c r="E77" s="26"/>
      <c r="F77" s="26">
        <f t="shared" ref="F77" si="27">(F32/F31)*100</f>
        <v>100</v>
      </c>
      <c r="G77" s="26"/>
    </row>
    <row r="78" spans="1:7" s="11" customFormat="1" x14ac:dyDescent="0.25">
      <c r="A78" s="11" t="s">
        <v>31</v>
      </c>
      <c r="B78" s="26">
        <f>(B26/B32)*100</f>
        <v>58.795101151741768</v>
      </c>
      <c r="C78" s="26">
        <f t="shared" ref="C78" si="28">(C26/C32)*100</f>
        <v>61.044137289915959</v>
      </c>
      <c r="D78" s="26"/>
      <c r="E78" s="26"/>
      <c r="F78" s="26">
        <f t="shared" ref="F78" si="29">(F26/F32)*100</f>
        <v>0</v>
      </c>
      <c r="G78" s="26"/>
    </row>
    <row r="79" spans="1:7" ht="15.75" thickBot="1" x14ac:dyDescent="0.3">
      <c r="A79" s="7"/>
      <c r="B79" s="7"/>
      <c r="C79" s="7"/>
      <c r="D79" s="7"/>
      <c r="E79" s="7"/>
      <c r="F79" s="7"/>
      <c r="G79" s="7"/>
    </row>
    <row r="80" spans="1:7" s="11" customFormat="1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8"/>
      <c r="C83" s="8"/>
      <c r="D83" s="8"/>
    </row>
    <row r="84" spans="1:4" x14ac:dyDescent="0.25">
      <c r="A84" s="14"/>
    </row>
    <row r="85" spans="1:4" x14ac:dyDescent="0.25">
      <c r="A85" s="14"/>
    </row>
    <row r="86" spans="1:4" x14ac:dyDescent="0.25">
      <c r="A86" s="11"/>
    </row>
    <row r="87" spans="1:4" x14ac:dyDescent="0.25">
      <c r="A87" s="11"/>
    </row>
    <row r="88" spans="1:4" x14ac:dyDescent="0.25">
      <c r="A88" s="11"/>
    </row>
    <row r="89" spans="1:4" x14ac:dyDescent="0.25">
      <c r="A89" s="11"/>
    </row>
    <row r="92" spans="1:4" x14ac:dyDescent="0.25">
      <c r="A92" s="5"/>
    </row>
  </sheetData>
  <mergeCells count="10">
    <mergeCell ref="F10:F11"/>
    <mergeCell ref="G10:G11"/>
    <mergeCell ref="D10:D11"/>
    <mergeCell ref="F9:G9"/>
    <mergeCell ref="A80:G80"/>
    <mergeCell ref="A9:A11"/>
    <mergeCell ref="B9:B11"/>
    <mergeCell ref="C9:E9"/>
    <mergeCell ref="C10:C11"/>
    <mergeCell ref="E10:E11"/>
  </mergeCells>
  <pageMargins left="0.7" right="0.7" top="0.75" bottom="0.75" header="0.3" footer="0.3"/>
  <ignoredErrors>
    <ignoredError sqref="F55:G55 F75:G75" evalErro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4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5703125" style="1" customWidth="1"/>
    <col min="2" max="7" width="19.5703125" style="1" customWidth="1"/>
    <col min="8" max="16384" width="11.42578125" style="1"/>
  </cols>
  <sheetData>
    <row r="9" spans="1:7" s="6" customFormat="1" ht="15" customHeigh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2</v>
      </c>
      <c r="G10" s="33" t="s">
        <v>78</v>
      </c>
    </row>
    <row r="11" spans="1: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7" ht="15.75" thickTop="1" x14ac:dyDescent="0.25"/>
    <row r="13" spans="1:7" x14ac:dyDescent="0.25">
      <c r="A13" s="6" t="s">
        <v>4</v>
      </c>
    </row>
    <row r="15" spans="1:7" x14ac:dyDescent="0.25">
      <c r="A15" s="6" t="s">
        <v>41</v>
      </c>
    </row>
    <row r="16" spans="1:7" s="11" customFormat="1" x14ac:dyDescent="0.25">
      <c r="A16" s="9" t="s">
        <v>55</v>
      </c>
      <c r="B16" s="23">
        <f t="shared" ref="B16:B17" si="0">C16+F16</f>
        <v>1020</v>
      </c>
      <c r="C16" s="23">
        <f t="shared" ref="C16:C17" si="1">D16+E16</f>
        <v>116</v>
      </c>
      <c r="D16" s="23">
        <v>24</v>
      </c>
      <c r="E16" s="23">
        <v>92</v>
      </c>
      <c r="F16" s="23">
        <f t="shared" ref="F16:F21" si="2">SUM(G16:G16)</f>
        <v>904</v>
      </c>
      <c r="G16" s="23">
        <v>904</v>
      </c>
    </row>
    <row r="17" spans="1:9" s="11" customFormat="1" x14ac:dyDescent="0.25">
      <c r="A17" s="12" t="s">
        <v>42</v>
      </c>
      <c r="B17" s="23">
        <f t="shared" si="0"/>
        <v>1040</v>
      </c>
      <c r="C17" s="23">
        <f t="shared" si="1"/>
        <v>136</v>
      </c>
      <c r="D17" s="23">
        <v>44</v>
      </c>
      <c r="E17" s="23">
        <v>92</v>
      </c>
      <c r="F17" s="23">
        <f t="shared" si="2"/>
        <v>904</v>
      </c>
      <c r="G17" s="23">
        <v>904</v>
      </c>
    </row>
    <row r="18" spans="1:9" s="11" customFormat="1" ht="15.75" customHeight="1" x14ac:dyDescent="0.25">
      <c r="A18" s="9" t="s">
        <v>99</v>
      </c>
      <c r="B18" s="23">
        <f t="shared" ref="B18" si="3">C18+F18</f>
        <v>1604</v>
      </c>
      <c r="C18" s="23">
        <f t="shared" ref="C18:C21" si="4">D18+E18</f>
        <v>88</v>
      </c>
      <c r="D18" s="23">
        <v>25</v>
      </c>
      <c r="E18" s="23">
        <v>63</v>
      </c>
      <c r="F18" s="23">
        <f t="shared" si="2"/>
        <v>1516</v>
      </c>
      <c r="G18" s="23">
        <v>1516</v>
      </c>
    </row>
    <row r="19" spans="1:9" s="11" customFormat="1" x14ac:dyDescent="0.25">
      <c r="A19" s="9" t="s">
        <v>100</v>
      </c>
      <c r="B19" s="23">
        <f>C19+F19</f>
        <v>1814</v>
      </c>
      <c r="C19" s="23">
        <f t="shared" si="4"/>
        <v>293</v>
      </c>
      <c r="D19" s="23">
        <v>50</v>
      </c>
      <c r="E19" s="23">
        <v>243</v>
      </c>
      <c r="F19" s="23">
        <f t="shared" si="2"/>
        <v>1521</v>
      </c>
      <c r="G19" s="23">
        <v>1521</v>
      </c>
    </row>
    <row r="20" spans="1:9" s="11" customFormat="1" x14ac:dyDescent="0.25">
      <c r="A20" s="12" t="s">
        <v>42</v>
      </c>
      <c r="B20" s="23">
        <f>+C20+F20</f>
        <v>1802</v>
      </c>
      <c r="C20" s="23">
        <f t="shared" si="4"/>
        <v>281</v>
      </c>
      <c r="D20" s="23">
        <v>38</v>
      </c>
      <c r="E20" s="23">
        <v>243</v>
      </c>
      <c r="F20" s="23">
        <f t="shared" si="2"/>
        <v>1521</v>
      </c>
      <c r="G20" s="23">
        <v>1521</v>
      </c>
    </row>
    <row r="21" spans="1:9" s="11" customFormat="1" x14ac:dyDescent="0.25">
      <c r="A21" s="9" t="s">
        <v>81</v>
      </c>
      <c r="B21" s="23">
        <f>+C21+F21</f>
        <v>2113</v>
      </c>
      <c r="C21" s="23">
        <f t="shared" si="4"/>
        <v>417</v>
      </c>
      <c r="D21" s="23">
        <v>165</v>
      </c>
      <c r="E21" s="23">
        <v>252</v>
      </c>
      <c r="F21" s="23">
        <f t="shared" si="2"/>
        <v>1696</v>
      </c>
      <c r="G21" s="23">
        <v>1696</v>
      </c>
    </row>
    <row r="22" spans="1:9" s="11" customFormat="1" x14ac:dyDescent="0.25">
      <c r="B22" s="23"/>
      <c r="C22" s="23"/>
      <c r="D22" s="23"/>
      <c r="E22" s="23"/>
      <c r="F22" s="23"/>
      <c r="G22" s="23"/>
    </row>
    <row r="23" spans="1:9" s="11" customFormat="1" x14ac:dyDescent="0.25">
      <c r="A23" s="20" t="s">
        <v>5</v>
      </c>
      <c r="B23" s="23"/>
      <c r="C23" s="23"/>
      <c r="D23" s="23"/>
      <c r="E23" s="23"/>
      <c r="F23" s="23"/>
      <c r="G23" s="23"/>
    </row>
    <row r="24" spans="1:9" s="11" customFormat="1" x14ac:dyDescent="0.25">
      <c r="A24" s="9" t="s">
        <v>55</v>
      </c>
      <c r="B24" s="23">
        <f>C24+F24</f>
        <v>14631797.59</v>
      </c>
      <c r="C24" s="23">
        <f>D24+E24</f>
        <v>9968737.5899999999</v>
      </c>
      <c r="D24" s="23">
        <v>8705247.5899999999</v>
      </c>
      <c r="E24" s="23">
        <v>1263490</v>
      </c>
      <c r="F24" s="23">
        <f>SUM(G24:G24)</f>
        <v>4663060</v>
      </c>
      <c r="G24" s="23">
        <v>4663060</v>
      </c>
    </row>
    <row r="25" spans="1:9" s="11" customFormat="1" x14ac:dyDescent="0.25">
      <c r="A25" s="9" t="s">
        <v>99</v>
      </c>
      <c r="B25" s="23">
        <f>C25+F25</f>
        <v>28479200</v>
      </c>
      <c r="C25" s="23">
        <f>D25+E25</f>
        <v>18300000</v>
      </c>
      <c r="D25" s="23">
        <v>15900000</v>
      </c>
      <c r="E25" s="23">
        <v>2400000</v>
      </c>
      <c r="F25" s="23">
        <f>SUM(G25:G25)</f>
        <v>10179200</v>
      </c>
      <c r="G25" s="23">
        <v>10179200</v>
      </c>
    </row>
    <row r="26" spans="1:9" s="11" customFormat="1" x14ac:dyDescent="0.25">
      <c r="A26" s="9" t="s">
        <v>100</v>
      </c>
      <c r="B26" s="23">
        <f>C26+F26</f>
        <v>23321410.550000001</v>
      </c>
      <c r="C26" s="23">
        <f>D26+E26</f>
        <v>16863205.550000001</v>
      </c>
      <c r="D26" s="23">
        <v>15137160.550000001</v>
      </c>
      <c r="E26" s="23">
        <v>1726045</v>
      </c>
      <c r="F26" s="23">
        <f>SUM(G26:G26)</f>
        <v>6458205</v>
      </c>
      <c r="G26" s="23">
        <v>6458205</v>
      </c>
      <c r="I26" s="10"/>
    </row>
    <row r="27" spans="1:9" s="11" customFormat="1" x14ac:dyDescent="0.25">
      <c r="A27" s="9" t="s">
        <v>81</v>
      </c>
      <c r="B27" s="23">
        <f>C27+F27</f>
        <v>89715528</v>
      </c>
      <c r="C27" s="23">
        <f>D27+E27</f>
        <v>77715528</v>
      </c>
      <c r="D27" s="23">
        <v>69715528</v>
      </c>
      <c r="E27" s="23">
        <v>8000000</v>
      </c>
      <c r="F27" s="23">
        <f>SUM(G27:G27)</f>
        <v>12000000</v>
      </c>
      <c r="G27" s="23">
        <v>12000000</v>
      </c>
    </row>
    <row r="28" spans="1:9" s="11" customFormat="1" x14ac:dyDescent="0.25">
      <c r="A28" s="9" t="s">
        <v>101</v>
      </c>
      <c r="B28" s="23">
        <f>+C28+F28</f>
        <v>23321410.550000001</v>
      </c>
      <c r="C28" s="23">
        <f>+D28+E28</f>
        <v>16863205.550000001</v>
      </c>
      <c r="D28" s="23">
        <f>D26</f>
        <v>15137160.550000001</v>
      </c>
      <c r="E28" s="23">
        <f>+E26</f>
        <v>1726045</v>
      </c>
      <c r="F28" s="23">
        <f>+SUM(G28)</f>
        <v>6458205</v>
      </c>
      <c r="G28" s="23">
        <f>G26</f>
        <v>6458205</v>
      </c>
    </row>
    <row r="29" spans="1:9" s="11" customFormat="1" x14ac:dyDescent="0.25">
      <c r="B29" s="23"/>
      <c r="C29" s="23"/>
      <c r="D29" s="23"/>
      <c r="E29" s="23"/>
      <c r="F29" s="23"/>
      <c r="G29" s="23"/>
    </row>
    <row r="30" spans="1:9" s="11" customFormat="1" x14ac:dyDescent="0.25">
      <c r="A30" s="20" t="s">
        <v>6</v>
      </c>
      <c r="B30" s="23"/>
      <c r="C30" s="23"/>
      <c r="D30" s="23"/>
      <c r="E30" s="23"/>
      <c r="F30" s="23"/>
      <c r="G30" s="23"/>
    </row>
    <row r="31" spans="1:9" s="11" customFormat="1" x14ac:dyDescent="0.25">
      <c r="A31" s="9" t="s">
        <v>99</v>
      </c>
      <c r="B31" s="23">
        <f>B25</f>
        <v>28479200</v>
      </c>
      <c r="C31" s="23">
        <f>C25</f>
        <v>18300000</v>
      </c>
      <c r="D31" s="23"/>
      <c r="E31" s="23"/>
      <c r="F31" s="23">
        <f>F25</f>
        <v>10179200</v>
      </c>
      <c r="G31" s="23"/>
    </row>
    <row r="32" spans="1:9" s="11" customFormat="1" x14ac:dyDescent="0.25">
      <c r="A32" s="9" t="s">
        <v>100</v>
      </c>
      <c r="B32" s="23">
        <f>+C32+F32</f>
        <v>28479200</v>
      </c>
      <c r="C32" s="23">
        <v>18300000</v>
      </c>
      <c r="D32" s="23"/>
      <c r="E32" s="23"/>
      <c r="F32" s="23">
        <v>10179200</v>
      </c>
      <c r="G32" s="23"/>
    </row>
    <row r="33" spans="1:9" x14ac:dyDescent="0.25">
      <c r="B33" s="22"/>
      <c r="C33" s="22"/>
      <c r="D33" s="22"/>
      <c r="E33" s="22"/>
      <c r="F33" s="22"/>
      <c r="G33" s="22"/>
    </row>
    <row r="34" spans="1:9" x14ac:dyDescent="0.25">
      <c r="A34" s="6" t="s">
        <v>7</v>
      </c>
      <c r="B34" s="22"/>
      <c r="C34" s="22"/>
      <c r="D34" s="22"/>
      <c r="E34" s="22"/>
      <c r="F34" s="22"/>
      <c r="G34" s="22"/>
    </row>
    <row r="35" spans="1:9" x14ac:dyDescent="0.25">
      <c r="A35" s="3" t="s">
        <v>56</v>
      </c>
      <c r="B35" s="31">
        <v>1.0347772084</v>
      </c>
      <c r="C35" s="31">
        <v>1.0347772084</v>
      </c>
      <c r="D35" s="31">
        <v>1.0347772084</v>
      </c>
      <c r="E35" s="31">
        <v>1.0347772084</v>
      </c>
      <c r="F35" s="31">
        <v>1.0347772084</v>
      </c>
      <c r="G35" s="31">
        <v>1.0347772084</v>
      </c>
      <c r="H35" s="4"/>
      <c r="I35" s="4"/>
    </row>
    <row r="36" spans="1:9" x14ac:dyDescent="0.25">
      <c r="A36" s="3" t="s">
        <v>102</v>
      </c>
      <c r="B36" s="31">
        <v>1.060947463</v>
      </c>
      <c r="C36" s="31">
        <v>1.060947463</v>
      </c>
      <c r="D36" s="31">
        <v>1.060947463</v>
      </c>
      <c r="E36" s="31">
        <v>1.060947463</v>
      </c>
      <c r="F36" s="31">
        <v>1.060947463</v>
      </c>
      <c r="G36" s="31">
        <v>1.060947463</v>
      </c>
    </row>
    <row r="37" spans="1:9" s="11" customFormat="1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9" x14ac:dyDescent="0.25">
      <c r="B38" s="22"/>
      <c r="C38" s="22"/>
      <c r="D38" s="22"/>
      <c r="E38" s="22"/>
      <c r="F38" s="22"/>
      <c r="G38" s="22"/>
    </row>
    <row r="39" spans="1:9" x14ac:dyDescent="0.25">
      <c r="A39" s="6" t="s">
        <v>9</v>
      </c>
      <c r="B39" s="22"/>
      <c r="C39" s="22"/>
      <c r="D39" s="22"/>
      <c r="E39" s="22"/>
      <c r="F39" s="22"/>
      <c r="G39" s="22"/>
    </row>
    <row r="40" spans="1:9" s="11" customFormat="1" x14ac:dyDescent="0.25">
      <c r="A40" s="11" t="s">
        <v>57</v>
      </c>
      <c r="B40" s="23">
        <f>B24/B35</f>
        <v>14140046.254617527</v>
      </c>
      <c r="C40" s="23">
        <f t="shared" ref="C40:G40" si="5">C24/C35</f>
        <v>9633704.2496460918</v>
      </c>
      <c r="D40" s="23">
        <f>D24/D35</f>
        <v>8412678.1294886507</v>
      </c>
      <c r="E40" s="23">
        <f t="shared" si="5"/>
        <v>1221026.1201574414</v>
      </c>
      <c r="F40" s="23">
        <f t="shared" si="5"/>
        <v>4506342.0049714344</v>
      </c>
      <c r="G40" s="23">
        <f t="shared" si="5"/>
        <v>4506342.0049714344</v>
      </c>
    </row>
    <row r="41" spans="1:9" s="11" customFormat="1" x14ac:dyDescent="0.25">
      <c r="A41" s="11" t="s">
        <v>103</v>
      </c>
      <c r="B41" s="23">
        <f t="shared" ref="B41:F41" si="6">B26/B36</f>
        <v>21981682.753691643</v>
      </c>
      <c r="C41" s="23">
        <f t="shared" si="6"/>
        <v>15894477.472349638</v>
      </c>
      <c r="D41" s="23">
        <f t="shared" si="6"/>
        <v>14267587.300880328</v>
      </c>
      <c r="E41" s="23">
        <f>E26/E36</f>
        <v>1626890.1714693105</v>
      </c>
      <c r="F41" s="23">
        <f t="shared" si="6"/>
        <v>6087205.2813420035</v>
      </c>
      <c r="G41" s="23">
        <f>G26/G36</f>
        <v>6087205.2813420035</v>
      </c>
    </row>
    <row r="42" spans="1:9" s="11" customFormat="1" x14ac:dyDescent="0.25">
      <c r="A42" s="11" t="s">
        <v>58</v>
      </c>
      <c r="B42" s="23">
        <f t="shared" ref="B42:G42" si="7">B40/B16</f>
        <v>13862.790445703458</v>
      </c>
      <c r="C42" s="23">
        <f t="shared" si="7"/>
        <v>83049.174565914582</v>
      </c>
      <c r="D42" s="23">
        <f t="shared" si="7"/>
        <v>350528.25539536047</v>
      </c>
      <c r="E42" s="23">
        <f t="shared" si="7"/>
        <v>13272.02304518958</v>
      </c>
      <c r="F42" s="23">
        <f t="shared" si="7"/>
        <v>4984.8915984197283</v>
      </c>
      <c r="G42" s="23">
        <f t="shared" si="7"/>
        <v>4984.8915984197283</v>
      </c>
    </row>
    <row r="43" spans="1:9" s="11" customFormat="1" x14ac:dyDescent="0.25">
      <c r="A43" s="11" t="s">
        <v>104</v>
      </c>
      <c r="B43" s="23">
        <f t="shared" ref="B43:E43" si="8">B41/B19</f>
        <v>12117.796446357024</v>
      </c>
      <c r="C43" s="23">
        <f t="shared" si="8"/>
        <v>54247.363386858837</v>
      </c>
      <c r="D43" s="23">
        <f t="shared" si="8"/>
        <v>285351.74601760658</v>
      </c>
      <c r="E43" s="23">
        <f t="shared" si="8"/>
        <v>6695.0212817667098</v>
      </c>
      <c r="F43" s="23">
        <f>F41/F19</f>
        <v>4002.1073513096671</v>
      </c>
      <c r="G43" s="23">
        <f>G41/G19</f>
        <v>4002.1073513096671</v>
      </c>
    </row>
    <row r="44" spans="1:9" s="11" customFormat="1" x14ac:dyDescent="0.25">
      <c r="B44" s="24"/>
      <c r="C44" s="24"/>
      <c r="D44" s="24"/>
      <c r="E44" s="24"/>
      <c r="F44" s="24"/>
      <c r="G44" s="24"/>
    </row>
    <row r="45" spans="1:9" s="11" customFormat="1" x14ac:dyDescent="0.25">
      <c r="A45" s="6" t="s">
        <v>10</v>
      </c>
      <c r="B45" s="24"/>
      <c r="C45" s="24"/>
      <c r="D45" s="24"/>
      <c r="E45" s="24"/>
      <c r="F45" s="24"/>
      <c r="G45" s="24"/>
    </row>
    <row r="46" spans="1:9" s="11" customFormat="1" x14ac:dyDescent="0.25">
      <c r="B46" s="24"/>
      <c r="C46" s="24"/>
      <c r="D46" s="24"/>
      <c r="E46" s="24"/>
      <c r="F46" s="24"/>
      <c r="G46" s="24"/>
    </row>
    <row r="47" spans="1:9" s="11" customFormat="1" x14ac:dyDescent="0.25">
      <c r="A47" s="6" t="s">
        <v>11</v>
      </c>
      <c r="B47" s="24"/>
      <c r="C47" s="24"/>
      <c r="D47" s="24"/>
      <c r="E47" s="24"/>
      <c r="F47" s="24"/>
      <c r="G47" s="24"/>
    </row>
    <row r="48" spans="1:9" s="11" customFormat="1" x14ac:dyDescent="0.25">
      <c r="A48" s="11" t="s">
        <v>12</v>
      </c>
      <c r="B48" s="29" t="s">
        <v>44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  <c r="H48" s="30"/>
    </row>
    <row r="49" spans="1:8" s="11" customFormat="1" x14ac:dyDescent="0.25">
      <c r="A49" s="11" t="s">
        <v>13</v>
      </c>
      <c r="B49" s="29" t="s">
        <v>44</v>
      </c>
      <c r="C49" s="29" t="s">
        <v>44</v>
      </c>
      <c r="D49" s="29" t="s">
        <v>44</v>
      </c>
      <c r="E49" s="29" t="s">
        <v>44</v>
      </c>
      <c r="F49" s="29" t="s">
        <v>44</v>
      </c>
      <c r="G49" s="29" t="s">
        <v>44</v>
      </c>
      <c r="H49" s="30"/>
    </row>
    <row r="50" spans="1:8" s="11" customFormat="1" x14ac:dyDescent="0.25">
      <c r="B50" s="24"/>
      <c r="C50" s="24"/>
      <c r="D50" s="24"/>
      <c r="E50" s="24"/>
      <c r="F50" s="24"/>
      <c r="G50" s="24"/>
    </row>
    <row r="51" spans="1:8" s="11" customFormat="1" x14ac:dyDescent="0.25">
      <c r="A51" s="6" t="s">
        <v>14</v>
      </c>
      <c r="B51" s="24"/>
      <c r="C51" s="24"/>
      <c r="D51" s="24"/>
      <c r="E51" s="24"/>
      <c r="F51" s="24"/>
      <c r="G51" s="24"/>
    </row>
    <row r="52" spans="1:8" s="11" customFormat="1" x14ac:dyDescent="0.25">
      <c r="A52" s="11" t="s">
        <v>15</v>
      </c>
      <c r="B52" s="26">
        <f>B19/B18*100</f>
        <v>113.09226932668328</v>
      </c>
      <c r="C52" s="26">
        <f t="shared" ref="C52:E52" si="9">C19/C18*100</f>
        <v>332.95454545454544</v>
      </c>
      <c r="D52" s="26">
        <f t="shared" si="9"/>
        <v>200</v>
      </c>
      <c r="E52" s="26">
        <f t="shared" si="9"/>
        <v>385.71428571428572</v>
      </c>
      <c r="F52" s="26">
        <f>F19/F18*100</f>
        <v>100.32981530343008</v>
      </c>
      <c r="G52" s="26">
        <f>G19/G18*100</f>
        <v>100.32981530343008</v>
      </c>
    </row>
    <row r="53" spans="1:8" s="11" customFormat="1" x14ac:dyDescent="0.25">
      <c r="A53" s="11" t="s">
        <v>16</v>
      </c>
      <c r="B53" s="26">
        <f>B26/B25*100</f>
        <v>81.889275506334442</v>
      </c>
      <c r="C53" s="26">
        <f t="shared" ref="C53:F53" si="10">C26/C25*100</f>
        <v>92.14866420765027</v>
      </c>
      <c r="D53" s="26">
        <f t="shared" si="10"/>
        <v>95.20226761006289</v>
      </c>
      <c r="E53" s="26">
        <f>E26/E25*100</f>
        <v>71.91854166666667</v>
      </c>
      <c r="F53" s="26">
        <f t="shared" si="10"/>
        <v>63.445113564916689</v>
      </c>
      <c r="G53" s="26">
        <f>G26/G25*100</f>
        <v>63.445113564916689</v>
      </c>
    </row>
    <row r="54" spans="1:8" s="11" customFormat="1" x14ac:dyDescent="0.25">
      <c r="A54" s="11" t="s">
        <v>17</v>
      </c>
      <c r="B54" s="26">
        <f t="shared" ref="B54:G54" si="11">AVERAGE(B52:B53)</f>
        <v>97.490772416508861</v>
      </c>
      <c r="C54" s="26">
        <f t="shared" si="11"/>
        <v>212.55160483109785</v>
      </c>
      <c r="D54" s="26">
        <f t="shared" si="11"/>
        <v>147.60113380503145</v>
      </c>
      <c r="E54" s="26">
        <f t="shared" si="11"/>
        <v>228.8164136904762</v>
      </c>
      <c r="F54" s="26">
        <f t="shared" si="11"/>
        <v>81.887464434173381</v>
      </c>
      <c r="G54" s="26">
        <f t="shared" si="11"/>
        <v>81.887464434173381</v>
      </c>
    </row>
    <row r="55" spans="1:8" s="11" customFormat="1" x14ac:dyDescent="0.25">
      <c r="B55" s="26"/>
      <c r="C55" s="26"/>
      <c r="D55" s="26"/>
      <c r="E55" s="26"/>
      <c r="F55" s="26"/>
      <c r="G55" s="26"/>
    </row>
    <row r="56" spans="1:8" s="11" customFormat="1" x14ac:dyDescent="0.25">
      <c r="A56" s="6" t="s">
        <v>18</v>
      </c>
      <c r="B56" s="26"/>
      <c r="C56" s="26"/>
      <c r="D56" s="26"/>
      <c r="E56" s="26"/>
      <c r="F56" s="26"/>
      <c r="G56" s="26"/>
    </row>
    <row r="57" spans="1:8" s="11" customFormat="1" x14ac:dyDescent="0.25">
      <c r="A57" s="11" t="s">
        <v>19</v>
      </c>
      <c r="B57" s="26">
        <f>(B19/B21)*100</f>
        <v>85.849503076194992</v>
      </c>
      <c r="C57" s="26">
        <f t="shared" ref="C57:E57" si="12">(C19/C21)*100</f>
        <v>70.26378896882494</v>
      </c>
      <c r="D57" s="26">
        <f t="shared" si="12"/>
        <v>30.303030303030305</v>
      </c>
      <c r="E57" s="26">
        <f t="shared" si="12"/>
        <v>96.428571428571431</v>
      </c>
      <c r="F57" s="26">
        <f>(F19/F21)*100</f>
        <v>89.681603773584911</v>
      </c>
      <c r="G57" s="26">
        <f>(G19/G21)*100</f>
        <v>89.681603773584911</v>
      </c>
    </row>
    <row r="58" spans="1:8" s="11" customFormat="1" x14ac:dyDescent="0.25">
      <c r="A58" s="11" t="s">
        <v>20</v>
      </c>
      <c r="B58" s="26">
        <f>B26/B27*100</f>
        <v>25.994842888290197</v>
      </c>
      <c r="C58" s="26">
        <f t="shared" ref="C58:F58" si="13">C26/C27*100</f>
        <v>21.698630870782992</v>
      </c>
      <c r="D58" s="26">
        <f t="shared" si="13"/>
        <v>21.712753219053294</v>
      </c>
      <c r="E58" s="26">
        <f>E26/E27*100</f>
        <v>21.5755625</v>
      </c>
      <c r="F58" s="26">
        <f t="shared" si="13"/>
        <v>53.818374999999996</v>
      </c>
      <c r="G58" s="26">
        <f>G26/G27*100</f>
        <v>53.818374999999996</v>
      </c>
    </row>
    <row r="59" spans="1:8" s="11" customFormat="1" x14ac:dyDescent="0.25">
      <c r="A59" s="11" t="s">
        <v>21</v>
      </c>
      <c r="B59" s="26">
        <f t="shared" ref="B59:G59" si="14">(B57+B58)/2</f>
        <v>55.922172982242593</v>
      </c>
      <c r="C59" s="26">
        <f t="shared" si="14"/>
        <v>45.981209919803966</v>
      </c>
      <c r="D59" s="26">
        <f t="shared" si="14"/>
        <v>26.007891761041797</v>
      </c>
      <c r="E59" s="26">
        <f t="shared" si="14"/>
        <v>59.002066964285717</v>
      </c>
      <c r="F59" s="26">
        <f t="shared" si="14"/>
        <v>71.74998938679245</v>
      </c>
      <c r="G59" s="26">
        <f t="shared" si="14"/>
        <v>71.74998938679245</v>
      </c>
    </row>
    <row r="60" spans="1:8" s="11" customFormat="1" x14ac:dyDescent="0.25">
      <c r="B60" s="26"/>
      <c r="C60" s="26"/>
      <c r="D60" s="26"/>
      <c r="E60" s="26"/>
      <c r="F60" s="26"/>
      <c r="G60" s="26"/>
    </row>
    <row r="61" spans="1:8" s="11" customFormat="1" x14ac:dyDescent="0.25">
      <c r="A61" s="6" t="s">
        <v>32</v>
      </c>
      <c r="B61" s="26"/>
      <c r="C61" s="26"/>
      <c r="D61" s="26"/>
      <c r="E61" s="26"/>
      <c r="F61" s="26"/>
      <c r="G61" s="26"/>
    </row>
    <row r="62" spans="1:8" s="11" customFormat="1" x14ac:dyDescent="0.25">
      <c r="A62" s="11" t="s">
        <v>22</v>
      </c>
      <c r="B62" s="26">
        <f t="shared" ref="B62:F62" si="15">B28/B26*100</f>
        <v>100</v>
      </c>
      <c r="C62" s="26">
        <f t="shared" si="15"/>
        <v>100</v>
      </c>
      <c r="D62" s="26"/>
      <c r="E62" s="26"/>
      <c r="F62" s="26">
        <f t="shared" si="15"/>
        <v>100</v>
      </c>
      <c r="G62" s="26"/>
    </row>
    <row r="63" spans="1:8" s="11" customFormat="1" x14ac:dyDescent="0.25">
      <c r="B63" s="26"/>
      <c r="C63" s="26"/>
      <c r="D63" s="26"/>
      <c r="E63" s="26"/>
      <c r="F63" s="26"/>
      <c r="G63" s="26"/>
    </row>
    <row r="64" spans="1:8" s="11" customFormat="1" x14ac:dyDescent="0.25">
      <c r="A64" s="6" t="s">
        <v>23</v>
      </c>
      <c r="B64" s="26"/>
      <c r="C64" s="26"/>
      <c r="D64" s="26"/>
      <c r="E64" s="26"/>
      <c r="F64" s="26"/>
      <c r="G64" s="26"/>
    </row>
    <row r="65" spans="1:7" s="11" customFormat="1" x14ac:dyDescent="0.25">
      <c r="A65" s="11" t="s">
        <v>24</v>
      </c>
      <c r="B65" s="26">
        <f>((B19/B16)-1)*100</f>
        <v>77.843137254901947</v>
      </c>
      <c r="C65" s="26">
        <f t="shared" ref="C65:E65" si="16">((C19/C16)-1)*100</f>
        <v>152.58620689655174</v>
      </c>
      <c r="D65" s="26">
        <f t="shared" si="16"/>
        <v>108.33333333333334</v>
      </c>
      <c r="E65" s="26">
        <f t="shared" si="16"/>
        <v>164.13043478260869</v>
      </c>
      <c r="F65" s="26">
        <f>((F19/F16)-1)*100</f>
        <v>68.252212389380531</v>
      </c>
      <c r="G65" s="26">
        <f>((G19/G16)-1)*100</f>
        <v>68.252212389380531</v>
      </c>
    </row>
    <row r="66" spans="1:7" s="11" customFormat="1" x14ac:dyDescent="0.25">
      <c r="A66" s="11" t="s">
        <v>25</v>
      </c>
      <c r="B66" s="26">
        <f>((B41/B40)-1)*100</f>
        <v>55.456936687978484</v>
      </c>
      <c r="C66" s="26">
        <f>((C41/C40)-1)*100</f>
        <v>64.988223226113107</v>
      </c>
      <c r="D66" s="26">
        <f t="shared" ref="D66:G66" si="17">((D41/D40)-1)*100</f>
        <v>69.596257948686755</v>
      </c>
      <c r="E66" s="26">
        <f t="shared" si="17"/>
        <v>33.239587967171104</v>
      </c>
      <c r="F66" s="26">
        <f t="shared" si="17"/>
        <v>35.080854374269578</v>
      </c>
      <c r="G66" s="26">
        <f t="shared" si="17"/>
        <v>35.080854374269578</v>
      </c>
    </row>
    <row r="67" spans="1:7" s="11" customFormat="1" x14ac:dyDescent="0.25">
      <c r="A67" s="11" t="s">
        <v>26</v>
      </c>
      <c r="B67" s="26">
        <f t="shared" ref="B67:G67" si="18">((B43/B42)-1)*100</f>
        <v>-12.587610021092587</v>
      </c>
      <c r="C67" s="26">
        <f t="shared" si="18"/>
        <v>-34.68043039512245</v>
      </c>
      <c r="D67" s="26">
        <f t="shared" si="18"/>
        <v>-18.593796184630349</v>
      </c>
      <c r="E67" s="26">
        <f t="shared" si="18"/>
        <v>-49.555382333416695</v>
      </c>
      <c r="F67" s="26">
        <f t="shared" si="18"/>
        <v>-19.715258149678039</v>
      </c>
      <c r="G67" s="26">
        <f t="shared" si="18"/>
        <v>-19.715258149678039</v>
      </c>
    </row>
    <row r="68" spans="1:7" s="11" customFormat="1" x14ac:dyDescent="0.25">
      <c r="B68" s="26"/>
      <c r="C68" s="26"/>
      <c r="D68" s="26"/>
      <c r="E68" s="26"/>
      <c r="F68" s="26"/>
      <c r="G68" s="26"/>
    </row>
    <row r="69" spans="1:7" s="11" customFormat="1" x14ac:dyDescent="0.25">
      <c r="A69" s="6" t="s">
        <v>27</v>
      </c>
      <c r="B69" s="26"/>
      <c r="C69" s="26"/>
      <c r="D69" s="26"/>
      <c r="E69" s="26"/>
      <c r="F69" s="26"/>
      <c r="G69" s="26"/>
    </row>
    <row r="70" spans="1:7" s="11" customFormat="1" x14ac:dyDescent="0.25">
      <c r="A70" s="11" t="s">
        <v>33</v>
      </c>
      <c r="B70" s="26">
        <f t="shared" ref="B70:G70" si="19">B25/B18</f>
        <v>17755.11221945137</v>
      </c>
      <c r="C70" s="26">
        <f t="shared" si="19"/>
        <v>207954.54545454544</v>
      </c>
      <c r="D70" s="26">
        <f t="shared" si="19"/>
        <v>636000</v>
      </c>
      <c r="E70" s="26">
        <f t="shared" si="19"/>
        <v>38095.238095238092</v>
      </c>
      <c r="F70" s="26">
        <f t="shared" si="19"/>
        <v>6714.5118733509235</v>
      </c>
      <c r="G70" s="26">
        <f t="shared" si="19"/>
        <v>6714.5118733509235</v>
      </c>
    </row>
    <row r="71" spans="1:7" s="11" customFormat="1" x14ac:dyDescent="0.25">
      <c r="A71" s="11" t="s">
        <v>34</v>
      </c>
      <c r="B71" s="26">
        <f t="shared" ref="B71:D71" si="20">B26/B19</f>
        <v>12856.3453969129</v>
      </c>
      <c r="C71" s="26">
        <f t="shared" si="20"/>
        <v>57553.602559726962</v>
      </c>
      <c r="D71" s="26">
        <f t="shared" si="20"/>
        <v>302743.21100000001</v>
      </c>
      <c r="E71" s="26">
        <f>E26/E19</f>
        <v>7103.0658436213989</v>
      </c>
      <c r="F71" s="26">
        <f>F26/F19</f>
        <v>4246.0256410256407</v>
      </c>
      <c r="G71" s="26">
        <f>G26/G19</f>
        <v>4246.0256410256407</v>
      </c>
    </row>
    <row r="72" spans="1:7" s="11" customFormat="1" x14ac:dyDescent="0.25">
      <c r="A72" s="11" t="s">
        <v>28</v>
      </c>
      <c r="B72" s="26">
        <f>(B71/B70)*B54</f>
        <v>70.592347021346839</v>
      </c>
      <c r="C72" s="26">
        <f t="shared" ref="C72:G72" si="21">(C71/C70)*C54</f>
        <v>58.825886979974925</v>
      </c>
      <c r="D72" s="26">
        <f t="shared" si="21"/>
        <v>70.259813200276525</v>
      </c>
      <c r="E72" s="26">
        <f t="shared" si="21"/>
        <v>42.664073879300091</v>
      </c>
      <c r="F72" s="26">
        <f t="shared" si="21"/>
        <v>51.782807183056654</v>
      </c>
      <c r="G72" s="26">
        <f t="shared" si="21"/>
        <v>51.782807183056654</v>
      </c>
    </row>
    <row r="73" spans="1:7" s="11" customFormat="1" x14ac:dyDescent="0.25">
      <c r="A73" s="11" t="s">
        <v>35</v>
      </c>
      <c r="B73" s="26">
        <f>B25/(B18*3)</f>
        <v>5918.3707398171236</v>
      </c>
      <c r="C73" s="26">
        <f t="shared" ref="C73:G73" si="22">C25/(C18*3)</f>
        <v>69318.181818181823</v>
      </c>
      <c r="D73" s="26">
        <f t="shared" si="22"/>
        <v>212000</v>
      </c>
      <c r="E73" s="26">
        <f t="shared" si="22"/>
        <v>12698.412698412698</v>
      </c>
      <c r="F73" s="26">
        <f t="shared" si="22"/>
        <v>2238.170624450308</v>
      </c>
      <c r="G73" s="26">
        <f t="shared" si="22"/>
        <v>2238.170624450308</v>
      </c>
    </row>
    <row r="74" spans="1:7" s="11" customFormat="1" x14ac:dyDescent="0.25">
      <c r="A74" s="11" t="s">
        <v>36</v>
      </c>
      <c r="B74" s="26">
        <f>B26/(B19*3)</f>
        <v>4285.4484656376335</v>
      </c>
      <c r="C74" s="26">
        <f t="shared" ref="C74:D74" si="23">C26/(C19*3)</f>
        <v>19184.534186575656</v>
      </c>
      <c r="D74" s="26">
        <f t="shared" si="23"/>
        <v>100914.40366666667</v>
      </c>
      <c r="E74" s="26">
        <f>E26/(E19*3)</f>
        <v>2367.6886145404665</v>
      </c>
      <c r="F74" s="26">
        <f>F26/(F19*3)</f>
        <v>1415.3418803418804</v>
      </c>
      <c r="G74" s="26">
        <f>G26/(G19*3)</f>
        <v>1415.3418803418804</v>
      </c>
    </row>
    <row r="75" spans="1:7" s="11" customFormat="1" x14ac:dyDescent="0.25">
      <c r="B75" s="26"/>
      <c r="C75" s="26"/>
      <c r="D75" s="26"/>
      <c r="E75" s="26"/>
      <c r="F75" s="26"/>
      <c r="G75" s="26"/>
    </row>
    <row r="76" spans="1:7" s="11" customFormat="1" x14ac:dyDescent="0.25">
      <c r="A76" s="6" t="s">
        <v>29</v>
      </c>
      <c r="B76" s="26"/>
      <c r="C76" s="26"/>
      <c r="D76" s="26"/>
      <c r="E76" s="26"/>
      <c r="F76" s="26"/>
      <c r="G76" s="26"/>
    </row>
    <row r="77" spans="1:7" s="11" customFormat="1" x14ac:dyDescent="0.25">
      <c r="A77" s="11" t="s">
        <v>30</v>
      </c>
      <c r="B77" s="26">
        <f>(B32/B31)*100</f>
        <v>100</v>
      </c>
      <c r="C77" s="26">
        <f t="shared" ref="C77:F77" si="24">(C32/C31)*100</f>
        <v>100</v>
      </c>
      <c r="D77" s="26"/>
      <c r="E77" s="26"/>
      <c r="F77" s="26">
        <f t="shared" si="24"/>
        <v>100</v>
      </c>
      <c r="G77" s="26"/>
    </row>
    <row r="78" spans="1:7" s="11" customFormat="1" x14ac:dyDescent="0.25">
      <c r="A78" s="11" t="s">
        <v>31</v>
      </c>
      <c r="B78" s="26">
        <f>(B26/B32)*100</f>
        <v>81.889275506334442</v>
      </c>
      <c r="C78" s="26">
        <f t="shared" ref="C78:F78" si="25">(C26/C32)*100</f>
        <v>92.14866420765027</v>
      </c>
      <c r="D78" s="26"/>
      <c r="E78" s="26"/>
      <c r="F78" s="26">
        <f t="shared" si="25"/>
        <v>63.445113564916689</v>
      </c>
      <c r="G78" s="26"/>
    </row>
    <row r="79" spans="1:7" ht="15.75" thickBot="1" x14ac:dyDescent="0.3">
      <c r="A79" s="7"/>
      <c r="B79" s="16"/>
      <c r="C79" s="16"/>
      <c r="D79" s="16"/>
      <c r="E79" s="16"/>
      <c r="F79" s="16"/>
      <c r="G79" s="16"/>
    </row>
    <row r="80" spans="1:7" s="11" customFormat="1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8"/>
      <c r="C83" s="8"/>
      <c r="D83" s="8"/>
    </row>
    <row r="84" spans="1:4" x14ac:dyDescent="0.25">
      <c r="A84" s="14"/>
    </row>
    <row r="85" spans="1:4" x14ac:dyDescent="0.25">
      <c r="A85" s="14"/>
    </row>
    <row r="86" spans="1:4" x14ac:dyDescent="0.25">
      <c r="A86" s="11"/>
    </row>
    <row r="87" spans="1:4" x14ac:dyDescent="0.25">
      <c r="A87" s="11"/>
    </row>
    <row r="88" spans="1:4" x14ac:dyDescent="0.25">
      <c r="A88" s="11"/>
    </row>
    <row r="89" spans="1:4" x14ac:dyDescent="0.25">
      <c r="A89" s="11"/>
    </row>
    <row r="94" spans="1:4" x14ac:dyDescent="0.25">
      <c r="A94" s="5"/>
    </row>
  </sheetData>
  <mergeCells count="10">
    <mergeCell ref="F10:F11"/>
    <mergeCell ref="G10:G11"/>
    <mergeCell ref="D10:D11"/>
    <mergeCell ref="F9:G9"/>
    <mergeCell ref="A80:G80"/>
    <mergeCell ref="A9:A11"/>
    <mergeCell ref="B9:B11"/>
    <mergeCell ref="C9:E9"/>
    <mergeCell ref="C10:C11"/>
    <mergeCell ref="E10:E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3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5703125" style="1" customWidth="1"/>
    <col min="2" max="7" width="19.5703125" style="1" customWidth="1"/>
    <col min="8" max="16384" width="11.42578125" style="1"/>
  </cols>
  <sheetData>
    <row r="9" spans="1:7" s="6" customFormat="1" ht="15" customHeigh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2</v>
      </c>
      <c r="G10" s="33" t="s">
        <v>78</v>
      </c>
    </row>
    <row r="11" spans="1: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7" ht="15.75" thickTop="1" x14ac:dyDescent="0.25"/>
    <row r="13" spans="1:7" x14ac:dyDescent="0.25">
      <c r="A13" s="6" t="s">
        <v>4</v>
      </c>
    </row>
    <row r="14" spans="1:7" x14ac:dyDescent="0.25">
      <c r="B14" s="32"/>
      <c r="C14" s="32"/>
      <c r="D14" s="32"/>
      <c r="E14" s="32"/>
      <c r="F14" s="32"/>
      <c r="G14" s="32"/>
    </row>
    <row r="15" spans="1:7" x14ac:dyDescent="0.25">
      <c r="A15" s="6" t="s">
        <v>41</v>
      </c>
      <c r="B15" s="32"/>
      <c r="C15" s="32"/>
      <c r="D15" s="32"/>
      <c r="E15" s="32"/>
      <c r="F15" s="32"/>
      <c r="G15" s="32"/>
    </row>
    <row r="16" spans="1:7" s="11" customFormat="1" x14ac:dyDescent="0.25">
      <c r="A16" s="9" t="s">
        <v>67</v>
      </c>
      <c r="B16" s="23">
        <f>C16+F16</f>
        <v>1398</v>
      </c>
      <c r="C16" s="23">
        <f>D16+E16</f>
        <v>340</v>
      </c>
      <c r="D16" s="23">
        <f>+'I Trimestre'!D16+'II Trimestre'!D16+'III Trimestre'!D16</f>
        <v>73</v>
      </c>
      <c r="E16" s="23">
        <f>+'I Trimestre'!E16+'II Trimestre'!E16+'III Trimestre'!E16</f>
        <v>267</v>
      </c>
      <c r="F16" s="25">
        <f>SUM(G16:G16)</f>
        <v>1058</v>
      </c>
      <c r="G16" s="25">
        <f>+'I Trimestre'!G16+'II Trimestre'!G16+'III Trimestre'!G16</f>
        <v>1058</v>
      </c>
    </row>
    <row r="17" spans="1:9" s="11" customFormat="1" x14ac:dyDescent="0.25">
      <c r="A17" s="12" t="s">
        <v>42</v>
      </c>
      <c r="B17" s="23">
        <f>C17+F17</f>
        <v>1456</v>
      </c>
      <c r="C17" s="23">
        <f>D17+E17</f>
        <v>398</v>
      </c>
      <c r="D17" s="23">
        <f>+'I Trimestre'!D17+'II Trimestre'!D17+'III Trimestre'!D17</f>
        <v>131</v>
      </c>
      <c r="E17" s="23">
        <f>+'I Trimestre'!E17+'II Trimestre'!E17+'III Trimestre'!E17</f>
        <v>267</v>
      </c>
      <c r="F17" s="25">
        <f>SUM(G17:G17)</f>
        <v>1058</v>
      </c>
      <c r="G17" s="25">
        <f>+'I Trimestre'!G17+'II Trimestre'!G17+'III Trimestre'!G17</f>
        <v>1058</v>
      </c>
    </row>
    <row r="18" spans="1:9" s="11" customFormat="1" x14ac:dyDescent="0.25">
      <c r="A18" s="9" t="s">
        <v>105</v>
      </c>
      <c r="B18" s="23">
        <f>C18+F18</f>
        <v>1961</v>
      </c>
      <c r="C18" s="23">
        <f>D18+E18</f>
        <v>265</v>
      </c>
      <c r="D18" s="23">
        <f>+'I Trimestre'!D18+'II Trimestre'!D18+'III Trimestre'!D18</f>
        <v>76</v>
      </c>
      <c r="E18" s="23">
        <f>+'I Trimestre'!E18+'II Trimestre'!E18+'III Trimestre'!E18</f>
        <v>189</v>
      </c>
      <c r="F18" s="25">
        <f>SUM(G18:G18)</f>
        <v>1696</v>
      </c>
      <c r="G18" s="23">
        <f>+'I Trimestre'!G18+'II Trimestre'!G18+'III Trimestre'!G18</f>
        <v>1696</v>
      </c>
    </row>
    <row r="19" spans="1:9" s="11" customFormat="1" x14ac:dyDescent="0.25">
      <c r="A19" s="9" t="s">
        <v>106</v>
      </c>
      <c r="B19" s="23">
        <f>C19+F19</f>
        <v>2800</v>
      </c>
      <c r="C19" s="23">
        <f>D19+E19</f>
        <v>1053</v>
      </c>
      <c r="D19" s="23">
        <f>(+'I Trimestre'!D19+'II Trimestre'!D19+'III Trimestre'!D19)</f>
        <v>167</v>
      </c>
      <c r="E19" s="23">
        <f>+'I Trimestre'!E19+'II Trimestre'!E19+'III Trimestre'!E19</f>
        <v>886</v>
      </c>
      <c r="F19" s="25">
        <f>SUM(G19:G19)</f>
        <v>1747</v>
      </c>
      <c r="G19" s="23">
        <f>+'I Trimestre'!G19+'II Trimestre'!G19+'III Trimestre'!G19</f>
        <v>1747</v>
      </c>
    </row>
    <row r="20" spans="1:9" s="11" customFormat="1" x14ac:dyDescent="0.25">
      <c r="A20" s="12" t="s">
        <v>42</v>
      </c>
      <c r="B20" s="23">
        <f>C20+F20</f>
        <v>2736</v>
      </c>
      <c r="C20" s="23">
        <f>D20+E20</f>
        <v>989</v>
      </c>
      <c r="D20" s="23">
        <f>(+'I Trimestre'!D20+'II Trimestre'!D20+'III Trimestre'!D20)</f>
        <v>103</v>
      </c>
      <c r="E20" s="23">
        <f>+'I Trimestre'!E20+'II Trimestre'!E20+'III Trimestre'!E20</f>
        <v>886</v>
      </c>
      <c r="F20" s="25">
        <f>SUM(G20:G20)</f>
        <v>1747</v>
      </c>
      <c r="G20" s="23">
        <f>+'I Trimestre'!G20+'II Trimestre'!G20+'III Trimestre'!G20</f>
        <v>1747</v>
      </c>
    </row>
    <row r="21" spans="1:9" s="11" customFormat="1" x14ac:dyDescent="0.25">
      <c r="A21" s="9" t="s">
        <v>81</v>
      </c>
      <c r="B21" s="23">
        <f>+'III Trimestre'!B21</f>
        <v>2113</v>
      </c>
      <c r="C21" s="23">
        <f>+'III Trimestre'!C21</f>
        <v>417</v>
      </c>
      <c r="D21" s="23">
        <f>+'III Trimestre'!D21</f>
        <v>165</v>
      </c>
      <c r="E21" s="23">
        <f>+'III Trimestre'!E21</f>
        <v>252</v>
      </c>
      <c r="F21" s="25">
        <f>+'III Trimestre'!F21</f>
        <v>1696</v>
      </c>
      <c r="G21" s="23">
        <f>+'III Trimestre'!G21</f>
        <v>1696</v>
      </c>
    </row>
    <row r="22" spans="1:9" s="11" customFormat="1" x14ac:dyDescent="0.25">
      <c r="B22" s="23"/>
      <c r="C22" s="23"/>
      <c r="D22" s="23"/>
      <c r="E22" s="23"/>
      <c r="F22" s="23"/>
      <c r="G22" s="23"/>
    </row>
    <row r="23" spans="1:9" s="11" customFormat="1" x14ac:dyDescent="0.25">
      <c r="A23" s="20" t="s">
        <v>5</v>
      </c>
      <c r="B23" s="23"/>
      <c r="C23" s="23"/>
      <c r="D23" s="23"/>
      <c r="E23" s="23"/>
      <c r="F23" s="23"/>
      <c r="G23" s="23"/>
    </row>
    <row r="24" spans="1:9" s="11" customFormat="1" x14ac:dyDescent="0.25">
      <c r="A24" s="9" t="s">
        <v>67</v>
      </c>
      <c r="B24" s="23">
        <f>C24+F24</f>
        <v>41937916.399999999</v>
      </c>
      <c r="C24" s="23">
        <f>D24+E24</f>
        <v>37274856.399999999</v>
      </c>
      <c r="D24" s="23">
        <f>+'I Trimestre'!D24+'II Trimestre'!D24+'III Trimestre'!D24</f>
        <v>34233786.399999999</v>
      </c>
      <c r="E24" s="23">
        <f>+'I Trimestre'!E24+'II Trimestre'!E24+'III Trimestre'!E24</f>
        <v>3041070</v>
      </c>
      <c r="F24" s="23">
        <f>SUM(G24:G24)</f>
        <v>4663060</v>
      </c>
      <c r="G24" s="23">
        <f>+'I Trimestre'!G24+'II Trimestre'!G24+'III Trimestre'!G24</f>
        <v>4663060</v>
      </c>
    </row>
    <row r="25" spans="1:9" s="11" customFormat="1" x14ac:dyDescent="0.25">
      <c r="A25" s="9" t="s">
        <v>105</v>
      </c>
      <c r="B25" s="23">
        <f t="shared" ref="B25:B26" si="0">C25+F25</f>
        <v>77900000</v>
      </c>
      <c r="C25" s="23">
        <f t="shared" ref="C25:C26" si="1">D25+E25</f>
        <v>65900000</v>
      </c>
      <c r="D25" s="23">
        <f>'I Trimestre'!D25+'II Trimestre'!D25+'III Trimestre'!D25</f>
        <v>59100000</v>
      </c>
      <c r="E25" s="23">
        <f>'I Trimestre'!E25+'II Trimestre'!E25+'III Trimestre'!E25</f>
        <v>6800000</v>
      </c>
      <c r="F25" s="23">
        <f>SUM(G25:G25)</f>
        <v>12000000</v>
      </c>
      <c r="G25" s="23">
        <f>'I Trimestre'!G25+'II Trimestre'!G25+'III Trimestre'!G25</f>
        <v>12000000</v>
      </c>
    </row>
    <row r="26" spans="1:9" s="11" customFormat="1" x14ac:dyDescent="0.25">
      <c r="A26" s="9" t="s">
        <v>106</v>
      </c>
      <c r="B26" s="23">
        <f t="shared" si="0"/>
        <v>52378419.899999999</v>
      </c>
      <c r="C26" s="23">
        <f t="shared" si="1"/>
        <v>45920214.899999999</v>
      </c>
      <c r="D26" s="23">
        <f>+'I Trimestre'!D26+'II Trimestre'!D26+'III Trimestre'!D26</f>
        <v>40836249.899999999</v>
      </c>
      <c r="E26" s="23">
        <f>+'I Trimestre'!E26+'II Trimestre'!E26+'III Trimestre'!E26</f>
        <v>5083965</v>
      </c>
      <c r="F26" s="23">
        <f>SUM(G26:G26)</f>
        <v>6458205</v>
      </c>
      <c r="G26" s="23">
        <f>+'I Trimestre'!G26+'II Trimestre'!G26+'III Trimestre'!G26</f>
        <v>6458205</v>
      </c>
      <c r="I26" s="10"/>
    </row>
    <row r="27" spans="1:9" s="11" customFormat="1" x14ac:dyDescent="0.25">
      <c r="A27" s="9" t="s">
        <v>81</v>
      </c>
      <c r="B27" s="23">
        <f>+'III Trimestre'!B27</f>
        <v>89715528</v>
      </c>
      <c r="C27" s="23">
        <f>+'III Trimestre'!C27</f>
        <v>77715528</v>
      </c>
      <c r="D27" s="23">
        <f>+'III Trimestre'!D27</f>
        <v>69715528</v>
      </c>
      <c r="E27" s="23">
        <f>+'III Trimestre'!E27</f>
        <v>8000000</v>
      </c>
      <c r="F27" s="23">
        <f>+'III Trimestre'!F27</f>
        <v>12000000</v>
      </c>
      <c r="G27" s="23">
        <f>+'III Trimestre'!G27</f>
        <v>12000000</v>
      </c>
    </row>
    <row r="28" spans="1:9" s="11" customFormat="1" x14ac:dyDescent="0.25">
      <c r="A28" s="9" t="s">
        <v>107</v>
      </c>
      <c r="B28" s="23">
        <f>+C28+F28</f>
        <v>52378419.899999999</v>
      </c>
      <c r="C28" s="23">
        <f>+D28+E28</f>
        <v>45920214.899999999</v>
      </c>
      <c r="D28" s="23">
        <f>D26</f>
        <v>40836249.899999999</v>
      </c>
      <c r="E28" s="23">
        <f>+E26</f>
        <v>5083965</v>
      </c>
      <c r="F28" s="23">
        <f>+SUM(G28)</f>
        <v>6458205</v>
      </c>
      <c r="G28" s="23">
        <f>G26</f>
        <v>6458205</v>
      </c>
    </row>
    <row r="29" spans="1:9" s="11" customFormat="1" x14ac:dyDescent="0.25">
      <c r="B29" s="23"/>
      <c r="C29" s="23"/>
      <c r="D29" s="23"/>
      <c r="E29" s="23"/>
      <c r="F29" s="23"/>
      <c r="G29" s="23"/>
    </row>
    <row r="30" spans="1:9" s="11" customFormat="1" x14ac:dyDescent="0.25">
      <c r="A30" s="20" t="s">
        <v>6</v>
      </c>
      <c r="B30" s="23"/>
      <c r="C30" s="23"/>
      <c r="D30" s="23"/>
      <c r="E30" s="23"/>
      <c r="F30" s="23"/>
      <c r="G30" s="23"/>
    </row>
    <row r="31" spans="1:9" s="11" customFormat="1" x14ac:dyDescent="0.25">
      <c r="A31" s="9" t="s">
        <v>105</v>
      </c>
      <c r="B31" s="23">
        <f>+B25</f>
        <v>77900000</v>
      </c>
      <c r="C31" s="23">
        <f>+C25</f>
        <v>65900000</v>
      </c>
      <c r="D31" s="23"/>
      <c r="E31" s="23"/>
      <c r="F31" s="23">
        <f>F25</f>
        <v>12000000</v>
      </c>
      <c r="G31" s="23"/>
    </row>
    <row r="32" spans="1:9" s="11" customFormat="1" x14ac:dyDescent="0.25">
      <c r="A32" s="9" t="s">
        <v>106</v>
      </c>
      <c r="B32" s="23">
        <f>'I Trimestre'!B32+'II Trimestre'!B32+'III Trimestre'!B32</f>
        <v>77900000</v>
      </c>
      <c r="C32" s="23">
        <f>+'I Trimestre'!C32+'II Trimestre'!C32+'III Trimestre'!C32</f>
        <v>65900000</v>
      </c>
      <c r="D32" s="23"/>
      <c r="E32" s="23"/>
      <c r="F32" s="23">
        <f>+'I Trimestre'!F32+'II Trimestre'!F32+'III Trimestre'!F32</f>
        <v>12000000</v>
      </c>
      <c r="G32" s="23"/>
    </row>
    <row r="33" spans="1:9" x14ac:dyDescent="0.25">
      <c r="B33" s="22"/>
      <c r="C33" s="22"/>
      <c r="D33" s="22"/>
      <c r="E33" s="22"/>
      <c r="F33" s="22"/>
      <c r="G33" s="22"/>
    </row>
    <row r="34" spans="1:9" x14ac:dyDescent="0.25">
      <c r="A34" s="6" t="s">
        <v>7</v>
      </c>
      <c r="B34" s="22"/>
      <c r="C34" s="22"/>
      <c r="D34" s="22"/>
      <c r="E34" s="22"/>
      <c r="F34" s="22"/>
      <c r="G34" s="22"/>
    </row>
    <row r="35" spans="1:9" x14ac:dyDescent="0.25">
      <c r="A35" s="3" t="s">
        <v>68</v>
      </c>
      <c r="B35" s="31">
        <v>1.0347772084</v>
      </c>
      <c r="C35" s="31">
        <v>1.0347772084</v>
      </c>
      <c r="D35" s="31">
        <v>1.0347772084</v>
      </c>
      <c r="E35" s="31">
        <v>1.0347772084</v>
      </c>
      <c r="F35" s="31">
        <v>1.0347772084</v>
      </c>
      <c r="G35" s="31">
        <v>1.0347772084</v>
      </c>
      <c r="H35" s="4"/>
      <c r="I35" s="4"/>
    </row>
    <row r="36" spans="1:9" x14ac:dyDescent="0.25">
      <c r="A36" s="3" t="s">
        <v>108</v>
      </c>
      <c r="B36" s="31">
        <v>1.060947463</v>
      </c>
      <c r="C36" s="31">
        <v>1.060947463</v>
      </c>
      <c r="D36" s="31">
        <v>1.060947463</v>
      </c>
      <c r="E36" s="31">
        <v>1.060947463</v>
      </c>
      <c r="F36" s="31">
        <v>1.060947463</v>
      </c>
      <c r="G36" s="31">
        <v>1.060947463</v>
      </c>
      <c r="H36" s="4"/>
      <c r="I36" s="4"/>
    </row>
    <row r="37" spans="1:9" s="11" customFormat="1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9" x14ac:dyDescent="0.25">
      <c r="B38" s="22"/>
      <c r="C38" s="22"/>
      <c r="D38" s="22"/>
      <c r="E38" s="22"/>
      <c r="F38" s="22"/>
      <c r="G38" s="22"/>
    </row>
    <row r="39" spans="1:9" x14ac:dyDescent="0.25">
      <c r="A39" s="6" t="s">
        <v>9</v>
      </c>
      <c r="B39" s="22"/>
      <c r="C39" s="22"/>
      <c r="D39" s="22"/>
      <c r="E39" s="22"/>
      <c r="F39" s="22"/>
      <c r="G39" s="22"/>
    </row>
    <row r="40" spans="1:9" s="11" customFormat="1" x14ac:dyDescent="0.25">
      <c r="A40" s="11" t="s">
        <v>69</v>
      </c>
      <c r="B40" s="23">
        <f>B24/B35</f>
        <v>40528450.046600387</v>
      </c>
      <c r="C40" s="23">
        <f t="shared" ref="C40:G40" si="2">C24/C35</f>
        <v>36022108.041628957</v>
      </c>
      <c r="D40" s="23">
        <f>D24/D35</f>
        <v>33083243.544698078</v>
      </c>
      <c r="E40" s="23">
        <f t="shared" si="2"/>
        <v>2938864.496930874</v>
      </c>
      <c r="F40" s="23">
        <f t="shared" si="2"/>
        <v>4506342.0049714344</v>
      </c>
      <c r="G40" s="23">
        <f t="shared" si="2"/>
        <v>4506342.0049714344</v>
      </c>
    </row>
    <row r="41" spans="1:9" s="11" customFormat="1" x14ac:dyDescent="0.25">
      <c r="A41" s="11" t="s">
        <v>109</v>
      </c>
      <c r="B41" s="23">
        <f t="shared" ref="B41:F41" si="3">B26/B36</f>
        <v>49369475.611819245</v>
      </c>
      <c r="C41" s="23">
        <f t="shared" si="3"/>
        <v>43282270.330477238</v>
      </c>
      <c r="D41" s="23">
        <f t="shared" si="3"/>
        <v>38490360.101836637</v>
      </c>
      <c r="E41" s="23">
        <f t="shared" si="3"/>
        <v>4791910.2286406057</v>
      </c>
      <c r="F41" s="23">
        <f t="shared" si="3"/>
        <v>6087205.2813420035</v>
      </c>
      <c r="G41" s="23">
        <f>G26/G36</f>
        <v>6087205.2813420035</v>
      </c>
    </row>
    <row r="42" spans="1:9" s="11" customFormat="1" x14ac:dyDescent="0.25">
      <c r="A42" s="11" t="s">
        <v>70</v>
      </c>
      <c r="B42" s="23">
        <f t="shared" ref="B42:G42" si="4">B40/B16</f>
        <v>28990.307615593982</v>
      </c>
      <c r="C42" s="23">
        <f t="shared" si="4"/>
        <v>105947.37659302635</v>
      </c>
      <c r="D42" s="23">
        <f t="shared" si="4"/>
        <v>453195.11705065862</v>
      </c>
      <c r="E42" s="23">
        <f t="shared" si="4"/>
        <v>11006.983134572562</v>
      </c>
      <c r="F42" s="23">
        <f t="shared" si="4"/>
        <v>4259.3024621658169</v>
      </c>
      <c r="G42" s="23">
        <f t="shared" si="4"/>
        <v>4259.3024621658169</v>
      </c>
    </row>
    <row r="43" spans="1:9" s="11" customFormat="1" x14ac:dyDescent="0.25">
      <c r="A43" s="11" t="s">
        <v>110</v>
      </c>
      <c r="B43" s="23">
        <f t="shared" ref="B43:G43" si="5">B41/B19</f>
        <v>17631.955575649732</v>
      </c>
      <c r="C43" s="23">
        <f t="shared" si="5"/>
        <v>41103.770494280376</v>
      </c>
      <c r="D43" s="23">
        <f t="shared" si="5"/>
        <v>230481.19821459064</v>
      </c>
      <c r="E43" s="23">
        <f t="shared" si="5"/>
        <v>5408.4765560277719</v>
      </c>
      <c r="F43" s="23">
        <f t="shared" si="5"/>
        <v>3484.3762343113931</v>
      </c>
      <c r="G43" s="23">
        <f t="shared" si="5"/>
        <v>3484.3762343113931</v>
      </c>
    </row>
    <row r="44" spans="1:9" s="11" customFormat="1" x14ac:dyDescent="0.25">
      <c r="B44" s="24"/>
      <c r="C44" s="24"/>
      <c r="D44" s="24"/>
      <c r="E44" s="24"/>
      <c r="F44" s="24"/>
      <c r="G44" s="24"/>
    </row>
    <row r="45" spans="1:9" s="11" customFormat="1" x14ac:dyDescent="0.25">
      <c r="A45" s="6" t="s">
        <v>10</v>
      </c>
      <c r="B45" s="24"/>
      <c r="C45" s="24"/>
      <c r="D45" s="24"/>
      <c r="E45" s="24"/>
      <c r="F45" s="24"/>
      <c r="G45" s="24"/>
    </row>
    <row r="46" spans="1:9" s="11" customFormat="1" x14ac:dyDescent="0.25">
      <c r="B46" s="24"/>
      <c r="C46" s="24"/>
      <c r="D46" s="24"/>
      <c r="E46" s="24"/>
      <c r="F46" s="24"/>
      <c r="G46" s="24"/>
    </row>
    <row r="47" spans="1:9" s="11" customFormat="1" x14ac:dyDescent="0.25">
      <c r="A47" s="6" t="s">
        <v>11</v>
      </c>
      <c r="B47" s="24"/>
      <c r="C47" s="24"/>
      <c r="D47" s="24"/>
      <c r="E47" s="24"/>
      <c r="F47" s="24"/>
      <c r="G47" s="24"/>
    </row>
    <row r="48" spans="1:9" s="11" customFormat="1" x14ac:dyDescent="0.25">
      <c r="A48" s="11" t="s">
        <v>12</v>
      </c>
      <c r="B48" s="29" t="s">
        <v>44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</row>
    <row r="49" spans="1:7" s="11" customFormat="1" x14ac:dyDescent="0.25">
      <c r="A49" s="11" t="s">
        <v>13</v>
      </c>
      <c r="B49" s="29" t="s">
        <v>44</v>
      </c>
      <c r="C49" s="29" t="s">
        <v>44</v>
      </c>
      <c r="D49" s="29" t="s">
        <v>44</v>
      </c>
      <c r="E49" s="29" t="s">
        <v>44</v>
      </c>
      <c r="F49" s="29" t="s">
        <v>44</v>
      </c>
      <c r="G49" s="29" t="s">
        <v>44</v>
      </c>
    </row>
    <row r="50" spans="1:7" s="11" customFormat="1" x14ac:dyDescent="0.25">
      <c r="B50" s="24"/>
      <c r="C50" s="24"/>
      <c r="D50" s="24"/>
      <c r="E50" s="24"/>
      <c r="F50" s="24"/>
      <c r="G50" s="24"/>
    </row>
    <row r="51" spans="1:7" s="11" customFormat="1" x14ac:dyDescent="0.25">
      <c r="A51" s="6" t="s">
        <v>14</v>
      </c>
      <c r="B51" s="24"/>
      <c r="C51" s="24"/>
      <c r="D51" s="24"/>
      <c r="E51" s="24"/>
      <c r="F51" s="24"/>
      <c r="G51" s="24"/>
    </row>
    <row r="52" spans="1:7" s="11" customFormat="1" x14ac:dyDescent="0.25">
      <c r="A52" s="11" t="s">
        <v>15</v>
      </c>
      <c r="B52" s="26">
        <f>B19/B18*100</f>
        <v>142.78429372768994</v>
      </c>
      <c r="C52" s="26">
        <f t="shared" ref="C52:G52" si="6">C19/C18*100</f>
        <v>397.35849056603769</v>
      </c>
      <c r="D52" s="26">
        <f t="shared" si="6"/>
        <v>219.73684210526315</v>
      </c>
      <c r="E52" s="26">
        <f t="shared" si="6"/>
        <v>468.78306878306876</v>
      </c>
      <c r="F52" s="26">
        <f t="shared" si="6"/>
        <v>103.00707547169812</v>
      </c>
      <c r="G52" s="26">
        <f t="shared" si="6"/>
        <v>103.00707547169812</v>
      </c>
    </row>
    <row r="53" spans="1:7" s="11" customFormat="1" x14ac:dyDescent="0.25">
      <c r="A53" s="11" t="s">
        <v>16</v>
      </c>
      <c r="B53" s="26">
        <f>B26/B25*100</f>
        <v>67.238022978177142</v>
      </c>
      <c r="C53" s="26">
        <f t="shared" ref="C53:F53" si="7">C26/C25*100</f>
        <v>69.68166145675265</v>
      </c>
      <c r="D53" s="26">
        <f t="shared" si="7"/>
        <v>69.096869543147207</v>
      </c>
      <c r="E53" s="26">
        <f t="shared" si="7"/>
        <v>74.76419117647059</v>
      </c>
      <c r="F53" s="26">
        <f t="shared" si="7"/>
        <v>53.818374999999996</v>
      </c>
      <c r="G53" s="26">
        <f>G26/G25*100</f>
        <v>53.818374999999996</v>
      </c>
    </row>
    <row r="54" spans="1:7" s="11" customFormat="1" x14ac:dyDescent="0.25">
      <c r="A54" s="11" t="s">
        <v>17</v>
      </c>
      <c r="B54" s="26">
        <f t="shared" ref="B54:G54" si="8">AVERAGE(B52:B53)</f>
        <v>105.01115835293353</v>
      </c>
      <c r="C54" s="26">
        <f t="shared" si="8"/>
        <v>233.52007601139516</v>
      </c>
      <c r="D54" s="26">
        <f t="shared" si="8"/>
        <v>144.41685582420519</v>
      </c>
      <c r="E54" s="26">
        <f t="shared" si="8"/>
        <v>271.77362997976968</v>
      </c>
      <c r="F54" s="26">
        <f t="shared" si="8"/>
        <v>78.412725235849052</v>
      </c>
      <c r="G54" s="26">
        <f t="shared" si="8"/>
        <v>78.412725235849052</v>
      </c>
    </row>
    <row r="55" spans="1:7" s="11" customFormat="1" x14ac:dyDescent="0.25">
      <c r="B55" s="26"/>
      <c r="C55" s="26"/>
      <c r="D55" s="26"/>
      <c r="E55" s="26"/>
      <c r="F55" s="26"/>
      <c r="G55" s="26"/>
    </row>
    <row r="56" spans="1:7" s="11" customFormat="1" x14ac:dyDescent="0.25">
      <c r="A56" s="6" t="s">
        <v>18</v>
      </c>
      <c r="B56" s="26"/>
      <c r="C56" s="26"/>
      <c r="D56" s="26"/>
      <c r="E56" s="26"/>
      <c r="F56" s="26"/>
      <c r="G56" s="26"/>
    </row>
    <row r="57" spans="1:7" s="11" customFormat="1" x14ac:dyDescent="0.25">
      <c r="A57" s="11" t="s">
        <v>19</v>
      </c>
      <c r="B57" s="26">
        <f>(B19/B21)*100</f>
        <v>132.51301467108377</v>
      </c>
      <c r="C57" s="26">
        <f t="shared" ref="C57:G57" si="9">(C19/C21)*100</f>
        <v>252.51798561151077</v>
      </c>
      <c r="D57" s="26">
        <f t="shared" si="9"/>
        <v>101.21212121212122</v>
      </c>
      <c r="E57" s="26">
        <f t="shared" si="9"/>
        <v>351.58730158730157</v>
      </c>
      <c r="F57" s="26">
        <f t="shared" si="9"/>
        <v>103.00707547169812</v>
      </c>
      <c r="G57" s="26">
        <f t="shared" si="9"/>
        <v>103.00707547169812</v>
      </c>
    </row>
    <row r="58" spans="1:7" s="11" customFormat="1" x14ac:dyDescent="0.25">
      <c r="A58" s="11" t="s">
        <v>20</v>
      </c>
      <c r="B58" s="26">
        <f>B26/B27*100</f>
        <v>58.382780626337059</v>
      </c>
      <c r="C58" s="26">
        <f t="shared" ref="C58:F58" si="10">C26/C27*100</f>
        <v>59.087567287711153</v>
      </c>
      <c r="D58" s="26">
        <f t="shared" si="10"/>
        <v>58.575544174319383</v>
      </c>
      <c r="E58" s="26">
        <f t="shared" si="10"/>
        <v>63.5495625</v>
      </c>
      <c r="F58" s="26">
        <f t="shared" si="10"/>
        <v>53.818374999999996</v>
      </c>
      <c r="G58" s="26">
        <f>G26/G27*100</f>
        <v>53.818374999999996</v>
      </c>
    </row>
    <row r="59" spans="1:7" s="11" customFormat="1" x14ac:dyDescent="0.25">
      <c r="A59" s="11" t="s">
        <v>21</v>
      </c>
      <c r="B59" s="26">
        <f t="shared" ref="B59:G59" si="11">(B57+B58)/2</f>
        <v>95.447897648710409</v>
      </c>
      <c r="C59" s="26">
        <f t="shared" si="11"/>
        <v>155.80277644961097</v>
      </c>
      <c r="D59" s="26">
        <f t="shared" si="11"/>
        <v>79.893832693220304</v>
      </c>
      <c r="E59" s="26">
        <f t="shared" si="11"/>
        <v>207.56843204365077</v>
      </c>
      <c r="F59" s="26">
        <f t="shared" si="11"/>
        <v>78.412725235849052</v>
      </c>
      <c r="G59" s="26">
        <f t="shared" si="11"/>
        <v>78.412725235849052</v>
      </c>
    </row>
    <row r="60" spans="1:7" s="11" customFormat="1" x14ac:dyDescent="0.25">
      <c r="B60" s="26"/>
      <c r="C60" s="26"/>
      <c r="D60" s="26"/>
      <c r="E60" s="26"/>
      <c r="F60" s="26"/>
      <c r="G60" s="26"/>
    </row>
    <row r="61" spans="1:7" s="11" customFormat="1" x14ac:dyDescent="0.25">
      <c r="A61" s="6" t="s">
        <v>32</v>
      </c>
      <c r="B61" s="26"/>
      <c r="C61" s="26"/>
      <c r="D61" s="26"/>
      <c r="E61" s="26"/>
      <c r="F61" s="26"/>
      <c r="G61" s="26"/>
    </row>
    <row r="62" spans="1:7" s="11" customFormat="1" x14ac:dyDescent="0.25">
      <c r="A62" s="11" t="s">
        <v>22</v>
      </c>
      <c r="B62" s="26">
        <f t="shared" ref="B62:F62" si="12">B28/B26*100</f>
        <v>100</v>
      </c>
      <c r="C62" s="26">
        <f t="shared" si="12"/>
        <v>100</v>
      </c>
      <c r="D62" s="26"/>
      <c r="E62" s="26"/>
      <c r="F62" s="26">
        <f t="shared" si="12"/>
        <v>100</v>
      </c>
      <c r="G62" s="26"/>
    </row>
    <row r="63" spans="1:7" s="11" customFormat="1" x14ac:dyDescent="0.25">
      <c r="B63" s="26"/>
      <c r="C63" s="26"/>
      <c r="D63" s="26"/>
      <c r="E63" s="26"/>
      <c r="F63" s="26"/>
      <c r="G63" s="26"/>
    </row>
    <row r="64" spans="1:7" s="11" customFormat="1" x14ac:dyDescent="0.25">
      <c r="A64" s="6" t="s">
        <v>23</v>
      </c>
      <c r="B64" s="26"/>
      <c r="C64" s="26"/>
      <c r="D64" s="26"/>
      <c r="E64" s="26"/>
      <c r="F64" s="26"/>
      <c r="G64" s="26"/>
    </row>
    <row r="65" spans="1:7" s="11" customFormat="1" x14ac:dyDescent="0.25">
      <c r="A65" s="11" t="s">
        <v>24</v>
      </c>
      <c r="B65" s="26">
        <f>((B19/B16)-1)*100</f>
        <v>100.28612303290414</v>
      </c>
      <c r="C65" s="26">
        <f t="shared" ref="C65:G65" si="13">((C19/C16)-1)*100</f>
        <v>209.70588235294119</v>
      </c>
      <c r="D65" s="26">
        <f t="shared" si="13"/>
        <v>128.76712328767121</v>
      </c>
      <c r="E65" s="26">
        <f t="shared" si="13"/>
        <v>231.83520599250937</v>
      </c>
      <c r="F65" s="26">
        <f t="shared" si="13"/>
        <v>65.122873345935716</v>
      </c>
      <c r="G65" s="26">
        <f t="shared" si="13"/>
        <v>65.122873345935716</v>
      </c>
    </row>
    <row r="66" spans="1:7" s="11" customFormat="1" x14ac:dyDescent="0.25">
      <c r="A66" s="11" t="s">
        <v>25</v>
      </c>
      <c r="B66" s="26">
        <f>((B41/B40)-1)*100</f>
        <v>21.814368807722182</v>
      </c>
      <c r="C66" s="26">
        <f>((C41/C40)-1)*100</f>
        <v>20.154740195821063</v>
      </c>
      <c r="D66" s="26">
        <f t="shared" ref="D66:G66" si="14">((D41/D40)-1)*100</f>
        <v>16.343973497740993</v>
      </c>
      <c r="E66" s="26">
        <f t="shared" si="14"/>
        <v>63.053119109265211</v>
      </c>
      <c r="F66" s="26">
        <f t="shared" si="14"/>
        <v>35.080854374269578</v>
      </c>
      <c r="G66" s="26">
        <f t="shared" si="14"/>
        <v>35.080854374269578</v>
      </c>
    </row>
    <row r="67" spans="1:7" s="11" customFormat="1" x14ac:dyDescent="0.25">
      <c r="A67" s="11" t="s">
        <v>26</v>
      </c>
      <c r="B67" s="26">
        <f t="shared" ref="B67:G67" si="15">((B43/B42)-1)*100</f>
        <v>-39.179825859572993</v>
      </c>
      <c r="C67" s="26">
        <f t="shared" si="15"/>
        <v>-61.203597657569652</v>
      </c>
      <c r="D67" s="26">
        <f t="shared" si="15"/>
        <v>-49.143053500987477</v>
      </c>
      <c r="E67" s="26">
        <f t="shared" si="15"/>
        <v>-50.86322482824626</v>
      </c>
      <c r="F67" s="26">
        <f t="shared" si="15"/>
        <v>-18.193735587877946</v>
      </c>
      <c r="G67" s="26">
        <f t="shared" si="15"/>
        <v>-18.193735587877946</v>
      </c>
    </row>
    <row r="68" spans="1:7" s="11" customFormat="1" x14ac:dyDescent="0.25">
      <c r="B68" s="26"/>
      <c r="C68" s="26"/>
      <c r="D68" s="26"/>
      <c r="E68" s="26"/>
      <c r="F68" s="26"/>
      <c r="G68" s="26"/>
    </row>
    <row r="69" spans="1:7" s="11" customFormat="1" x14ac:dyDescent="0.25">
      <c r="A69" s="6" t="s">
        <v>27</v>
      </c>
      <c r="B69" s="26"/>
      <c r="C69" s="26"/>
      <c r="D69" s="26"/>
      <c r="E69" s="26"/>
      <c r="F69" s="26"/>
      <c r="G69" s="26"/>
    </row>
    <row r="70" spans="1:7" s="11" customFormat="1" x14ac:dyDescent="0.25">
      <c r="A70" s="11" t="s">
        <v>124</v>
      </c>
      <c r="B70" s="26">
        <f t="shared" ref="B70:G70" si="16">B25/B18</f>
        <v>39724.630290668028</v>
      </c>
      <c r="C70" s="26">
        <f t="shared" si="16"/>
        <v>248679.24528301886</v>
      </c>
      <c r="D70" s="26">
        <f t="shared" si="16"/>
        <v>777631.57894736843</v>
      </c>
      <c r="E70" s="26">
        <f t="shared" si="16"/>
        <v>35978.835978835981</v>
      </c>
      <c r="F70" s="26">
        <f t="shared" si="16"/>
        <v>7075.4716981132078</v>
      </c>
      <c r="G70" s="26">
        <f t="shared" si="16"/>
        <v>7075.4716981132078</v>
      </c>
    </row>
    <row r="71" spans="1:7" s="11" customFormat="1" x14ac:dyDescent="0.25">
      <c r="A71" s="11" t="s">
        <v>125</v>
      </c>
      <c r="B71" s="26">
        <f t="shared" ref="B71:G71" si="17">B26/B19</f>
        <v>18706.578535714285</v>
      </c>
      <c r="C71" s="26">
        <f t="shared" si="17"/>
        <v>43608.941025641026</v>
      </c>
      <c r="D71" s="26">
        <f t="shared" si="17"/>
        <v>244528.44251497005</v>
      </c>
      <c r="E71" s="26">
        <f t="shared" si="17"/>
        <v>5738.1094808126409</v>
      </c>
      <c r="F71" s="26">
        <f t="shared" si="17"/>
        <v>3696.740125930166</v>
      </c>
      <c r="G71" s="26">
        <f t="shared" si="17"/>
        <v>3696.740125930166</v>
      </c>
    </row>
    <row r="72" spans="1:7" s="11" customFormat="1" x14ac:dyDescent="0.25">
      <c r="A72" s="11" t="s">
        <v>28</v>
      </c>
      <c r="B72" s="26">
        <f>(B71/B70)*B54</f>
        <v>49.45041568623359</v>
      </c>
      <c r="C72" s="26">
        <f t="shared" ref="C72:G72" si="18">(C71/C70)*C54</f>
        <v>40.950595661870985</v>
      </c>
      <c r="D72" s="26">
        <f t="shared" si="18"/>
        <v>45.412287494039639</v>
      </c>
      <c r="E72" s="26">
        <f t="shared" si="18"/>
        <v>43.344004896076022</v>
      </c>
      <c r="F72" s="26">
        <f t="shared" si="18"/>
        <v>40.968500777156557</v>
      </c>
      <c r="G72" s="26">
        <f t="shared" si="18"/>
        <v>40.968500777156557</v>
      </c>
    </row>
    <row r="73" spans="1:7" s="11" customFormat="1" x14ac:dyDescent="0.25">
      <c r="A73" s="11" t="s">
        <v>35</v>
      </c>
      <c r="B73" s="26">
        <f>B25/(B18*9)</f>
        <v>4413.847810074225</v>
      </c>
      <c r="C73" s="26">
        <f t="shared" ref="C73:G73" si="19">C25/(C18*9)</f>
        <v>27631.027253668763</v>
      </c>
      <c r="D73" s="26">
        <f t="shared" si="19"/>
        <v>86403.508771929832</v>
      </c>
      <c r="E73" s="26">
        <f t="shared" si="19"/>
        <v>3997.6484420928864</v>
      </c>
      <c r="F73" s="26">
        <f t="shared" si="19"/>
        <v>786.1635220125786</v>
      </c>
      <c r="G73" s="26">
        <f t="shared" si="19"/>
        <v>786.1635220125786</v>
      </c>
    </row>
    <row r="74" spans="1:7" s="11" customFormat="1" x14ac:dyDescent="0.25">
      <c r="A74" s="11" t="s">
        <v>36</v>
      </c>
      <c r="B74" s="26">
        <f>B26/(B19*9)</f>
        <v>2078.508726190476</v>
      </c>
      <c r="C74" s="26">
        <f t="shared" ref="C74:G74" si="20">C26/(C19*9)</f>
        <v>4845.4378917378917</v>
      </c>
      <c r="D74" s="26">
        <f t="shared" si="20"/>
        <v>27169.826946107783</v>
      </c>
      <c r="E74" s="26">
        <f t="shared" si="20"/>
        <v>637.56772009029351</v>
      </c>
      <c r="F74" s="26">
        <f t="shared" si="20"/>
        <v>410.74890288112954</v>
      </c>
      <c r="G74" s="26">
        <f t="shared" si="20"/>
        <v>410.74890288112954</v>
      </c>
    </row>
    <row r="75" spans="1:7" s="11" customFormat="1" x14ac:dyDescent="0.25">
      <c r="B75" s="26"/>
      <c r="C75" s="26"/>
      <c r="D75" s="26"/>
      <c r="E75" s="26"/>
      <c r="F75" s="26"/>
      <c r="G75" s="26"/>
    </row>
    <row r="76" spans="1:7" s="11" customFormat="1" x14ac:dyDescent="0.25">
      <c r="A76" s="6" t="s">
        <v>29</v>
      </c>
      <c r="B76" s="26"/>
      <c r="C76" s="26"/>
      <c r="D76" s="26"/>
      <c r="E76" s="26"/>
      <c r="F76" s="26"/>
      <c r="G76" s="26"/>
    </row>
    <row r="77" spans="1:7" s="11" customFormat="1" x14ac:dyDescent="0.25">
      <c r="A77" s="11" t="s">
        <v>30</v>
      </c>
      <c r="B77" s="26">
        <f>(B32/B31)*100</f>
        <v>100</v>
      </c>
      <c r="C77" s="26">
        <f t="shared" ref="C77:F77" si="21">(C32/C31)*100</f>
        <v>100</v>
      </c>
      <c r="D77" s="26"/>
      <c r="E77" s="26"/>
      <c r="F77" s="26">
        <f t="shared" si="21"/>
        <v>100</v>
      </c>
      <c r="G77" s="26"/>
    </row>
    <row r="78" spans="1:7" s="11" customFormat="1" x14ac:dyDescent="0.25">
      <c r="A78" s="11" t="s">
        <v>31</v>
      </c>
      <c r="B78" s="26">
        <f>(B26/B32)*100</f>
        <v>67.238022978177142</v>
      </c>
      <c r="C78" s="26">
        <f t="shared" ref="C78:F78" si="22">(C26/C32)*100</f>
        <v>69.68166145675265</v>
      </c>
      <c r="D78" s="26"/>
      <c r="E78" s="26"/>
      <c r="F78" s="26">
        <f t="shared" si="22"/>
        <v>53.818374999999996</v>
      </c>
      <c r="G78" s="26"/>
    </row>
    <row r="79" spans="1:7" ht="15.75" thickBot="1" x14ac:dyDescent="0.3">
      <c r="A79" s="7"/>
      <c r="B79" s="18"/>
      <c r="C79" s="18"/>
      <c r="D79" s="18"/>
      <c r="E79" s="18"/>
      <c r="F79" s="18"/>
      <c r="G79" s="18"/>
    </row>
    <row r="80" spans="1:7" s="11" customFormat="1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8"/>
      <c r="C83" s="8"/>
      <c r="D83" s="8"/>
    </row>
    <row r="84" spans="1:4" x14ac:dyDescent="0.25">
      <c r="A84" s="14"/>
    </row>
    <row r="85" spans="1:4" x14ac:dyDescent="0.25">
      <c r="A85" s="14"/>
    </row>
    <row r="86" spans="1:4" x14ac:dyDescent="0.25">
      <c r="A86" s="11"/>
    </row>
    <row r="87" spans="1:4" x14ac:dyDescent="0.25">
      <c r="A87" s="11"/>
    </row>
    <row r="88" spans="1:4" x14ac:dyDescent="0.25">
      <c r="A88" s="11"/>
    </row>
    <row r="89" spans="1:4" x14ac:dyDescent="0.25">
      <c r="A89" s="11"/>
    </row>
    <row r="93" spans="1:4" x14ac:dyDescent="0.25">
      <c r="A93" s="5"/>
    </row>
  </sheetData>
  <mergeCells count="10">
    <mergeCell ref="F10:F11"/>
    <mergeCell ref="G10:G11"/>
    <mergeCell ref="D10:D11"/>
    <mergeCell ref="F9:G9"/>
    <mergeCell ref="A80:G80"/>
    <mergeCell ref="A9:A11"/>
    <mergeCell ref="B9:B11"/>
    <mergeCell ref="C9:E9"/>
    <mergeCell ref="C10:C11"/>
    <mergeCell ref="E10:E11"/>
  </mergeCells>
  <pageMargins left="0.7" right="0.7" top="0.75" bottom="0.75" header="0.3" footer="0.3"/>
  <ignoredErrors>
    <ignoredError sqref="F70:F76 B70:B78" evalError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3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5703125" style="1" customWidth="1"/>
    <col min="2" max="7" width="19.5703125" style="1" customWidth="1"/>
    <col min="8" max="16384" width="11.42578125" style="1"/>
  </cols>
  <sheetData>
    <row r="9" spans="1:7" s="6" customFormat="1" ht="15" customHeigh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2</v>
      </c>
      <c r="G10" s="33" t="s">
        <v>78</v>
      </c>
    </row>
    <row r="11" spans="1: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7" ht="15.75" thickTop="1" x14ac:dyDescent="0.25"/>
    <row r="13" spans="1:7" x14ac:dyDescent="0.25">
      <c r="A13" s="6" t="s">
        <v>4</v>
      </c>
    </row>
    <row r="15" spans="1:7" x14ac:dyDescent="0.25">
      <c r="A15" s="6" t="s">
        <v>41</v>
      </c>
    </row>
    <row r="16" spans="1:7" s="11" customFormat="1" x14ac:dyDescent="0.25">
      <c r="A16" s="9" t="s">
        <v>59</v>
      </c>
      <c r="B16" s="23">
        <f t="shared" ref="B16:B21" si="0">C16+F16</f>
        <v>219</v>
      </c>
      <c r="C16" s="23">
        <f t="shared" ref="C16:C21" si="1">D16+E16</f>
        <v>133</v>
      </c>
      <c r="D16" s="23">
        <v>26</v>
      </c>
      <c r="E16" s="23">
        <v>107</v>
      </c>
      <c r="F16" s="25">
        <f t="shared" ref="F16:F21" si="2">SUM(G16:G16)</f>
        <v>86</v>
      </c>
      <c r="G16" s="23">
        <v>86</v>
      </c>
    </row>
    <row r="17" spans="1:9" s="11" customFormat="1" x14ac:dyDescent="0.25">
      <c r="A17" s="12" t="s">
        <v>42</v>
      </c>
      <c r="B17" s="23">
        <f t="shared" si="0"/>
        <v>223</v>
      </c>
      <c r="C17" s="23">
        <f t="shared" si="1"/>
        <v>137</v>
      </c>
      <c r="D17" s="23">
        <v>30</v>
      </c>
      <c r="E17" s="23">
        <v>107</v>
      </c>
      <c r="F17" s="25">
        <f t="shared" si="2"/>
        <v>86</v>
      </c>
      <c r="G17" s="23">
        <v>86</v>
      </c>
    </row>
    <row r="18" spans="1:9" s="11" customFormat="1" x14ac:dyDescent="0.25">
      <c r="A18" s="9" t="s">
        <v>111</v>
      </c>
      <c r="B18" s="23">
        <f t="shared" si="0"/>
        <v>88</v>
      </c>
      <c r="C18" s="23">
        <f t="shared" si="1"/>
        <v>88</v>
      </c>
      <c r="D18" s="23">
        <v>25</v>
      </c>
      <c r="E18" s="23">
        <v>63</v>
      </c>
      <c r="F18" s="23">
        <f t="shared" si="2"/>
        <v>0</v>
      </c>
      <c r="G18" s="23">
        <v>0</v>
      </c>
    </row>
    <row r="19" spans="1:9" s="11" customFormat="1" x14ac:dyDescent="0.25">
      <c r="A19" s="9" t="s">
        <v>112</v>
      </c>
      <c r="B19" s="23">
        <f t="shared" si="0"/>
        <v>403</v>
      </c>
      <c r="C19" s="23">
        <f t="shared" si="1"/>
        <v>303</v>
      </c>
      <c r="D19" s="23">
        <v>70</v>
      </c>
      <c r="E19" s="23">
        <v>233</v>
      </c>
      <c r="F19" s="23">
        <f t="shared" si="2"/>
        <v>100</v>
      </c>
      <c r="G19" s="23">
        <v>100</v>
      </c>
    </row>
    <row r="20" spans="1:9" s="11" customFormat="1" x14ac:dyDescent="0.25">
      <c r="A20" s="12" t="s">
        <v>42</v>
      </c>
      <c r="B20" s="23">
        <f t="shared" si="0"/>
        <v>365</v>
      </c>
      <c r="C20" s="23">
        <f t="shared" si="1"/>
        <v>265</v>
      </c>
      <c r="D20" s="23">
        <v>32</v>
      </c>
      <c r="E20" s="23">
        <v>233</v>
      </c>
      <c r="F20" s="23">
        <f t="shared" si="2"/>
        <v>100</v>
      </c>
      <c r="G20" s="23">
        <v>100</v>
      </c>
    </row>
    <row r="21" spans="1:9" s="11" customFormat="1" x14ac:dyDescent="0.25">
      <c r="A21" s="9" t="s">
        <v>81</v>
      </c>
      <c r="B21" s="23">
        <f t="shared" si="0"/>
        <v>2113</v>
      </c>
      <c r="C21" s="23">
        <f t="shared" si="1"/>
        <v>417</v>
      </c>
      <c r="D21" s="23">
        <v>165</v>
      </c>
      <c r="E21" s="23">
        <v>252</v>
      </c>
      <c r="F21" s="23">
        <f t="shared" si="2"/>
        <v>1696</v>
      </c>
      <c r="G21" s="23">
        <v>1696</v>
      </c>
    </row>
    <row r="22" spans="1:9" x14ac:dyDescent="0.25">
      <c r="B22" s="21"/>
      <c r="C22" s="21"/>
      <c r="D22" s="21"/>
      <c r="E22" s="21"/>
      <c r="F22" s="21"/>
      <c r="G22" s="21"/>
    </row>
    <row r="23" spans="1:9" x14ac:dyDescent="0.25">
      <c r="A23" s="20" t="s">
        <v>5</v>
      </c>
      <c r="B23" s="21"/>
      <c r="C23" s="21"/>
      <c r="D23" s="21"/>
      <c r="E23" s="21"/>
      <c r="F23" s="21"/>
      <c r="G23" s="21"/>
    </row>
    <row r="24" spans="1:9" s="11" customFormat="1" x14ac:dyDescent="0.25">
      <c r="A24" s="9" t="s">
        <v>59</v>
      </c>
      <c r="B24" s="23">
        <f>C24+F24</f>
        <v>17342813</v>
      </c>
      <c r="C24" s="23">
        <f>D24+E24</f>
        <v>15765292</v>
      </c>
      <c r="D24" s="23">
        <v>13849952</v>
      </c>
      <c r="E24" s="23">
        <v>1915340</v>
      </c>
      <c r="F24" s="23">
        <f>SUM(G24:G24)</f>
        <v>1577521</v>
      </c>
      <c r="G24" s="23">
        <v>1577521</v>
      </c>
    </row>
    <row r="25" spans="1:9" s="11" customFormat="1" x14ac:dyDescent="0.25">
      <c r="A25" s="9" t="s">
        <v>111</v>
      </c>
      <c r="B25" s="23">
        <f>C25+F25</f>
        <v>11815528</v>
      </c>
      <c r="C25" s="23">
        <f>D25+E25</f>
        <v>11815528</v>
      </c>
      <c r="D25" s="23">
        <v>10615528</v>
      </c>
      <c r="E25" s="23">
        <v>1200000</v>
      </c>
      <c r="F25" s="23">
        <f>SUM(G25:G25)</f>
        <v>0</v>
      </c>
      <c r="G25" s="23">
        <v>0</v>
      </c>
    </row>
    <row r="26" spans="1:9" s="11" customFormat="1" x14ac:dyDescent="0.25">
      <c r="A26" s="9" t="s">
        <v>112</v>
      </c>
      <c r="B26" s="23">
        <f>C26+F26</f>
        <v>26598080.100000001</v>
      </c>
      <c r="C26" s="23">
        <f>D26+E26</f>
        <v>21056285.100000001</v>
      </c>
      <c r="D26" s="23">
        <v>19110690.100000001</v>
      </c>
      <c r="E26" s="23">
        <v>1945595</v>
      </c>
      <c r="F26" s="23">
        <f>SUM(G26:G26)</f>
        <v>5541795</v>
      </c>
      <c r="G26" s="23">
        <v>5541795</v>
      </c>
      <c r="I26" s="10"/>
    </row>
    <row r="27" spans="1:9" s="11" customFormat="1" x14ac:dyDescent="0.25">
      <c r="A27" s="9" t="s">
        <v>81</v>
      </c>
      <c r="B27" s="23">
        <f>C27+F27</f>
        <v>89715528</v>
      </c>
      <c r="C27" s="23">
        <f>D27+E27</f>
        <v>77715528</v>
      </c>
      <c r="D27" s="23">
        <v>69715528</v>
      </c>
      <c r="E27" s="23">
        <v>8000000</v>
      </c>
      <c r="F27" s="23">
        <f>SUM(G27:G27)</f>
        <v>12000000</v>
      </c>
      <c r="G27" s="23">
        <v>12000000</v>
      </c>
    </row>
    <row r="28" spans="1:9" s="11" customFormat="1" x14ac:dyDescent="0.25">
      <c r="A28" s="9" t="s">
        <v>113</v>
      </c>
      <c r="B28" s="23">
        <f>+C28+F28</f>
        <v>26598080.100000001</v>
      </c>
      <c r="C28" s="23">
        <f>+D28+E28</f>
        <v>21056285.100000001</v>
      </c>
      <c r="D28" s="23">
        <f>+D26</f>
        <v>19110690.100000001</v>
      </c>
      <c r="E28" s="23">
        <f>+E26</f>
        <v>1945595</v>
      </c>
      <c r="F28" s="23">
        <f>+SUM(G28)</f>
        <v>5541795</v>
      </c>
      <c r="G28" s="23">
        <f>+G26</f>
        <v>5541795</v>
      </c>
    </row>
    <row r="29" spans="1:9" x14ac:dyDescent="0.25">
      <c r="A29" s="6"/>
      <c r="B29" s="21"/>
      <c r="C29" s="21"/>
      <c r="D29" s="21"/>
      <c r="E29" s="21"/>
      <c r="F29" s="21"/>
      <c r="G29" s="21"/>
    </row>
    <row r="30" spans="1:9" x14ac:dyDescent="0.25">
      <c r="A30" s="20" t="s">
        <v>6</v>
      </c>
      <c r="B30" s="21"/>
      <c r="C30" s="21"/>
      <c r="D30" s="21"/>
      <c r="E30" s="21"/>
      <c r="F30" s="21"/>
      <c r="G30" s="21"/>
    </row>
    <row r="31" spans="1:9" s="11" customFormat="1" x14ac:dyDescent="0.25">
      <c r="A31" s="9" t="s">
        <v>111</v>
      </c>
      <c r="B31" s="23">
        <f>B25</f>
        <v>11815528</v>
      </c>
      <c r="C31" s="23">
        <f>C25</f>
        <v>11815528</v>
      </c>
      <c r="D31" s="23"/>
      <c r="E31" s="23"/>
      <c r="F31" s="23">
        <f>F25</f>
        <v>0</v>
      </c>
      <c r="G31" s="23"/>
    </row>
    <row r="32" spans="1:9" s="11" customFormat="1" x14ac:dyDescent="0.25">
      <c r="A32" s="9" t="s">
        <v>112</v>
      </c>
      <c r="B32" s="23">
        <f>+C32+F32</f>
        <v>11815528</v>
      </c>
      <c r="C32" s="23">
        <v>11815528</v>
      </c>
      <c r="D32" s="23"/>
      <c r="E32" s="23"/>
      <c r="F32" s="23">
        <v>0</v>
      </c>
      <c r="G32" s="23"/>
    </row>
    <row r="33" spans="1:7" x14ac:dyDescent="0.25">
      <c r="B33" s="22"/>
      <c r="C33" s="22"/>
      <c r="D33" s="22"/>
      <c r="E33" s="22"/>
      <c r="F33" s="22"/>
      <c r="G33" s="22"/>
    </row>
    <row r="34" spans="1:7" x14ac:dyDescent="0.25">
      <c r="A34" s="6" t="s">
        <v>7</v>
      </c>
      <c r="B34" s="22"/>
      <c r="C34" s="22"/>
      <c r="D34" s="22"/>
      <c r="E34" s="22"/>
      <c r="F34" s="22"/>
      <c r="G34" s="22"/>
    </row>
    <row r="35" spans="1:7" x14ac:dyDescent="0.25">
      <c r="A35" s="3" t="s">
        <v>60</v>
      </c>
      <c r="B35" s="31">
        <v>1.0451999999999999</v>
      </c>
      <c r="C35" s="31">
        <v>1.0451999999999999</v>
      </c>
      <c r="D35" s="31">
        <v>1.0451999999999999</v>
      </c>
      <c r="E35" s="31">
        <v>1.0451999999999999</v>
      </c>
      <c r="F35" s="31">
        <v>1.0451999999999999</v>
      </c>
      <c r="G35" s="31">
        <v>1.0451999999999999</v>
      </c>
    </row>
    <row r="36" spans="1:7" x14ac:dyDescent="0.25">
      <c r="A36" s="3" t="s">
        <v>114</v>
      </c>
      <c r="B36" s="31">
        <v>1.0610999999999999</v>
      </c>
      <c r="C36" s="31">
        <v>1.0610999999999999</v>
      </c>
      <c r="D36" s="31">
        <v>1.0610999999999999</v>
      </c>
      <c r="E36" s="31">
        <v>1.0610999999999999</v>
      </c>
      <c r="F36" s="31">
        <v>1.0610999999999999</v>
      </c>
      <c r="G36" s="31">
        <v>1.0610999999999999</v>
      </c>
    </row>
    <row r="37" spans="1:7" s="11" customFormat="1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7" x14ac:dyDescent="0.25">
      <c r="B38" s="22"/>
      <c r="C38" s="22"/>
      <c r="D38" s="22"/>
      <c r="E38" s="22"/>
      <c r="F38" s="22"/>
      <c r="G38" s="22"/>
    </row>
    <row r="39" spans="1:7" x14ac:dyDescent="0.25">
      <c r="A39" s="6" t="s">
        <v>9</v>
      </c>
      <c r="B39" s="22"/>
      <c r="C39" s="22"/>
      <c r="D39" s="22"/>
      <c r="E39" s="22"/>
      <c r="F39" s="22"/>
      <c r="G39" s="22"/>
    </row>
    <row r="40" spans="1:7" s="11" customFormat="1" x14ac:dyDescent="0.25">
      <c r="A40" s="11" t="s">
        <v>61</v>
      </c>
      <c r="B40" s="23">
        <f>B24/B35</f>
        <v>16592817.642556449</v>
      </c>
      <c r="C40" s="23">
        <f t="shared" ref="C40:G40" si="3">C24/C35</f>
        <v>15083517.03023345</v>
      </c>
      <c r="D40" s="23">
        <f>D24/D35</f>
        <v>13251006.50593188</v>
      </c>
      <c r="E40" s="23">
        <f t="shared" si="3"/>
        <v>1832510.5243015692</v>
      </c>
      <c r="F40" s="23">
        <f t="shared" si="3"/>
        <v>1509300.6123230006</v>
      </c>
      <c r="G40" s="23">
        <f t="shared" si="3"/>
        <v>1509300.6123230006</v>
      </c>
    </row>
    <row r="41" spans="1:7" s="11" customFormat="1" x14ac:dyDescent="0.25">
      <c r="A41" s="11" t="s">
        <v>115</v>
      </c>
      <c r="B41" s="23">
        <f t="shared" ref="B41:F41" si="4">B26/B36</f>
        <v>25066515.973989259</v>
      </c>
      <c r="C41" s="23">
        <f t="shared" si="4"/>
        <v>19843827.254735656</v>
      </c>
      <c r="D41" s="23">
        <f t="shared" si="4"/>
        <v>18010263.028932244</v>
      </c>
      <c r="E41" s="23">
        <f t="shared" si="4"/>
        <v>1833564.2258034116</v>
      </c>
      <c r="F41" s="23">
        <f t="shared" si="4"/>
        <v>5222688.7192536052</v>
      </c>
      <c r="G41" s="23">
        <f>G26/G36</f>
        <v>5222688.7192536052</v>
      </c>
    </row>
    <row r="42" spans="1:7" s="11" customFormat="1" x14ac:dyDescent="0.25">
      <c r="A42" s="11" t="s">
        <v>62</v>
      </c>
      <c r="B42" s="23">
        <f t="shared" ref="B42:G42" si="5">B40/B16</f>
        <v>75766.290605280592</v>
      </c>
      <c r="C42" s="23">
        <f t="shared" si="5"/>
        <v>113409.90248295828</v>
      </c>
      <c r="D42" s="23">
        <f t="shared" si="5"/>
        <v>509654.09638199542</v>
      </c>
      <c r="E42" s="23">
        <f t="shared" si="5"/>
        <v>17126.266582257656</v>
      </c>
      <c r="F42" s="23">
        <f t="shared" si="5"/>
        <v>17550.00712003489</v>
      </c>
      <c r="G42" s="23">
        <f t="shared" si="5"/>
        <v>17550.00712003489</v>
      </c>
    </row>
    <row r="43" spans="1:7" s="11" customFormat="1" x14ac:dyDescent="0.25">
      <c r="A43" s="11" t="s">
        <v>116</v>
      </c>
      <c r="B43" s="23">
        <f t="shared" ref="B43:G43" si="6">B41/B19</f>
        <v>62199.791498732651</v>
      </c>
      <c r="C43" s="23">
        <f t="shared" si="6"/>
        <v>65491.179058533518</v>
      </c>
      <c r="D43" s="23">
        <f t="shared" si="6"/>
        <v>257289.4718418892</v>
      </c>
      <c r="E43" s="23">
        <f t="shared" si="6"/>
        <v>7869.3743596712939</v>
      </c>
      <c r="F43" s="23">
        <f t="shared" si="6"/>
        <v>52226.887192536051</v>
      </c>
      <c r="G43" s="23">
        <f t="shared" si="6"/>
        <v>52226.887192536051</v>
      </c>
    </row>
    <row r="44" spans="1:7" s="11" customFormat="1" x14ac:dyDescent="0.25">
      <c r="B44" s="24"/>
      <c r="C44" s="24"/>
      <c r="D44" s="24"/>
      <c r="E44" s="24"/>
      <c r="F44" s="24"/>
      <c r="G44" s="24"/>
    </row>
    <row r="45" spans="1:7" s="11" customFormat="1" x14ac:dyDescent="0.25">
      <c r="A45" s="6" t="s">
        <v>10</v>
      </c>
      <c r="B45" s="24"/>
      <c r="C45" s="24"/>
      <c r="D45" s="24"/>
      <c r="E45" s="24"/>
      <c r="F45" s="24"/>
      <c r="G45" s="24"/>
    </row>
    <row r="46" spans="1:7" s="11" customFormat="1" x14ac:dyDescent="0.25">
      <c r="B46" s="24"/>
      <c r="C46" s="24"/>
      <c r="D46" s="24"/>
      <c r="E46" s="24"/>
      <c r="F46" s="24"/>
      <c r="G46" s="24"/>
    </row>
    <row r="47" spans="1:7" s="11" customFormat="1" x14ac:dyDescent="0.25">
      <c r="A47" s="6" t="s">
        <v>11</v>
      </c>
      <c r="B47" s="24"/>
      <c r="C47" s="24"/>
      <c r="D47" s="24"/>
      <c r="E47" s="24"/>
      <c r="F47" s="24"/>
      <c r="G47" s="24"/>
    </row>
    <row r="48" spans="1:7" s="11" customFormat="1" x14ac:dyDescent="0.25">
      <c r="A48" s="11" t="s">
        <v>12</v>
      </c>
      <c r="B48" s="29" t="s">
        <v>44</v>
      </c>
      <c r="C48" s="29" t="s">
        <v>44</v>
      </c>
      <c r="D48" s="29" t="s">
        <v>44</v>
      </c>
      <c r="E48" s="29" t="s">
        <v>44</v>
      </c>
      <c r="F48" s="29" t="s">
        <v>44</v>
      </c>
      <c r="G48" s="29" t="s">
        <v>44</v>
      </c>
    </row>
    <row r="49" spans="1:7" s="11" customFormat="1" x14ac:dyDescent="0.25">
      <c r="A49" s="11" t="s">
        <v>13</v>
      </c>
      <c r="B49" s="29" t="s">
        <v>44</v>
      </c>
      <c r="C49" s="29" t="s">
        <v>44</v>
      </c>
      <c r="D49" s="29" t="s">
        <v>44</v>
      </c>
      <c r="E49" s="29" t="s">
        <v>44</v>
      </c>
      <c r="F49" s="29" t="s">
        <v>44</v>
      </c>
      <c r="G49" s="29" t="s">
        <v>44</v>
      </c>
    </row>
    <row r="50" spans="1:7" s="11" customFormat="1" x14ac:dyDescent="0.25">
      <c r="B50" s="24"/>
      <c r="C50" s="24"/>
      <c r="D50" s="24"/>
      <c r="E50" s="24"/>
      <c r="F50" s="24"/>
      <c r="G50" s="24"/>
    </row>
    <row r="51" spans="1:7" s="11" customFormat="1" x14ac:dyDescent="0.25">
      <c r="A51" s="6" t="s">
        <v>14</v>
      </c>
      <c r="B51" s="24"/>
      <c r="C51" s="24"/>
      <c r="D51" s="24"/>
      <c r="E51" s="24"/>
      <c r="F51" s="24"/>
      <c r="G51" s="24"/>
    </row>
    <row r="52" spans="1:7" s="11" customFormat="1" x14ac:dyDescent="0.25">
      <c r="A52" s="11" t="s">
        <v>15</v>
      </c>
      <c r="B52" s="26">
        <f>B19/B18*100</f>
        <v>457.95454545454544</v>
      </c>
      <c r="C52" s="26">
        <f t="shared" ref="C52:E52" si="7">C19/C18*100</f>
        <v>344.31818181818181</v>
      </c>
      <c r="D52" s="26">
        <f t="shared" si="7"/>
        <v>280</v>
      </c>
      <c r="E52" s="26">
        <f t="shared" si="7"/>
        <v>369.84126984126988</v>
      </c>
      <c r="F52" s="26" t="s">
        <v>123</v>
      </c>
      <c r="G52" s="26" t="s">
        <v>123</v>
      </c>
    </row>
    <row r="53" spans="1:7" s="11" customFormat="1" x14ac:dyDescent="0.25">
      <c r="A53" s="11" t="s">
        <v>16</v>
      </c>
      <c r="B53" s="26">
        <f>B26/B25*100</f>
        <v>225.11122736114712</v>
      </c>
      <c r="C53" s="26">
        <f t="shared" ref="C53:E53" si="8">C26/C25*100</f>
        <v>178.20858365364629</v>
      </c>
      <c r="D53" s="26">
        <f t="shared" si="8"/>
        <v>180.02580841951527</v>
      </c>
      <c r="E53" s="26">
        <f t="shared" si="8"/>
        <v>162.13291666666666</v>
      </c>
      <c r="F53" s="26" t="s">
        <v>123</v>
      </c>
      <c r="G53" s="26" t="s">
        <v>123</v>
      </c>
    </row>
    <row r="54" spans="1:7" s="11" customFormat="1" x14ac:dyDescent="0.25">
      <c r="A54" s="11" t="s">
        <v>17</v>
      </c>
      <c r="B54" s="26">
        <f t="shared" ref="B54:E54" si="9">AVERAGE(B52:B53)</f>
        <v>341.53288640784626</v>
      </c>
      <c r="C54" s="26">
        <f t="shared" si="9"/>
        <v>261.26338273591404</v>
      </c>
      <c r="D54" s="26">
        <f t="shared" si="9"/>
        <v>230.01290420975764</v>
      </c>
      <c r="E54" s="26">
        <f t="shared" si="9"/>
        <v>265.98709325396828</v>
      </c>
      <c r="F54" s="26" t="s">
        <v>123</v>
      </c>
      <c r="G54" s="26" t="s">
        <v>123</v>
      </c>
    </row>
    <row r="55" spans="1:7" s="11" customFormat="1" x14ac:dyDescent="0.25">
      <c r="B55" s="26"/>
      <c r="C55" s="26"/>
      <c r="D55" s="26"/>
      <c r="E55" s="26"/>
      <c r="F55" s="26"/>
      <c r="G55" s="26"/>
    </row>
    <row r="56" spans="1:7" s="11" customFormat="1" x14ac:dyDescent="0.25">
      <c r="A56" s="6" t="s">
        <v>18</v>
      </c>
      <c r="B56" s="26"/>
      <c r="C56" s="26"/>
      <c r="D56" s="26"/>
      <c r="E56" s="26"/>
      <c r="F56" s="26"/>
      <c r="G56" s="26"/>
    </row>
    <row r="57" spans="1:7" s="11" customFormat="1" x14ac:dyDescent="0.25">
      <c r="A57" s="11" t="s">
        <v>19</v>
      </c>
      <c r="B57" s="26">
        <f>(B19/B21)*100</f>
        <v>19.072408897302413</v>
      </c>
      <c r="C57" s="26">
        <f t="shared" ref="C57:G57" si="10">(C19/C21)*100</f>
        <v>72.661870503597129</v>
      </c>
      <c r="D57" s="26">
        <f t="shared" si="10"/>
        <v>42.424242424242422</v>
      </c>
      <c r="E57" s="26">
        <f t="shared" si="10"/>
        <v>92.460317460317469</v>
      </c>
      <c r="F57" s="26">
        <f t="shared" si="10"/>
        <v>5.8962264150943398</v>
      </c>
      <c r="G57" s="26">
        <f t="shared" si="10"/>
        <v>5.8962264150943398</v>
      </c>
    </row>
    <row r="58" spans="1:7" s="11" customFormat="1" x14ac:dyDescent="0.25">
      <c r="A58" s="11" t="s">
        <v>20</v>
      </c>
      <c r="B58" s="26">
        <f>B26/B27*100</f>
        <v>29.647130984950564</v>
      </c>
      <c r="C58" s="26">
        <f t="shared" ref="C58:F58" si="11">C26/C27*100</f>
        <v>27.094051397296049</v>
      </c>
      <c r="D58" s="26">
        <f t="shared" si="11"/>
        <v>27.412386663699944</v>
      </c>
      <c r="E58" s="26">
        <f t="shared" si="11"/>
        <v>24.319937499999998</v>
      </c>
      <c r="F58" s="26">
        <f t="shared" si="11"/>
        <v>46.181624999999997</v>
      </c>
      <c r="G58" s="26">
        <f>G26/G27*100</f>
        <v>46.181624999999997</v>
      </c>
    </row>
    <row r="59" spans="1:7" s="11" customFormat="1" x14ac:dyDescent="0.25">
      <c r="A59" s="11" t="s">
        <v>21</v>
      </c>
      <c r="B59" s="26">
        <f t="shared" ref="B59:G59" si="12">(B57+B58)/2</f>
        <v>24.359769941126487</v>
      </c>
      <c r="C59" s="26">
        <f t="shared" si="12"/>
        <v>49.877960950446592</v>
      </c>
      <c r="D59" s="26">
        <f t="shared" si="12"/>
        <v>34.918314543971185</v>
      </c>
      <c r="E59" s="26">
        <f t="shared" si="12"/>
        <v>58.390127480158732</v>
      </c>
      <c r="F59" s="26">
        <f t="shared" si="12"/>
        <v>26.038925707547168</v>
      </c>
      <c r="G59" s="26">
        <f t="shared" si="12"/>
        <v>26.038925707547168</v>
      </c>
    </row>
    <row r="60" spans="1:7" s="11" customFormat="1" x14ac:dyDescent="0.25">
      <c r="B60" s="26"/>
      <c r="C60" s="26"/>
      <c r="D60" s="26"/>
      <c r="E60" s="26"/>
      <c r="F60" s="26"/>
      <c r="G60" s="26"/>
    </row>
    <row r="61" spans="1:7" s="11" customFormat="1" x14ac:dyDescent="0.25">
      <c r="A61" s="6" t="s">
        <v>32</v>
      </c>
      <c r="B61" s="26"/>
      <c r="C61" s="26"/>
      <c r="D61" s="26"/>
      <c r="E61" s="26"/>
      <c r="F61" s="26"/>
      <c r="G61" s="26"/>
    </row>
    <row r="62" spans="1:7" s="11" customFormat="1" x14ac:dyDescent="0.25">
      <c r="A62" s="11" t="s">
        <v>22</v>
      </c>
      <c r="B62" s="26">
        <f t="shared" ref="B62:F62" si="13">B28/B26*100</f>
        <v>100</v>
      </c>
      <c r="C62" s="26">
        <f t="shared" si="13"/>
        <v>100</v>
      </c>
      <c r="D62" s="26"/>
      <c r="E62" s="26"/>
      <c r="F62" s="26">
        <f t="shared" si="13"/>
        <v>100</v>
      </c>
      <c r="G62" s="26"/>
    </row>
    <row r="63" spans="1:7" s="11" customFormat="1" x14ac:dyDescent="0.25">
      <c r="B63" s="26"/>
      <c r="C63" s="26"/>
      <c r="D63" s="26"/>
      <c r="E63" s="26"/>
      <c r="F63" s="26"/>
      <c r="G63" s="26"/>
    </row>
    <row r="64" spans="1:7" s="11" customFormat="1" x14ac:dyDescent="0.25">
      <c r="A64" s="6" t="s">
        <v>23</v>
      </c>
      <c r="B64" s="26"/>
      <c r="C64" s="26"/>
      <c r="D64" s="26"/>
      <c r="E64" s="26"/>
      <c r="F64" s="26"/>
      <c r="G64" s="26"/>
    </row>
    <row r="65" spans="1:7" s="11" customFormat="1" x14ac:dyDescent="0.25">
      <c r="A65" s="11" t="s">
        <v>24</v>
      </c>
      <c r="B65" s="26">
        <f>((B19/B16)-1)*100</f>
        <v>84.018264840182638</v>
      </c>
      <c r="C65" s="26">
        <f t="shared" ref="C65:G65" si="14">((C19/C16)-1)*100</f>
        <v>127.81954887218046</v>
      </c>
      <c r="D65" s="26">
        <f t="shared" si="14"/>
        <v>169.23076923076925</v>
      </c>
      <c r="E65" s="26">
        <f t="shared" si="14"/>
        <v>117.75700934579439</v>
      </c>
      <c r="F65" s="26">
        <f t="shared" si="14"/>
        <v>16.279069767441868</v>
      </c>
      <c r="G65" s="26">
        <f t="shared" si="14"/>
        <v>16.279069767441868</v>
      </c>
    </row>
    <row r="66" spans="1:7" s="11" customFormat="1" x14ac:dyDescent="0.25">
      <c r="A66" s="11" t="s">
        <v>25</v>
      </c>
      <c r="B66" s="26">
        <f>((B41/B40)-1)*100</f>
        <v>51.068471395116653</v>
      </c>
      <c r="C66" s="26">
        <f>((C41/C40)-1)*100</f>
        <v>31.559683427682184</v>
      </c>
      <c r="D66" s="26">
        <f t="shared" ref="D66:G66" si="15">((D41/D40)-1)*100</f>
        <v>35.916188863614671</v>
      </c>
      <c r="E66" s="26">
        <f t="shared" si="15"/>
        <v>5.7500433851198629E-2</v>
      </c>
      <c r="F66" s="26">
        <f t="shared" si="15"/>
        <v>246.03369776781844</v>
      </c>
      <c r="G66" s="26">
        <f t="shared" si="15"/>
        <v>246.03369776781844</v>
      </c>
    </row>
    <row r="67" spans="1:7" s="11" customFormat="1" x14ac:dyDescent="0.25">
      <c r="A67" s="11" t="s">
        <v>26</v>
      </c>
      <c r="B67" s="26">
        <f>((B43/B42)-1)*100</f>
        <v>-17.905719018534626</v>
      </c>
      <c r="C67" s="26">
        <f t="shared" ref="C67:G67" si="16">((C43/C42)-1)*100</f>
        <v>-42.252680211611448</v>
      </c>
      <c r="D67" s="26">
        <f t="shared" si="16"/>
        <v>-49.516844136371688</v>
      </c>
      <c r="E67" s="26">
        <f t="shared" si="16"/>
        <v>-54.050847440248596</v>
      </c>
      <c r="F67" s="26">
        <f t="shared" si="16"/>
        <v>197.58898008032389</v>
      </c>
      <c r="G67" s="26">
        <f t="shared" si="16"/>
        <v>197.58898008032389</v>
      </c>
    </row>
    <row r="68" spans="1:7" s="11" customFormat="1" x14ac:dyDescent="0.25">
      <c r="B68" s="26"/>
      <c r="C68" s="26"/>
      <c r="D68" s="26"/>
      <c r="E68" s="26"/>
      <c r="F68" s="26"/>
      <c r="G68" s="26"/>
    </row>
    <row r="69" spans="1:7" s="11" customFormat="1" x14ac:dyDescent="0.25">
      <c r="A69" s="6" t="s">
        <v>27</v>
      </c>
      <c r="B69" s="26"/>
      <c r="C69" s="26"/>
      <c r="D69" s="26"/>
      <c r="E69" s="26"/>
      <c r="F69" s="26"/>
      <c r="G69" s="26"/>
    </row>
    <row r="70" spans="1:7" s="11" customFormat="1" x14ac:dyDescent="0.25">
      <c r="A70" s="11" t="s">
        <v>33</v>
      </c>
      <c r="B70" s="26">
        <f t="shared" ref="B70:E70" si="17">B25/B18</f>
        <v>134267.36363636365</v>
      </c>
      <c r="C70" s="26">
        <f t="shared" si="17"/>
        <v>134267.36363636365</v>
      </c>
      <c r="D70" s="26">
        <f t="shared" si="17"/>
        <v>424621.12</v>
      </c>
      <c r="E70" s="26">
        <f t="shared" si="17"/>
        <v>19047.619047619046</v>
      </c>
      <c r="F70" s="26" t="s">
        <v>123</v>
      </c>
      <c r="G70" s="26" t="s">
        <v>123</v>
      </c>
    </row>
    <row r="71" spans="1:7" s="11" customFormat="1" x14ac:dyDescent="0.25">
      <c r="A71" s="11" t="s">
        <v>34</v>
      </c>
      <c r="B71" s="26">
        <f t="shared" ref="B71:G71" si="18">B26/B19</f>
        <v>66000.198759305218</v>
      </c>
      <c r="C71" s="26">
        <f t="shared" si="18"/>
        <v>69492.690099009909</v>
      </c>
      <c r="D71" s="26">
        <f t="shared" si="18"/>
        <v>273009.85857142857</v>
      </c>
      <c r="E71" s="26">
        <f t="shared" si="18"/>
        <v>8350.1931330472107</v>
      </c>
      <c r="F71" s="26">
        <f t="shared" si="18"/>
        <v>55417.95</v>
      </c>
      <c r="G71" s="26">
        <f t="shared" si="18"/>
        <v>55417.95</v>
      </c>
    </row>
    <row r="72" spans="1:7" s="11" customFormat="1" x14ac:dyDescent="0.25">
      <c r="A72" s="11" t="s">
        <v>28</v>
      </c>
      <c r="B72" s="26">
        <f>(B71/B70)*B54</f>
        <v>167.88322772766665</v>
      </c>
      <c r="C72" s="26">
        <f t="shared" ref="C72:E72" si="19">(C71/C70)*C54</f>
        <v>135.22195415899807</v>
      </c>
      <c r="D72" s="26">
        <f t="shared" si="19"/>
        <v>147.88663938315051</v>
      </c>
      <c r="E72" s="26">
        <f t="shared" si="19"/>
        <v>116.6047889773449</v>
      </c>
      <c r="F72" s="26" t="s">
        <v>123</v>
      </c>
      <c r="G72" s="26" t="s">
        <v>123</v>
      </c>
    </row>
    <row r="73" spans="1:7" s="11" customFormat="1" x14ac:dyDescent="0.25">
      <c r="A73" s="11" t="s">
        <v>35</v>
      </c>
      <c r="B73" s="26">
        <f>B25/(B18*3)</f>
        <v>44755.78787878788</v>
      </c>
      <c r="C73" s="26">
        <f t="shared" ref="C73:E73" si="20">C25/(C18*3)</f>
        <v>44755.78787878788</v>
      </c>
      <c r="D73" s="26">
        <f t="shared" si="20"/>
        <v>141540.37333333332</v>
      </c>
      <c r="E73" s="26">
        <f t="shared" si="20"/>
        <v>6349.2063492063489</v>
      </c>
      <c r="F73" s="26" t="s">
        <v>123</v>
      </c>
      <c r="G73" s="26" t="s">
        <v>123</v>
      </c>
    </row>
    <row r="74" spans="1:7" s="11" customFormat="1" x14ac:dyDescent="0.25">
      <c r="A74" s="11" t="s">
        <v>36</v>
      </c>
      <c r="B74" s="26">
        <f>B26/(B19*3)</f>
        <v>22000.066253101737</v>
      </c>
      <c r="C74" s="26">
        <f t="shared" ref="C74:G74" si="21">C26/(C19*3)</f>
        <v>23164.230033003303</v>
      </c>
      <c r="D74" s="26">
        <f t="shared" si="21"/>
        <v>91003.286190476196</v>
      </c>
      <c r="E74" s="26">
        <f t="shared" si="21"/>
        <v>2783.3977110157366</v>
      </c>
      <c r="F74" s="26">
        <f t="shared" si="21"/>
        <v>18472.650000000001</v>
      </c>
      <c r="G74" s="26">
        <f t="shared" si="21"/>
        <v>18472.650000000001</v>
      </c>
    </row>
    <row r="75" spans="1:7" s="11" customFormat="1" x14ac:dyDescent="0.25">
      <c r="B75" s="26"/>
      <c r="C75" s="26"/>
      <c r="D75" s="26"/>
      <c r="E75" s="26"/>
      <c r="F75" s="26"/>
      <c r="G75" s="26"/>
    </row>
    <row r="76" spans="1:7" s="11" customFormat="1" x14ac:dyDescent="0.25">
      <c r="A76" s="6" t="s">
        <v>29</v>
      </c>
      <c r="B76" s="26"/>
      <c r="C76" s="26"/>
      <c r="D76" s="26"/>
      <c r="E76" s="26"/>
      <c r="F76" s="26"/>
      <c r="G76" s="26"/>
    </row>
    <row r="77" spans="1:7" s="11" customFormat="1" x14ac:dyDescent="0.25">
      <c r="A77" s="11" t="s">
        <v>30</v>
      </c>
      <c r="B77" s="26">
        <f>(B32/B31)*100</f>
        <v>100</v>
      </c>
      <c r="C77" s="26">
        <f t="shared" ref="C77" si="22">(C32/C31)*100</f>
        <v>100</v>
      </c>
      <c r="D77" s="26"/>
      <c r="E77" s="26"/>
      <c r="F77" s="26" t="s">
        <v>123</v>
      </c>
      <c r="G77" s="26"/>
    </row>
    <row r="78" spans="1:7" s="11" customFormat="1" x14ac:dyDescent="0.25">
      <c r="A78" s="11" t="s">
        <v>31</v>
      </c>
      <c r="B78" s="26">
        <f>(B26/B32)*100</f>
        <v>225.11122736114712</v>
      </c>
      <c r="C78" s="26">
        <f t="shared" ref="C78" si="23">(C26/C32)*100</f>
        <v>178.20858365364629</v>
      </c>
      <c r="D78" s="26"/>
      <c r="E78" s="26"/>
      <c r="F78" s="26" t="s">
        <v>123</v>
      </c>
      <c r="G78" s="26"/>
    </row>
    <row r="79" spans="1:7" ht="15.75" thickBot="1" x14ac:dyDescent="0.3">
      <c r="A79" s="7"/>
      <c r="B79" s="18"/>
      <c r="C79" s="18"/>
      <c r="D79" s="18"/>
      <c r="E79" s="18"/>
      <c r="F79" s="18"/>
      <c r="G79" s="18"/>
    </row>
    <row r="80" spans="1:7" s="11" customFormat="1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8"/>
      <c r="C83" s="8"/>
      <c r="D83" s="8"/>
    </row>
    <row r="84" spans="1:4" x14ac:dyDescent="0.25">
      <c r="A84" s="14"/>
    </row>
    <row r="85" spans="1:4" x14ac:dyDescent="0.25">
      <c r="A85" s="14"/>
    </row>
    <row r="86" spans="1:4" x14ac:dyDescent="0.25">
      <c r="A86" s="11"/>
    </row>
    <row r="87" spans="1:4" x14ac:dyDescent="0.25">
      <c r="A87" s="11"/>
    </row>
    <row r="88" spans="1:4" x14ac:dyDescent="0.25">
      <c r="A88" s="11"/>
    </row>
    <row r="89" spans="1:4" x14ac:dyDescent="0.25">
      <c r="A89" s="11"/>
    </row>
    <row r="93" spans="1:4" x14ac:dyDescent="0.25">
      <c r="A93" s="5"/>
    </row>
  </sheetData>
  <mergeCells count="10">
    <mergeCell ref="F10:F11"/>
    <mergeCell ref="G10:G11"/>
    <mergeCell ref="D10:D11"/>
    <mergeCell ref="F9:G9"/>
    <mergeCell ref="A80:G80"/>
    <mergeCell ref="A9:A11"/>
    <mergeCell ref="B9:B11"/>
    <mergeCell ref="C9:E9"/>
    <mergeCell ref="C10:C11"/>
    <mergeCell ref="E10:E11"/>
  </mergeCells>
  <pageMargins left="0.7" right="0.7" top="0.75" bottom="0.75" header="0.3" footer="0.3"/>
  <pageSetup paperSize="9" orientation="portrait" r:id="rId1"/>
  <ignoredErrors>
    <ignoredError sqref="F28" formula="1"/>
    <ignoredError sqref="C66:G69 B71 C71:G71 C70:E70 C74:G76 C72:E72 C73:E7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K93"/>
  <sheetViews>
    <sheetView showGridLines="0" zoomScale="80" zoomScaleNormal="80" workbookViewId="0">
      <pane ySplit="11" topLeftCell="A12" activePane="bottomLeft" state="frozen"/>
      <selection pane="bottomLeft" activeCell="A9" sqref="A9:A11"/>
    </sheetView>
  </sheetViews>
  <sheetFormatPr baseColWidth="10" defaultColWidth="11.42578125" defaultRowHeight="15" x14ac:dyDescent="0.25"/>
  <cols>
    <col min="1" max="1" width="62.5703125" style="1" customWidth="1"/>
    <col min="2" max="7" width="19.5703125" style="1" customWidth="1"/>
    <col min="8" max="16384" width="11.42578125" style="1"/>
  </cols>
  <sheetData>
    <row r="9" spans="1:37" s="6" customFormat="1" ht="15" customHeight="1" x14ac:dyDescent="0.25">
      <c r="A9" s="40" t="s">
        <v>0</v>
      </c>
      <c r="B9" s="43" t="s">
        <v>1</v>
      </c>
      <c r="C9" s="36" t="s">
        <v>126</v>
      </c>
      <c r="D9" s="37"/>
      <c r="E9" s="38"/>
      <c r="F9" s="35" t="s">
        <v>127</v>
      </c>
      <c r="G9" s="35"/>
    </row>
    <row r="10" spans="1:37" s="6" customFormat="1" x14ac:dyDescent="0.25">
      <c r="A10" s="41"/>
      <c r="B10" s="44"/>
      <c r="C10" s="43" t="s">
        <v>2</v>
      </c>
      <c r="D10" s="33" t="s">
        <v>3</v>
      </c>
      <c r="E10" s="46" t="s">
        <v>76</v>
      </c>
      <c r="F10" s="47" t="s">
        <v>2</v>
      </c>
      <c r="G10" s="33" t="s">
        <v>78</v>
      </c>
    </row>
    <row r="11" spans="1:37" s="6" customFormat="1" ht="15.75" thickBot="1" x14ac:dyDescent="0.3">
      <c r="A11" s="42"/>
      <c r="B11" s="45"/>
      <c r="C11" s="45"/>
      <c r="D11" s="34"/>
      <c r="E11" s="34"/>
      <c r="F11" s="48"/>
      <c r="G11" s="34"/>
    </row>
    <row r="12" spans="1:37" ht="15.75" thickTop="1" x14ac:dyDescent="0.25"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6" t="s">
        <v>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5" spans="1:37" x14ac:dyDescent="0.25">
      <c r="A15" s="1" t="s">
        <v>41</v>
      </c>
    </row>
    <row r="16" spans="1:37" s="11" customFormat="1" x14ac:dyDescent="0.25">
      <c r="A16" s="9" t="s">
        <v>71</v>
      </c>
      <c r="B16" s="23">
        <f>C16+F16</f>
        <v>1617</v>
      </c>
      <c r="C16" s="23">
        <f>D16+E16</f>
        <v>473</v>
      </c>
      <c r="D16" s="23">
        <f>+'I Trimestre'!D16+'II Trimestre'!D16+'III Trimestre'!D16+'IV Trimestre'!D16</f>
        <v>99</v>
      </c>
      <c r="E16" s="23">
        <f>+'I Trimestre'!E16+'II Trimestre'!E16+'III Trimestre'!E16+'IV Trimestre'!E16</f>
        <v>374</v>
      </c>
      <c r="F16" s="23">
        <f>+SUM(G16)</f>
        <v>1144</v>
      </c>
      <c r="G16" s="23">
        <f>+'I Trimestre'!G16+'II Trimestre'!G16+'III Trimestre'!G16+'IV Trimestre'!G16</f>
        <v>1144</v>
      </c>
    </row>
    <row r="17" spans="1:9" s="11" customFormat="1" x14ac:dyDescent="0.25">
      <c r="A17" s="12" t="s">
        <v>42</v>
      </c>
      <c r="B17" s="23">
        <f>C17+F17</f>
        <v>1679</v>
      </c>
      <c r="C17" s="23">
        <f>D17+E17</f>
        <v>535</v>
      </c>
      <c r="D17" s="23">
        <f>+'I Trimestre'!D17+'II Trimestre'!D17+'III Trimestre'!D17+'IV Trimestre'!D17</f>
        <v>161</v>
      </c>
      <c r="E17" s="23">
        <f>+'I Trimestre'!E17+'II Trimestre'!E17+'III Trimestre'!E17+'IV Trimestre'!E17</f>
        <v>374</v>
      </c>
      <c r="F17" s="23">
        <f t="shared" ref="F17:F20" si="0">+SUM(G17)</f>
        <v>1144</v>
      </c>
      <c r="G17" s="23">
        <f>+'I Trimestre'!G17+'II Trimestre'!G17+'III Trimestre'!G17+'IV Trimestre'!G17</f>
        <v>1144</v>
      </c>
    </row>
    <row r="18" spans="1:9" s="11" customFormat="1" x14ac:dyDescent="0.25">
      <c r="A18" s="9" t="s">
        <v>117</v>
      </c>
      <c r="B18" s="23">
        <f>C18+F18</f>
        <v>2049</v>
      </c>
      <c r="C18" s="23">
        <f>D18+E18</f>
        <v>353</v>
      </c>
      <c r="D18" s="23">
        <f>+'I Trimestre'!D18+'II Trimestre'!D18+'III Trimestre'!D18+'IV Trimestre'!D18</f>
        <v>101</v>
      </c>
      <c r="E18" s="23">
        <f>+'I Trimestre'!E18+'II Trimestre'!E18+'III Trimestre'!E18+'IV Trimestre'!E18</f>
        <v>252</v>
      </c>
      <c r="F18" s="23">
        <f t="shared" si="0"/>
        <v>1696</v>
      </c>
      <c r="G18" s="23">
        <f>+'I Trimestre'!G18+'II Trimestre'!G18+'III Trimestre'!G18+'IV Trimestre'!G18</f>
        <v>1696</v>
      </c>
    </row>
    <row r="19" spans="1:9" s="11" customFormat="1" x14ac:dyDescent="0.25">
      <c r="A19" s="9" t="s">
        <v>118</v>
      </c>
      <c r="B19" s="23">
        <f>C19+F19</f>
        <v>3203</v>
      </c>
      <c r="C19" s="23">
        <f>D19+E19</f>
        <v>1356</v>
      </c>
      <c r="D19" s="23">
        <f>(+'I Trimestre'!D19+'II Trimestre'!D19+'III Trimestre'!D19+'IV Trimestre'!D19)</f>
        <v>237</v>
      </c>
      <c r="E19" s="23">
        <f>+'I Trimestre'!E19+'II Trimestre'!E19+'III Trimestre'!E19+'IV Trimestre'!E19</f>
        <v>1119</v>
      </c>
      <c r="F19" s="23">
        <f t="shared" si="0"/>
        <v>1847</v>
      </c>
      <c r="G19" s="23">
        <f>+'I Trimestre'!G19+'II Trimestre'!G19+'III Trimestre'!G19+'IV Trimestre'!G19</f>
        <v>1847</v>
      </c>
    </row>
    <row r="20" spans="1:9" s="11" customFormat="1" x14ac:dyDescent="0.25">
      <c r="A20" s="12" t="s">
        <v>42</v>
      </c>
      <c r="B20" s="23">
        <f>C20+F20</f>
        <v>3101</v>
      </c>
      <c r="C20" s="23">
        <f>D20+E20</f>
        <v>1254</v>
      </c>
      <c r="D20" s="23">
        <f>+'I Trimestre'!D20+'II Trimestre'!D20+'III Trimestre'!D20+'IV Trimestre'!D20</f>
        <v>135</v>
      </c>
      <c r="E20" s="23">
        <f>+'I Trimestre'!E20+'II Trimestre'!E20+'III Trimestre'!E20+'IV Trimestre'!E20</f>
        <v>1119</v>
      </c>
      <c r="F20" s="23">
        <f t="shared" si="0"/>
        <v>1847</v>
      </c>
      <c r="G20" s="23">
        <f>+'I Trimestre'!G20+'II Trimestre'!G20+'III Trimestre'!G20+'IV Trimestre'!G20</f>
        <v>1847</v>
      </c>
    </row>
    <row r="21" spans="1:9" s="11" customFormat="1" x14ac:dyDescent="0.25">
      <c r="A21" s="9" t="s">
        <v>81</v>
      </c>
      <c r="B21" s="23">
        <f>+'IV Trimestre'!B21</f>
        <v>2113</v>
      </c>
      <c r="C21" s="23">
        <f>+'IV Trimestre'!C21</f>
        <v>417</v>
      </c>
      <c r="D21" s="23">
        <f>+'IV Trimestre'!D21</f>
        <v>165</v>
      </c>
      <c r="E21" s="23">
        <f>+'IV Trimestre'!E21</f>
        <v>252</v>
      </c>
      <c r="F21" s="23">
        <f>+'IV Trimestre'!F21</f>
        <v>1696</v>
      </c>
      <c r="G21" s="23">
        <f>+'IV Trimestre'!G21</f>
        <v>1696</v>
      </c>
    </row>
    <row r="22" spans="1:9" s="11" customFormat="1" x14ac:dyDescent="0.25">
      <c r="B22" s="23"/>
      <c r="C22" s="23"/>
      <c r="D22" s="23"/>
      <c r="E22" s="23"/>
      <c r="F22" s="23"/>
      <c r="G22" s="23"/>
    </row>
    <row r="23" spans="1:9" s="11" customFormat="1" x14ac:dyDescent="0.25">
      <c r="A23" s="27" t="s">
        <v>5</v>
      </c>
      <c r="B23" s="23"/>
      <c r="C23" s="23"/>
      <c r="D23" s="23"/>
      <c r="E23" s="23"/>
      <c r="F23" s="23"/>
      <c r="G23" s="23"/>
    </row>
    <row r="24" spans="1:9" s="11" customFormat="1" x14ac:dyDescent="0.25">
      <c r="A24" s="9" t="s">
        <v>71</v>
      </c>
      <c r="B24" s="23">
        <f>C24+F24</f>
        <v>59280729.399999999</v>
      </c>
      <c r="C24" s="23">
        <f>D24+E24</f>
        <v>53040148.399999999</v>
      </c>
      <c r="D24" s="23">
        <f>+'I Trimestre'!D24+'II Trimestre'!D24+'III Trimestre'!D24+'IV Trimestre'!D24</f>
        <v>48083738.399999999</v>
      </c>
      <c r="E24" s="23">
        <f>+'I Trimestre'!E24+'II Trimestre'!E24+'III Trimestre'!E24+'IV Trimestre'!E24</f>
        <v>4956410</v>
      </c>
      <c r="F24" s="23">
        <f>+SUM(G24)</f>
        <v>6240581</v>
      </c>
      <c r="G24" s="23">
        <f>+'I Trimestre'!G24+'II Trimestre'!G24+'III Trimestre'!G24+'IV Trimestre'!G24</f>
        <v>6240581</v>
      </c>
    </row>
    <row r="25" spans="1:9" s="11" customFormat="1" x14ac:dyDescent="0.25">
      <c r="A25" s="9" t="s">
        <v>117</v>
      </c>
      <c r="B25" s="23">
        <f>C25+F25</f>
        <v>89715528</v>
      </c>
      <c r="C25" s="23">
        <f t="shared" ref="C25:C26" si="1">D25+E25</f>
        <v>77715528</v>
      </c>
      <c r="D25" s="23">
        <f>'IV Trimestre'!D27</f>
        <v>69715528</v>
      </c>
      <c r="E25" s="23">
        <f>'I Trimestre'!E25+'II Trimestre'!E25+'III Trimestre'!E25+'IV Trimestre'!E25</f>
        <v>8000000</v>
      </c>
      <c r="F25" s="23">
        <f t="shared" ref="F25:F26" si="2">+SUM(G25)</f>
        <v>12000000</v>
      </c>
      <c r="G25" s="23">
        <f>'I Trimestre'!G25+'II Trimestre'!G25+'III Trimestre'!G25+'IV Trimestre'!G25</f>
        <v>12000000</v>
      </c>
    </row>
    <row r="26" spans="1:9" s="11" customFormat="1" x14ac:dyDescent="0.25">
      <c r="A26" s="9" t="s">
        <v>118</v>
      </c>
      <c r="B26" s="23">
        <f t="shared" ref="B26" si="3">C26+F26</f>
        <v>78976500</v>
      </c>
      <c r="C26" s="23">
        <f t="shared" si="1"/>
        <v>66976500</v>
      </c>
      <c r="D26" s="23">
        <f>+'I Trimestre'!D26+'II Trimestre'!D26+'III Trimestre'!D26+'IV Trimestre'!D26</f>
        <v>59946940</v>
      </c>
      <c r="E26" s="23">
        <f>+'I Trimestre'!E26+'II Trimestre'!E26+'III Trimestre'!E26+'IV Trimestre'!E26</f>
        <v>7029560</v>
      </c>
      <c r="F26" s="23">
        <f t="shared" si="2"/>
        <v>12000000</v>
      </c>
      <c r="G26" s="23">
        <f>+'I Trimestre'!G26+'II Trimestre'!G26+'III Trimestre'!G26+'IV Trimestre'!G26</f>
        <v>12000000</v>
      </c>
      <c r="I26" s="10"/>
    </row>
    <row r="27" spans="1:9" s="11" customFormat="1" x14ac:dyDescent="0.25">
      <c r="A27" s="9" t="s">
        <v>81</v>
      </c>
      <c r="B27" s="23">
        <f>+'IV Trimestre'!B27</f>
        <v>89715528</v>
      </c>
      <c r="C27" s="23">
        <f>+'IV Trimestre'!C27</f>
        <v>77715528</v>
      </c>
      <c r="D27" s="23">
        <f>+'IV Trimestre'!D27</f>
        <v>69715528</v>
      </c>
      <c r="E27" s="23">
        <f>+'IV Trimestre'!E27</f>
        <v>8000000</v>
      </c>
      <c r="F27" s="23">
        <f>+'IV Trimestre'!F27</f>
        <v>12000000</v>
      </c>
      <c r="G27" s="23">
        <f>+'IV Trimestre'!G27</f>
        <v>12000000</v>
      </c>
    </row>
    <row r="28" spans="1:9" s="11" customFormat="1" x14ac:dyDescent="0.25">
      <c r="A28" s="9" t="s">
        <v>119</v>
      </c>
      <c r="B28" s="23">
        <f>+C28+F28</f>
        <v>78976500</v>
      </c>
      <c r="C28" s="23">
        <f>C26</f>
        <v>66976500</v>
      </c>
      <c r="D28" s="23">
        <f>D26</f>
        <v>59946940</v>
      </c>
      <c r="E28" s="23">
        <f>+E26</f>
        <v>7029560</v>
      </c>
      <c r="F28" s="23">
        <f>+SUM(G28)</f>
        <v>12000000</v>
      </c>
      <c r="G28" s="23">
        <f>G26</f>
        <v>12000000</v>
      </c>
    </row>
    <row r="29" spans="1:9" s="11" customFormat="1" x14ac:dyDescent="0.25">
      <c r="B29" s="23"/>
      <c r="C29" s="23"/>
      <c r="D29" s="23"/>
      <c r="E29" s="23"/>
      <c r="F29" s="23"/>
      <c r="G29" s="23"/>
    </row>
    <row r="30" spans="1:9" s="11" customFormat="1" x14ac:dyDescent="0.25">
      <c r="A30" s="27" t="s">
        <v>6</v>
      </c>
      <c r="B30" s="23"/>
      <c r="C30" s="23"/>
      <c r="D30" s="23"/>
      <c r="E30" s="23"/>
      <c r="F30" s="23"/>
      <c r="G30" s="23"/>
    </row>
    <row r="31" spans="1:9" s="11" customFormat="1" x14ac:dyDescent="0.25">
      <c r="A31" s="9" t="s">
        <v>117</v>
      </c>
      <c r="B31" s="23">
        <f>+B25</f>
        <v>89715528</v>
      </c>
      <c r="C31" s="23">
        <f>+C25</f>
        <v>77715528</v>
      </c>
      <c r="D31" s="23"/>
      <c r="E31" s="23"/>
      <c r="F31" s="23">
        <f>F25</f>
        <v>12000000</v>
      </c>
      <c r="G31" s="23"/>
    </row>
    <row r="32" spans="1:9" s="11" customFormat="1" x14ac:dyDescent="0.25">
      <c r="A32" s="9" t="s">
        <v>118</v>
      </c>
      <c r="B32" s="23">
        <f>+'I Trimestre'!B32+'II Trimestre'!B32+'III Trimestre'!B32+'IV Trimestre'!B32</f>
        <v>89715528</v>
      </c>
      <c r="C32" s="23">
        <f>+'I Trimestre'!C32+'II Trimestre'!C32+'III Trimestre'!C32+'IV Trimestre'!C32</f>
        <v>77715528</v>
      </c>
      <c r="D32" s="23"/>
      <c r="E32" s="23"/>
      <c r="F32" s="23">
        <f>+'I Trimestre'!F32+'II Trimestre'!F32+'III Trimestre'!F32+'IV Trimestre'!F32</f>
        <v>12000000</v>
      </c>
      <c r="G32" s="23"/>
    </row>
    <row r="33" spans="1:7" x14ac:dyDescent="0.25">
      <c r="B33" s="22"/>
      <c r="C33" s="21"/>
      <c r="D33" s="22"/>
      <c r="E33" s="22"/>
      <c r="F33" s="22"/>
      <c r="G33" s="22"/>
    </row>
    <row r="34" spans="1:7" x14ac:dyDescent="0.25">
      <c r="A34" s="1" t="s">
        <v>7</v>
      </c>
      <c r="B34" s="22"/>
      <c r="C34" s="22"/>
      <c r="D34" s="22"/>
      <c r="E34" s="22"/>
      <c r="F34" s="22"/>
      <c r="G34" s="22"/>
    </row>
    <row r="35" spans="1:7" x14ac:dyDescent="0.25">
      <c r="A35" s="3" t="s">
        <v>72</v>
      </c>
      <c r="B35" s="31">
        <v>1.0451999999999999</v>
      </c>
      <c r="C35" s="31">
        <v>1.0451999999999999</v>
      </c>
      <c r="D35" s="31">
        <v>1.0451999999999999</v>
      </c>
      <c r="E35" s="31">
        <v>1.0451999999999999</v>
      </c>
      <c r="F35" s="31">
        <v>1.0451999999999999</v>
      </c>
      <c r="G35" s="31">
        <v>1.0451999999999999</v>
      </c>
    </row>
    <row r="36" spans="1:7" x14ac:dyDescent="0.25">
      <c r="A36" s="3" t="s">
        <v>120</v>
      </c>
      <c r="B36" s="31">
        <v>1.0610999999999999</v>
      </c>
      <c r="C36" s="31">
        <v>1.0610999999999999</v>
      </c>
      <c r="D36" s="31">
        <v>1.0610999999999999</v>
      </c>
      <c r="E36" s="31">
        <v>1.0610999999999999</v>
      </c>
      <c r="F36" s="31">
        <v>1.0610999999999999</v>
      </c>
      <c r="G36" s="31">
        <v>1.0610999999999999</v>
      </c>
    </row>
    <row r="37" spans="1:7" s="11" customFormat="1" x14ac:dyDescent="0.25">
      <c r="A37" s="9" t="s">
        <v>8</v>
      </c>
      <c r="B37" s="23" t="s">
        <v>75</v>
      </c>
      <c r="C37" s="23" t="s">
        <v>75</v>
      </c>
      <c r="D37" s="23" t="s">
        <v>75</v>
      </c>
      <c r="E37" s="23" t="s">
        <v>75</v>
      </c>
      <c r="F37" s="23" t="s">
        <v>75</v>
      </c>
      <c r="G37" s="23" t="s">
        <v>75</v>
      </c>
    </row>
    <row r="38" spans="1:7" x14ac:dyDescent="0.25">
      <c r="B38" s="22"/>
      <c r="C38" s="22"/>
      <c r="D38" s="22"/>
      <c r="E38" s="22"/>
      <c r="F38" s="22"/>
      <c r="G38" s="22"/>
    </row>
    <row r="39" spans="1:7" x14ac:dyDescent="0.25">
      <c r="A39" s="6" t="s">
        <v>9</v>
      </c>
      <c r="B39" s="21"/>
      <c r="C39" s="21"/>
      <c r="D39" s="21"/>
      <c r="E39" s="21"/>
      <c r="F39" s="21"/>
      <c r="G39" s="21"/>
    </row>
    <row r="40" spans="1:7" s="11" customFormat="1" x14ac:dyDescent="0.25">
      <c r="A40" s="11" t="s">
        <v>73</v>
      </c>
      <c r="B40" s="23">
        <f>B24/B35</f>
        <v>56717115.767317265</v>
      </c>
      <c r="C40" s="23">
        <f t="shared" ref="C40:G40" si="4">C24/C35</f>
        <v>50746410.639112137</v>
      </c>
      <c r="D40" s="23">
        <f>D24/D35</f>
        <v>46004342.13547647</v>
      </c>
      <c r="E40" s="23">
        <f t="shared" si="4"/>
        <v>4742068.5036356682</v>
      </c>
      <c r="F40" s="23">
        <f t="shared" si="4"/>
        <v>5970705.1282051289</v>
      </c>
      <c r="G40" s="23">
        <f t="shared" si="4"/>
        <v>5970705.1282051289</v>
      </c>
    </row>
    <row r="41" spans="1:7" s="11" customFormat="1" x14ac:dyDescent="0.25">
      <c r="A41" s="11" t="s">
        <v>121</v>
      </c>
      <c r="B41" s="23">
        <f t="shared" ref="B41:F41" si="5">B26/B36</f>
        <v>74428894.543398365</v>
      </c>
      <c r="C41" s="23">
        <f t="shared" si="5"/>
        <v>63119875.600791633</v>
      </c>
      <c r="D41" s="23">
        <f t="shared" si="5"/>
        <v>56495090.000942424</v>
      </c>
      <c r="E41" s="23">
        <f t="shared" si="5"/>
        <v>6624785.5998492138</v>
      </c>
      <c r="F41" s="23">
        <f t="shared" si="5"/>
        <v>11309018.94260673</v>
      </c>
      <c r="G41" s="23">
        <f>G26/G36</f>
        <v>11309018.94260673</v>
      </c>
    </row>
    <row r="42" spans="1:7" s="11" customFormat="1" x14ac:dyDescent="0.25">
      <c r="A42" s="11" t="s">
        <v>74</v>
      </c>
      <c r="B42" s="23">
        <f t="shared" ref="B42:G42" si="6">B40/B16</f>
        <v>35075.519955050877</v>
      </c>
      <c r="C42" s="23">
        <f t="shared" si="6"/>
        <v>107286.2804209559</v>
      </c>
      <c r="D42" s="23">
        <f t="shared" si="6"/>
        <v>464690.32460077241</v>
      </c>
      <c r="E42" s="23">
        <f t="shared" si="6"/>
        <v>12679.327549827989</v>
      </c>
      <c r="F42" s="23">
        <f t="shared" si="6"/>
        <v>5219.1478393401476</v>
      </c>
      <c r="G42" s="23">
        <f t="shared" si="6"/>
        <v>5219.1478393401476</v>
      </c>
    </row>
    <row r="43" spans="1:7" s="11" customFormat="1" x14ac:dyDescent="0.25">
      <c r="A43" s="11" t="s">
        <v>122</v>
      </c>
      <c r="B43" s="23">
        <f t="shared" ref="B43:G43" si="7">B41/B19</f>
        <v>23237.244627973265</v>
      </c>
      <c r="C43" s="23">
        <f t="shared" si="7"/>
        <v>46548.5808265425</v>
      </c>
      <c r="D43" s="23">
        <f t="shared" si="7"/>
        <v>238375.90717697225</v>
      </c>
      <c r="E43" s="23">
        <f t="shared" si="7"/>
        <v>5920.2731008482697</v>
      </c>
      <c r="F43" s="23">
        <f t="shared" si="7"/>
        <v>6122.9122591265459</v>
      </c>
      <c r="G43" s="23">
        <f t="shared" si="7"/>
        <v>6122.9122591265459</v>
      </c>
    </row>
    <row r="44" spans="1:7" s="11" customFormat="1" x14ac:dyDescent="0.25">
      <c r="B44" s="28"/>
      <c r="C44" s="28"/>
      <c r="D44" s="28"/>
      <c r="E44" s="28"/>
      <c r="F44" s="28"/>
      <c r="G44" s="28"/>
    </row>
    <row r="45" spans="1:7" s="11" customFormat="1" x14ac:dyDescent="0.25">
      <c r="A45" s="6" t="s">
        <v>10</v>
      </c>
      <c r="B45" s="28"/>
      <c r="C45" s="28"/>
      <c r="D45" s="28"/>
      <c r="E45" s="28"/>
      <c r="F45" s="28"/>
      <c r="G45" s="28"/>
    </row>
    <row r="46" spans="1:7" s="11" customFormat="1" x14ac:dyDescent="0.25">
      <c r="B46" s="28"/>
      <c r="C46" s="28"/>
      <c r="D46" s="28"/>
      <c r="E46" s="28"/>
      <c r="F46" s="28"/>
      <c r="G46" s="28"/>
    </row>
    <row r="47" spans="1:7" s="11" customFormat="1" x14ac:dyDescent="0.25">
      <c r="A47" s="11" t="s">
        <v>11</v>
      </c>
      <c r="B47" s="28"/>
      <c r="C47" s="28"/>
      <c r="D47" s="28"/>
      <c r="E47" s="28"/>
      <c r="F47" s="28"/>
      <c r="G47" s="28"/>
    </row>
    <row r="48" spans="1:7" s="11" customFormat="1" x14ac:dyDescent="0.25">
      <c r="A48" s="11" t="s">
        <v>12</v>
      </c>
      <c r="B48" s="28" t="s">
        <v>45</v>
      </c>
      <c r="C48" s="28" t="s">
        <v>44</v>
      </c>
      <c r="D48" s="28" t="s">
        <v>44</v>
      </c>
      <c r="E48" s="28" t="s">
        <v>44</v>
      </c>
      <c r="F48" s="28" t="s">
        <v>44</v>
      </c>
      <c r="G48" s="28" t="s">
        <v>44</v>
      </c>
    </row>
    <row r="49" spans="1:7" s="11" customFormat="1" x14ac:dyDescent="0.25">
      <c r="A49" s="11" t="s">
        <v>13</v>
      </c>
      <c r="B49" s="28" t="s">
        <v>44</v>
      </c>
      <c r="C49" s="28" t="s">
        <v>44</v>
      </c>
      <c r="D49" s="28" t="s">
        <v>44</v>
      </c>
      <c r="E49" s="28" t="s">
        <v>44</v>
      </c>
      <c r="F49" s="28" t="s">
        <v>44</v>
      </c>
      <c r="G49" s="28" t="s">
        <v>44</v>
      </c>
    </row>
    <row r="50" spans="1:7" s="11" customFormat="1" x14ac:dyDescent="0.25">
      <c r="B50" s="28"/>
      <c r="C50" s="28"/>
      <c r="D50" s="28"/>
      <c r="E50" s="28"/>
      <c r="F50" s="28"/>
      <c r="G50" s="28"/>
    </row>
    <row r="51" spans="1:7" s="11" customFormat="1" x14ac:dyDescent="0.25">
      <c r="A51" s="11" t="s">
        <v>14</v>
      </c>
      <c r="B51" s="28"/>
      <c r="C51" s="28"/>
      <c r="D51" s="28"/>
      <c r="E51" s="28"/>
      <c r="F51" s="28"/>
      <c r="G51" s="28"/>
    </row>
    <row r="52" spans="1:7" s="11" customFormat="1" x14ac:dyDescent="0.25">
      <c r="A52" s="11" t="s">
        <v>15</v>
      </c>
      <c r="B52" s="26">
        <f>B19/B18*100</f>
        <v>156.32015617374327</v>
      </c>
      <c r="C52" s="26">
        <f t="shared" ref="C52:G52" si="8">C19/C18*100</f>
        <v>384.13597733711049</v>
      </c>
      <c r="D52" s="26">
        <f t="shared" si="8"/>
        <v>234.65346534653463</v>
      </c>
      <c r="E52" s="26">
        <f t="shared" si="8"/>
        <v>444.04761904761909</v>
      </c>
      <c r="F52" s="26">
        <f t="shared" si="8"/>
        <v>108.90330188679245</v>
      </c>
      <c r="G52" s="26">
        <f t="shared" si="8"/>
        <v>108.90330188679245</v>
      </c>
    </row>
    <row r="53" spans="1:7" s="11" customFormat="1" x14ac:dyDescent="0.25">
      <c r="A53" s="11" t="s">
        <v>16</v>
      </c>
      <c r="B53" s="26">
        <f>B26/B25*100</f>
        <v>88.029911611287631</v>
      </c>
      <c r="C53" s="26">
        <f t="shared" ref="C53:F53" si="9">C26/C25*100</f>
        <v>86.181618685007194</v>
      </c>
      <c r="D53" s="26">
        <f t="shared" si="9"/>
        <v>85.987930838019338</v>
      </c>
      <c r="E53" s="26">
        <f t="shared" si="9"/>
        <v>87.869500000000002</v>
      </c>
      <c r="F53" s="26">
        <f t="shared" si="9"/>
        <v>100</v>
      </c>
      <c r="G53" s="26">
        <f>G26/G25*100</f>
        <v>100</v>
      </c>
    </row>
    <row r="54" spans="1:7" s="11" customFormat="1" x14ac:dyDescent="0.25">
      <c r="A54" s="11" t="s">
        <v>17</v>
      </c>
      <c r="B54" s="26">
        <f t="shared" ref="B54:G54" si="10">AVERAGE(B52:B53)</f>
        <v>122.17503389251544</v>
      </c>
      <c r="C54" s="26">
        <f t="shared" si="10"/>
        <v>235.15879801105885</v>
      </c>
      <c r="D54" s="26">
        <f t="shared" si="10"/>
        <v>160.32069809227698</v>
      </c>
      <c r="E54" s="26">
        <f t="shared" si="10"/>
        <v>265.95855952380953</v>
      </c>
      <c r="F54" s="26">
        <f t="shared" si="10"/>
        <v>104.45165094339623</v>
      </c>
      <c r="G54" s="26">
        <f t="shared" si="10"/>
        <v>104.45165094339623</v>
      </c>
    </row>
    <row r="55" spans="1:7" s="11" customFormat="1" x14ac:dyDescent="0.25">
      <c r="B55" s="26"/>
      <c r="C55" s="26"/>
      <c r="D55" s="26"/>
      <c r="E55" s="26"/>
      <c r="F55" s="26"/>
      <c r="G55" s="26"/>
    </row>
    <row r="56" spans="1:7" s="11" customFormat="1" x14ac:dyDescent="0.25">
      <c r="A56" s="11" t="s">
        <v>18</v>
      </c>
      <c r="B56" s="26"/>
      <c r="C56" s="26"/>
      <c r="D56" s="26"/>
      <c r="E56" s="26"/>
      <c r="F56" s="26"/>
      <c r="G56" s="26"/>
    </row>
    <row r="57" spans="1:7" s="11" customFormat="1" x14ac:dyDescent="0.25">
      <c r="A57" s="11" t="s">
        <v>19</v>
      </c>
      <c r="B57" s="26">
        <f>(B19/B21)*100</f>
        <v>151.58542356838618</v>
      </c>
      <c r="C57" s="26">
        <f t="shared" ref="C57:G57" si="11">(C19/C21)*100</f>
        <v>325.17985611510795</v>
      </c>
      <c r="D57" s="26">
        <f t="shared" si="11"/>
        <v>143.63636363636363</v>
      </c>
      <c r="E57" s="26">
        <f t="shared" si="11"/>
        <v>444.04761904761909</v>
      </c>
      <c r="F57" s="26">
        <f t="shared" si="11"/>
        <v>108.90330188679245</v>
      </c>
      <c r="G57" s="26">
        <f t="shared" si="11"/>
        <v>108.90330188679245</v>
      </c>
    </row>
    <row r="58" spans="1:7" s="11" customFormat="1" x14ac:dyDescent="0.25">
      <c r="A58" s="11" t="s">
        <v>20</v>
      </c>
      <c r="B58" s="26">
        <f>B26/B27*100</f>
        <v>88.029911611287631</v>
      </c>
      <c r="C58" s="26">
        <f t="shared" ref="C58:F58" si="12">C26/C27*100</f>
        <v>86.181618685007194</v>
      </c>
      <c r="D58" s="26">
        <f t="shared" si="12"/>
        <v>85.987930838019338</v>
      </c>
      <c r="E58" s="26">
        <f t="shared" si="12"/>
        <v>87.869500000000002</v>
      </c>
      <c r="F58" s="26">
        <f t="shared" si="12"/>
        <v>100</v>
      </c>
      <c r="G58" s="26">
        <f>G26/G27*100</f>
        <v>100</v>
      </c>
    </row>
    <row r="59" spans="1:7" s="11" customFormat="1" x14ac:dyDescent="0.25">
      <c r="A59" s="11" t="s">
        <v>21</v>
      </c>
      <c r="B59" s="26">
        <f t="shared" ref="B59:G59" si="13">(B57+B58)/2</f>
        <v>119.80766758983691</v>
      </c>
      <c r="C59" s="26">
        <f t="shared" si="13"/>
        <v>205.68073740005758</v>
      </c>
      <c r="D59" s="26">
        <f t="shared" si="13"/>
        <v>114.81214723719148</v>
      </c>
      <c r="E59" s="26">
        <f t="shared" si="13"/>
        <v>265.95855952380953</v>
      </c>
      <c r="F59" s="26">
        <f t="shared" si="13"/>
        <v>104.45165094339623</v>
      </c>
      <c r="G59" s="26">
        <f t="shared" si="13"/>
        <v>104.45165094339623</v>
      </c>
    </row>
    <row r="60" spans="1:7" s="11" customFormat="1" x14ac:dyDescent="0.25">
      <c r="B60" s="26"/>
      <c r="C60" s="26"/>
      <c r="D60" s="26"/>
      <c r="E60" s="26"/>
      <c r="F60" s="26"/>
      <c r="G60" s="26"/>
    </row>
    <row r="61" spans="1:7" s="11" customFormat="1" x14ac:dyDescent="0.25">
      <c r="A61" s="11" t="s">
        <v>32</v>
      </c>
      <c r="B61" s="26"/>
      <c r="C61" s="26"/>
      <c r="D61" s="26"/>
      <c r="E61" s="26"/>
      <c r="F61" s="26"/>
      <c r="G61" s="26"/>
    </row>
    <row r="62" spans="1:7" s="11" customFormat="1" x14ac:dyDescent="0.25">
      <c r="A62" s="11" t="s">
        <v>22</v>
      </c>
      <c r="B62" s="26">
        <f t="shared" ref="B62:F62" si="14">B28/B26*100</f>
        <v>100</v>
      </c>
      <c r="C62" s="26">
        <f t="shared" si="14"/>
        <v>100</v>
      </c>
      <c r="D62" s="26"/>
      <c r="E62" s="26"/>
      <c r="F62" s="26">
        <f t="shared" si="14"/>
        <v>100</v>
      </c>
      <c r="G62" s="26"/>
    </row>
    <row r="63" spans="1:7" s="11" customFormat="1" x14ac:dyDescent="0.25">
      <c r="B63" s="26"/>
      <c r="C63" s="26"/>
      <c r="D63" s="26"/>
      <c r="E63" s="26"/>
      <c r="F63" s="26"/>
      <c r="G63" s="26"/>
    </row>
    <row r="64" spans="1:7" s="11" customFormat="1" x14ac:dyDescent="0.25">
      <c r="A64" s="11" t="s">
        <v>23</v>
      </c>
      <c r="B64" s="26"/>
      <c r="C64" s="26"/>
      <c r="D64" s="26"/>
      <c r="E64" s="26"/>
      <c r="F64" s="26"/>
      <c r="G64" s="26"/>
    </row>
    <row r="65" spans="1:7" s="11" customFormat="1" x14ac:dyDescent="0.25">
      <c r="A65" s="11" t="s">
        <v>24</v>
      </c>
      <c r="B65" s="26">
        <f>((B19/B16)-1)*100</f>
        <v>98.082869511440947</v>
      </c>
      <c r="C65" s="26">
        <f t="shared" ref="C65:G65" si="15">((C19/C16)-1)*100</f>
        <v>186.68076109936575</v>
      </c>
      <c r="D65" s="26">
        <f t="shared" si="15"/>
        <v>139.39393939393941</v>
      </c>
      <c r="E65" s="26">
        <f t="shared" si="15"/>
        <v>199.19786096256686</v>
      </c>
      <c r="F65" s="26">
        <f t="shared" si="15"/>
        <v>61.451048951048961</v>
      </c>
      <c r="G65" s="26">
        <f t="shared" si="15"/>
        <v>61.451048951048961</v>
      </c>
    </row>
    <row r="66" spans="1:7" s="11" customFormat="1" x14ac:dyDescent="0.25">
      <c r="A66" s="11" t="s">
        <v>25</v>
      </c>
      <c r="B66" s="26">
        <f>((B41/B40)-1)*100</f>
        <v>31.228278336197324</v>
      </c>
      <c r="C66" s="26">
        <f>((C41/C40)-1)*100</f>
        <v>24.382936262575395</v>
      </c>
      <c r="D66" s="26">
        <f t="shared" ref="D66:G66" si="16">((D41/D40)-1)*100</f>
        <v>22.803821071002695</v>
      </c>
      <c r="E66" s="26">
        <f t="shared" si="16"/>
        <v>39.702444086796639</v>
      </c>
      <c r="F66" s="26">
        <f t="shared" si="16"/>
        <v>89.408431663855552</v>
      </c>
      <c r="G66" s="26">
        <f t="shared" si="16"/>
        <v>89.408431663855552</v>
      </c>
    </row>
    <row r="67" spans="1:7" s="11" customFormat="1" x14ac:dyDescent="0.25">
      <c r="A67" s="11" t="s">
        <v>26</v>
      </c>
      <c r="B67" s="26">
        <f t="shared" ref="B67:G67" si="17">((B43/B42)-1)*100</f>
        <v>-33.750819210230695</v>
      </c>
      <c r="C67" s="26">
        <f t="shared" si="17"/>
        <v>-56.612736834662122</v>
      </c>
      <c r="D67" s="26">
        <f t="shared" si="17"/>
        <v>-48.702201324771025</v>
      </c>
      <c r="E67" s="26">
        <f t="shared" si="17"/>
        <v>-53.307672843197551</v>
      </c>
      <c r="F67" s="26">
        <f t="shared" si="17"/>
        <v>17.316321507011768</v>
      </c>
      <c r="G67" s="26">
        <f t="shared" si="17"/>
        <v>17.316321507011768</v>
      </c>
    </row>
    <row r="68" spans="1:7" s="11" customFormat="1" x14ac:dyDescent="0.25">
      <c r="B68" s="26"/>
      <c r="C68" s="26"/>
      <c r="D68" s="26"/>
      <c r="E68" s="26"/>
      <c r="F68" s="26"/>
      <c r="G68" s="26"/>
    </row>
    <row r="69" spans="1:7" s="11" customFormat="1" x14ac:dyDescent="0.25">
      <c r="A69" s="11" t="s">
        <v>27</v>
      </c>
      <c r="B69" s="26"/>
      <c r="C69" s="26"/>
      <c r="D69" s="26"/>
      <c r="E69" s="26"/>
      <c r="F69" s="26"/>
      <c r="G69" s="26"/>
    </row>
    <row r="70" spans="1:7" s="11" customFormat="1" x14ac:dyDescent="0.25">
      <c r="A70" s="11" t="s">
        <v>39</v>
      </c>
      <c r="B70" s="26">
        <f>B25/B18</f>
        <v>43785.030746705714</v>
      </c>
      <c r="C70" s="26">
        <f t="shared" ref="C70:G70" si="18">C25/C18</f>
        <v>220157.30311614732</v>
      </c>
      <c r="D70" s="26">
        <f t="shared" si="18"/>
        <v>690252.75247524749</v>
      </c>
      <c r="E70" s="26">
        <f t="shared" si="18"/>
        <v>31746.031746031746</v>
      </c>
      <c r="F70" s="26">
        <f t="shared" si="18"/>
        <v>7075.4716981132078</v>
      </c>
      <c r="G70" s="26">
        <f t="shared" si="18"/>
        <v>7075.4716981132078</v>
      </c>
    </row>
    <row r="71" spans="1:7" s="11" customFormat="1" x14ac:dyDescent="0.25">
      <c r="A71" s="11" t="s">
        <v>40</v>
      </c>
      <c r="B71" s="26">
        <f t="shared" ref="B71:G71" si="19">B26/B19</f>
        <v>24657.04027474243</v>
      </c>
      <c r="C71" s="26">
        <f t="shared" si="19"/>
        <v>49392.699115044248</v>
      </c>
      <c r="D71" s="26">
        <f t="shared" si="19"/>
        <v>252940.67510548522</v>
      </c>
      <c r="E71" s="26">
        <f t="shared" si="19"/>
        <v>6282.0017873100987</v>
      </c>
      <c r="F71" s="26">
        <f t="shared" si="19"/>
        <v>6497.0221981591767</v>
      </c>
      <c r="G71" s="26">
        <f t="shared" si="19"/>
        <v>6497.0221981591767</v>
      </c>
    </row>
    <row r="72" spans="1:7" s="11" customFormat="1" x14ac:dyDescent="0.25">
      <c r="A72" s="11" t="s">
        <v>28</v>
      </c>
      <c r="B72" s="26">
        <f>(B71/B70)*B54</f>
        <v>68.801475752815961</v>
      </c>
      <c r="C72" s="26">
        <f t="shared" ref="C72:G72" si="20">(C71/C70)*C54</f>
        <v>52.758312306759862</v>
      </c>
      <c r="D72" s="26">
        <f t="shared" si="20"/>
        <v>58.748951689689058</v>
      </c>
      <c r="E72" s="26">
        <f t="shared" si="20"/>
        <v>52.62869260778821</v>
      </c>
      <c r="F72" s="26">
        <f t="shared" si="20"/>
        <v>95.912290200324847</v>
      </c>
      <c r="G72" s="26">
        <f t="shared" si="20"/>
        <v>95.912290200324847</v>
      </c>
    </row>
    <row r="73" spans="1:7" s="11" customFormat="1" x14ac:dyDescent="0.25">
      <c r="A73" s="11" t="s">
        <v>35</v>
      </c>
      <c r="B73" s="26">
        <f>B25/(B18*12)</f>
        <v>3648.7525622254757</v>
      </c>
      <c r="C73" s="26">
        <f t="shared" ref="C73:G73" si="21">C25/(C18*12)</f>
        <v>18346.441926345607</v>
      </c>
      <c r="D73" s="26">
        <f t="shared" si="21"/>
        <v>57521.062706270626</v>
      </c>
      <c r="E73" s="26">
        <f t="shared" si="21"/>
        <v>2645.5026455026455</v>
      </c>
      <c r="F73" s="26">
        <f t="shared" si="21"/>
        <v>589.62264150943395</v>
      </c>
      <c r="G73" s="26">
        <f t="shared" si="21"/>
        <v>589.62264150943395</v>
      </c>
    </row>
    <row r="74" spans="1:7" s="11" customFormat="1" x14ac:dyDescent="0.25">
      <c r="A74" s="11" t="s">
        <v>36</v>
      </c>
      <c r="B74" s="26">
        <f>B26/(B19*12)</f>
        <v>2054.7533562285357</v>
      </c>
      <c r="C74" s="26">
        <f t="shared" ref="C74:G74" si="22">C26/(C19*12)</f>
        <v>4116.058259587021</v>
      </c>
      <c r="D74" s="26">
        <f t="shared" si="22"/>
        <v>21078.389592123771</v>
      </c>
      <c r="E74" s="26">
        <f t="shared" si="22"/>
        <v>523.50014894250819</v>
      </c>
      <c r="F74" s="26">
        <f t="shared" si="22"/>
        <v>541.41851651326476</v>
      </c>
      <c r="G74" s="26">
        <f t="shared" si="22"/>
        <v>541.41851651326476</v>
      </c>
    </row>
    <row r="75" spans="1:7" s="11" customFormat="1" x14ac:dyDescent="0.25">
      <c r="B75" s="26"/>
      <c r="C75" s="26"/>
      <c r="D75" s="26"/>
      <c r="E75" s="26"/>
      <c r="F75" s="26"/>
      <c r="G75" s="26"/>
    </row>
    <row r="76" spans="1:7" s="11" customFormat="1" x14ac:dyDescent="0.25">
      <c r="A76" s="11" t="s">
        <v>29</v>
      </c>
      <c r="B76" s="26"/>
      <c r="C76" s="26"/>
      <c r="D76" s="26"/>
      <c r="E76" s="26"/>
      <c r="F76" s="26"/>
      <c r="G76" s="26"/>
    </row>
    <row r="77" spans="1:7" s="11" customFormat="1" x14ac:dyDescent="0.25">
      <c r="A77" s="11" t="s">
        <v>30</v>
      </c>
      <c r="B77" s="26">
        <f>(B32/B31)*100</f>
        <v>100</v>
      </c>
      <c r="C77" s="26">
        <f>(C32/C31)*100</f>
        <v>100</v>
      </c>
      <c r="D77" s="26"/>
      <c r="E77" s="26"/>
      <c r="F77" s="26">
        <f>(F32/F31)*100</f>
        <v>100</v>
      </c>
      <c r="G77" s="26"/>
    </row>
    <row r="78" spans="1:7" s="11" customFormat="1" x14ac:dyDescent="0.25">
      <c r="A78" s="11" t="s">
        <v>31</v>
      </c>
      <c r="B78" s="26">
        <f>(B26/B32)*100</f>
        <v>88.029911611287631</v>
      </c>
      <c r="C78" s="26">
        <f>(C26/C32)*100</f>
        <v>86.181618685007194</v>
      </c>
      <c r="D78" s="26"/>
      <c r="E78" s="26"/>
      <c r="F78" s="26">
        <f>(F26/F32)*100</f>
        <v>100</v>
      </c>
      <c r="G78" s="26"/>
    </row>
    <row r="79" spans="1:7" ht="15.75" thickBot="1" x14ac:dyDescent="0.3">
      <c r="A79" s="7"/>
      <c r="B79" s="19"/>
      <c r="C79" s="19"/>
      <c r="D79" s="19"/>
      <c r="E79" s="19"/>
      <c r="F79" s="19"/>
      <c r="G79" s="19"/>
    </row>
    <row r="80" spans="1:7" s="11" customFormat="1" ht="16.5" customHeight="1" thickTop="1" x14ac:dyDescent="0.25">
      <c r="A80" s="39" t="s">
        <v>86</v>
      </c>
      <c r="B80" s="39"/>
      <c r="C80" s="39"/>
      <c r="D80" s="39"/>
      <c r="E80" s="39"/>
      <c r="F80" s="39"/>
      <c r="G80" s="39"/>
    </row>
    <row r="81" spans="1:4" x14ac:dyDescent="0.25">
      <c r="A81" s="14"/>
    </row>
    <row r="82" spans="1:4" x14ac:dyDescent="0.25">
      <c r="A82" s="14"/>
    </row>
    <row r="83" spans="1:4" x14ac:dyDescent="0.25">
      <c r="A83" s="14"/>
      <c r="B83" s="8"/>
      <c r="C83" s="8"/>
      <c r="D83" s="8"/>
    </row>
    <row r="84" spans="1:4" x14ac:dyDescent="0.25">
      <c r="A84" s="14"/>
    </row>
    <row r="85" spans="1:4" x14ac:dyDescent="0.25">
      <c r="A85" s="14"/>
    </row>
    <row r="86" spans="1:4" x14ac:dyDescent="0.25">
      <c r="A86" s="11"/>
    </row>
    <row r="87" spans="1:4" x14ac:dyDescent="0.25">
      <c r="A87" s="11"/>
    </row>
    <row r="88" spans="1:4" x14ac:dyDescent="0.25">
      <c r="A88" s="11"/>
    </row>
    <row r="89" spans="1:4" x14ac:dyDescent="0.25">
      <c r="A89" s="11"/>
    </row>
    <row r="93" spans="1:4" x14ac:dyDescent="0.25">
      <c r="A93" s="5"/>
    </row>
  </sheetData>
  <mergeCells count="10">
    <mergeCell ref="F10:F11"/>
    <mergeCell ref="G10:G11"/>
    <mergeCell ref="D10:D11"/>
    <mergeCell ref="F9:G9"/>
    <mergeCell ref="A80:G80"/>
    <mergeCell ref="A9:A11"/>
    <mergeCell ref="B9:B11"/>
    <mergeCell ref="C9:E9"/>
    <mergeCell ref="C10:C11"/>
    <mergeCell ref="E10:E11"/>
  </mergeCells>
  <pageMargins left="0.7" right="0.7" top="0.75" bottom="0.75" header="0.3" footer="0.3"/>
  <pageSetup orientation="portrait" horizontalDpi="300" verticalDpi="300" r:id="rId1"/>
  <ignoredErrors>
    <ignoredError sqref="F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Company>FAM ASTORGA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2012-04-23T15:28:09Z</dcterms:created>
  <dcterms:modified xsi:type="dcterms:W3CDTF">2020-11-19T20:54:15Z</dcterms:modified>
</cp:coreProperties>
</file>