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dicadores Anuales 2019\Analista - Silvia Hernández\"/>
    </mc:Choice>
  </mc:AlternateContent>
  <bookViews>
    <workbookView xWindow="0" yWindow="0" windowWidth="20490" windowHeight="8460" tabRatio="631" activeTab="7"/>
  </bookViews>
  <sheets>
    <sheet name="I Trimestre" sheetId="4" r:id="rId1"/>
    <sheet name="Hoja2 (2)" sheetId="15" state="hidden" r:id="rId2"/>
    <sheet name="II Trimestre" sheetId="7" r:id="rId3"/>
    <sheet name="I Semestre" sheetId="9" r:id="rId4"/>
    <sheet name="III Trimestre" sheetId="8" r:id="rId5"/>
    <sheet name="III T Acumulado" sheetId="10" r:id="rId6"/>
    <sheet name="IV Trimestre" sheetId="3" r:id="rId7"/>
    <sheet name="Anual" sheetId="2" r:id="rId8"/>
  </sheets>
  <calcPr calcId="162913"/>
</workbook>
</file>

<file path=xl/calcChain.xml><?xml version="1.0" encoding="utf-8"?>
<calcChain xmlns="http://schemas.openxmlformats.org/spreadsheetml/2006/main">
  <c r="K19" i="2" l="1"/>
  <c r="K17" i="2"/>
  <c r="F19" i="2" l="1"/>
  <c r="F18" i="2"/>
  <c r="F17" i="2"/>
  <c r="F18" i="10"/>
  <c r="F17" i="10"/>
  <c r="F19" i="8"/>
  <c r="F18" i="8"/>
  <c r="F17" i="8"/>
  <c r="F18" i="3"/>
  <c r="F19" i="3"/>
  <c r="F17" i="3"/>
  <c r="B22" i="2" l="1"/>
  <c r="D18" i="2"/>
  <c r="B18" i="2" s="1"/>
  <c r="K63" i="3"/>
  <c r="N26" i="3"/>
  <c r="B16" i="3"/>
  <c r="C16" i="3"/>
  <c r="B30" i="2" l="1"/>
  <c r="G18" i="2"/>
  <c r="C19" i="2"/>
  <c r="B19" i="2"/>
  <c r="N19" i="2"/>
  <c r="M19" i="2"/>
  <c r="L19" i="2"/>
  <c r="N18" i="2"/>
  <c r="L18" i="2"/>
  <c r="M18" i="2"/>
  <c r="N17" i="2"/>
  <c r="M17" i="2"/>
  <c r="L17" i="2"/>
  <c r="N16" i="2"/>
  <c r="M16" i="2"/>
  <c r="L16" i="2"/>
  <c r="C23" i="2"/>
  <c r="C25" i="2"/>
  <c r="B26" i="3"/>
  <c r="N25" i="2" l="1"/>
  <c r="N24" i="2"/>
  <c r="N69" i="2" s="1"/>
  <c r="N23" i="2"/>
  <c r="N68" i="2" s="1"/>
  <c r="N22" i="2"/>
  <c r="F23" i="2"/>
  <c r="N26" i="2" l="1"/>
  <c r="N17" i="10" l="1"/>
  <c r="L19" i="10"/>
  <c r="M19" i="10"/>
  <c r="M17" i="10"/>
  <c r="L17" i="10"/>
  <c r="I17" i="10"/>
  <c r="J17" i="10"/>
  <c r="B17" i="3" l="1"/>
  <c r="B19" i="8"/>
  <c r="B19" i="3"/>
  <c r="F23" i="8"/>
  <c r="N63" i="2" l="1"/>
  <c r="N38" i="2"/>
  <c r="N40" i="2" s="1"/>
  <c r="F38" i="2"/>
  <c r="F22" i="3"/>
  <c r="F22" i="2" s="1"/>
  <c r="M50" i="2"/>
  <c r="K18" i="2"/>
  <c r="L50" i="2"/>
  <c r="N50" i="2"/>
  <c r="K50" i="2" l="1"/>
  <c r="N39" i="2"/>
  <c r="N64" i="2" s="1"/>
  <c r="N72" i="2"/>
  <c r="N56" i="2"/>
  <c r="N71" i="2"/>
  <c r="N51" i="2"/>
  <c r="N52" i="2" s="1"/>
  <c r="F24" i="8"/>
  <c r="B24" i="7"/>
  <c r="N70" i="2" l="1"/>
  <c r="N41" i="2"/>
  <c r="N65" i="2" s="1"/>
  <c r="N72" i="3"/>
  <c r="N71" i="3"/>
  <c r="N69" i="3"/>
  <c r="N68" i="3"/>
  <c r="N63" i="3"/>
  <c r="J63" i="3"/>
  <c r="I63" i="3"/>
  <c r="H63" i="3"/>
  <c r="G63" i="3"/>
  <c r="E63" i="3"/>
  <c r="D63" i="3"/>
  <c r="N56" i="3"/>
  <c r="N55" i="3"/>
  <c r="M55" i="3"/>
  <c r="L55" i="3"/>
  <c r="K55" i="3"/>
  <c r="J55" i="3"/>
  <c r="I55" i="3"/>
  <c r="H55" i="3"/>
  <c r="G55" i="3"/>
  <c r="E55" i="3"/>
  <c r="D55" i="3"/>
  <c r="N51" i="3"/>
  <c r="N50" i="3"/>
  <c r="N52" i="3" s="1"/>
  <c r="M50" i="3"/>
  <c r="L50" i="3"/>
  <c r="K50" i="3"/>
  <c r="J50" i="3"/>
  <c r="I50" i="3"/>
  <c r="H50" i="3"/>
  <c r="G50" i="3"/>
  <c r="E50" i="3"/>
  <c r="D50" i="3"/>
  <c r="N39" i="3"/>
  <c r="N38" i="3"/>
  <c r="N40" i="3" s="1"/>
  <c r="F38" i="3"/>
  <c r="F25" i="3"/>
  <c r="F25" i="2" s="1"/>
  <c r="F24" i="3"/>
  <c r="F23" i="3"/>
  <c r="N64" i="3" l="1"/>
  <c r="N57" i="3"/>
  <c r="F39" i="3"/>
  <c r="F64" i="3" s="1"/>
  <c r="F56" i="3"/>
  <c r="B25" i="2"/>
  <c r="F51" i="3"/>
  <c r="N70" i="3"/>
  <c r="N41" i="3"/>
  <c r="N65" i="3" s="1"/>
  <c r="N25" i="10" l="1"/>
  <c r="B25" i="10"/>
  <c r="N23" i="10"/>
  <c r="N71" i="10" s="1"/>
  <c r="N24" i="10"/>
  <c r="N39" i="10" s="1"/>
  <c r="N22" i="10"/>
  <c r="N38" i="10" s="1"/>
  <c r="N18" i="10"/>
  <c r="N69" i="10" s="1"/>
  <c r="N19" i="10"/>
  <c r="N16" i="10"/>
  <c r="L18" i="10"/>
  <c r="L55" i="10" s="1"/>
  <c r="M18" i="10"/>
  <c r="M55" i="10" s="1"/>
  <c r="M16" i="10"/>
  <c r="L16" i="10"/>
  <c r="K19" i="10"/>
  <c r="F19" i="10" s="1"/>
  <c r="K18" i="10"/>
  <c r="K17" i="10"/>
  <c r="K16" i="10"/>
  <c r="B76" i="8"/>
  <c r="N72" i="8"/>
  <c r="F72" i="8"/>
  <c r="C72" i="8"/>
  <c r="B72" i="8"/>
  <c r="N71" i="8"/>
  <c r="F71" i="8"/>
  <c r="N69" i="8"/>
  <c r="F69" i="8"/>
  <c r="C69" i="8"/>
  <c r="B69" i="8"/>
  <c r="N68" i="8"/>
  <c r="F68" i="8"/>
  <c r="N63" i="8"/>
  <c r="K63" i="8"/>
  <c r="J63" i="8"/>
  <c r="I63" i="8"/>
  <c r="H63" i="8"/>
  <c r="G63" i="8"/>
  <c r="F63" i="8"/>
  <c r="E63" i="8"/>
  <c r="D63" i="8"/>
  <c r="C63" i="8"/>
  <c r="B63" i="8"/>
  <c r="B60" i="8"/>
  <c r="N56" i="8"/>
  <c r="F56" i="8"/>
  <c r="C56" i="8"/>
  <c r="B56" i="8"/>
  <c r="N55" i="8"/>
  <c r="N57" i="8" s="1"/>
  <c r="M55" i="8"/>
  <c r="L55" i="8"/>
  <c r="K55" i="8"/>
  <c r="J55" i="8"/>
  <c r="I55" i="8"/>
  <c r="H55" i="8"/>
  <c r="G55" i="8"/>
  <c r="F55" i="8"/>
  <c r="E55" i="8"/>
  <c r="D55" i="8"/>
  <c r="C55" i="8"/>
  <c r="C57" i="8" s="1"/>
  <c r="B55" i="8"/>
  <c r="N51" i="8"/>
  <c r="F51" i="8"/>
  <c r="N50" i="8"/>
  <c r="N52" i="8" s="1"/>
  <c r="M50" i="8"/>
  <c r="L50" i="8"/>
  <c r="K50" i="8"/>
  <c r="J50" i="8"/>
  <c r="I50" i="8"/>
  <c r="H50" i="8"/>
  <c r="G50" i="8"/>
  <c r="F50" i="8"/>
  <c r="F52" i="8" s="1"/>
  <c r="E50" i="8"/>
  <c r="D50" i="8"/>
  <c r="C50" i="8"/>
  <c r="B50" i="8"/>
  <c r="B47" i="8"/>
  <c r="B46" i="8"/>
  <c r="N39" i="8"/>
  <c r="F39" i="8"/>
  <c r="C39" i="8"/>
  <c r="B39" i="8"/>
  <c r="N38" i="8"/>
  <c r="N40" i="8" s="1"/>
  <c r="F38" i="8"/>
  <c r="F40" i="8" s="1"/>
  <c r="C38" i="8"/>
  <c r="C40" i="8" s="1"/>
  <c r="B38" i="8"/>
  <c r="B40" i="8" s="1"/>
  <c r="B57" i="8" l="1"/>
  <c r="F57" i="8"/>
  <c r="N64" i="10"/>
  <c r="N68" i="10"/>
  <c r="K63" i="10"/>
  <c r="N40" i="10"/>
  <c r="M50" i="10"/>
  <c r="L50" i="10"/>
  <c r="N51" i="10"/>
  <c r="N56" i="10"/>
  <c r="N63" i="10"/>
  <c r="C64" i="8"/>
  <c r="N64" i="8"/>
  <c r="F64" i="8"/>
  <c r="B64" i="8"/>
  <c r="N26" i="10"/>
  <c r="N72" i="10"/>
  <c r="N50" i="10"/>
  <c r="N55" i="10"/>
  <c r="K50" i="10"/>
  <c r="K55" i="10"/>
  <c r="N41" i="10"/>
  <c r="N65" i="10" s="1"/>
  <c r="F70" i="8"/>
  <c r="N70" i="8"/>
  <c r="B41" i="8"/>
  <c r="B65" i="8" s="1"/>
  <c r="F41" i="8"/>
  <c r="F65" i="8" s="1"/>
  <c r="C41" i="8"/>
  <c r="C65" i="8" s="1"/>
  <c r="N41" i="8"/>
  <c r="N65" i="8" s="1"/>
  <c r="F25" i="8"/>
  <c r="F22" i="8"/>
  <c r="B25" i="8"/>
  <c r="B24" i="8"/>
  <c r="B22" i="8"/>
  <c r="N26" i="8"/>
  <c r="L17" i="9"/>
  <c r="L18" i="9"/>
  <c r="L19" i="9"/>
  <c r="L16" i="9"/>
  <c r="B25" i="9"/>
  <c r="B26" i="7"/>
  <c r="B25" i="7"/>
  <c r="B23" i="7"/>
  <c r="B22" i="7"/>
  <c r="B29" i="4"/>
  <c r="B25" i="4"/>
  <c r="B23" i="4"/>
  <c r="B22" i="4"/>
  <c r="C19" i="4"/>
  <c r="C18" i="4"/>
  <c r="C17" i="4"/>
  <c r="C16" i="4"/>
  <c r="B19" i="4"/>
  <c r="B18" i="4"/>
  <c r="B17" i="4"/>
  <c r="B16" i="4"/>
  <c r="N57" i="10" l="1"/>
  <c r="N52" i="10"/>
  <c r="N70" i="10" s="1"/>
  <c r="F25" i="7"/>
  <c r="K63" i="7" l="1"/>
  <c r="J63" i="7"/>
  <c r="I63" i="7"/>
  <c r="H63" i="7"/>
  <c r="E63" i="7"/>
  <c r="D63" i="7"/>
  <c r="K55" i="7"/>
  <c r="J55" i="7"/>
  <c r="I55" i="7"/>
  <c r="H55" i="7"/>
  <c r="G55" i="7"/>
  <c r="E55" i="7"/>
  <c r="D55" i="7"/>
  <c r="K50" i="7"/>
  <c r="J50" i="7"/>
  <c r="I50" i="7"/>
  <c r="H50" i="7"/>
  <c r="G50" i="7"/>
  <c r="E50" i="7"/>
  <c r="D50" i="7"/>
  <c r="D63" i="4"/>
  <c r="E63" i="4"/>
  <c r="H63" i="4"/>
  <c r="I63" i="4"/>
  <c r="J63" i="4"/>
  <c r="K63" i="4"/>
  <c r="E55" i="4"/>
  <c r="G55" i="4"/>
  <c r="H55" i="4"/>
  <c r="I55" i="4"/>
  <c r="J55" i="4"/>
  <c r="K55" i="4"/>
  <c r="D55" i="4"/>
  <c r="K50" i="4"/>
  <c r="N55" i="2"/>
  <c r="N57" i="2" s="1"/>
  <c r="M55" i="2"/>
  <c r="K16" i="2"/>
  <c r="K63" i="2" l="1"/>
  <c r="L55" i="2"/>
  <c r="K18" i="9" l="1"/>
  <c r="K17" i="9"/>
  <c r="K16" i="9"/>
  <c r="K63" i="9" l="1"/>
  <c r="K50" i="9"/>
  <c r="L55" i="9" l="1"/>
  <c r="L63" i="9"/>
  <c r="L50" i="9"/>
  <c r="L22" i="3"/>
  <c r="C22" i="3"/>
  <c r="C22" i="2" l="1"/>
  <c r="C38" i="3"/>
  <c r="C40" i="3" s="1"/>
  <c r="B22" i="3"/>
  <c r="B38" i="3" s="1"/>
  <c r="B40" i="3" s="1"/>
  <c r="C23" i="7"/>
  <c r="C22" i="8"/>
  <c r="L38" i="7"/>
  <c r="C25" i="7"/>
  <c r="C38" i="2" l="1"/>
  <c r="B38" i="2"/>
  <c r="L38" i="4"/>
  <c r="L22" i="9"/>
  <c r="L38" i="9" s="1"/>
  <c r="L40" i="9" s="1"/>
  <c r="L25" i="9"/>
  <c r="L71" i="7" l="1"/>
  <c r="F17" i="7"/>
  <c r="F18" i="7"/>
  <c r="F19" i="7"/>
  <c r="L68" i="7" l="1"/>
  <c r="F55" i="7"/>
  <c r="F50" i="7"/>
  <c r="L26" i="7"/>
  <c r="L39" i="7"/>
  <c r="L64" i="7" s="1"/>
  <c r="L56" i="7"/>
  <c r="L51" i="7"/>
  <c r="L72" i="7"/>
  <c r="L50" i="7"/>
  <c r="L52" i="7" s="1"/>
  <c r="L55" i="7"/>
  <c r="L57" i="7" s="1"/>
  <c r="L69" i="7"/>
  <c r="L70" i="7" s="1"/>
  <c r="L63" i="7"/>
  <c r="L40" i="7"/>
  <c r="L41" i="7" l="1"/>
  <c r="L65" i="7" s="1"/>
  <c r="L40" i="4"/>
  <c r="L71" i="4" l="1"/>
  <c r="L68" i="4"/>
  <c r="L23" i="9"/>
  <c r="L63" i="4"/>
  <c r="L55" i="4"/>
  <c r="L50" i="4"/>
  <c r="L72" i="4"/>
  <c r="L69" i="4"/>
  <c r="L51" i="4"/>
  <c r="L56" i="4"/>
  <c r="L39" i="4"/>
  <c r="L24" i="9"/>
  <c r="L26" i="4"/>
  <c r="F16" i="3"/>
  <c r="F40" i="3" s="1"/>
  <c r="B46" i="3"/>
  <c r="B18" i="3"/>
  <c r="F16" i="8"/>
  <c r="B17" i="8"/>
  <c r="B18" i="8"/>
  <c r="B16" i="8"/>
  <c r="F16" i="7"/>
  <c r="F63" i="7" s="1"/>
  <c r="B17" i="7"/>
  <c r="B46" i="7" s="1"/>
  <c r="B18" i="7"/>
  <c r="B19" i="7"/>
  <c r="B16" i="7"/>
  <c r="F17" i="4"/>
  <c r="F18" i="4"/>
  <c r="F63" i="4" s="1"/>
  <c r="F19" i="4"/>
  <c r="F16" i="4"/>
  <c r="C24" i="4"/>
  <c r="C24" i="2" l="1"/>
  <c r="C24" i="9"/>
  <c r="F71" i="3"/>
  <c r="F68" i="3"/>
  <c r="F72" i="3"/>
  <c r="F69" i="3"/>
  <c r="F50" i="3"/>
  <c r="F52" i="3" s="1"/>
  <c r="F63" i="3"/>
  <c r="F55" i="3"/>
  <c r="F57" i="3" s="1"/>
  <c r="F41" i="3"/>
  <c r="F65" i="3" s="1"/>
  <c r="B63" i="3"/>
  <c r="B55" i="3"/>
  <c r="B50" i="3"/>
  <c r="B47" i="3"/>
  <c r="L52" i="4"/>
  <c r="L70" i="4"/>
  <c r="B55" i="7"/>
  <c r="B50" i="7"/>
  <c r="B63" i="7"/>
  <c r="B47" i="7"/>
  <c r="L39" i="9"/>
  <c r="L72" i="9"/>
  <c r="L69" i="9"/>
  <c r="L56" i="9"/>
  <c r="L57" i="9" s="1"/>
  <c r="L51" i="9"/>
  <c r="L52" i="9" s="1"/>
  <c r="F55" i="4"/>
  <c r="F50" i="4"/>
  <c r="C39" i="4"/>
  <c r="L41" i="4"/>
  <c r="L65" i="4" s="1"/>
  <c r="L64" i="4"/>
  <c r="L57" i="4"/>
  <c r="L71" i="9"/>
  <c r="L68" i="9"/>
  <c r="F23" i="7"/>
  <c r="C24" i="7"/>
  <c r="C24" i="8"/>
  <c r="C24" i="3"/>
  <c r="E18" i="2"/>
  <c r="C25" i="3"/>
  <c r="D17" i="2"/>
  <c r="E17" i="2"/>
  <c r="F24" i="4"/>
  <c r="F24" i="7"/>
  <c r="H18" i="2"/>
  <c r="I18" i="2"/>
  <c r="F23" i="4"/>
  <c r="G17" i="2"/>
  <c r="G50" i="2" s="1"/>
  <c r="H17" i="2"/>
  <c r="H50" i="2" s="1"/>
  <c r="I17" i="2"/>
  <c r="I50" i="2" s="1"/>
  <c r="D18" i="10"/>
  <c r="E18" i="10"/>
  <c r="C23" i="4"/>
  <c r="C23" i="8"/>
  <c r="D17" i="10"/>
  <c r="E17" i="10"/>
  <c r="G18" i="10"/>
  <c r="H18" i="10"/>
  <c r="I18" i="10"/>
  <c r="G17" i="10"/>
  <c r="H17" i="10"/>
  <c r="D18" i="9"/>
  <c r="E18" i="9"/>
  <c r="D17" i="9"/>
  <c r="B17" i="9" s="1"/>
  <c r="B46" i="9" s="1"/>
  <c r="E17" i="9"/>
  <c r="G18" i="9"/>
  <c r="H18" i="9"/>
  <c r="I18" i="9"/>
  <c r="G17" i="9"/>
  <c r="H17" i="9"/>
  <c r="I17" i="9"/>
  <c r="C18" i="3"/>
  <c r="C23" i="3"/>
  <c r="C17" i="3"/>
  <c r="C18" i="8"/>
  <c r="C17" i="8"/>
  <c r="C18" i="7"/>
  <c r="C17" i="7"/>
  <c r="C69" i="4"/>
  <c r="B47" i="4"/>
  <c r="B46" i="4"/>
  <c r="J18" i="2"/>
  <c r="J17" i="2"/>
  <c r="C22" i="4"/>
  <c r="C22" i="7"/>
  <c r="F22" i="4"/>
  <c r="F38" i="4" s="1"/>
  <c r="F40" i="4" s="1"/>
  <c r="F22" i="7"/>
  <c r="F38" i="7" s="1"/>
  <c r="F40" i="7" s="1"/>
  <c r="C26" i="4"/>
  <c r="J18" i="10"/>
  <c r="J18" i="9"/>
  <c r="J17" i="9"/>
  <c r="F25" i="4"/>
  <c r="J50" i="4"/>
  <c r="H16" i="2"/>
  <c r="H16" i="10"/>
  <c r="H16" i="9"/>
  <c r="F25" i="9"/>
  <c r="C25" i="8"/>
  <c r="C16" i="8"/>
  <c r="C16" i="7"/>
  <c r="E50" i="4"/>
  <c r="G50" i="4"/>
  <c r="H50" i="4"/>
  <c r="I50" i="4"/>
  <c r="C25" i="4"/>
  <c r="C19" i="3"/>
  <c r="C19" i="8"/>
  <c r="J19" i="2"/>
  <c r="J55" i="2" s="1"/>
  <c r="I19" i="2"/>
  <c r="I55" i="2" s="1"/>
  <c r="J16" i="2"/>
  <c r="I16" i="2"/>
  <c r="F16" i="2" s="1"/>
  <c r="F40" i="2" s="1"/>
  <c r="J19" i="10"/>
  <c r="I19" i="10"/>
  <c r="J16" i="10"/>
  <c r="I16" i="10"/>
  <c r="J19" i="9"/>
  <c r="I19" i="9"/>
  <c r="I16" i="9"/>
  <c r="F16" i="9" s="1"/>
  <c r="J16" i="9"/>
  <c r="H19" i="9"/>
  <c r="K19" i="9"/>
  <c r="H19" i="10"/>
  <c r="H19" i="2"/>
  <c r="K55" i="2"/>
  <c r="G16" i="2"/>
  <c r="G63" i="2" s="1"/>
  <c r="E16" i="2"/>
  <c r="D16" i="2"/>
  <c r="G16" i="10"/>
  <c r="E16" i="10"/>
  <c r="D16" i="10"/>
  <c r="B16" i="10" s="1"/>
  <c r="G16" i="9"/>
  <c r="E16" i="9"/>
  <c r="D16" i="9"/>
  <c r="B16" i="9" s="1"/>
  <c r="C19" i="7"/>
  <c r="D50" i="4"/>
  <c r="B30" i="9"/>
  <c r="B30" i="10"/>
  <c r="E19" i="9"/>
  <c r="G19" i="9"/>
  <c r="D19" i="9"/>
  <c r="E19" i="10"/>
  <c r="G19" i="10"/>
  <c r="D19" i="10"/>
  <c r="E19" i="2"/>
  <c r="E55" i="2" s="1"/>
  <c r="G19" i="2"/>
  <c r="G55" i="2" s="1"/>
  <c r="D19" i="2"/>
  <c r="C23" i="9"/>
  <c r="C25" i="9"/>
  <c r="J50" i="2" l="1"/>
  <c r="H63" i="2"/>
  <c r="I63" i="10"/>
  <c r="I55" i="10"/>
  <c r="I50" i="10"/>
  <c r="G63" i="10"/>
  <c r="G55" i="10"/>
  <c r="G50" i="10"/>
  <c r="B18" i="10"/>
  <c r="D63" i="10"/>
  <c r="D55" i="10"/>
  <c r="D50" i="10"/>
  <c r="D50" i="2"/>
  <c r="C17" i="2"/>
  <c r="C68" i="2" s="1"/>
  <c r="B17" i="2"/>
  <c r="C18" i="2"/>
  <c r="C69" i="2" s="1"/>
  <c r="E63" i="2"/>
  <c r="C16" i="2"/>
  <c r="C40" i="2" s="1"/>
  <c r="B16" i="2"/>
  <c r="B40" i="2" s="1"/>
  <c r="D63" i="2"/>
  <c r="H55" i="2"/>
  <c r="F16" i="10"/>
  <c r="J63" i="2"/>
  <c r="I63" i="2"/>
  <c r="E50" i="2"/>
  <c r="B23" i="3"/>
  <c r="B23" i="2"/>
  <c r="B68" i="2" s="1"/>
  <c r="B26" i="4"/>
  <c r="F26" i="4"/>
  <c r="F24" i="2"/>
  <c r="B24" i="4"/>
  <c r="B24" i="2"/>
  <c r="B69" i="2" s="1"/>
  <c r="C26" i="2"/>
  <c r="C26" i="3"/>
  <c r="B24" i="3"/>
  <c r="C39" i="3"/>
  <c r="C64" i="3" s="1"/>
  <c r="D55" i="2"/>
  <c r="C56" i="3"/>
  <c r="B25" i="3"/>
  <c r="C68" i="3"/>
  <c r="C71" i="3"/>
  <c r="C51" i="3"/>
  <c r="B23" i="8"/>
  <c r="C51" i="8"/>
  <c r="C52" i="8" s="1"/>
  <c r="C71" i="8"/>
  <c r="C68" i="8"/>
  <c r="C70" i="8" s="1"/>
  <c r="F70" i="3"/>
  <c r="C72" i="3"/>
  <c r="C69" i="3"/>
  <c r="C63" i="3"/>
  <c r="C55" i="3"/>
  <c r="C50" i="3"/>
  <c r="C52" i="3" s="1"/>
  <c r="J63" i="10"/>
  <c r="J55" i="10"/>
  <c r="J50" i="10"/>
  <c r="H50" i="10"/>
  <c r="H63" i="10"/>
  <c r="H55" i="10"/>
  <c r="E63" i="10"/>
  <c r="E55" i="10"/>
  <c r="E50" i="10"/>
  <c r="B19" i="10"/>
  <c r="C71" i="7"/>
  <c r="C68" i="7"/>
  <c r="F26" i="7"/>
  <c r="F72" i="7"/>
  <c r="F39" i="7"/>
  <c r="F69" i="7"/>
  <c r="F56" i="7"/>
  <c r="F57" i="7" s="1"/>
  <c r="B38" i="7"/>
  <c r="B40" i="7" s="1"/>
  <c r="C38" i="7"/>
  <c r="C40" i="7" s="1"/>
  <c r="C63" i="7"/>
  <c r="C55" i="7"/>
  <c r="C50" i="7"/>
  <c r="F24" i="9"/>
  <c r="F26" i="9" s="1"/>
  <c r="C69" i="7"/>
  <c r="C56" i="7"/>
  <c r="C51" i="7"/>
  <c r="C72" i="7"/>
  <c r="C39" i="7"/>
  <c r="C38" i="4"/>
  <c r="C40" i="4" s="1"/>
  <c r="B38" i="4"/>
  <c r="B40" i="4" s="1"/>
  <c r="C56" i="4"/>
  <c r="C63" i="4"/>
  <c r="C55" i="4"/>
  <c r="C57" i="4" s="1"/>
  <c r="C71" i="4"/>
  <c r="C68" i="4"/>
  <c r="B75" i="4"/>
  <c r="F23" i="9"/>
  <c r="B23" i="9" s="1"/>
  <c r="F71" i="4"/>
  <c r="F68" i="4"/>
  <c r="F72" i="4"/>
  <c r="F69" i="4"/>
  <c r="F56" i="4"/>
  <c r="F57" i="4" s="1"/>
  <c r="F51" i="4"/>
  <c r="F39" i="4"/>
  <c r="C41" i="4"/>
  <c r="C72" i="4"/>
  <c r="F52" i="4"/>
  <c r="L70" i="9"/>
  <c r="L41" i="9"/>
  <c r="L65" i="9" s="1"/>
  <c r="L64" i="9"/>
  <c r="F71" i="7"/>
  <c r="F51" i="7"/>
  <c r="F52" i="7" s="1"/>
  <c r="F68" i="7"/>
  <c r="F19" i="9"/>
  <c r="K55" i="9"/>
  <c r="B19" i="9"/>
  <c r="E55" i="9"/>
  <c r="E50" i="9"/>
  <c r="E63" i="9"/>
  <c r="D63" i="9"/>
  <c r="D55" i="9"/>
  <c r="D50" i="9"/>
  <c r="B18" i="9"/>
  <c r="I63" i="9"/>
  <c r="I55" i="9"/>
  <c r="I50" i="9"/>
  <c r="F18" i="9"/>
  <c r="H50" i="9"/>
  <c r="H55" i="9"/>
  <c r="H63" i="9"/>
  <c r="B17" i="10"/>
  <c r="B46" i="10" s="1"/>
  <c r="G55" i="9"/>
  <c r="G50" i="9"/>
  <c r="J63" i="9"/>
  <c r="J50" i="9"/>
  <c r="J55" i="9"/>
  <c r="F17" i="9"/>
  <c r="F56" i="9"/>
  <c r="F25" i="10"/>
  <c r="F26" i="3"/>
  <c r="C26" i="8"/>
  <c r="C26" i="7"/>
  <c r="C18" i="10"/>
  <c r="F22" i="10"/>
  <c r="F38" i="10" s="1"/>
  <c r="F40" i="10" s="1"/>
  <c r="C23" i="10"/>
  <c r="C50" i="4"/>
  <c r="C24" i="10"/>
  <c r="C51" i="4"/>
  <c r="B55" i="4"/>
  <c r="F23" i="10"/>
  <c r="F22" i="9"/>
  <c r="F38" i="9" s="1"/>
  <c r="F40" i="9" s="1"/>
  <c r="L26" i="9"/>
  <c r="C19" i="9"/>
  <c r="B63" i="4"/>
  <c r="C16" i="9"/>
  <c r="C16" i="10"/>
  <c r="B50" i="4"/>
  <c r="C18" i="9"/>
  <c r="C22" i="10"/>
  <c r="C22" i="9"/>
  <c r="B22" i="9" s="1"/>
  <c r="C17" i="9"/>
  <c r="C68" i="9" s="1"/>
  <c r="C63" i="2"/>
  <c r="F26" i="8"/>
  <c r="B26" i="8" s="1"/>
  <c r="F24" i="10"/>
  <c r="C25" i="10"/>
  <c r="C17" i="10"/>
  <c r="C19" i="10"/>
  <c r="C55" i="2"/>
  <c r="F68" i="2" l="1"/>
  <c r="F71" i="2"/>
  <c r="F69" i="2"/>
  <c r="F72" i="2"/>
  <c r="C38" i="10"/>
  <c r="C40" i="10" s="1"/>
  <c r="B22" i="10"/>
  <c r="B38" i="10" s="1"/>
  <c r="B40" i="10" s="1"/>
  <c r="C41" i="3"/>
  <c r="C65" i="3" s="1"/>
  <c r="C64" i="4"/>
  <c r="F56" i="10"/>
  <c r="F51" i="10"/>
  <c r="F39" i="10"/>
  <c r="F64" i="10" s="1"/>
  <c r="F41" i="4"/>
  <c r="F65" i="4" s="1"/>
  <c r="F64" i="4"/>
  <c r="F39" i="2"/>
  <c r="F64" i="2" s="1"/>
  <c r="F56" i="2"/>
  <c r="F26" i="2"/>
  <c r="B26" i="2" s="1"/>
  <c r="F39" i="9"/>
  <c r="F64" i="9" s="1"/>
  <c r="F51" i="9"/>
  <c r="B24" i="9"/>
  <c r="C39" i="10"/>
  <c r="C64" i="10" s="1"/>
  <c r="B24" i="10"/>
  <c r="B69" i="10" s="1"/>
  <c r="C56" i="10"/>
  <c r="C51" i="2"/>
  <c r="C72" i="2"/>
  <c r="C56" i="2"/>
  <c r="C39" i="2"/>
  <c r="B76" i="3"/>
  <c r="B39" i="3"/>
  <c r="B69" i="3"/>
  <c r="B72" i="3"/>
  <c r="C57" i="2"/>
  <c r="C57" i="3"/>
  <c r="B56" i="3"/>
  <c r="B57" i="3" s="1"/>
  <c r="B60" i="3"/>
  <c r="F63" i="2"/>
  <c r="F41" i="2"/>
  <c r="F65" i="2" s="1"/>
  <c r="F55" i="2"/>
  <c r="F57" i="2" s="1"/>
  <c r="F50" i="2"/>
  <c r="B63" i="2"/>
  <c r="B72" i="2"/>
  <c r="B47" i="2"/>
  <c r="B55" i="2"/>
  <c r="F71" i="10"/>
  <c r="F68" i="10"/>
  <c r="B50" i="2"/>
  <c r="B46" i="2"/>
  <c r="C71" i="2"/>
  <c r="C50" i="2"/>
  <c r="F51" i="2"/>
  <c r="B71" i="3"/>
  <c r="B51" i="3"/>
  <c r="B52" i="3" s="1"/>
  <c r="B29" i="3"/>
  <c r="B75" i="3" s="1"/>
  <c r="B68" i="3"/>
  <c r="B70" i="3" s="1"/>
  <c r="C70" i="3"/>
  <c r="C71" i="10"/>
  <c r="C68" i="10"/>
  <c r="C51" i="10"/>
  <c r="B23" i="10"/>
  <c r="B71" i="8"/>
  <c r="B68" i="8"/>
  <c r="B51" i="8"/>
  <c r="B52" i="8" s="1"/>
  <c r="B29" i="8"/>
  <c r="B75" i="8" s="1"/>
  <c r="B55" i="10"/>
  <c r="B50" i="10"/>
  <c r="B63" i="10"/>
  <c r="B47" i="10"/>
  <c r="F69" i="10"/>
  <c r="F50" i="10"/>
  <c r="F52" i="10" s="1"/>
  <c r="F72" i="10"/>
  <c r="F63" i="10"/>
  <c r="F55" i="10"/>
  <c r="F57" i="10" s="1"/>
  <c r="C72" i="10"/>
  <c r="C69" i="10"/>
  <c r="C63" i="10"/>
  <c r="C55" i="10"/>
  <c r="C50" i="10"/>
  <c r="C65" i="4"/>
  <c r="F69" i="9"/>
  <c r="C64" i="7"/>
  <c r="C41" i="7"/>
  <c r="C65" i="7" s="1"/>
  <c r="C52" i="7"/>
  <c r="C70" i="7" s="1"/>
  <c r="C57" i="7"/>
  <c r="F64" i="7"/>
  <c r="F41" i="7"/>
  <c r="F65" i="7" s="1"/>
  <c r="F68" i="9"/>
  <c r="B71" i="9"/>
  <c r="F70" i="4"/>
  <c r="B71" i="7"/>
  <c r="B68" i="7"/>
  <c r="B29" i="7"/>
  <c r="B75" i="7" s="1"/>
  <c r="F70" i="7"/>
  <c r="B63" i="9"/>
  <c r="B47" i="9"/>
  <c r="B55" i="9"/>
  <c r="B50" i="9"/>
  <c r="C71" i="9"/>
  <c r="F71" i="9"/>
  <c r="C26" i="9"/>
  <c r="B26" i="9" s="1"/>
  <c r="C72" i="9"/>
  <c r="C51" i="9"/>
  <c r="C69" i="9"/>
  <c r="C39" i="9"/>
  <c r="C56" i="9"/>
  <c r="C38" i="9"/>
  <c r="C40" i="9" s="1"/>
  <c r="B38" i="9"/>
  <c r="B40" i="9" s="1"/>
  <c r="F41" i="9"/>
  <c r="F65" i="9" s="1"/>
  <c r="F63" i="9"/>
  <c r="F50" i="9"/>
  <c r="F55" i="9"/>
  <c r="F57" i="9" s="1"/>
  <c r="C63" i="9"/>
  <c r="C55" i="9"/>
  <c r="C50" i="9"/>
  <c r="F72" i="9"/>
  <c r="B51" i="7"/>
  <c r="B52" i="7" s="1"/>
  <c r="B72" i="7"/>
  <c r="B76" i="7"/>
  <c r="B69" i="7"/>
  <c r="B56" i="7"/>
  <c r="B57" i="7" s="1"/>
  <c r="B39" i="7"/>
  <c r="B60" i="7"/>
  <c r="B51" i="4"/>
  <c r="B52" i="4" s="1"/>
  <c r="C52" i="4"/>
  <c r="C70" i="4" s="1"/>
  <c r="C26" i="10"/>
  <c r="B56" i="4"/>
  <c r="B57" i="4" s="1"/>
  <c r="B71" i="4"/>
  <c r="B68" i="4"/>
  <c r="B76" i="4"/>
  <c r="B72" i="4"/>
  <c r="B69" i="4"/>
  <c r="B39" i="4"/>
  <c r="B60" i="4"/>
  <c r="B29" i="2"/>
  <c r="B75" i="2" s="1"/>
  <c r="F26" i="10"/>
  <c r="F52" i="9" l="1"/>
  <c r="C41" i="10"/>
  <c r="C65" i="10" s="1"/>
  <c r="C57" i="10"/>
  <c r="F52" i="2"/>
  <c r="F70" i="2" s="1"/>
  <c r="B26" i="10"/>
  <c r="B60" i="10" s="1"/>
  <c r="F41" i="10"/>
  <c r="F65" i="10" s="1"/>
  <c r="B56" i="10"/>
  <c r="B57" i="10" s="1"/>
  <c r="B39" i="10"/>
  <c r="B76" i="10"/>
  <c r="B72" i="10"/>
  <c r="C52" i="2"/>
  <c r="C70" i="2" s="1"/>
  <c r="B60" i="2"/>
  <c r="B64" i="3"/>
  <c r="B41" i="3"/>
  <c r="B65" i="3" s="1"/>
  <c r="C64" i="2"/>
  <c r="C41" i="2"/>
  <c r="C65" i="2" s="1"/>
  <c r="B39" i="2"/>
  <c r="B76" i="2"/>
  <c r="B56" i="2"/>
  <c r="B57" i="2" s="1"/>
  <c r="B71" i="2"/>
  <c r="B51" i="2"/>
  <c r="B52" i="2" s="1"/>
  <c r="C52" i="10"/>
  <c r="C70" i="10" s="1"/>
  <c r="B70" i="8"/>
  <c r="B71" i="10"/>
  <c r="B68" i="10"/>
  <c r="B51" i="10"/>
  <c r="B52" i="10" s="1"/>
  <c r="C52" i="9"/>
  <c r="C70" i="9" s="1"/>
  <c r="F70" i="10"/>
  <c r="F70" i="9"/>
  <c r="B68" i="9"/>
  <c r="B29" i="9"/>
  <c r="B75" i="9" s="1"/>
  <c r="B70" i="7"/>
  <c r="C57" i="9"/>
  <c r="B39" i="9"/>
  <c r="B69" i="9"/>
  <c r="B72" i="9"/>
  <c r="B76" i="9"/>
  <c r="B51" i="9"/>
  <c r="B52" i="9" s="1"/>
  <c r="B60" i="9"/>
  <c r="C64" i="9"/>
  <c r="C41" i="9"/>
  <c r="C65" i="9" s="1"/>
  <c r="B56" i="9"/>
  <c r="B57" i="9" s="1"/>
  <c r="B41" i="7"/>
  <c r="B65" i="7" s="1"/>
  <c r="B64" i="7"/>
  <c r="B29" i="10"/>
  <c r="B75" i="10" s="1"/>
  <c r="B70" i="4"/>
  <c r="B41" i="4"/>
  <c r="B65" i="4" s="1"/>
  <c r="B64" i="4"/>
  <c r="B64" i="10" l="1"/>
  <c r="B41" i="10"/>
  <c r="B65" i="10" s="1"/>
  <c r="B64" i="2"/>
  <c r="B41" i="2"/>
  <c r="B65" i="2" s="1"/>
  <c r="B70" i="2"/>
  <c r="B70" i="10"/>
  <c r="B70" i="9"/>
  <c r="B64" i="9"/>
  <c r="B41" i="9"/>
  <c r="B65" i="9" s="1"/>
</calcChain>
</file>

<file path=xl/sharedStrings.xml><?xml version="1.0" encoding="utf-8"?>
<sst xmlns="http://schemas.openxmlformats.org/spreadsheetml/2006/main" count="542" uniqueCount="137">
  <si>
    <t>Indicador</t>
  </si>
  <si>
    <t>Total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</si>
  <si>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</si>
  <si>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</si>
  <si>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</si>
  <si>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</si>
  <si>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</si>
  <si>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</si>
  <si>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</si>
  <si>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</si>
  <si>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</si>
  <si>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</si>
  <si>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</si>
  <si>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</si>
  <si>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</si>
  <si>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</si>
  <si>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</si>
  <si>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</si>
  <si>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</si>
  <si>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</si>
  <si>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</si>
  <si>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</si>
  <si>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</si>
  <si>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</si>
  <si>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</si>
  <si>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</si>
  <si>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</si>
  <si>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</si>
  <si>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</si>
  <si>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</si>
  <si>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</si>
  <si>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</si>
  <si>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</si>
  <si>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</si>
  <si>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Gasto efectivo trimestral por beneficiario (GEB) </t>
  </si>
  <si>
    <t xml:space="preserve">Gasto programado trimestral por beneficiario (GPB) </t>
  </si>
  <si>
    <t>De composición</t>
  </si>
  <si>
    <t xml:space="preserve">Gasto programado acumulado por beneficiario (GPB) </t>
  </si>
  <si>
    <t xml:space="preserve">Gasto efectivo acumulado por beneficiario (GEB) </t>
  </si>
  <si>
    <t xml:space="preserve">Gasto mensual programado por beneficiario (GPB) </t>
  </si>
  <si>
    <t xml:space="preserve">Gasto mensual efectivo por beneficiario (GEB) </t>
  </si>
  <si>
    <t xml:space="preserve">Gasto programado mensual por beneficiario (GPB) </t>
  </si>
  <si>
    <t xml:space="preserve">Gasto efectivo mensual por beneficiario (GEB) </t>
  </si>
  <si>
    <t>Total Leche</t>
  </si>
  <si>
    <t xml:space="preserve"> </t>
  </si>
  <si>
    <t>Leche</t>
  </si>
  <si>
    <t>Total API</t>
  </si>
  <si>
    <t>Total programa</t>
  </si>
  <si>
    <t>Distribución de leche íntegra en polvo</t>
  </si>
  <si>
    <t xml:space="preserve">Atención y protección infantil (API) </t>
  </si>
  <si>
    <t>Comidad servidas intramuros</t>
  </si>
  <si>
    <t>Comidas servidas extramuros</t>
  </si>
  <si>
    <t>Comidas servidas</t>
  </si>
  <si>
    <t>Efectivos 1T 2018</t>
  </si>
  <si>
    <t>IPC (1T 2018)</t>
  </si>
  <si>
    <t>Gasto efectivo real 1T 2018</t>
  </si>
  <si>
    <t>Gasto efectivo real por beneficiario 1T 2018</t>
  </si>
  <si>
    <t>Efectivos 2T 2018</t>
  </si>
  <si>
    <t>IPC (2T 2018)</t>
  </si>
  <si>
    <t>Gasto efectivo real 2T 2018</t>
  </si>
  <si>
    <t>Gasto efectivo real por beneficiario 2T 2018</t>
  </si>
  <si>
    <t>Efectivos 3T 2018</t>
  </si>
  <si>
    <t>IPC (3T 2018)</t>
  </si>
  <si>
    <t>Gasto efectivo real 3T 2018</t>
  </si>
  <si>
    <t>Gasto efectivo real por beneficiario 3T 2018</t>
  </si>
  <si>
    <t>Efectivos 4T 2018</t>
  </si>
  <si>
    <t>IPC (4T 2018)</t>
  </si>
  <si>
    <t>Gasto efectivo real 4T 2018</t>
  </si>
  <si>
    <t>Gasto efectivo real por beneficiario 4T 2018</t>
  </si>
  <si>
    <t>Efectivos 1S 2018</t>
  </si>
  <si>
    <t>IPC (1S 2018)</t>
  </si>
  <si>
    <t>Gasto efectivo real 1S 2018</t>
  </si>
  <si>
    <t>Gasto efectivo real por beneficiario 1S 2018</t>
  </si>
  <si>
    <t>Efectivos  2018</t>
  </si>
  <si>
    <t>IPC ( 2018)</t>
  </si>
  <si>
    <t>Gasto efectivo real  2018</t>
  </si>
  <si>
    <t>Gasto efectivo real por beneficiario  2018</t>
  </si>
  <si>
    <t xml:space="preserve">Distribución de alimentos a familias </t>
  </si>
  <si>
    <t>n.d.</t>
  </si>
  <si>
    <t>Comidas servidas intramuros</t>
  </si>
  <si>
    <t>0,320 kg</t>
  </si>
  <si>
    <t xml:space="preserve">0,640 kg </t>
  </si>
  <si>
    <t xml:space="preserve">0,800 kg </t>
  </si>
  <si>
    <t>1,6 kg</t>
  </si>
  <si>
    <t>(DAF)</t>
  </si>
  <si>
    <t>Programados 1T 2019</t>
  </si>
  <si>
    <t>Efectivos 1T 2019</t>
  </si>
  <si>
    <t>Programados año 2019</t>
  </si>
  <si>
    <t>En transferencias 1T 2019</t>
  </si>
  <si>
    <t>IPC (1T 2019)</t>
  </si>
  <si>
    <t>Gasto efectivo real 1T 2019</t>
  </si>
  <si>
    <t>Gasto efectivo real por beneficiario 1T 2019</t>
  </si>
  <si>
    <r>
      <rPr>
        <b/>
        <sz val="11"/>
        <color theme="1"/>
        <rFont val="Calibri"/>
        <family val="2"/>
      </rPr>
      <t>Fuentes:</t>
    </r>
    <r>
      <rPr>
        <sz val="11"/>
        <color theme="1"/>
        <rFont val="Calibri"/>
        <family val="2"/>
      </rPr>
      <t xml:space="preserve">  Informes Trimestrales CEN CINAI  2018 y 2019 - Cronogramas de Metas e Inversión - Modificaciones 2019 - IPC, INEC 2018 y 2019</t>
    </r>
  </si>
  <si>
    <t>Programados 2T 2019</t>
  </si>
  <si>
    <t>Efectivos 2T 2019</t>
  </si>
  <si>
    <t>En transferencias 2T 2019</t>
  </si>
  <si>
    <t>IPC (2T 2019)</t>
  </si>
  <si>
    <t>Gasto efectivo real 2T 2019</t>
  </si>
  <si>
    <t>Gasto efectivo real por beneficiario 2T 2019</t>
  </si>
  <si>
    <t xml:space="preserve">Distribución de Alimentos a Familias </t>
  </si>
  <si>
    <t xml:space="preserve">(DAF) </t>
  </si>
  <si>
    <t>Programados 1S 2019</t>
  </si>
  <si>
    <t>Efectivos 1S 2019</t>
  </si>
  <si>
    <t>En transferencias 1S 2019</t>
  </si>
  <si>
    <t>IPC (1S 2019)</t>
  </si>
  <si>
    <t>Gasto efectivo real 1S 2019</t>
  </si>
  <si>
    <t>Gasto efectivo real por beneficiario 1S 2019</t>
  </si>
  <si>
    <t xml:space="preserve">Leche para madres </t>
  </si>
  <si>
    <t xml:space="preserve">Leche en polvo fortificada inst. para madres </t>
  </si>
  <si>
    <t xml:space="preserve">0.800 kg </t>
  </si>
  <si>
    <t>Programados 3T 2019</t>
  </si>
  <si>
    <t>Efectivos 3T 2019</t>
  </si>
  <si>
    <t>En transferencias 3T 2019</t>
  </si>
  <si>
    <t>IPC (3T 2019)</t>
  </si>
  <si>
    <t>Gasto efectivo real 3T 2019</t>
  </si>
  <si>
    <t>Gasto efectivo real por beneficiario 3T 2019</t>
  </si>
  <si>
    <t xml:space="preserve">*En este caso se agregaron 02 productos nuevos, ya que así se estipulaba en el Cronograma de Metas e Inversión para el III trimestre del año (leche para madres y leche en polvo fortificada inst. para madres). </t>
  </si>
  <si>
    <t>Programados 4T 2019</t>
  </si>
  <si>
    <t>Efectivos 4T 2019</t>
  </si>
  <si>
    <t>En transferencias 4T 2019</t>
  </si>
  <si>
    <t>IPC (4T 2019)</t>
  </si>
  <si>
    <t>Gasto efectivo real 4T 2019</t>
  </si>
  <si>
    <t>Gasto efectivo real por beneficiario 4T 2019</t>
  </si>
  <si>
    <t>Programados  2019</t>
  </si>
  <si>
    <t>Efectivos  2019</t>
  </si>
  <si>
    <t>Programados 2019</t>
  </si>
  <si>
    <t>En transferencias  2019</t>
  </si>
  <si>
    <t>IPC ( 2019)</t>
  </si>
  <si>
    <t>Gasto efectivo real  2019</t>
  </si>
  <si>
    <t>Gasto efectivo real por beneficiario  2019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</si>
  <si>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El dato de Ingresos Efectivos es el dato brindado por la Unidad Ejecutora, debidamente verificado por el Departamento de Presupuesto - Solamente se incorporan los giros a los productos establecidos en el cálculo de los indicadores. </t>
    </r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</si>
  <si>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El dato de Ingresos Efectivos es el dato brindado por la Unidad Ejecutora. Solamente se incorporan los giros a los productos establecidos en el cálculo de los indicadores. </t>
    </r>
  </si>
  <si>
    <t>*El día lunes 12 de agosto se cambió el dato de DAF para los "efectivos I Trimestre 2018", esto debido a que se tomó el dato que incorporaban los beneficiarios de leche de cabra.</t>
  </si>
  <si>
    <t xml:space="preserve">*Es importante tomar en cuenta que el dato del gasto efectivo para DAF en el año 2018 incluye el monto de la leche de cabra. </t>
  </si>
  <si>
    <r>
      <t>Notas:</t>
    </r>
    <r>
      <rPr>
        <sz val="11"/>
        <color theme="1"/>
        <rFont val="Calibri"/>
        <family val="2"/>
        <scheme val="minor"/>
      </rPr>
      <t xml:space="preserve"> Los datos reportados por la Unidad Ejecutora para este trimestre se modificaron en el IV Trimestre; esto debido a que la UE envío los datos "equivocados" (los de leche eran de DAF y al contrario) /La Jefatura aprobó el cambio. </t>
    </r>
  </si>
  <si>
    <t>*Dentro de la programación del producto "DAF" se encuentra un monto por "reajuste"; no obstante, no se toma en cuenta dentro de la programación</t>
  </si>
  <si>
    <t>0,060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</si>
</sst>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  <numFmt numFmtId="168" formatCode="_(* #,##0.0_);_(* \(#,##0.0\);_(* &quot;-&quot;??_);_(@_)"/>
    <numFmt numFmtId="169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3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168" fontId="0" fillId="0" borderId="0" xfId="1" applyNumberFormat="1" applyFont="1" applyFill="1"/>
    <xf numFmtId="0" fontId="0" fillId="0" borderId="0" xfId="0" applyFill="1" applyAlignment="1">
      <alignment horizontal="center" vertical="center" wrapText="1"/>
    </xf>
    <xf numFmtId="167" fontId="0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3" fontId="0" fillId="0" borderId="0" xfId="1" applyNumberFormat="1" applyFont="1" applyFill="1" applyAlignment="1"/>
    <xf numFmtId="0" fontId="0" fillId="0" borderId="0" xfId="0" applyFont="1" applyFill="1" applyAlignment="1">
      <alignment horizontal="left" indent="1"/>
    </xf>
    <xf numFmtId="0" fontId="0" fillId="0" borderId="0" xfId="0" applyFont="1" applyFill="1"/>
    <xf numFmtId="3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/>
    </xf>
    <xf numFmtId="165" fontId="0" fillId="0" borderId="0" xfId="0" applyNumberFormat="1" applyFont="1" applyFill="1"/>
    <xf numFmtId="0" fontId="0" fillId="0" borderId="3" xfId="0" applyFont="1" applyFill="1" applyBorder="1"/>
    <xf numFmtId="0" fontId="0" fillId="0" borderId="0" xfId="0" applyFont="1" applyFill="1" applyBorder="1"/>
    <xf numFmtId="0" fontId="0" fillId="0" borderId="0" xfId="0" applyFont="1" applyFill="1" applyAlignment="1"/>
    <xf numFmtId="166" fontId="0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3" fontId="0" fillId="0" borderId="0" xfId="0" applyNumberFormat="1" applyFont="1" applyFill="1" applyAlignment="1"/>
    <xf numFmtId="3" fontId="0" fillId="0" borderId="0" xfId="0" applyNumberFormat="1" applyFont="1" applyFill="1"/>
    <xf numFmtId="167" fontId="0" fillId="0" borderId="0" xfId="0" applyNumberFormat="1" applyFont="1" applyFill="1"/>
    <xf numFmtId="3" fontId="0" fillId="0" borderId="0" xfId="1" applyNumberFormat="1" applyFont="1" applyFill="1" applyAlignment="1">
      <alignment horizontal="right"/>
    </xf>
    <xf numFmtId="1" fontId="0" fillId="0" borderId="0" xfId="1" applyNumberFormat="1" applyFont="1" applyFill="1" applyAlignment="1"/>
    <xf numFmtId="3" fontId="0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69" fontId="0" fillId="0" borderId="0" xfId="0" applyNumberFormat="1" applyFont="1" applyFill="1"/>
    <xf numFmtId="165" fontId="0" fillId="0" borderId="0" xfId="0" applyNumberFormat="1" applyFont="1" applyFill="1" applyAlignment="1">
      <alignment horizontal="right"/>
    </xf>
    <xf numFmtId="2" fontId="0" fillId="0" borderId="0" xfId="0" applyNumberFormat="1" applyFont="1" applyFill="1"/>
    <xf numFmtId="3" fontId="0" fillId="0" borderId="0" xfId="0" applyNumberFormat="1" applyFont="1" applyFill="1" applyBorder="1"/>
    <xf numFmtId="4" fontId="0" fillId="0" borderId="0" xfId="0" applyNumberFormat="1" applyFont="1" applyFill="1"/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/>
    <xf numFmtId="4" fontId="0" fillId="0" borderId="3" xfId="0" applyNumberFormat="1" applyFont="1" applyFill="1" applyBorder="1" applyAlignment="1"/>
    <xf numFmtId="4" fontId="0" fillId="0" borderId="3" xfId="0" applyNumberFormat="1" applyFont="1" applyFill="1" applyBorder="1"/>
    <xf numFmtId="0" fontId="3" fillId="0" borderId="0" xfId="0" applyFont="1" applyFill="1" applyBorder="1"/>
    <xf numFmtId="4" fontId="0" fillId="0" borderId="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3" fontId="0" fillId="0" borderId="0" xfId="0" applyNumberFormat="1" applyFont="1" applyFill="1" applyAlignment="1">
      <alignment wrapText="1"/>
    </xf>
    <xf numFmtId="3" fontId="0" fillId="0" borderId="0" xfId="0" applyNumberFormat="1" applyFont="1" applyFill="1" applyAlignment="1">
      <alignment horizontal="center"/>
    </xf>
    <xf numFmtId="0" fontId="5" fillId="0" borderId="4" xfId="0" applyFont="1" applyFill="1" applyBorder="1" applyAlignment="1">
      <alignment horizontal="left" vertical="top" wrapText="1"/>
    </xf>
    <xf numFmtId="3" fontId="0" fillId="0" borderId="0" xfId="0" applyNumberFormat="1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0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3" fontId="0" fillId="0" borderId="0" xfId="1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chemeClr val="tx1"/>
                </a:solidFill>
              </a:rPr>
              <a:t>CEN-CINAI: Indicadores de Cobertura Potencial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01-4937-BBED-0457DB3E554B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001-4937-BBED-0457DB3E55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Anual!$A$46:$A$47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Anual!$B$46:$B$47</c:f>
              <c:numCache>
                <c:formatCode>#,##0.00</c:formatCode>
                <c:ptCount val="2"/>
                <c:pt idx="0">
                  <c:v>136.54764017908209</c:v>
                </c:pt>
                <c:pt idx="1">
                  <c:v>125.82251872012833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6-44D9-872D-8E278EE3E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5216064"/>
        <c:axId val="495223280"/>
      </c:barChart>
      <c:valAx>
        <c:axId val="49522328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5216064"/>
        <c:crosses val="autoZero"/>
        <c:crossBetween val="between"/>
      </c:valAx>
      <c:catAx>
        <c:axId val="495216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5223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CEN-CINAI:Indicadores de Resultado 2019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Anual!$A$50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(Anual!$B$50,Anual!$C$50,Anual!$F$50,Anual!$N$50)</c:f>
              <c:numCache>
                <c:formatCode>#,##0.00</c:formatCode>
                <c:ptCount val="4"/>
                <c:pt idx="0">
                  <c:v>92.145509475749435</c:v>
                </c:pt>
                <c:pt idx="1">
                  <c:v>68.543199809565309</c:v>
                </c:pt>
                <c:pt idx="2">
                  <c:v>96.154159147419037</c:v>
                </c:pt>
                <c:pt idx="3">
                  <c:v>99.020446726206387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0-401E-886E-95D301DDC186}"/>
            </c:ext>
          </c:extLst>
        </c:ser>
        <c:ser>
          <c:idx val="1"/>
          <c:order val="1"/>
          <c:tx>
            <c:strRef>
              <c:f>Anual!$A$51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(Anual!$B$51,Anual!$C$51,Anual!$F$51,Anual!$N$51)</c:f>
              <c:numCache>
                <c:formatCode>#,##0.00</c:formatCode>
                <c:ptCount val="4"/>
                <c:pt idx="0">
                  <c:v>87.480399705987281</c:v>
                </c:pt>
                <c:pt idx="1">
                  <c:v>83.073103871907136</c:v>
                </c:pt>
                <c:pt idx="2">
                  <c:v>102.45044348463705</c:v>
                </c:pt>
                <c:pt idx="3">
                  <c:v>81.93395026060557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0-401E-886E-95D301DDC186}"/>
            </c:ext>
          </c:extLst>
        </c:ser>
        <c:ser>
          <c:idx val="2"/>
          <c:order val="2"/>
          <c:tx>
            <c:strRef>
              <c:f>Anual!$A$52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(Anual!$B$52,Anual!$C$52,Anual!$F$52,Anual!$N$52)</c:f>
              <c:numCache>
                <c:formatCode>#,##0.00</c:formatCode>
                <c:ptCount val="4"/>
                <c:pt idx="0">
                  <c:v>89.812954590868358</c:v>
                </c:pt>
                <c:pt idx="1">
                  <c:v>75.80815184073623</c:v>
                </c:pt>
                <c:pt idx="2">
                  <c:v>99.302301316028036</c:v>
                </c:pt>
                <c:pt idx="3">
                  <c:v>90.477198493405979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0-401E-886E-95D301DDC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090752"/>
        <c:axId val="52092288"/>
        <c:axId val="0"/>
      </c:bar3DChart>
      <c:catAx>
        <c:axId val="52090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es-CR"/>
          </a:p>
        </c:txPr>
        <c:crossAx val="52092288"/>
        <c:crosses val="autoZero"/>
        <c:auto val="1"/>
        <c:lblAlgn val="ctr"/>
        <c:lblOffset val="100"/>
        <c:noMultiLvlLbl val="0"/>
      </c:catAx>
      <c:valAx>
        <c:axId val="52092288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520907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CEN-CINAI: Indicadores de Avance 2019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Anual!$A$55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(Anual!$B$55,Anual!$C$55,Anual!$F$55,Anual!$N$55)</c:f>
              <c:numCache>
                <c:formatCode>#,##0.00</c:formatCode>
                <c:ptCount val="4"/>
                <c:pt idx="0">
                  <c:v>92.145229980585654</c:v>
                </c:pt>
                <c:pt idx="1">
                  <c:v>68.543286598267088</c:v>
                </c:pt>
                <c:pt idx="2">
                  <c:v>96.153791168699172</c:v>
                </c:pt>
                <c:pt idx="3">
                  <c:v>99.020446726206387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3-4707-804F-F38891286423}"/>
            </c:ext>
          </c:extLst>
        </c:ser>
        <c:ser>
          <c:idx val="1"/>
          <c:order val="1"/>
          <c:tx>
            <c:strRef>
              <c:f>Anual!$A$56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(Anual!$B$56,Anual!$C$56,Anual!$F$56,Anual!$N$56)</c:f>
              <c:numCache>
                <c:formatCode>#,##0.00</c:formatCode>
                <c:ptCount val="4"/>
                <c:pt idx="0">
                  <c:v>87.480399705080828</c:v>
                </c:pt>
                <c:pt idx="1">
                  <c:v>83.073103870663516</c:v>
                </c:pt>
                <c:pt idx="2">
                  <c:v>102.45044348463705</c:v>
                </c:pt>
                <c:pt idx="3">
                  <c:v>81.93395026060557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33-4707-804F-F38891286423}"/>
            </c:ext>
          </c:extLst>
        </c:ser>
        <c:ser>
          <c:idx val="2"/>
          <c:order val="2"/>
          <c:tx>
            <c:strRef>
              <c:f>Anual!$A$57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(Anual!$B$57,Anual!$C$57,Anual!$F$57,Anual!$N$57)</c:f>
              <c:numCache>
                <c:formatCode>#,##0.00</c:formatCode>
                <c:ptCount val="4"/>
                <c:pt idx="0">
                  <c:v>89.812814842833234</c:v>
                </c:pt>
                <c:pt idx="1">
                  <c:v>75.808195234465302</c:v>
                </c:pt>
                <c:pt idx="2">
                  <c:v>99.30211732666811</c:v>
                </c:pt>
                <c:pt idx="3">
                  <c:v>90.477198493405979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33-4707-804F-F38891286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107136"/>
        <c:axId val="52108672"/>
        <c:axId val="0"/>
      </c:bar3DChart>
      <c:catAx>
        <c:axId val="52107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es-CR"/>
          </a:p>
        </c:txPr>
        <c:crossAx val="52108672"/>
        <c:crosses val="autoZero"/>
        <c:auto val="1"/>
        <c:lblAlgn val="ctr"/>
        <c:lblOffset val="100"/>
        <c:noMultiLvlLbl val="0"/>
      </c:catAx>
      <c:valAx>
        <c:axId val="52108672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es-CR"/>
          </a:p>
        </c:txPr>
        <c:crossAx val="521071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CEN-CINAI: Indicadores de Expansión 2019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8316154179788868E-2"/>
          <c:y val="0.19029094767409396"/>
          <c:w val="0.91190856772063078"/>
          <c:h val="0.54426462417310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6332402269531215E-17"/>
                  <c:y val="-2.7350429454043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96-47A2-8375-ABCF79EC850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(Anual!$B$63,Anual!$C$63,Anual!$F$63,Anual!$N$63)</c:f>
              <c:numCache>
                <c:formatCode>#,##0.00</c:formatCode>
                <c:ptCount val="4"/>
                <c:pt idx="0">
                  <c:v>5.4597914910265111</c:v>
                </c:pt>
                <c:pt idx="1">
                  <c:v>22.560772673861806</c:v>
                </c:pt>
                <c:pt idx="2">
                  <c:v>22.236435303336279</c:v>
                </c:pt>
                <c:pt idx="3">
                  <c:v>4.7305259387048881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0-4DEE-980F-8FF867164B7F}"/>
            </c:ext>
          </c:extLst>
        </c:ser>
        <c:ser>
          <c:idx val="1"/>
          <c:order val="1"/>
          <c:tx>
            <c:strRef>
              <c:f>Anual!$A$64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(Anual!$B$64,Anual!$C$64,Anual!$F$64,Anual!$N$64)</c:f>
              <c:numCache>
                <c:formatCode>#,##0.00</c:formatCode>
                <c:ptCount val="4"/>
                <c:pt idx="0">
                  <c:v>28.38912959761668</c:v>
                </c:pt>
                <c:pt idx="1">
                  <c:v>37.992883733600571</c:v>
                </c:pt>
                <c:pt idx="2">
                  <c:v>17.388706826742673</c:v>
                </c:pt>
                <c:pt idx="3">
                  <c:v>-0.11217673130804462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0-4DEE-980F-8FF867164B7F}"/>
            </c:ext>
          </c:extLst>
        </c:ser>
        <c:ser>
          <c:idx val="2"/>
          <c:order val="2"/>
          <c:tx>
            <c:strRef>
              <c:f>Anual!$A$65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dLbl>
              <c:idx val="3"/>
              <c:layout>
                <c:manualLayout>
                  <c:x val="0"/>
                  <c:y val="-3.5164837869484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96-47A2-8375-ABCF79EC850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(Anual!$B$65,Anual!$C$65,Anual!$F$65,Anual!$N$65)</c:f>
              <c:numCache>
                <c:formatCode>#,##0.00</c:formatCode>
                <c:ptCount val="4"/>
                <c:pt idx="0">
                  <c:v>21.742256249900894</c:v>
                </c:pt>
                <c:pt idx="1">
                  <c:v>12.591395046769271</c:v>
                </c:pt>
                <c:pt idx="2">
                  <c:v>-3.9658621135046146</c:v>
                </c:pt>
                <c:pt idx="3">
                  <c:v>-4.6239648150408481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00-4DEE-980F-8FF867164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2153728"/>
        <c:axId val="52159616"/>
      </c:barChart>
      <c:catAx>
        <c:axId val="5215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crossAx val="52159616"/>
        <c:crosses val="autoZero"/>
        <c:auto val="1"/>
        <c:lblAlgn val="ctr"/>
        <c:lblOffset val="100"/>
        <c:noMultiLvlLbl val="0"/>
      </c:catAx>
      <c:valAx>
        <c:axId val="52159616"/>
        <c:scaling>
          <c:orientation val="minMax"/>
          <c:max val="5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es-CR"/>
          </a:p>
        </c:txPr>
        <c:crossAx val="52153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082796235836374"/>
          <c:y val="0.7793878797086452"/>
          <c:w val="0.71354515075859404"/>
          <c:h val="0.18604684494615212"/>
        </c:manualLayout>
      </c:layout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CEN-CINAI: Indicadores de gasto medio 2019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Anual!$A$71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(Anual!$B$71,Anual!$C$71,Anual!$F$71,Anual!$N$71)</c:f>
              <c:numCache>
                <c:formatCode>#,##0.00</c:formatCode>
                <c:ptCount val="4"/>
                <c:pt idx="0">
                  <c:v>247274.45745019746</c:v>
                </c:pt>
                <c:pt idx="1">
                  <c:v>360088.72935710894</c:v>
                </c:pt>
                <c:pt idx="2">
                  <c:v>52393.189042957863</c:v>
                </c:pt>
                <c:pt idx="3">
                  <c:v>278089.77073640301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6-4721-B448-2E6C8B38F720}"/>
            </c:ext>
          </c:extLst>
        </c:ser>
        <c:ser>
          <c:idx val="1"/>
          <c:order val="1"/>
          <c:tx>
            <c:strRef>
              <c:f>Anual!$A$72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(Anual!$B$72,Anual!$C$72,Anual!$F$72,Anual!$N$72)</c:f>
              <c:numCache>
                <c:formatCode>#,##0.00</c:formatCode>
                <c:ptCount val="4"/>
                <c:pt idx="0">
                  <c:v>234755.53499997058</c:v>
                </c:pt>
                <c:pt idx="1">
                  <c:v>436420.95058438857</c:v>
                </c:pt>
                <c:pt idx="2">
                  <c:v>55823.954997057852</c:v>
                </c:pt>
                <c:pt idx="3">
                  <c:v>230103.92496511995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B6-4721-B448-2E6C8B38F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42688"/>
        <c:axId val="52248576"/>
        <c:axId val="0"/>
      </c:bar3DChart>
      <c:catAx>
        <c:axId val="5224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es-CR"/>
          </a:p>
        </c:txPr>
        <c:crossAx val="52248576"/>
        <c:crosses val="autoZero"/>
        <c:auto val="1"/>
        <c:lblAlgn val="ctr"/>
        <c:lblOffset val="100"/>
        <c:noMultiLvlLbl val="0"/>
      </c:catAx>
      <c:valAx>
        <c:axId val="52248576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es-CR"/>
          </a:p>
        </c:txPr>
        <c:crossAx val="52242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r>
              <a:rPr lang="en-US" sz="1400">
                <a:solidFill>
                  <a:schemeClr val="tx1"/>
                </a:solidFill>
              </a:rPr>
              <a:t>CEN-CINAI:</a:t>
            </a:r>
            <a:r>
              <a:rPr lang="en-US" sz="1400" baseline="0">
                <a:solidFill>
                  <a:schemeClr val="tx1"/>
                </a:solidFill>
              </a:rPr>
              <a:t> </a:t>
            </a:r>
            <a:r>
              <a:rPr lang="en-US" sz="1400">
                <a:solidFill>
                  <a:schemeClr val="tx1"/>
                </a:solidFill>
              </a:rPr>
              <a:t>Índice de eficiencia (IE) 2019 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1.1846001974333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EF-4833-B740-9BE5E38DF9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(Anual!$B$70,Anual!$C$70,Anual!$F$70,Anual!$N$70)</c:f>
              <c:numCache>
                <c:formatCode>#,##0.00</c:formatCode>
                <c:ptCount val="4"/>
                <c:pt idx="0">
                  <c:v>85.265936572336145</c:v>
                </c:pt>
                <c:pt idx="1">
                  <c:v>91.878092789650424</c:v>
                </c:pt>
                <c:pt idx="2">
                  <c:v>105.80472960378656</c:v>
                </c:pt>
                <c:pt idx="3">
                  <c:v>74.864884235224565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4-4EF2-9B5C-E8715C56F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273152"/>
        <c:axId val="52274688"/>
        <c:axId val="0"/>
      </c:bar3DChart>
      <c:catAx>
        <c:axId val="52273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es-CR"/>
          </a:p>
        </c:txPr>
        <c:crossAx val="52274688"/>
        <c:crosses val="autoZero"/>
        <c:auto val="1"/>
        <c:lblAlgn val="ctr"/>
        <c:lblOffset val="100"/>
        <c:noMultiLvlLbl val="0"/>
      </c:catAx>
      <c:valAx>
        <c:axId val="52274688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52273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100"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chemeClr val="tx1"/>
                </a:solidFill>
              </a:rPr>
              <a:t>CEN-CINAI: Indicador de giro de recursos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B8-4D13-A1D4-D5E701C45351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DB3-4445-BD04-57F53DD2CB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Anual!$A$75:$A$76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Anual!$B$75:$B$76</c:f>
              <c:numCache>
                <c:formatCode>#,##0.00</c:formatCode>
                <c:ptCount val="2"/>
                <c:pt idx="0">
                  <c:v>82.439729371498601</c:v>
                </c:pt>
                <c:pt idx="1">
                  <c:v>106.11437030776007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3-4445-BD04-57F53DD2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6745648"/>
        <c:axId val="208592232"/>
      </c:barChart>
      <c:valAx>
        <c:axId val="20859223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6745648"/>
        <c:crosses val="autoZero"/>
        <c:crossBetween val="between"/>
        <c:majorUnit val="20"/>
      </c:valAx>
      <c:catAx>
        <c:axId val="486745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8592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621000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621000" cy="381000"/>
        </a:xfrm>
        <a:prstGeom prst="rect">
          <a:avLst/>
        </a:prstGeom>
      </xdr:spPr>
    </xdr:pic>
    <xdr:clientData/>
  </xdr:oneCellAnchor>
  <xdr:twoCellAnchor>
    <xdr:from>
      <xdr:col>0</xdr:col>
      <xdr:colOff>452437</xdr:colOff>
      <xdr:row>6</xdr:row>
      <xdr:rowOff>71438</xdr:rowOff>
    </xdr:from>
    <xdr:to>
      <xdr:col>12</xdr:col>
      <xdr:colOff>71437</xdr:colOff>
      <xdr:row>7</xdr:row>
      <xdr:rowOff>130970</xdr:rowOff>
    </xdr:to>
    <xdr:sp macro="" textlink="">
      <xdr:nvSpPr>
        <xdr:cNvPr id="3" name="CuadroTexto 2"/>
        <xdr:cNvSpPr txBox="1"/>
      </xdr:nvSpPr>
      <xdr:spPr>
        <a:xfrm>
          <a:off x="452437" y="1214438"/>
          <a:ext cx="15216188" cy="250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20-05-2019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11906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609094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799419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621000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621000" cy="381000"/>
        </a:xfrm>
        <a:prstGeom prst="rect">
          <a:avLst/>
        </a:prstGeom>
      </xdr:spPr>
    </xdr:pic>
    <xdr:clientData/>
  </xdr:oneCellAnchor>
  <xdr:twoCellAnchor>
    <xdr:from>
      <xdr:col>0</xdr:col>
      <xdr:colOff>726283</xdr:colOff>
      <xdr:row>6</xdr:row>
      <xdr:rowOff>83344</xdr:rowOff>
    </xdr:from>
    <xdr:to>
      <xdr:col>11</xdr:col>
      <xdr:colOff>845345</xdr:colOff>
      <xdr:row>7</xdr:row>
      <xdr:rowOff>119061</xdr:rowOff>
    </xdr:to>
    <xdr:sp macro="" textlink="">
      <xdr:nvSpPr>
        <xdr:cNvPr id="3" name="CuadroTexto 2"/>
        <xdr:cNvSpPr txBox="1"/>
      </xdr:nvSpPr>
      <xdr:spPr>
        <a:xfrm>
          <a:off x="726283" y="1226344"/>
          <a:ext cx="14668500" cy="226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12-08-2019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11906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609094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799419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621000" cy="39290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621000" cy="392906"/>
        </a:xfrm>
        <a:prstGeom prst="rect">
          <a:avLst/>
        </a:prstGeom>
      </xdr:spPr>
    </xdr:pic>
    <xdr:clientData/>
  </xdr:oneCellAnchor>
  <xdr:twoCellAnchor>
    <xdr:from>
      <xdr:col>0</xdr:col>
      <xdr:colOff>1154906</xdr:colOff>
      <xdr:row>6</xdr:row>
      <xdr:rowOff>47625</xdr:rowOff>
    </xdr:from>
    <xdr:to>
      <xdr:col>13</xdr:col>
      <xdr:colOff>11906</xdr:colOff>
      <xdr:row>7</xdr:row>
      <xdr:rowOff>107157</xdr:rowOff>
    </xdr:to>
    <xdr:sp macro="" textlink="">
      <xdr:nvSpPr>
        <xdr:cNvPr id="3" name="CuadroTexto 2"/>
        <xdr:cNvSpPr txBox="1"/>
      </xdr:nvSpPr>
      <xdr:spPr>
        <a:xfrm>
          <a:off x="1154906" y="1190625"/>
          <a:ext cx="15216188" cy="250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Semestre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20-08-2019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11906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609094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799419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7978437" cy="39290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7978437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71439</xdr:rowOff>
    </xdr:from>
    <xdr:to>
      <xdr:col>13</xdr:col>
      <xdr:colOff>71437</xdr:colOff>
      <xdr:row>7</xdr:row>
      <xdr:rowOff>107157</xdr:rowOff>
    </xdr:to>
    <xdr:sp macro="" textlink="">
      <xdr:nvSpPr>
        <xdr:cNvPr id="3" name="CuadroTexto 2"/>
        <xdr:cNvSpPr txBox="1"/>
      </xdr:nvSpPr>
      <xdr:spPr>
        <a:xfrm>
          <a:off x="0" y="1214439"/>
          <a:ext cx="16716375" cy="226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07-11-2019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95462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378435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71198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7716500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7716500" cy="381000"/>
        </a:xfrm>
        <a:prstGeom prst="rect">
          <a:avLst/>
        </a:prstGeom>
      </xdr:spPr>
    </xdr:pic>
    <xdr:clientData/>
  </xdr:oneCellAnchor>
  <xdr:twoCellAnchor>
    <xdr:from>
      <xdr:col>0</xdr:col>
      <xdr:colOff>369094</xdr:colOff>
      <xdr:row>6</xdr:row>
      <xdr:rowOff>71438</xdr:rowOff>
    </xdr:from>
    <xdr:to>
      <xdr:col>13</xdr:col>
      <xdr:colOff>690561</xdr:colOff>
      <xdr:row>7</xdr:row>
      <xdr:rowOff>107156</xdr:rowOff>
    </xdr:to>
    <xdr:sp macro="" textlink="">
      <xdr:nvSpPr>
        <xdr:cNvPr id="3" name="CuadroTexto 2"/>
        <xdr:cNvSpPr txBox="1"/>
      </xdr:nvSpPr>
      <xdr:spPr>
        <a:xfrm>
          <a:off x="369094" y="1214438"/>
          <a:ext cx="16966405" cy="226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 Trimestre Acumulado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07-11-2019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2</xdr:colOff>
      <xdr:row>0</xdr:row>
      <xdr:rowOff>0</xdr:rowOff>
    </xdr:from>
    <xdr:to>
      <xdr:col>14</xdr:col>
      <xdr:colOff>0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" y="0"/>
          <a:ext cx="17692686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414153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71198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7716500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7716500" cy="381000"/>
        </a:xfrm>
        <a:prstGeom prst="rect">
          <a:avLst/>
        </a:prstGeom>
      </xdr:spPr>
    </xdr:pic>
    <xdr:clientData/>
  </xdr:oneCellAnchor>
  <xdr:twoCellAnchor>
    <xdr:from>
      <xdr:col>0</xdr:col>
      <xdr:colOff>369094</xdr:colOff>
      <xdr:row>6</xdr:row>
      <xdr:rowOff>71438</xdr:rowOff>
    </xdr:from>
    <xdr:to>
      <xdr:col>13</xdr:col>
      <xdr:colOff>714374</xdr:colOff>
      <xdr:row>7</xdr:row>
      <xdr:rowOff>107156</xdr:rowOff>
    </xdr:to>
    <xdr:sp macro="" textlink="">
      <xdr:nvSpPr>
        <xdr:cNvPr id="3" name="CuadroTexto 2"/>
        <xdr:cNvSpPr txBox="1"/>
      </xdr:nvSpPr>
      <xdr:spPr>
        <a:xfrm>
          <a:off x="369094" y="1214438"/>
          <a:ext cx="16966405" cy="226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IV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22-04-2020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2</xdr:colOff>
      <xdr:row>0</xdr:row>
      <xdr:rowOff>0</xdr:rowOff>
    </xdr:from>
    <xdr:to>
      <xdr:col>14</xdr:col>
      <xdr:colOff>0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" y="0"/>
          <a:ext cx="17692686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414153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71198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14</xdr:row>
      <xdr:rowOff>3971</xdr:rowOff>
    </xdr:from>
    <xdr:to>
      <xdr:col>24</xdr:col>
      <xdr:colOff>0</xdr:colOff>
      <xdr:row>31</xdr:row>
      <xdr:rowOff>11906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3968</xdr:colOff>
      <xdr:row>32</xdr:row>
      <xdr:rowOff>3971</xdr:rowOff>
    </xdr:from>
    <xdr:to>
      <xdr:col>23</xdr:col>
      <xdr:colOff>750094</xdr:colOff>
      <xdr:row>49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3968</xdr:colOff>
      <xdr:row>32</xdr:row>
      <xdr:rowOff>1587</xdr:rowOff>
    </xdr:from>
    <xdr:to>
      <xdr:col>34</xdr:col>
      <xdr:colOff>304799</xdr:colOff>
      <xdr:row>49</xdr:row>
      <xdr:rowOff>19050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15875</xdr:colOff>
      <xdr:row>50</xdr:row>
      <xdr:rowOff>0</xdr:rowOff>
    </xdr:from>
    <xdr:to>
      <xdr:col>24</xdr:col>
      <xdr:colOff>0</xdr:colOff>
      <xdr:row>67</xdr:row>
      <xdr:rowOff>11906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758031</xdr:colOff>
      <xdr:row>50</xdr:row>
      <xdr:rowOff>0</xdr:rowOff>
    </xdr:from>
    <xdr:to>
      <xdr:col>34</xdr:col>
      <xdr:colOff>750094</xdr:colOff>
      <xdr:row>71</xdr:row>
      <xdr:rowOff>38100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23016</xdr:colOff>
      <xdr:row>14</xdr:row>
      <xdr:rowOff>3175</xdr:rowOff>
    </xdr:from>
    <xdr:to>
      <xdr:col>34</xdr:col>
      <xdr:colOff>285749</xdr:colOff>
      <xdr:row>30</xdr:row>
      <xdr:rowOff>171450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152399</xdr:colOff>
      <xdr:row>71</xdr:row>
      <xdr:rowOff>180181</xdr:rowOff>
    </xdr:from>
    <xdr:to>
      <xdr:col>30</xdr:col>
      <xdr:colOff>428624</xdr:colOff>
      <xdr:row>88</xdr:row>
      <xdr:rowOff>140494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7514094" cy="381000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143000"/>
          <a:ext cx="17514094" cy="381000"/>
        </a:xfrm>
        <a:prstGeom prst="rect">
          <a:avLst/>
        </a:prstGeom>
      </xdr:spPr>
    </xdr:pic>
    <xdr:clientData/>
  </xdr:oneCellAnchor>
  <xdr:twoCellAnchor>
    <xdr:from>
      <xdr:col>0</xdr:col>
      <xdr:colOff>369094</xdr:colOff>
      <xdr:row>6</xdr:row>
      <xdr:rowOff>71438</xdr:rowOff>
    </xdr:from>
    <xdr:to>
      <xdr:col>13</xdr:col>
      <xdr:colOff>833436</xdr:colOff>
      <xdr:row>7</xdr:row>
      <xdr:rowOff>107156</xdr:rowOff>
    </xdr:to>
    <xdr:sp macro="" textlink="">
      <xdr:nvSpPr>
        <xdr:cNvPr id="12" name="CuadroTexto 11"/>
        <xdr:cNvSpPr txBox="1"/>
      </xdr:nvSpPr>
      <xdr:spPr>
        <a:xfrm>
          <a:off x="369094" y="1214438"/>
          <a:ext cx="16966405" cy="226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 Anual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21-05-2020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11906</xdr:colOff>
      <xdr:row>6</xdr:row>
      <xdr:rowOff>23812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750218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414153</xdr:colOff>
      <xdr:row>5</xdr:row>
      <xdr:rowOff>136071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2643" y="95250"/>
          <a:ext cx="5071198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A113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13" customWidth="1"/>
    <col min="2" max="12" width="15.7109375" style="13" customWidth="1"/>
    <col min="13" max="16384" width="11.42578125" style="13"/>
  </cols>
  <sheetData>
    <row r="9" spans="1:12" x14ac:dyDescent="0.25">
      <c r="A9" s="53" t="s">
        <v>0</v>
      </c>
      <c r="B9" s="53" t="s">
        <v>47</v>
      </c>
      <c r="C9" s="52" t="s">
        <v>2</v>
      </c>
      <c r="D9" s="52"/>
      <c r="E9" s="52"/>
      <c r="F9" s="52"/>
      <c r="G9" s="52"/>
      <c r="H9" s="52"/>
      <c r="I9" s="52"/>
      <c r="J9" s="52"/>
      <c r="K9" s="52"/>
      <c r="L9" s="52"/>
    </row>
    <row r="10" spans="1:12" ht="45.75" thickBot="1" x14ac:dyDescent="0.3">
      <c r="A10" s="54"/>
      <c r="B10" s="54"/>
      <c r="C10" s="33" t="s">
        <v>46</v>
      </c>
      <c r="D10" s="55" t="s">
        <v>49</v>
      </c>
      <c r="E10" s="55"/>
      <c r="F10" s="33" t="s">
        <v>43</v>
      </c>
      <c r="G10" s="54" t="s">
        <v>48</v>
      </c>
      <c r="H10" s="54"/>
      <c r="I10" s="54"/>
      <c r="J10" s="54"/>
      <c r="K10" s="54"/>
      <c r="L10" s="34" t="s">
        <v>77</v>
      </c>
    </row>
    <row r="11" spans="1:12" ht="45.75" customHeight="1" thickTop="1" x14ac:dyDescent="0.25">
      <c r="B11" s="16" t="s">
        <v>1</v>
      </c>
      <c r="C11" s="17" t="s">
        <v>52</v>
      </c>
      <c r="D11" s="18" t="s">
        <v>79</v>
      </c>
      <c r="E11" s="18" t="s">
        <v>51</v>
      </c>
      <c r="F11" s="16" t="s">
        <v>45</v>
      </c>
      <c r="G11" s="16" t="s">
        <v>136</v>
      </c>
      <c r="H11" s="16" t="s">
        <v>80</v>
      </c>
      <c r="I11" s="16" t="s">
        <v>81</v>
      </c>
      <c r="J11" s="16" t="s">
        <v>82</v>
      </c>
      <c r="K11" s="16" t="s">
        <v>83</v>
      </c>
      <c r="L11" s="16" t="s">
        <v>84</v>
      </c>
    </row>
    <row r="13" spans="1:12" x14ac:dyDescent="0.25">
      <c r="A13" s="4" t="s">
        <v>3</v>
      </c>
    </row>
    <row r="15" spans="1:12" x14ac:dyDescent="0.25">
      <c r="A15" s="4" t="s">
        <v>4</v>
      </c>
    </row>
    <row r="16" spans="1:12" x14ac:dyDescent="0.25">
      <c r="A16" s="12" t="s">
        <v>53</v>
      </c>
      <c r="B16" s="27">
        <f>+D16+K16</f>
        <v>102137</v>
      </c>
      <c r="C16" s="27">
        <f>D16+E16</f>
        <v>23321</v>
      </c>
      <c r="D16" s="27">
        <v>16279</v>
      </c>
      <c r="E16" s="27">
        <v>7042</v>
      </c>
      <c r="F16" s="27">
        <f>H16+K16+I16</f>
        <v>100965</v>
      </c>
      <c r="G16" s="27">
        <v>7946</v>
      </c>
      <c r="H16" s="27">
        <v>12503</v>
      </c>
      <c r="I16" s="27">
        <v>2604</v>
      </c>
      <c r="J16" s="27">
        <v>21293</v>
      </c>
      <c r="K16" s="27">
        <v>85858</v>
      </c>
      <c r="L16" s="27">
        <v>7605</v>
      </c>
    </row>
    <row r="17" spans="1:12" x14ac:dyDescent="0.25">
      <c r="A17" s="12" t="s">
        <v>85</v>
      </c>
      <c r="B17" s="27">
        <f>+D17+K17</f>
        <v>124686</v>
      </c>
      <c r="C17" s="27">
        <f>D17+E17</f>
        <v>55132.333333333328</v>
      </c>
      <c r="D17" s="27">
        <v>34299</v>
      </c>
      <c r="E17" s="27">
        <v>20833.333333333332</v>
      </c>
      <c r="F17" s="27">
        <f t="shared" ref="F17:F19" si="0">H17+K17+I17</f>
        <v>114686</v>
      </c>
      <c r="G17" s="27">
        <v>11774</v>
      </c>
      <c r="H17" s="27">
        <v>14264</v>
      </c>
      <c r="I17" s="27">
        <v>10035</v>
      </c>
      <c r="J17" s="27">
        <v>36163</v>
      </c>
      <c r="K17" s="27">
        <v>90387</v>
      </c>
      <c r="L17" s="27">
        <v>8130</v>
      </c>
    </row>
    <row r="18" spans="1:12" x14ac:dyDescent="0.25">
      <c r="A18" s="12" t="s">
        <v>86</v>
      </c>
      <c r="B18" s="27">
        <f>+D18+K18</f>
        <v>117797</v>
      </c>
      <c r="C18" s="27">
        <f>D18+E18</f>
        <v>31323</v>
      </c>
      <c r="D18" s="27">
        <v>18993</v>
      </c>
      <c r="E18" s="27">
        <v>12330</v>
      </c>
      <c r="F18" s="27">
        <f t="shared" si="0"/>
        <v>120354</v>
      </c>
      <c r="G18" s="27">
        <v>9342.6666666666661</v>
      </c>
      <c r="H18" s="27">
        <v>13146</v>
      </c>
      <c r="I18" s="27">
        <v>8404</v>
      </c>
      <c r="J18" s="27">
        <v>28510</v>
      </c>
      <c r="K18" s="27">
        <v>98804</v>
      </c>
      <c r="L18" s="27">
        <v>8182</v>
      </c>
    </row>
    <row r="19" spans="1:12" x14ac:dyDescent="0.25">
      <c r="A19" s="12" t="s">
        <v>87</v>
      </c>
      <c r="B19" s="27">
        <f>+D19+K19</f>
        <v>146470.58333333334</v>
      </c>
      <c r="C19" s="27">
        <f>D19+E19</f>
        <v>66484.25</v>
      </c>
      <c r="D19" s="27">
        <v>42525.916666666664</v>
      </c>
      <c r="E19" s="27">
        <v>23958.333333333332</v>
      </c>
      <c r="F19" s="27">
        <f t="shared" si="0"/>
        <v>131888.75</v>
      </c>
      <c r="G19" s="27">
        <v>13540.333333333334</v>
      </c>
      <c r="H19" s="27">
        <v>16403.833333333332</v>
      </c>
      <c r="I19" s="27">
        <v>11540.25</v>
      </c>
      <c r="J19" s="27">
        <v>41587.833333333336</v>
      </c>
      <c r="K19" s="27">
        <v>103944.66666666667</v>
      </c>
      <c r="L19" s="27">
        <v>9349.5</v>
      </c>
    </row>
    <row r="20" spans="1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2" x14ac:dyDescent="0.25">
      <c r="A21" s="19" t="s">
        <v>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x14ac:dyDescent="0.25">
      <c r="A22" s="12" t="s">
        <v>53</v>
      </c>
      <c r="B22" s="14">
        <f>+C22+F22+L22</f>
        <v>3076624835</v>
      </c>
      <c r="C22" s="14">
        <f>D22</f>
        <v>2105453367</v>
      </c>
      <c r="D22" s="56">
        <v>2105453367</v>
      </c>
      <c r="E22" s="56"/>
      <c r="F22" s="14">
        <f>G22</f>
        <v>622923274</v>
      </c>
      <c r="G22" s="51">
        <v>622923274</v>
      </c>
      <c r="H22" s="51"/>
      <c r="I22" s="51"/>
      <c r="J22" s="51"/>
      <c r="K22" s="51"/>
      <c r="L22" s="14">
        <v>348248194</v>
      </c>
    </row>
    <row r="23" spans="1:12" x14ac:dyDescent="0.25">
      <c r="A23" s="12" t="s">
        <v>85</v>
      </c>
      <c r="B23" s="14">
        <f>+C23+F23+L23</f>
        <v>6814184322.3056517</v>
      </c>
      <c r="C23" s="14">
        <f>+D23+E23</f>
        <v>4860557412.695652</v>
      </c>
      <c r="D23" s="14">
        <v>4597447549</v>
      </c>
      <c r="E23" s="14">
        <v>263109863.69565219</v>
      </c>
      <c r="F23" s="14">
        <f>G23</f>
        <v>1516720913.1099999</v>
      </c>
      <c r="G23" s="51">
        <v>1516720913.1099999</v>
      </c>
      <c r="H23" s="51"/>
      <c r="I23" s="51"/>
      <c r="J23" s="51"/>
      <c r="K23" s="51"/>
      <c r="L23" s="14">
        <v>436905996.5</v>
      </c>
    </row>
    <row r="24" spans="1:12" x14ac:dyDescent="0.25">
      <c r="A24" s="12" t="s">
        <v>86</v>
      </c>
      <c r="B24" s="14">
        <f>+C24+F24+L24</f>
        <v>2903937262.75</v>
      </c>
      <c r="C24" s="14">
        <f>D24</f>
        <v>1671320966.75</v>
      </c>
      <c r="D24" s="51">
        <v>1671320966.75</v>
      </c>
      <c r="E24" s="51"/>
      <c r="F24" s="14">
        <f>G24</f>
        <v>1146445785</v>
      </c>
      <c r="G24" s="51">
        <v>1146445785</v>
      </c>
      <c r="H24" s="51"/>
      <c r="I24" s="51"/>
      <c r="J24" s="51"/>
      <c r="K24" s="51"/>
      <c r="L24" s="14">
        <v>86170511</v>
      </c>
    </row>
    <row r="25" spans="1:12" x14ac:dyDescent="0.25">
      <c r="A25" s="12" t="s">
        <v>87</v>
      </c>
      <c r="B25" s="14">
        <f>+C25+F25+L25</f>
        <v>35937418461.5</v>
      </c>
      <c r="C25" s="14">
        <f>+D25+E25</f>
        <v>25709611105</v>
      </c>
      <c r="D25" s="14">
        <v>24686901732</v>
      </c>
      <c r="E25" s="14">
        <v>1022709373.0000001</v>
      </c>
      <c r="F25" s="14">
        <f>G25</f>
        <v>7940475962</v>
      </c>
      <c r="G25" s="51">
        <v>7940475962</v>
      </c>
      <c r="H25" s="51"/>
      <c r="I25" s="51"/>
      <c r="J25" s="51"/>
      <c r="K25" s="51"/>
      <c r="L25" s="14">
        <v>2287331394.5</v>
      </c>
    </row>
    <row r="26" spans="1:12" x14ac:dyDescent="0.25">
      <c r="A26" s="12" t="s">
        <v>88</v>
      </c>
      <c r="B26" s="14">
        <f>+C26+F26+L26</f>
        <v>2903937262.75</v>
      </c>
      <c r="C26" s="14">
        <f>C24</f>
        <v>1671320966.75</v>
      </c>
      <c r="D26" s="14"/>
      <c r="E26" s="14"/>
      <c r="F26" s="14">
        <f>F24</f>
        <v>1146445785</v>
      </c>
      <c r="G26" s="32"/>
      <c r="H26" s="32"/>
      <c r="I26" s="32"/>
      <c r="J26" s="32"/>
      <c r="K26" s="32"/>
      <c r="L26" s="14">
        <f>+L24</f>
        <v>86170511</v>
      </c>
    </row>
    <row r="27" spans="1:12" x14ac:dyDescent="0.25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2" x14ac:dyDescent="0.25">
      <c r="A28" s="19" t="s">
        <v>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2" x14ac:dyDescent="0.25">
      <c r="A29" s="12" t="s">
        <v>85</v>
      </c>
      <c r="B29" s="28">
        <f>B23</f>
        <v>6814184322.3056517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x14ac:dyDescent="0.25">
      <c r="A30" s="12" t="s">
        <v>86</v>
      </c>
      <c r="B30" s="28">
        <v>8784861378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2" spans="1:12" x14ac:dyDescent="0.25">
      <c r="A32" s="4" t="s">
        <v>7</v>
      </c>
    </row>
    <row r="33" spans="1:12" x14ac:dyDescent="0.25">
      <c r="A33" s="12" t="s">
        <v>54</v>
      </c>
      <c r="B33" s="38">
        <v>1.0304675706999999</v>
      </c>
      <c r="C33" s="38">
        <v>1.0304675706999999</v>
      </c>
      <c r="D33" s="38">
        <v>1.0304675706999999</v>
      </c>
      <c r="E33" s="38">
        <v>1.0304675706999999</v>
      </c>
      <c r="F33" s="38">
        <v>1.0304675706999999</v>
      </c>
      <c r="G33" s="38">
        <v>1.0304675706999999</v>
      </c>
      <c r="H33" s="38">
        <v>1.0304675706999999</v>
      </c>
      <c r="I33" s="38">
        <v>1.0304675706999999</v>
      </c>
      <c r="J33" s="38">
        <v>1.0304675706999999</v>
      </c>
      <c r="K33" s="38">
        <v>1.0304675706999999</v>
      </c>
      <c r="L33" s="38">
        <v>1.0304675706999999</v>
      </c>
    </row>
    <row r="34" spans="1:12" x14ac:dyDescent="0.25">
      <c r="A34" s="12" t="s">
        <v>89</v>
      </c>
      <c r="B34" s="38">
        <v>1.0451016243</v>
      </c>
      <c r="C34" s="38">
        <v>1.0451016243</v>
      </c>
      <c r="D34" s="38">
        <v>1.0451016243</v>
      </c>
      <c r="E34" s="38">
        <v>1.0451016243</v>
      </c>
      <c r="F34" s="38">
        <v>1.0451016243</v>
      </c>
      <c r="G34" s="38">
        <v>1.0451016243</v>
      </c>
      <c r="H34" s="38">
        <v>1.0451016243</v>
      </c>
      <c r="I34" s="38">
        <v>1.0451016243</v>
      </c>
      <c r="J34" s="38">
        <v>1.0451016243</v>
      </c>
      <c r="K34" s="38">
        <v>1.0451016243</v>
      </c>
      <c r="L34" s="38">
        <v>1.0451016243</v>
      </c>
    </row>
    <row r="35" spans="1:12" x14ac:dyDescent="0.25">
      <c r="A35" s="12" t="s">
        <v>8</v>
      </c>
      <c r="B35" s="28">
        <v>101406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x14ac:dyDescent="0.25">
      <c r="B36" s="28"/>
      <c r="C36" s="28"/>
      <c r="D36" s="28"/>
      <c r="E36" s="39"/>
      <c r="F36" s="39"/>
      <c r="G36" s="28"/>
      <c r="H36" s="28"/>
      <c r="I36" s="28"/>
      <c r="J36" s="28"/>
      <c r="K36" s="28"/>
      <c r="L36" s="28"/>
    </row>
    <row r="37" spans="1:12" x14ac:dyDescent="0.25">
      <c r="A37" s="4" t="s">
        <v>9</v>
      </c>
      <c r="B37" s="28"/>
      <c r="C37" s="28"/>
      <c r="D37" s="27"/>
      <c r="E37" s="27"/>
      <c r="F37" s="27"/>
      <c r="G37" s="51"/>
      <c r="H37" s="51"/>
      <c r="I37" s="51"/>
      <c r="J37" s="51"/>
      <c r="K37" s="32"/>
      <c r="L37" s="32"/>
    </row>
    <row r="38" spans="1:12" x14ac:dyDescent="0.25">
      <c r="A38" s="13" t="s">
        <v>55</v>
      </c>
      <c r="B38" s="28">
        <f>B22/B33</f>
        <v>2985659056.606739</v>
      </c>
      <c r="C38" s="27">
        <f>C22/C33</f>
        <v>2043201966.6274006</v>
      </c>
      <c r="D38" s="27"/>
      <c r="E38" s="27"/>
      <c r="F38" s="27">
        <f>F22/F33</f>
        <v>604505461.12464869</v>
      </c>
      <c r="G38" s="27"/>
      <c r="H38" s="27"/>
      <c r="I38" s="27"/>
      <c r="J38" s="27"/>
      <c r="K38" s="27"/>
      <c r="L38" s="27">
        <f>L22/L33</f>
        <v>337951628.8546896</v>
      </c>
    </row>
    <row r="39" spans="1:12" x14ac:dyDescent="0.25">
      <c r="A39" s="13" t="s">
        <v>90</v>
      </c>
      <c r="B39" s="28">
        <f>B24/B34</f>
        <v>2778617117.4454274</v>
      </c>
      <c r="C39" s="27">
        <f>C24/C34</f>
        <v>1599194688.7169335</v>
      </c>
      <c r="D39" s="27"/>
      <c r="E39" s="27"/>
      <c r="F39" s="27">
        <f>F24/F34</f>
        <v>1096970627.8735137</v>
      </c>
      <c r="G39" s="27"/>
      <c r="H39" s="27"/>
      <c r="I39" s="27"/>
      <c r="J39" s="27"/>
      <c r="K39" s="27"/>
      <c r="L39" s="27">
        <f>L24/L34</f>
        <v>82451800.85498026</v>
      </c>
    </row>
    <row r="40" spans="1:12" x14ac:dyDescent="0.25">
      <c r="A40" s="13" t="s">
        <v>56</v>
      </c>
      <c r="B40" s="28">
        <f>B38/B16</f>
        <v>29231.904761318023</v>
      </c>
      <c r="C40" s="27">
        <f>C38/C16</f>
        <v>87612.10782673987</v>
      </c>
      <c r="D40" s="27"/>
      <c r="E40" s="27"/>
      <c r="F40" s="27">
        <f>F38/F16</f>
        <v>5987.2773844861949</v>
      </c>
      <c r="G40" s="27"/>
      <c r="H40" s="27"/>
      <c r="I40" s="27"/>
      <c r="J40" s="27"/>
      <c r="K40" s="27"/>
      <c r="L40" s="27">
        <f>L38/L16</f>
        <v>44438.084004561417</v>
      </c>
    </row>
    <row r="41" spans="1:12" x14ac:dyDescent="0.25">
      <c r="A41" s="13" t="s">
        <v>91</v>
      </c>
      <c r="B41" s="28">
        <f>B39/B18</f>
        <v>23588.182359868482</v>
      </c>
      <c r="C41" s="27">
        <f>C39/C18</f>
        <v>51054.965639208684</v>
      </c>
      <c r="D41" s="27"/>
      <c r="E41" s="27"/>
      <c r="F41" s="27">
        <f>F39/F18</f>
        <v>9114.5340235763979</v>
      </c>
      <c r="G41" s="27"/>
      <c r="H41" s="27"/>
      <c r="I41" s="27"/>
      <c r="J41" s="27"/>
      <c r="K41" s="27"/>
      <c r="L41" s="27">
        <f>L39/L18</f>
        <v>10077.218388533398</v>
      </c>
    </row>
    <row r="43" spans="1:12" x14ac:dyDescent="0.25">
      <c r="A43" s="4" t="s">
        <v>10</v>
      </c>
    </row>
    <row r="45" spans="1:12" x14ac:dyDescent="0.25">
      <c r="A45" s="4" t="s">
        <v>11</v>
      </c>
    </row>
    <row r="46" spans="1:12" x14ac:dyDescent="0.25">
      <c r="A46" s="13" t="s">
        <v>12</v>
      </c>
      <c r="B46" s="40">
        <f t="shared" ref="B46" si="1">(B17/B35)*100</f>
        <v>122.95722146618544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 x14ac:dyDescent="0.25">
      <c r="A47" s="13" t="s">
        <v>13</v>
      </c>
      <c r="B47" s="40">
        <f t="shared" ref="B47" si="2">(B18/B35)*100</f>
        <v>116.16373784588683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x14ac:dyDescent="0.2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49" spans="1:12" x14ac:dyDescent="0.25">
      <c r="A49" s="4" t="s">
        <v>14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</row>
    <row r="50" spans="1:12" x14ac:dyDescent="0.25">
      <c r="A50" s="13" t="s">
        <v>15</v>
      </c>
      <c r="B50" s="41">
        <f t="shared" ref="B50:L50" si="3">B18/B17*100</f>
        <v>94.474921001555913</v>
      </c>
      <c r="C50" s="41">
        <f t="shared" si="3"/>
        <v>56.814210656783381</v>
      </c>
      <c r="D50" s="41">
        <f t="shared" si="3"/>
        <v>55.374792267996156</v>
      </c>
      <c r="E50" s="41">
        <f t="shared" si="3"/>
        <v>59.184000000000005</v>
      </c>
      <c r="F50" s="41">
        <f t="shared" ref="F50" si="4">F18/F17*100</f>
        <v>104.94218997959646</v>
      </c>
      <c r="G50" s="41">
        <f t="shared" si="3"/>
        <v>79.349980182322625</v>
      </c>
      <c r="H50" s="41">
        <f t="shared" si="3"/>
        <v>92.16208637128436</v>
      </c>
      <c r="I50" s="41">
        <f t="shared" si="3"/>
        <v>83.746885899352264</v>
      </c>
      <c r="J50" s="41">
        <f t="shared" si="3"/>
        <v>78.837485828056302</v>
      </c>
      <c r="K50" s="41">
        <f t="shared" si="3"/>
        <v>109.31217984887208</v>
      </c>
      <c r="L50" s="41">
        <f t="shared" si="3"/>
        <v>100.63960639606395</v>
      </c>
    </row>
    <row r="51" spans="1:12" x14ac:dyDescent="0.25">
      <c r="A51" s="13" t="s">
        <v>16</v>
      </c>
      <c r="B51" s="41">
        <f>B24/B23*100</f>
        <v>42.616065627168446</v>
      </c>
      <c r="C51" s="41">
        <f>C24/C23*100</f>
        <v>34.385376508146003</v>
      </c>
      <c r="D51" s="41"/>
      <c r="E51" s="41"/>
      <c r="F51" s="41">
        <f>F24/F23*100</f>
        <v>75.587128461836812</v>
      </c>
      <c r="G51" s="41"/>
      <c r="H51" s="41"/>
      <c r="I51" s="41"/>
      <c r="J51" s="41"/>
      <c r="K51" s="41"/>
      <c r="L51" s="41">
        <f>L24/L23*100</f>
        <v>19.722895014099446</v>
      </c>
    </row>
    <row r="52" spans="1:12" x14ac:dyDescent="0.25">
      <c r="A52" s="13" t="s">
        <v>17</v>
      </c>
      <c r="B52" s="41">
        <f>AVERAGE(B50:B51)</f>
        <v>68.545493314362176</v>
      </c>
      <c r="C52" s="41">
        <f t="shared" ref="C52" si="5">AVERAGE(C50:C51)</f>
        <v>45.599793582464692</v>
      </c>
      <c r="D52" s="41"/>
      <c r="E52" s="41"/>
      <c r="F52" s="41">
        <f t="shared" ref="F52" si="6">AVERAGE(F50:F51)</f>
        <v>90.264659220716638</v>
      </c>
      <c r="G52" s="41"/>
      <c r="H52" s="41"/>
      <c r="I52" s="41"/>
      <c r="J52" s="41"/>
      <c r="K52" s="41"/>
      <c r="L52" s="41">
        <f t="shared" ref="L52" si="7">AVERAGE(L50:L51)</f>
        <v>60.181250705081702</v>
      </c>
    </row>
    <row r="53" spans="1:12" x14ac:dyDescent="0.25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1:12" x14ac:dyDescent="0.25">
      <c r="A54" s="4" t="s">
        <v>18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spans="1:12" x14ac:dyDescent="0.25">
      <c r="A55" s="13" t="s">
        <v>19</v>
      </c>
      <c r="B55" s="41">
        <f t="shared" ref="B55:K55" si="8">((B18/B19)*100)</f>
        <v>80.423657310028688</v>
      </c>
      <c r="C55" s="41">
        <f t="shared" ref="C55" si="9">((C18/C19)*100)</f>
        <v>47.113414079274413</v>
      </c>
      <c r="D55" s="41">
        <f t="shared" si="8"/>
        <v>44.662176594272907</v>
      </c>
      <c r="E55" s="41">
        <f t="shared" si="8"/>
        <v>51.46434782608695</v>
      </c>
      <c r="F55" s="41">
        <f t="shared" ref="F55" si="10">((F18/F19)*100)</f>
        <v>91.254182028414093</v>
      </c>
      <c r="G55" s="41">
        <f t="shared" si="8"/>
        <v>68.998793727382377</v>
      </c>
      <c r="H55" s="41">
        <f t="shared" si="8"/>
        <v>80.139804720441361</v>
      </c>
      <c r="I55" s="41">
        <f t="shared" si="8"/>
        <v>72.823379042915022</v>
      </c>
      <c r="J55" s="41">
        <f t="shared" si="8"/>
        <v>68.553703607224875</v>
      </c>
      <c r="K55" s="41">
        <f t="shared" si="8"/>
        <v>95.054419979861066</v>
      </c>
      <c r="L55" s="41">
        <f t="shared" ref="L55" si="11">((L18/L19)*100)</f>
        <v>87.512701213968654</v>
      </c>
    </row>
    <row r="56" spans="1:12" x14ac:dyDescent="0.25">
      <c r="A56" s="13" t="s">
        <v>20</v>
      </c>
      <c r="B56" s="41">
        <f>B24/B25*100</f>
        <v>8.0805394128713157</v>
      </c>
      <c r="C56" s="41">
        <f>C24/C25*100</f>
        <v>6.5007633134713654</v>
      </c>
      <c r="D56" s="41"/>
      <c r="E56" s="41"/>
      <c r="F56" s="41">
        <f>F24/F25*100</f>
        <v>14.437998307487351</v>
      </c>
      <c r="G56" s="41"/>
      <c r="H56" s="41"/>
      <c r="I56" s="41"/>
      <c r="J56" s="41"/>
      <c r="K56" s="41"/>
      <c r="L56" s="41">
        <f>L24/L25*100</f>
        <v>3.7672945515110405</v>
      </c>
    </row>
    <row r="57" spans="1:12" x14ac:dyDescent="0.25">
      <c r="A57" s="13" t="s">
        <v>21</v>
      </c>
      <c r="B57" s="41">
        <f>(B55+B56)/2</f>
        <v>44.252098361450003</v>
      </c>
      <c r="C57" s="41">
        <f>(C55+C56)/2</f>
        <v>26.80708869637289</v>
      </c>
      <c r="D57" s="41"/>
      <c r="E57" s="41"/>
      <c r="F57" s="41">
        <f>(F55+F56)/2</f>
        <v>52.84609016795072</v>
      </c>
      <c r="G57" s="41"/>
      <c r="H57" s="41"/>
      <c r="I57" s="41"/>
      <c r="J57" s="41"/>
      <c r="K57" s="41"/>
      <c r="L57" s="41">
        <f>(L55+L56)/2</f>
        <v>45.639997882739848</v>
      </c>
    </row>
    <row r="58" spans="1:12" x14ac:dyDescent="0.25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</row>
    <row r="59" spans="1:12" x14ac:dyDescent="0.25">
      <c r="A59" s="4" t="s">
        <v>36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</row>
    <row r="60" spans="1:12" x14ac:dyDescent="0.25">
      <c r="A60" s="13" t="s">
        <v>22</v>
      </c>
      <c r="B60" s="40">
        <f>B26/B24*100</f>
        <v>100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</row>
    <row r="61" spans="1:12" x14ac:dyDescent="0.2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</row>
    <row r="62" spans="1:12" x14ac:dyDescent="0.25">
      <c r="A62" s="4" t="s">
        <v>23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</row>
    <row r="63" spans="1:12" x14ac:dyDescent="0.25">
      <c r="A63" s="13" t="s">
        <v>24</v>
      </c>
      <c r="B63" s="41">
        <f t="shared" ref="B63:K63" si="12">((B18/B16)-1)*100</f>
        <v>15.332347729030626</v>
      </c>
      <c r="C63" s="41">
        <f t="shared" ref="C63" si="13">((C18/C16)-1)*100</f>
        <v>34.312422280348187</v>
      </c>
      <c r="D63" s="41">
        <f t="shared" si="12"/>
        <v>16.671785736224585</v>
      </c>
      <c r="E63" s="41">
        <f t="shared" si="12"/>
        <v>75.092303322919634</v>
      </c>
      <c r="F63" s="41">
        <f>((F18/F16)-1)*100</f>
        <v>19.203684445104741</v>
      </c>
      <c r="G63" s="41" t="s">
        <v>78</v>
      </c>
      <c r="H63" s="41">
        <f t="shared" si="12"/>
        <v>5.1427657362232981</v>
      </c>
      <c r="I63" s="41">
        <f t="shared" si="12"/>
        <v>222.73425499231951</v>
      </c>
      <c r="J63" s="41">
        <f t="shared" si="12"/>
        <v>33.893767904945292</v>
      </c>
      <c r="K63" s="41">
        <f t="shared" si="12"/>
        <v>15.078385240746339</v>
      </c>
      <c r="L63" s="41">
        <f t="shared" ref="L63" si="14">((L18/L16)-1)*100</f>
        <v>7.5871137409599054</v>
      </c>
    </row>
    <row r="64" spans="1:12" x14ac:dyDescent="0.25">
      <c r="A64" s="13" t="s">
        <v>25</v>
      </c>
      <c r="B64" s="41">
        <f>((B39/B38)-1)*100</f>
        <v>-6.9345472887523467</v>
      </c>
      <c r="C64" s="41">
        <f>((C39/C38)-1)*100</f>
        <v>-21.730953922453644</v>
      </c>
      <c r="D64" s="41"/>
      <c r="E64" s="41"/>
      <c r="F64" s="41">
        <f>((F39/F38)-1)*100</f>
        <v>81.465792853659423</v>
      </c>
      <c r="G64" s="41"/>
      <c r="H64" s="41"/>
      <c r="I64" s="41"/>
      <c r="J64" s="41"/>
      <c r="K64" s="41"/>
      <c r="L64" s="41">
        <f>((L39/L38)-1)*100</f>
        <v>-75.602484552476483</v>
      </c>
    </row>
    <row r="65" spans="1:12" x14ac:dyDescent="0.25">
      <c r="A65" s="13" t="s">
        <v>26</v>
      </c>
      <c r="B65" s="41">
        <f>((B41/B40)-1)*100</f>
        <v>-19.306721363288514</v>
      </c>
      <c r="C65" s="41">
        <f>((C41/C40)-1)*100</f>
        <v>-41.726130205457366</v>
      </c>
      <c r="D65" s="41"/>
      <c r="E65" s="41"/>
      <c r="F65" s="41">
        <f>((F41/F40)-1)*100</f>
        <v>52.231697953285526</v>
      </c>
      <c r="G65" s="41"/>
      <c r="H65" s="41"/>
      <c r="I65" s="41"/>
      <c r="J65" s="41"/>
      <c r="K65" s="41"/>
      <c r="L65" s="41">
        <f>((L41/L40)-1)*100</f>
        <v>-77.323013324564116</v>
      </c>
    </row>
    <row r="66" spans="1:12" x14ac:dyDescent="0.2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</row>
    <row r="67" spans="1:12" x14ac:dyDescent="0.25">
      <c r="A67" s="4" t="s">
        <v>27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</row>
    <row r="68" spans="1:12" x14ac:dyDescent="0.25">
      <c r="A68" s="13" t="s">
        <v>39</v>
      </c>
      <c r="B68" s="41">
        <f>B23/(B17*3)</f>
        <v>18216.919093578141</v>
      </c>
      <c r="C68" s="41">
        <f>C23/(C17*3)</f>
        <v>29387.216289870143</v>
      </c>
      <c r="D68" s="41"/>
      <c r="E68" s="41"/>
      <c r="F68" s="41">
        <f>F23/(F17*3)</f>
        <v>4408.3291570316633</v>
      </c>
      <c r="G68" s="41"/>
      <c r="H68" s="41"/>
      <c r="I68" s="41"/>
      <c r="J68" s="41"/>
      <c r="K68" s="41"/>
      <c r="L68" s="41">
        <f>L23/(L17*3)</f>
        <v>17913.324989749897</v>
      </c>
    </row>
    <row r="69" spans="1:12" x14ac:dyDescent="0.25">
      <c r="A69" s="13" t="s">
        <v>40</v>
      </c>
      <c r="B69" s="41">
        <f>B24/(B18*3)</f>
        <v>8217.3492328610519</v>
      </c>
      <c r="C69" s="41">
        <f>C24/(C18*3)</f>
        <v>17785.875839372558</v>
      </c>
      <c r="D69" s="41"/>
      <c r="E69" s="41"/>
      <c r="F69" s="41">
        <f>F24/(F18*3)</f>
        <v>3175.204770925769</v>
      </c>
      <c r="G69" s="41"/>
      <c r="H69" s="41"/>
      <c r="I69" s="41"/>
      <c r="J69" s="41"/>
      <c r="K69" s="41"/>
      <c r="L69" s="41">
        <f>L24/(L18*3)</f>
        <v>3510.5724354273607</v>
      </c>
    </row>
    <row r="70" spans="1:12" x14ac:dyDescent="0.25">
      <c r="A70" s="13" t="s">
        <v>30</v>
      </c>
      <c r="B70" s="41">
        <f>(B69/B68)*B52</f>
        <v>30.919732036435217</v>
      </c>
      <c r="C70" s="41">
        <f>(C69/C68)*C52</f>
        <v>27.598131750855888</v>
      </c>
      <c r="D70" s="41"/>
      <c r="E70" s="41"/>
      <c r="F70" s="41">
        <f>(F69/F68)*F52</f>
        <v>65.015285019368974</v>
      </c>
      <c r="G70" s="41"/>
      <c r="H70" s="41"/>
      <c r="I70" s="41"/>
      <c r="J70" s="41"/>
      <c r="K70" s="41"/>
      <c r="L70" s="41">
        <f>(L69/L68)*L52</f>
        <v>11.794049400415247</v>
      </c>
    </row>
    <row r="71" spans="1:12" x14ac:dyDescent="0.25">
      <c r="A71" s="20" t="s">
        <v>35</v>
      </c>
      <c r="B71" s="41">
        <f>B23/B17</f>
        <v>54650.757280734419</v>
      </c>
      <c r="C71" s="41">
        <f>C23/C17</f>
        <v>88161.648869610435</v>
      </c>
      <c r="D71" s="41"/>
      <c r="E71" s="41"/>
      <c r="F71" s="41">
        <f>F23/F17</f>
        <v>13224.987471094988</v>
      </c>
      <c r="G71" s="41"/>
      <c r="H71" s="41"/>
      <c r="I71" s="41"/>
      <c r="J71" s="41"/>
      <c r="K71" s="41"/>
      <c r="L71" s="41">
        <f>L23/L17</f>
        <v>53739.974969249692</v>
      </c>
    </row>
    <row r="72" spans="1:12" x14ac:dyDescent="0.25">
      <c r="A72" s="20" t="s">
        <v>34</v>
      </c>
      <c r="B72" s="41">
        <f>B24/B18</f>
        <v>24652.047698583156</v>
      </c>
      <c r="C72" s="41">
        <f>C24/C18</f>
        <v>53357.627518117675</v>
      </c>
      <c r="D72" s="41"/>
      <c r="E72" s="41"/>
      <c r="F72" s="41">
        <f>F24/F18</f>
        <v>9525.6143127773066</v>
      </c>
      <c r="G72" s="41"/>
      <c r="H72" s="41"/>
      <c r="I72" s="41"/>
      <c r="J72" s="41"/>
      <c r="K72" s="41"/>
      <c r="L72" s="41">
        <f>L24/L18</f>
        <v>10531.717306282082</v>
      </c>
    </row>
    <row r="73" spans="1:12" x14ac:dyDescent="0.2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1:12" x14ac:dyDescent="0.25">
      <c r="A74" s="4" t="s">
        <v>31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</row>
    <row r="75" spans="1:12" x14ac:dyDescent="0.25">
      <c r="A75" s="13" t="s">
        <v>32</v>
      </c>
      <c r="B75" s="42">
        <f>(B30/B29)*100</f>
        <v>128.92021939065407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</row>
    <row r="76" spans="1:12" ht="15.75" thickBot="1" x14ac:dyDescent="0.3">
      <c r="A76" s="21" t="s">
        <v>33</v>
      </c>
      <c r="B76" s="43">
        <f>(B24/B30)*100</f>
        <v>33.056153509972894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</row>
    <row r="77" spans="1:12" ht="15.75" thickTop="1" x14ac:dyDescent="0.25">
      <c r="A77" s="50" t="s">
        <v>92</v>
      </c>
      <c r="B77" s="50"/>
      <c r="C77" s="50"/>
      <c r="D77" s="50"/>
      <c r="E77" s="50"/>
      <c r="F77" s="50"/>
      <c r="G77" s="22"/>
      <c r="H77" s="22"/>
      <c r="I77" s="22"/>
      <c r="J77" s="22"/>
      <c r="K77" s="22"/>
      <c r="L77" s="22"/>
    </row>
    <row r="78" spans="1:12" x14ac:dyDescent="0.2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x14ac:dyDescent="0.25">
      <c r="A79" s="45" t="s">
        <v>134</v>
      </c>
    </row>
    <row r="80" spans="1:12" x14ac:dyDescent="0.25">
      <c r="A80" s="13" t="s">
        <v>132</v>
      </c>
    </row>
    <row r="81" spans="1:12" x14ac:dyDescent="0.25">
      <c r="A81" s="13" t="s">
        <v>133</v>
      </c>
    </row>
    <row r="85" spans="1:12" x14ac:dyDescent="0.2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112" spans="24:27" x14ac:dyDescent="0.25">
      <c r="X112" s="7"/>
      <c r="Y112" s="7"/>
      <c r="Z112" s="7"/>
      <c r="AA112" s="7"/>
    </row>
    <row r="113" spans="24:27" x14ac:dyDescent="0.25">
      <c r="X113" s="7"/>
      <c r="Y113" s="7"/>
      <c r="Z113" s="7"/>
      <c r="AA113" s="7"/>
    </row>
  </sheetData>
  <mergeCells count="13">
    <mergeCell ref="A77:F77"/>
    <mergeCell ref="G25:K25"/>
    <mergeCell ref="C9:L9"/>
    <mergeCell ref="G37:J37"/>
    <mergeCell ref="A9:A10"/>
    <mergeCell ref="D10:E10"/>
    <mergeCell ref="D22:E22"/>
    <mergeCell ref="D24:E24"/>
    <mergeCell ref="G10:K10"/>
    <mergeCell ref="G23:K23"/>
    <mergeCell ref="G22:K22"/>
    <mergeCell ref="G24:K24"/>
    <mergeCell ref="B9:B10"/>
  </mergeCells>
  <pageMargins left="0.7" right="0.7" top="0.75" bottom="0.75" header="0.3" footer="0.3"/>
  <pageSetup orientation="portrait" r:id="rId1"/>
  <ignoredErrors>
    <ignoredError sqref="C23:C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6" sqref="B3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80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13" customWidth="1"/>
    <col min="2" max="12" width="15.7109375" style="13" customWidth="1"/>
    <col min="13" max="16384" width="11.42578125" style="13"/>
  </cols>
  <sheetData>
    <row r="9" spans="1:12" x14ac:dyDescent="0.25">
      <c r="A9" s="53" t="s">
        <v>0</v>
      </c>
      <c r="B9" s="53" t="s">
        <v>47</v>
      </c>
      <c r="C9" s="52" t="s">
        <v>2</v>
      </c>
      <c r="D9" s="52"/>
      <c r="E9" s="52"/>
      <c r="F9" s="52"/>
      <c r="G9" s="52"/>
      <c r="H9" s="52"/>
      <c r="I9" s="52"/>
      <c r="J9" s="52"/>
      <c r="K9" s="52"/>
      <c r="L9" s="52"/>
    </row>
    <row r="10" spans="1:12" ht="45.75" thickBot="1" x14ac:dyDescent="0.3">
      <c r="A10" s="54"/>
      <c r="B10" s="54"/>
      <c r="C10" s="33" t="s">
        <v>46</v>
      </c>
      <c r="D10" s="55" t="s">
        <v>49</v>
      </c>
      <c r="E10" s="55"/>
      <c r="F10" s="33" t="s">
        <v>43</v>
      </c>
      <c r="G10" s="54" t="s">
        <v>48</v>
      </c>
      <c r="H10" s="54"/>
      <c r="I10" s="54"/>
      <c r="J10" s="54"/>
      <c r="K10" s="54"/>
      <c r="L10" s="34" t="s">
        <v>77</v>
      </c>
    </row>
    <row r="11" spans="1:12" ht="45.75" customHeight="1" thickTop="1" x14ac:dyDescent="0.25">
      <c r="B11" s="16" t="s">
        <v>1</v>
      </c>
      <c r="C11" s="17" t="s">
        <v>52</v>
      </c>
      <c r="D11" s="18" t="s">
        <v>79</v>
      </c>
      <c r="E11" s="18" t="s">
        <v>51</v>
      </c>
      <c r="F11" s="16" t="s">
        <v>45</v>
      </c>
      <c r="G11" s="16" t="s">
        <v>136</v>
      </c>
      <c r="H11" s="16" t="s">
        <v>80</v>
      </c>
      <c r="I11" s="16" t="s">
        <v>81</v>
      </c>
      <c r="J11" s="16" t="s">
        <v>82</v>
      </c>
      <c r="K11" s="16" t="s">
        <v>83</v>
      </c>
      <c r="L11" s="16" t="s">
        <v>84</v>
      </c>
    </row>
    <row r="13" spans="1:12" x14ac:dyDescent="0.25">
      <c r="A13" s="4" t="s">
        <v>3</v>
      </c>
    </row>
    <row r="15" spans="1:12" x14ac:dyDescent="0.25">
      <c r="A15" s="4" t="s">
        <v>4</v>
      </c>
    </row>
    <row r="16" spans="1:12" x14ac:dyDescent="0.25">
      <c r="A16" s="12" t="s">
        <v>57</v>
      </c>
      <c r="B16" s="30">
        <f>+D16+K16</f>
        <v>122665</v>
      </c>
      <c r="C16" s="30">
        <f>+D16+E16</f>
        <v>38482</v>
      </c>
      <c r="D16" s="30">
        <v>23371</v>
      </c>
      <c r="E16" s="30">
        <v>15111</v>
      </c>
      <c r="F16" s="30">
        <f>K16+I16+H16</f>
        <v>120007</v>
      </c>
      <c r="G16" s="14">
        <v>10797.3</v>
      </c>
      <c r="H16" s="30">
        <v>13116</v>
      </c>
      <c r="I16" s="30">
        <v>7597</v>
      </c>
      <c r="J16" s="30">
        <v>28228</v>
      </c>
      <c r="K16" s="30">
        <v>99294</v>
      </c>
      <c r="L16" s="30">
        <v>8888</v>
      </c>
    </row>
    <row r="17" spans="1:12" x14ac:dyDescent="0.25">
      <c r="A17" s="12" t="s">
        <v>93</v>
      </c>
      <c r="B17" s="30">
        <f t="shared" ref="B17:B19" si="0">+D17+K17</f>
        <v>152839</v>
      </c>
      <c r="C17" s="30">
        <f t="shared" ref="C17:C19" si="1">+D17+E17</f>
        <v>69375</v>
      </c>
      <c r="D17" s="30">
        <v>44375</v>
      </c>
      <c r="E17" s="30">
        <v>25000</v>
      </c>
      <c r="F17" s="30">
        <f t="shared" ref="F17:F19" si="2">K17+I17+H17</f>
        <v>137623</v>
      </c>
      <c r="G17" s="30">
        <v>14129</v>
      </c>
      <c r="H17" s="30">
        <v>17117</v>
      </c>
      <c r="I17" s="14">
        <v>12042</v>
      </c>
      <c r="J17" s="14">
        <v>43396</v>
      </c>
      <c r="K17" s="14">
        <v>108464</v>
      </c>
      <c r="L17" s="30">
        <v>9756</v>
      </c>
    </row>
    <row r="18" spans="1:12" x14ac:dyDescent="0.25">
      <c r="A18" s="12" t="s">
        <v>94</v>
      </c>
      <c r="B18" s="30">
        <f t="shared" si="0"/>
        <v>133177</v>
      </c>
      <c r="C18" s="30">
        <f t="shared" si="1"/>
        <v>48135.666666666672</v>
      </c>
      <c r="D18" s="30">
        <v>27072</v>
      </c>
      <c r="E18" s="30">
        <v>21063.666666666668</v>
      </c>
      <c r="F18" s="30">
        <f t="shared" si="2"/>
        <v>131742</v>
      </c>
      <c r="G18" s="30">
        <v>10835.333333333334</v>
      </c>
      <c r="H18" s="30">
        <v>15439.333333333334</v>
      </c>
      <c r="I18" s="30">
        <v>10197.666666666666</v>
      </c>
      <c r="J18" s="30">
        <v>33524.666666666664</v>
      </c>
      <c r="K18" s="30">
        <v>106105</v>
      </c>
      <c r="L18" s="30">
        <v>9191</v>
      </c>
    </row>
    <row r="19" spans="1:12" x14ac:dyDescent="0.25">
      <c r="A19" s="12" t="s">
        <v>87</v>
      </c>
      <c r="B19" s="30">
        <f t="shared" si="0"/>
        <v>146470.58333333337</v>
      </c>
      <c r="C19" s="30">
        <f t="shared" si="1"/>
        <v>66484.250000000029</v>
      </c>
      <c r="D19" s="14">
        <v>42525.916666666701</v>
      </c>
      <c r="E19" s="14">
        <v>23958.333333333332</v>
      </c>
      <c r="F19" s="30">
        <f t="shared" si="2"/>
        <v>131888.75</v>
      </c>
      <c r="G19" s="14">
        <v>13540.333333333334</v>
      </c>
      <c r="H19" s="14">
        <v>16403.833333333332</v>
      </c>
      <c r="I19" s="14">
        <v>11540.25</v>
      </c>
      <c r="J19" s="14">
        <v>41587.833333333336</v>
      </c>
      <c r="K19" s="14">
        <v>103944.66666666667</v>
      </c>
      <c r="L19" s="30">
        <v>9349.5</v>
      </c>
    </row>
    <row r="20" spans="1:12" x14ac:dyDescent="0.25">
      <c r="B20" s="30"/>
      <c r="C20" s="30"/>
      <c r="D20" s="30"/>
      <c r="E20" s="30"/>
      <c r="F20" s="30"/>
      <c r="G20" s="30"/>
      <c r="H20" s="30"/>
      <c r="I20" s="14"/>
      <c r="J20" s="14"/>
      <c r="K20" s="30"/>
      <c r="L20" s="14"/>
    </row>
    <row r="21" spans="1:12" x14ac:dyDescent="0.25">
      <c r="A21" s="19" t="s">
        <v>5</v>
      </c>
      <c r="B21" s="30"/>
      <c r="C21" s="30"/>
      <c r="D21" s="30"/>
      <c r="E21" s="14"/>
      <c r="F21" s="14"/>
      <c r="G21" s="30"/>
      <c r="H21" s="30"/>
      <c r="I21" s="30"/>
      <c r="J21" s="30"/>
      <c r="K21" s="30"/>
      <c r="L21" s="14"/>
    </row>
    <row r="22" spans="1:12" x14ac:dyDescent="0.25">
      <c r="A22" s="12" t="s">
        <v>57</v>
      </c>
      <c r="B22" s="11">
        <f>+C22+F22+L22</f>
        <v>5697847147.4499998</v>
      </c>
      <c r="C22" s="27">
        <f>D22</f>
        <v>3283227921</v>
      </c>
      <c r="D22" s="51">
        <v>3283227921</v>
      </c>
      <c r="E22" s="51"/>
      <c r="F22" s="27">
        <f>G22</f>
        <v>1733874580</v>
      </c>
      <c r="G22" s="51">
        <v>1733874580</v>
      </c>
      <c r="H22" s="51"/>
      <c r="I22" s="51"/>
      <c r="J22" s="51"/>
      <c r="K22" s="51"/>
      <c r="L22" s="27">
        <v>680744646.45000005</v>
      </c>
    </row>
    <row r="23" spans="1:12" x14ac:dyDescent="0.25">
      <c r="A23" s="12" t="s">
        <v>93</v>
      </c>
      <c r="B23" s="11">
        <f>+C23+F23+L23</f>
        <v>9592658213.4347839</v>
      </c>
      <c r="C23" s="27">
        <f>+D23+E23</f>
        <v>6834598064.434783</v>
      </c>
      <c r="D23" s="14">
        <v>6581398228</v>
      </c>
      <c r="E23" s="14">
        <v>253199836.43478262</v>
      </c>
      <c r="F23" s="27">
        <f>G23</f>
        <v>2141251683</v>
      </c>
      <c r="G23" s="51">
        <v>2141251683</v>
      </c>
      <c r="H23" s="51"/>
      <c r="I23" s="51"/>
      <c r="J23" s="51"/>
      <c r="K23" s="51"/>
      <c r="L23" s="27">
        <v>616808466</v>
      </c>
    </row>
    <row r="24" spans="1:12" x14ac:dyDescent="0.25">
      <c r="A24" s="12" t="s">
        <v>94</v>
      </c>
      <c r="B24" s="11">
        <f>+C24+F24+L24</f>
        <v>7640448842.2700005</v>
      </c>
      <c r="C24" s="27">
        <f>D24</f>
        <v>5442326354.7700005</v>
      </c>
      <c r="D24" s="51">
        <v>5442326354.7700005</v>
      </c>
      <c r="E24" s="51"/>
      <c r="F24" s="27">
        <f>G24</f>
        <v>1507700793</v>
      </c>
      <c r="G24" s="51">
        <v>1507700793</v>
      </c>
      <c r="H24" s="51"/>
      <c r="I24" s="51"/>
      <c r="J24" s="51"/>
      <c r="K24" s="51"/>
      <c r="L24" s="27">
        <v>690421694.5</v>
      </c>
    </row>
    <row r="25" spans="1:12" x14ac:dyDescent="0.25">
      <c r="A25" s="12" t="s">
        <v>87</v>
      </c>
      <c r="B25" s="11">
        <f>+C25+F25+L25</f>
        <v>35937418461.5</v>
      </c>
      <c r="C25" s="11">
        <f>+D25+E25</f>
        <v>25709611105</v>
      </c>
      <c r="D25" s="14">
        <v>24686901732</v>
      </c>
      <c r="E25" s="14">
        <v>1022709373.0000001</v>
      </c>
      <c r="F25" s="27">
        <f>G25</f>
        <v>7940475962</v>
      </c>
      <c r="G25" s="51">
        <v>7940475962</v>
      </c>
      <c r="H25" s="51"/>
      <c r="I25" s="51"/>
      <c r="J25" s="51"/>
      <c r="K25" s="51"/>
      <c r="L25" s="27">
        <v>2287331394.5</v>
      </c>
    </row>
    <row r="26" spans="1:12" x14ac:dyDescent="0.25">
      <c r="A26" s="12" t="s">
        <v>95</v>
      </c>
      <c r="B26" s="11">
        <f>+C26+F26+L26</f>
        <v>7640448842.2700005</v>
      </c>
      <c r="C26" s="27">
        <f>C24</f>
        <v>5442326354.7700005</v>
      </c>
      <c r="D26" s="27"/>
      <c r="E26" s="27"/>
      <c r="F26" s="27">
        <f>F24</f>
        <v>1507700793</v>
      </c>
      <c r="G26" s="27"/>
      <c r="H26" s="27"/>
      <c r="I26" s="27"/>
      <c r="J26" s="27"/>
      <c r="K26" s="27"/>
      <c r="L26" s="27">
        <f>L24</f>
        <v>690421694.5</v>
      </c>
    </row>
    <row r="27" spans="1:12" x14ac:dyDescent="0.2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14"/>
    </row>
    <row r="28" spans="1:12" x14ac:dyDescent="0.25">
      <c r="A28" s="19" t="s">
        <v>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2" x14ac:dyDescent="0.25">
      <c r="A29" s="12" t="s">
        <v>93</v>
      </c>
      <c r="B29" s="30">
        <f>B23</f>
        <v>9592658213.4347839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2" x14ac:dyDescent="0.25">
      <c r="A30" s="12" t="s">
        <v>94</v>
      </c>
      <c r="B30" s="11">
        <v>7621981156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2" spans="1:12" x14ac:dyDescent="0.25">
      <c r="A32" s="4" t="s">
        <v>7</v>
      </c>
    </row>
    <row r="33" spans="1:12" x14ac:dyDescent="0.25">
      <c r="A33" s="12" t="s">
        <v>58</v>
      </c>
      <c r="B33" s="38">
        <v>1.0303325644000001</v>
      </c>
      <c r="C33" s="38">
        <v>1.0303325644000001</v>
      </c>
      <c r="D33" s="38">
        <v>1.0303325644000001</v>
      </c>
      <c r="E33" s="38">
        <v>1.0303325644000001</v>
      </c>
      <c r="F33" s="38">
        <v>1.0303325644000001</v>
      </c>
      <c r="G33" s="38">
        <v>1.0303325644000001</v>
      </c>
      <c r="H33" s="38">
        <v>1.0303325644000001</v>
      </c>
      <c r="I33" s="38">
        <v>1.0303325644000001</v>
      </c>
      <c r="J33" s="38">
        <v>1.0303325644000001</v>
      </c>
      <c r="K33" s="38">
        <v>1.0303325644000001</v>
      </c>
      <c r="L33" s="38">
        <v>1.0303325644000001</v>
      </c>
    </row>
    <row r="34" spans="1:12" x14ac:dyDescent="0.25">
      <c r="A34" s="12" t="s">
        <v>96</v>
      </c>
      <c r="B34" s="38">
        <v>1.0552807376</v>
      </c>
      <c r="C34" s="38">
        <v>1.0552807376</v>
      </c>
      <c r="D34" s="38">
        <v>1.0552807376</v>
      </c>
      <c r="E34" s="38">
        <v>1.0552807376</v>
      </c>
      <c r="F34" s="38">
        <v>1.0552807376</v>
      </c>
      <c r="G34" s="38">
        <v>1.0552807376</v>
      </c>
      <c r="H34" s="38">
        <v>1.0552807376</v>
      </c>
      <c r="I34" s="38">
        <v>1.0552807376</v>
      </c>
      <c r="J34" s="38">
        <v>1.0552807376</v>
      </c>
      <c r="K34" s="38">
        <v>1.0552807376</v>
      </c>
      <c r="L34" s="38">
        <v>1.0552807376</v>
      </c>
    </row>
    <row r="35" spans="1:12" ht="15.75" customHeight="1" x14ac:dyDescent="0.25">
      <c r="A35" s="23" t="s">
        <v>8</v>
      </c>
      <c r="B35" s="28">
        <v>101406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x14ac:dyDescent="0.25">
      <c r="A37" s="4" t="s">
        <v>9</v>
      </c>
      <c r="B37" s="28"/>
      <c r="C37" s="28"/>
      <c r="D37" s="27"/>
      <c r="E37" s="27"/>
      <c r="F37" s="27"/>
      <c r="G37" s="51"/>
      <c r="H37" s="51"/>
      <c r="I37" s="51"/>
      <c r="J37" s="51"/>
      <c r="K37" s="28"/>
      <c r="L37" s="28"/>
    </row>
    <row r="38" spans="1:12" x14ac:dyDescent="0.25">
      <c r="A38" s="13" t="s">
        <v>59</v>
      </c>
      <c r="B38" s="14">
        <f>B22/B33</f>
        <v>5530104884.8903093</v>
      </c>
      <c r="C38" s="14">
        <f>C22/C33</f>
        <v>3186571049.4280477</v>
      </c>
      <c r="D38" s="14"/>
      <c r="E38" s="14"/>
      <c r="F38" s="14">
        <f>F22/F33</f>
        <v>1682830029.7484026</v>
      </c>
      <c r="G38" s="14"/>
      <c r="H38" s="14"/>
      <c r="I38" s="14"/>
      <c r="J38" s="14"/>
      <c r="K38" s="14"/>
      <c r="L38" s="14">
        <f>L22/L33</f>
        <v>660703805.71385932</v>
      </c>
    </row>
    <row r="39" spans="1:12" x14ac:dyDescent="0.25">
      <c r="A39" s="13" t="s">
        <v>97</v>
      </c>
      <c r="B39" s="14">
        <f>B24/B34</f>
        <v>7240204971.092804</v>
      </c>
      <c r="C39" s="14">
        <f>C24/C34</f>
        <v>5157230830.4872074</v>
      </c>
      <c r="D39" s="14"/>
      <c r="E39" s="14"/>
      <c r="F39" s="14">
        <f>F24/F34</f>
        <v>1428720092.4646158</v>
      </c>
      <c r="G39" s="14"/>
      <c r="H39" s="14"/>
      <c r="I39" s="14"/>
      <c r="J39" s="14"/>
      <c r="K39" s="14"/>
      <c r="L39" s="14">
        <f>L24/L34</f>
        <v>654254048.14098072</v>
      </c>
    </row>
    <row r="40" spans="1:12" x14ac:dyDescent="0.25">
      <c r="A40" s="13" t="s">
        <v>60</v>
      </c>
      <c r="B40" s="14">
        <f>B38/B16</f>
        <v>45082.98931961284</v>
      </c>
      <c r="C40" s="14">
        <f>C38/C16</f>
        <v>82806.794070683638</v>
      </c>
      <c r="D40" s="14"/>
      <c r="E40" s="14"/>
      <c r="F40" s="14">
        <f>F38/F16</f>
        <v>14022.76558657747</v>
      </c>
      <c r="G40" s="14"/>
      <c r="H40" s="14"/>
      <c r="I40" s="14"/>
      <c r="J40" s="14"/>
      <c r="K40" s="14"/>
      <c r="L40" s="14">
        <f>L38/L16</f>
        <v>74336.611803989566</v>
      </c>
    </row>
    <row r="41" spans="1:12" x14ac:dyDescent="0.25">
      <c r="A41" s="13" t="s">
        <v>98</v>
      </c>
      <c r="B41" s="14">
        <f>B39/B18</f>
        <v>54365.280574669829</v>
      </c>
      <c r="C41" s="14">
        <f>C39/C18</f>
        <v>107139.49110127363</v>
      </c>
      <c r="D41" s="14"/>
      <c r="E41" s="14"/>
      <c r="F41" s="14">
        <f>F39/F18</f>
        <v>10844.833784705073</v>
      </c>
      <c r="G41" s="14"/>
      <c r="H41" s="14"/>
      <c r="I41" s="14"/>
      <c r="J41" s="14"/>
      <c r="K41" s="14"/>
      <c r="L41" s="14">
        <f>L39/L18</f>
        <v>71184.207174516458</v>
      </c>
    </row>
    <row r="43" spans="1:12" x14ac:dyDescent="0.25">
      <c r="A43" s="4" t="s">
        <v>10</v>
      </c>
    </row>
    <row r="45" spans="1:12" x14ac:dyDescent="0.25">
      <c r="A45" s="4" t="s">
        <v>11</v>
      </c>
    </row>
    <row r="46" spans="1:12" x14ac:dyDescent="0.25">
      <c r="A46" s="13" t="s">
        <v>12</v>
      </c>
      <c r="B46" s="40">
        <f t="shared" ref="B46" si="3">(B17/B35)*100</f>
        <v>150.71987850817504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 x14ac:dyDescent="0.25">
      <c r="A47" s="13" t="s">
        <v>13</v>
      </c>
      <c r="B47" s="40">
        <f t="shared" ref="B47" si="4">(B18/B35)*100</f>
        <v>131.33049326469833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x14ac:dyDescent="0.2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49" spans="1:12" x14ac:dyDescent="0.25">
      <c r="A49" s="4" t="s">
        <v>14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</row>
    <row r="50" spans="1:12" x14ac:dyDescent="0.25">
      <c r="A50" s="13" t="s">
        <v>15</v>
      </c>
      <c r="B50" s="41">
        <f t="shared" ref="B50:L50" si="5">B18/B17*100</f>
        <v>87.135482435765738</v>
      </c>
      <c r="C50" s="41">
        <f t="shared" si="5"/>
        <v>69.384744744744751</v>
      </c>
      <c r="D50" s="41">
        <f t="shared" si="5"/>
        <v>61.007323943661973</v>
      </c>
      <c r="E50" s="41">
        <f t="shared" si="5"/>
        <v>84.254666666666665</v>
      </c>
      <c r="F50" s="41">
        <f t="shared" si="5"/>
        <v>95.726731723621782</v>
      </c>
      <c r="G50" s="41">
        <f t="shared" si="5"/>
        <v>76.688607356028967</v>
      </c>
      <c r="H50" s="41">
        <f t="shared" si="5"/>
        <v>90.198827676189367</v>
      </c>
      <c r="I50" s="41">
        <f t="shared" si="5"/>
        <v>84.684160992083264</v>
      </c>
      <c r="J50" s="41">
        <f t="shared" si="5"/>
        <v>77.252895812210028</v>
      </c>
      <c r="K50" s="41">
        <f t="shared" si="5"/>
        <v>97.82508482077003</v>
      </c>
      <c r="L50" s="41">
        <f t="shared" si="5"/>
        <v>94.208692086920863</v>
      </c>
    </row>
    <row r="51" spans="1:12" x14ac:dyDescent="0.25">
      <c r="A51" s="13" t="s">
        <v>16</v>
      </c>
      <c r="B51" s="41">
        <f>B24/B23*100</f>
        <v>79.648921834506098</v>
      </c>
      <c r="C51" s="41">
        <f>C24/C23*100</f>
        <v>79.629062359793323</v>
      </c>
      <c r="D51" s="41"/>
      <c r="E51" s="41"/>
      <c r="F51" s="41">
        <f>F24/F23*100</f>
        <v>70.412124131416263</v>
      </c>
      <c r="G51" s="41"/>
      <c r="H51" s="41"/>
      <c r="I51" s="41"/>
      <c r="J51" s="41"/>
      <c r="K51" s="41"/>
      <c r="L51" s="41">
        <f>L24/L23*100</f>
        <v>111.93453601202678</v>
      </c>
    </row>
    <row r="52" spans="1:12" x14ac:dyDescent="0.25">
      <c r="A52" s="13" t="s">
        <v>17</v>
      </c>
      <c r="B52" s="41">
        <f>AVERAGE(B50:B51)</f>
        <v>83.392202135135918</v>
      </c>
      <c r="C52" s="41">
        <f t="shared" ref="C52" si="6">AVERAGE(C50:C51)</f>
        <v>74.506903552269037</v>
      </c>
      <c r="D52" s="41"/>
      <c r="E52" s="41"/>
      <c r="F52" s="41">
        <f t="shared" ref="F52" si="7">AVERAGE(F50:F51)</f>
        <v>83.06942792751903</v>
      </c>
      <c r="G52" s="41"/>
      <c r="H52" s="41"/>
      <c r="I52" s="41"/>
      <c r="J52" s="41"/>
      <c r="K52" s="41"/>
      <c r="L52" s="41">
        <f t="shared" ref="L52" si="8">AVERAGE(L50:L51)</f>
        <v>103.07161404947382</v>
      </c>
    </row>
    <row r="53" spans="1:12" x14ac:dyDescent="0.25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1:12" x14ac:dyDescent="0.25">
      <c r="A54" s="4" t="s">
        <v>18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spans="1:12" x14ac:dyDescent="0.25">
      <c r="A55" s="13" t="s">
        <v>19</v>
      </c>
      <c r="B55" s="41">
        <f t="shared" ref="B55:L55" si="9">((B18/B19)*100)</f>
        <v>90.924059267873446</v>
      </c>
      <c r="C55" s="41">
        <f t="shared" si="9"/>
        <v>72.401608902359058</v>
      </c>
      <c r="D55" s="41">
        <f t="shared" si="9"/>
        <v>63.660003409685416</v>
      </c>
      <c r="E55" s="41">
        <f t="shared" si="9"/>
        <v>87.917913043478265</v>
      </c>
      <c r="F55" s="41">
        <f t="shared" si="9"/>
        <v>99.888731980551796</v>
      </c>
      <c r="G55" s="41">
        <f t="shared" si="9"/>
        <v>80.02264838384086</v>
      </c>
      <c r="H55" s="41">
        <f t="shared" si="9"/>
        <v>94.120276764577397</v>
      </c>
      <c r="I55" s="41">
        <f t="shared" si="9"/>
        <v>88.36608103521732</v>
      </c>
      <c r="J55" s="41">
        <f t="shared" si="9"/>
        <v>80.611717369262635</v>
      </c>
      <c r="K55" s="41">
        <f t="shared" si="9"/>
        <v>102.0783493781948</v>
      </c>
      <c r="L55" s="41">
        <f t="shared" si="9"/>
        <v>98.304722177656558</v>
      </c>
    </row>
    <row r="56" spans="1:12" x14ac:dyDescent="0.25">
      <c r="A56" s="13" t="s">
        <v>20</v>
      </c>
      <c r="B56" s="41">
        <f>B24/B25*100</f>
        <v>21.260427624914865</v>
      </c>
      <c r="C56" s="41">
        <f>C24/C25*100</f>
        <v>21.168450711071152</v>
      </c>
      <c r="D56" s="41"/>
      <c r="E56" s="41"/>
      <c r="F56" s="41">
        <f>F24/F25*100</f>
        <v>18.987536770028193</v>
      </c>
      <c r="G56" s="41"/>
      <c r="H56" s="41"/>
      <c r="I56" s="41"/>
      <c r="J56" s="41"/>
      <c r="K56" s="41"/>
      <c r="L56" s="41">
        <f>L24/L25*100</f>
        <v>30.184593984070375</v>
      </c>
    </row>
    <row r="57" spans="1:12" x14ac:dyDescent="0.25">
      <c r="A57" s="13" t="s">
        <v>21</v>
      </c>
      <c r="B57" s="41">
        <f>(B55+B56)/2</f>
        <v>56.092243446394157</v>
      </c>
      <c r="C57" s="41">
        <f>(C55+C56)/2</f>
        <v>46.785029806715102</v>
      </c>
      <c r="D57" s="41"/>
      <c r="E57" s="41"/>
      <c r="F57" s="41">
        <f>(F55+F56)/2</f>
        <v>59.438134375289991</v>
      </c>
      <c r="G57" s="41"/>
      <c r="H57" s="41"/>
      <c r="I57" s="41"/>
      <c r="J57" s="41"/>
      <c r="K57" s="41"/>
      <c r="L57" s="41">
        <f>(L55+L56)/2</f>
        <v>64.244658080863474</v>
      </c>
    </row>
    <row r="58" spans="1:12" x14ac:dyDescent="0.25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</row>
    <row r="59" spans="1:12" x14ac:dyDescent="0.25">
      <c r="A59" s="4" t="s">
        <v>36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</row>
    <row r="60" spans="1:12" x14ac:dyDescent="0.25">
      <c r="A60" s="13" t="s">
        <v>22</v>
      </c>
      <c r="B60" s="40">
        <f>B26/B24*100</f>
        <v>100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</row>
    <row r="61" spans="1:12" x14ac:dyDescent="0.2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</row>
    <row r="62" spans="1:12" x14ac:dyDescent="0.25">
      <c r="A62" s="4" t="s">
        <v>23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</row>
    <row r="63" spans="1:12" x14ac:dyDescent="0.25">
      <c r="A63" s="13" t="s">
        <v>24</v>
      </c>
      <c r="B63" s="41">
        <f t="shared" ref="B63:L63" si="10">((B18/B16)-1)*100</f>
        <v>8.5696816532833342</v>
      </c>
      <c r="C63" s="41">
        <f t="shared" si="10"/>
        <v>25.086187481593146</v>
      </c>
      <c r="D63" s="41">
        <f t="shared" si="10"/>
        <v>15.835864960848923</v>
      </c>
      <c r="E63" s="41">
        <f t="shared" si="10"/>
        <v>39.392936712769952</v>
      </c>
      <c r="F63" s="41">
        <f t="shared" si="10"/>
        <v>9.7785962485521729</v>
      </c>
      <c r="G63" s="41" t="s">
        <v>78</v>
      </c>
      <c r="H63" s="41">
        <f t="shared" si="10"/>
        <v>17.713733861949787</v>
      </c>
      <c r="I63" s="41">
        <f t="shared" si="10"/>
        <v>34.232811197402469</v>
      </c>
      <c r="J63" s="41">
        <f t="shared" si="10"/>
        <v>18.763875112181761</v>
      </c>
      <c r="K63" s="41">
        <f t="shared" si="10"/>
        <v>6.8594275585634579</v>
      </c>
      <c r="L63" s="41">
        <f t="shared" si="10"/>
        <v>3.4090909090909172</v>
      </c>
    </row>
    <row r="64" spans="1:12" x14ac:dyDescent="0.25">
      <c r="A64" s="13" t="s">
        <v>25</v>
      </c>
      <c r="B64" s="41">
        <f>((B39/B38)-1)*100</f>
        <v>30.923465681002437</v>
      </c>
      <c r="C64" s="41">
        <f>((C39/C38)-1)*100</f>
        <v>61.842643722407196</v>
      </c>
      <c r="D64" s="41"/>
      <c r="E64" s="41"/>
      <c r="F64" s="41">
        <f>((F39/F38)-1)*100</f>
        <v>-15.100154667538135</v>
      </c>
      <c r="G64" s="41"/>
      <c r="H64" s="41"/>
      <c r="I64" s="41"/>
      <c r="J64" s="41"/>
      <c r="K64" s="41"/>
      <c r="L64" s="41">
        <f>((L39/L38)-1)*100</f>
        <v>-0.97619500858027175</v>
      </c>
    </row>
    <row r="65" spans="1:12" x14ac:dyDescent="0.25">
      <c r="A65" s="13" t="s">
        <v>26</v>
      </c>
      <c r="B65" s="41">
        <f>((B41/B40)-1)*100</f>
        <v>20.589342887737104</v>
      </c>
      <c r="C65" s="41">
        <f>((C41/C40)-1)*100</f>
        <v>29.38490410559751</v>
      </c>
      <c r="D65" s="41"/>
      <c r="E65" s="41"/>
      <c r="F65" s="41">
        <f>((F41/F40)-1)*100</f>
        <v>-22.662660815740221</v>
      </c>
      <c r="G65" s="41"/>
      <c r="H65" s="41"/>
      <c r="I65" s="41"/>
      <c r="J65" s="41"/>
      <c r="K65" s="41"/>
      <c r="L65" s="41">
        <f>((L41/L40)-1)*100</f>
        <v>-4.2407160522534344</v>
      </c>
    </row>
    <row r="66" spans="1:12" x14ac:dyDescent="0.2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</row>
    <row r="67" spans="1:12" x14ac:dyDescent="0.25">
      <c r="A67" s="4" t="s">
        <v>27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</row>
    <row r="68" spans="1:12" x14ac:dyDescent="0.25">
      <c r="A68" s="13" t="s">
        <v>39</v>
      </c>
      <c r="B68" s="41">
        <f>B23/(B17*3)</f>
        <v>20921.052465742348</v>
      </c>
      <c r="C68" s="41">
        <f>C23/(C17*3)</f>
        <v>32838.909618905862</v>
      </c>
      <c r="D68" s="41"/>
      <c r="E68" s="41"/>
      <c r="F68" s="41">
        <f>F23/(F17*3)</f>
        <v>5186.273813243426</v>
      </c>
      <c r="G68" s="41"/>
      <c r="H68" s="41"/>
      <c r="I68" s="41"/>
      <c r="J68" s="41"/>
      <c r="K68" s="41"/>
      <c r="L68" s="41">
        <f>L23/(L17*3)</f>
        <v>21074.5</v>
      </c>
    </row>
    <row r="69" spans="1:12" x14ac:dyDescent="0.25">
      <c r="A69" s="13" t="s">
        <v>40</v>
      </c>
      <c r="B69" s="41">
        <f>B24/(B18*3)</f>
        <v>19123.544461556176</v>
      </c>
      <c r="C69" s="41">
        <f>C24/(C18*3)</f>
        <v>37687.413731813554</v>
      </c>
      <c r="D69" s="41"/>
      <c r="E69" s="41"/>
      <c r="F69" s="41">
        <f>F24/(F18*3)</f>
        <v>3814.7813984909899</v>
      </c>
      <c r="G69" s="41"/>
      <c r="H69" s="41"/>
      <c r="I69" s="41"/>
      <c r="J69" s="41"/>
      <c r="K69" s="41"/>
      <c r="L69" s="41">
        <f>L24/(L18*3)</f>
        <v>25039.774217531642</v>
      </c>
    </row>
    <row r="70" spans="1:12" x14ac:dyDescent="0.25">
      <c r="A70" s="13" t="s">
        <v>30</v>
      </c>
      <c r="B70" s="41">
        <f>(B69/B68)*B52</f>
        <v>76.227259020057346</v>
      </c>
      <c r="C70" s="41">
        <f>(C69/C68)*C52</f>
        <v>85.507482819530026</v>
      </c>
      <c r="D70" s="41"/>
      <c r="E70" s="41"/>
      <c r="F70" s="41">
        <f>(F69/F68)*F52</f>
        <v>61.102001138464324</v>
      </c>
      <c r="G70" s="41"/>
      <c r="H70" s="41"/>
      <c r="I70" s="41"/>
      <c r="J70" s="41"/>
      <c r="K70" s="41"/>
      <c r="L70" s="41">
        <f>(L69/L68)*L52</f>
        <v>122.46506175877894</v>
      </c>
    </row>
    <row r="71" spans="1:12" x14ac:dyDescent="0.25">
      <c r="A71" s="20" t="s">
        <v>35</v>
      </c>
      <c r="B71" s="41">
        <f>B23/B17</f>
        <v>62763.157397227042</v>
      </c>
      <c r="C71" s="41">
        <f>C23/C17</f>
        <v>98516.728856717586</v>
      </c>
      <c r="D71" s="41"/>
      <c r="E71" s="41"/>
      <c r="F71" s="41">
        <f>F23/F17</f>
        <v>15558.821439730278</v>
      </c>
      <c r="G71" s="41"/>
      <c r="H71" s="41"/>
      <c r="I71" s="41"/>
      <c r="J71" s="41"/>
      <c r="K71" s="41"/>
      <c r="L71" s="41">
        <f>L23/L17</f>
        <v>63223.5</v>
      </c>
    </row>
    <row r="72" spans="1:12" x14ac:dyDescent="0.25">
      <c r="A72" s="20" t="s">
        <v>34</v>
      </c>
      <c r="B72" s="41">
        <f>B24/B18</f>
        <v>57370.63338466853</v>
      </c>
      <c r="C72" s="41">
        <f>C24/C18</f>
        <v>113062.24119544066</v>
      </c>
      <c r="D72" s="41"/>
      <c r="E72" s="41"/>
      <c r="F72" s="41">
        <f>F24/F18</f>
        <v>11444.34419547297</v>
      </c>
      <c r="G72" s="41"/>
      <c r="H72" s="41"/>
      <c r="I72" s="41"/>
      <c r="J72" s="41"/>
      <c r="K72" s="41"/>
      <c r="L72" s="41">
        <f>L24/L18</f>
        <v>75119.322652594929</v>
      </c>
    </row>
    <row r="73" spans="1:12" x14ac:dyDescent="0.2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1:12" x14ac:dyDescent="0.25">
      <c r="A74" s="4" t="s">
        <v>31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</row>
    <row r="75" spans="1:12" x14ac:dyDescent="0.25">
      <c r="A75" s="13" t="s">
        <v>32</v>
      </c>
      <c r="B75" s="41">
        <f>(B30/B29)*100</f>
        <v>79.456402869907365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</row>
    <row r="76" spans="1:12" ht="15.75" thickBot="1" x14ac:dyDescent="0.3">
      <c r="A76" s="21" t="s">
        <v>33</v>
      </c>
      <c r="B76" s="46">
        <f>(B24/B30)*100</f>
        <v>100.24229509220793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</row>
    <row r="77" spans="1:12" ht="15.75" thickTop="1" x14ac:dyDescent="0.25">
      <c r="A77" s="50" t="s">
        <v>92</v>
      </c>
      <c r="B77" s="50"/>
      <c r="C77" s="50"/>
      <c r="D77" s="50"/>
      <c r="E77" s="50"/>
      <c r="F77" s="50"/>
      <c r="G77" s="22"/>
      <c r="H77" s="22"/>
      <c r="I77" s="22"/>
      <c r="J77" s="22"/>
      <c r="K77" s="22"/>
      <c r="L77" s="22"/>
    </row>
    <row r="78" spans="1:12" x14ac:dyDescent="0.2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x14ac:dyDescent="0.25">
      <c r="A79" s="22" t="s">
        <v>130</v>
      </c>
    </row>
    <row r="80" spans="1:12" x14ac:dyDescent="0.25">
      <c r="A80" s="13" t="s">
        <v>133</v>
      </c>
    </row>
  </sheetData>
  <mergeCells count="13">
    <mergeCell ref="B9:B10"/>
    <mergeCell ref="C9:L9"/>
    <mergeCell ref="A77:F77"/>
    <mergeCell ref="A9:A10"/>
    <mergeCell ref="D10:E10"/>
    <mergeCell ref="D22:E22"/>
    <mergeCell ref="D24:E24"/>
    <mergeCell ref="G37:J37"/>
    <mergeCell ref="G25:K25"/>
    <mergeCell ref="G10:K10"/>
    <mergeCell ref="G22:K22"/>
    <mergeCell ref="G23:K23"/>
    <mergeCell ref="G24:K24"/>
  </mergeCells>
  <pageMargins left="0.7" right="0.7" top="0.75" bottom="0.75" header="0.3" footer="0.3"/>
  <pageSetup orientation="portrait" r:id="rId1"/>
  <ignoredErrors>
    <ignoredError sqref="C23:C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80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13" customWidth="1"/>
    <col min="2" max="12" width="15.7109375" style="13" customWidth="1"/>
    <col min="13" max="16384" width="11.42578125" style="13"/>
  </cols>
  <sheetData>
    <row r="9" spans="1:12" s="4" customFormat="1" x14ac:dyDescent="0.25">
      <c r="A9" s="53" t="s">
        <v>0</v>
      </c>
      <c r="B9" s="53" t="s">
        <v>47</v>
      </c>
      <c r="C9" s="52" t="s">
        <v>2</v>
      </c>
      <c r="D9" s="52"/>
      <c r="E9" s="52"/>
      <c r="F9" s="52"/>
      <c r="G9" s="52"/>
      <c r="H9" s="52"/>
      <c r="I9" s="52"/>
      <c r="J9" s="52"/>
      <c r="K9" s="52"/>
      <c r="L9" s="52"/>
    </row>
    <row r="10" spans="1:12" s="4" customFormat="1" ht="45.75" thickBot="1" x14ac:dyDescent="0.3">
      <c r="A10" s="54"/>
      <c r="B10" s="54"/>
      <c r="C10" s="33" t="s">
        <v>46</v>
      </c>
      <c r="D10" s="58" t="s">
        <v>49</v>
      </c>
      <c r="E10" s="58"/>
      <c r="F10" s="33" t="s">
        <v>43</v>
      </c>
      <c r="G10" s="57" t="s">
        <v>48</v>
      </c>
      <c r="H10" s="57"/>
      <c r="I10" s="57"/>
      <c r="J10" s="57"/>
      <c r="K10" s="57"/>
      <c r="L10" s="34" t="s">
        <v>99</v>
      </c>
    </row>
    <row r="11" spans="1:12" ht="45.75" thickTop="1" x14ac:dyDescent="0.25">
      <c r="B11" s="16" t="s">
        <v>1</v>
      </c>
      <c r="C11" s="17" t="s">
        <v>52</v>
      </c>
      <c r="D11" s="18" t="s">
        <v>50</v>
      </c>
      <c r="E11" s="18" t="s">
        <v>51</v>
      </c>
      <c r="F11" s="16" t="s">
        <v>45</v>
      </c>
      <c r="G11" s="16" t="s">
        <v>136</v>
      </c>
      <c r="H11" s="16" t="s">
        <v>80</v>
      </c>
      <c r="I11" s="16" t="s">
        <v>81</v>
      </c>
      <c r="J11" s="16" t="s">
        <v>82</v>
      </c>
      <c r="K11" s="16" t="s">
        <v>83</v>
      </c>
      <c r="L11" s="16" t="s">
        <v>100</v>
      </c>
    </row>
    <row r="12" spans="1:12" x14ac:dyDescent="0.25">
      <c r="B12" s="16"/>
      <c r="C12" s="17"/>
      <c r="D12" s="18"/>
      <c r="E12" s="18"/>
      <c r="F12" s="16"/>
      <c r="G12" s="16"/>
      <c r="H12" s="16"/>
      <c r="I12" s="16"/>
      <c r="J12" s="16"/>
      <c r="K12" s="16"/>
      <c r="L12" s="16"/>
    </row>
    <row r="13" spans="1:12" x14ac:dyDescent="0.25">
      <c r="A13" s="4" t="s">
        <v>3</v>
      </c>
    </row>
    <row r="15" spans="1:12" x14ac:dyDescent="0.25">
      <c r="A15" s="4" t="s">
        <v>4</v>
      </c>
    </row>
    <row r="16" spans="1:12" x14ac:dyDescent="0.25">
      <c r="A16" s="12" t="s">
        <v>69</v>
      </c>
      <c r="B16" s="30">
        <f>+D16+K16</f>
        <v>112401</v>
      </c>
      <c r="C16" s="30">
        <f>D16+E16</f>
        <v>30901.5</v>
      </c>
      <c r="D16" s="30">
        <f>(+'I Trimestre'!D16+'II Trimestre'!D16)/2</f>
        <v>19825</v>
      </c>
      <c r="E16" s="30">
        <f>(+'I Trimestre'!E16+'II Trimestre'!E16)/2</f>
        <v>11076.5</v>
      </c>
      <c r="F16" s="30">
        <f>K16+I16+H16</f>
        <v>110486</v>
      </c>
      <c r="G16" s="30">
        <f>(+'I Trimestre'!G16+'II Trimestre'!G16)/2</f>
        <v>9371.65</v>
      </c>
      <c r="H16" s="30">
        <f>(+'I Trimestre'!H16+'II Trimestre'!H16)/2</f>
        <v>12809.5</v>
      </c>
      <c r="I16" s="30">
        <f>(+'I Trimestre'!I16+'II Trimestre'!I16)/2</f>
        <v>5100.5</v>
      </c>
      <c r="J16" s="30">
        <f>(+'I Trimestre'!J16+'II Trimestre'!J16)/2</f>
        <v>24760.5</v>
      </c>
      <c r="K16" s="30">
        <f>(+'I Trimestre'!K16+'II Trimestre'!K16)/2</f>
        <v>92576</v>
      </c>
      <c r="L16" s="30">
        <f>+('I Trimestre'!L16+'II Trimestre'!L16)/2</f>
        <v>8246.5</v>
      </c>
    </row>
    <row r="17" spans="1:12" x14ac:dyDescent="0.25">
      <c r="A17" s="12" t="s">
        <v>101</v>
      </c>
      <c r="B17" s="30">
        <f t="shared" ref="B17:B18" si="0">+D17+K17</f>
        <v>138762.5</v>
      </c>
      <c r="C17" s="30">
        <f t="shared" ref="C17:C19" si="1">D17+E17</f>
        <v>62253.666666666664</v>
      </c>
      <c r="D17" s="30">
        <f>(+'I Trimestre'!D17+'II Trimestre'!D17)/2</f>
        <v>39337</v>
      </c>
      <c r="E17" s="30">
        <f>(+'I Trimestre'!E17+'II Trimestre'!E17)/2</f>
        <v>22916.666666666664</v>
      </c>
      <c r="F17" s="30">
        <f t="shared" ref="F17:F19" si="2">K17+I17+H17</f>
        <v>126154.5</v>
      </c>
      <c r="G17" s="30">
        <f>(+'I Trimestre'!G17+'II Trimestre'!G17)/2</f>
        <v>12951.5</v>
      </c>
      <c r="H17" s="30">
        <f>(+'I Trimestre'!H17+'II Trimestre'!H17)/2</f>
        <v>15690.5</v>
      </c>
      <c r="I17" s="30">
        <f>(+'I Trimestre'!I17+'II Trimestre'!I17)/2</f>
        <v>11038.5</v>
      </c>
      <c r="J17" s="30">
        <f>(+'I Trimestre'!J17+'II Trimestre'!J17)/2</f>
        <v>39779.5</v>
      </c>
      <c r="K17" s="30">
        <f>(+'I Trimestre'!K17+'II Trimestre'!K17)/2</f>
        <v>99425.5</v>
      </c>
      <c r="L17" s="30">
        <f>+('I Trimestre'!L17+'II Trimestre'!L17)/2</f>
        <v>8943</v>
      </c>
    </row>
    <row r="18" spans="1:12" x14ac:dyDescent="0.25">
      <c r="A18" s="12" t="s">
        <v>102</v>
      </c>
      <c r="B18" s="30">
        <f t="shared" si="0"/>
        <v>125487</v>
      </c>
      <c r="C18" s="30">
        <f t="shared" si="1"/>
        <v>39729.333333333336</v>
      </c>
      <c r="D18" s="30">
        <f>(+'I Trimestre'!D18+'II Trimestre'!D18)/2</f>
        <v>23032.5</v>
      </c>
      <c r="E18" s="30">
        <f>(+'I Trimestre'!E18+'II Trimestre'!E18)/2</f>
        <v>16696.833333333336</v>
      </c>
      <c r="F18" s="30">
        <f t="shared" si="2"/>
        <v>126048</v>
      </c>
      <c r="G18" s="30">
        <f>(+'I Trimestre'!G18+'II Trimestre'!G18)/2</f>
        <v>10089</v>
      </c>
      <c r="H18" s="30">
        <f>(+'I Trimestre'!H18+'II Trimestre'!H18)/2</f>
        <v>14292.666666666668</v>
      </c>
      <c r="I18" s="30">
        <f>(+'I Trimestre'!I18+'II Trimestre'!I18)/2</f>
        <v>9300.8333333333321</v>
      </c>
      <c r="J18" s="30">
        <f>(+'I Trimestre'!J18+'II Trimestre'!J18)/2</f>
        <v>31017.333333333332</v>
      </c>
      <c r="K18" s="30">
        <f>(+'I Trimestre'!K18+'II Trimestre'!K18)/2</f>
        <v>102454.5</v>
      </c>
      <c r="L18" s="30">
        <f>+('I Trimestre'!L18+'II Trimestre'!L18)/2</f>
        <v>8686.5</v>
      </c>
    </row>
    <row r="19" spans="1:12" x14ac:dyDescent="0.25">
      <c r="A19" s="12" t="s">
        <v>87</v>
      </c>
      <c r="B19" s="30">
        <f>+D19+K19</f>
        <v>146470.58333333337</v>
      </c>
      <c r="C19" s="30">
        <f t="shared" si="1"/>
        <v>66484.250000000029</v>
      </c>
      <c r="D19" s="14">
        <f>+'II Trimestre'!D19</f>
        <v>42525.916666666701</v>
      </c>
      <c r="E19" s="14">
        <f>+'II Trimestre'!E19</f>
        <v>23958.333333333332</v>
      </c>
      <c r="F19" s="30">
        <f t="shared" si="2"/>
        <v>131888.75</v>
      </c>
      <c r="G19" s="14">
        <f>+'II Trimestre'!G19</f>
        <v>13540.333333333334</v>
      </c>
      <c r="H19" s="14">
        <f>+'II Trimestre'!H19</f>
        <v>16403.833333333332</v>
      </c>
      <c r="I19" s="30">
        <f>'II Trimestre'!I19</f>
        <v>11540.25</v>
      </c>
      <c r="J19" s="30">
        <f>'II Trimestre'!J19</f>
        <v>41587.833333333336</v>
      </c>
      <c r="K19" s="14">
        <f>+'II Trimestre'!K19</f>
        <v>103944.66666666667</v>
      </c>
      <c r="L19" s="30">
        <f>+('I Trimestre'!L19+'II Trimestre'!L19)/2</f>
        <v>9349.5</v>
      </c>
    </row>
    <row r="20" spans="1:12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28"/>
    </row>
    <row r="21" spans="1:12" x14ac:dyDescent="0.25">
      <c r="A21" s="19" t="s">
        <v>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28"/>
    </row>
    <row r="22" spans="1:12" x14ac:dyDescent="0.25">
      <c r="A22" s="12" t="s">
        <v>69</v>
      </c>
      <c r="B22" s="10">
        <f>C22+F22+L22</f>
        <v>8774471982.4500008</v>
      </c>
      <c r="C22" s="30">
        <f>+'I Trimestre'!C22+'II Trimestre'!C22</f>
        <v>5388681288</v>
      </c>
      <c r="D22" s="27"/>
      <c r="E22" s="27"/>
      <c r="F22" s="14">
        <f>+'I Trimestre'!F22+'II Trimestre'!F22</f>
        <v>2356797854</v>
      </c>
      <c r="G22" s="27"/>
      <c r="H22" s="27"/>
      <c r="I22" s="27"/>
      <c r="J22" s="27"/>
      <c r="K22" s="10"/>
      <c r="L22" s="10">
        <f>+'I Trimestre'!L22+'II Trimestre'!L22</f>
        <v>1028992840.45</v>
      </c>
    </row>
    <row r="23" spans="1:12" x14ac:dyDescent="0.25">
      <c r="A23" s="12" t="s">
        <v>101</v>
      </c>
      <c r="B23" s="10">
        <f>C23+F23+L23</f>
        <v>16406842535.740437</v>
      </c>
      <c r="C23" s="30">
        <f>+'I Trimestre'!C23+'II Trimestre'!C23</f>
        <v>11695155477.130436</v>
      </c>
      <c r="D23" s="27"/>
      <c r="E23" s="27"/>
      <c r="F23" s="14">
        <f>+'I Trimestre'!F23+'II Trimestre'!F23</f>
        <v>3657972596.1099997</v>
      </c>
      <c r="G23" s="27"/>
      <c r="H23" s="27"/>
      <c r="I23" s="27"/>
      <c r="J23" s="27"/>
      <c r="K23" s="10"/>
      <c r="L23" s="10">
        <f>+'I Trimestre'!L23+'II Trimestre'!L23</f>
        <v>1053714462.5</v>
      </c>
    </row>
    <row r="24" spans="1:12" x14ac:dyDescent="0.25">
      <c r="A24" s="12" t="s">
        <v>102</v>
      </c>
      <c r="B24" s="10">
        <f>C24+F24+L24</f>
        <v>10544386105.02</v>
      </c>
      <c r="C24" s="30">
        <f>+'I Trimestre'!C24+'II Trimestre'!C24</f>
        <v>7113647321.5200005</v>
      </c>
      <c r="D24" s="27"/>
      <c r="E24" s="27"/>
      <c r="F24" s="14">
        <f>+'I Trimestre'!F24+'II Trimestre'!F24</f>
        <v>2654146578</v>
      </c>
      <c r="G24" s="27"/>
      <c r="H24" s="27"/>
      <c r="I24" s="27"/>
      <c r="J24" s="27"/>
      <c r="K24" s="10"/>
      <c r="L24" s="10">
        <f>+'I Trimestre'!L24+'II Trimestre'!L24</f>
        <v>776592205.5</v>
      </c>
    </row>
    <row r="25" spans="1:12" x14ac:dyDescent="0.25">
      <c r="A25" s="12" t="s">
        <v>87</v>
      </c>
      <c r="B25" s="10">
        <f>C25+F25+L25</f>
        <v>35937418461.5</v>
      </c>
      <c r="C25" s="30">
        <f>+'II Trimestre'!C25</f>
        <v>25709611105</v>
      </c>
      <c r="D25" s="27"/>
      <c r="E25" s="27"/>
      <c r="F25" s="14">
        <f>+'II Trimestre'!F25</f>
        <v>7940475962</v>
      </c>
      <c r="G25" s="27"/>
      <c r="H25" s="27"/>
      <c r="I25" s="27"/>
      <c r="J25" s="27"/>
      <c r="K25" s="10"/>
      <c r="L25" s="10">
        <f>+'II Trimestre'!L25</f>
        <v>2287331394.5</v>
      </c>
    </row>
    <row r="26" spans="1:12" x14ac:dyDescent="0.25">
      <c r="A26" s="12" t="s">
        <v>103</v>
      </c>
      <c r="B26" s="10">
        <f>C26+F26+L26</f>
        <v>10544386105.02</v>
      </c>
      <c r="C26" s="14">
        <f>C24</f>
        <v>7113647321.5200005</v>
      </c>
      <c r="D26" s="27"/>
      <c r="E26" s="27"/>
      <c r="F26" s="14">
        <f>F24</f>
        <v>2654146578</v>
      </c>
      <c r="G26" s="27"/>
      <c r="H26" s="27"/>
      <c r="I26" s="27"/>
      <c r="J26" s="27"/>
      <c r="K26" s="28"/>
      <c r="L26" s="28">
        <f>L24</f>
        <v>776592205.5</v>
      </c>
    </row>
    <row r="27" spans="1:12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28"/>
    </row>
    <row r="28" spans="1:12" x14ac:dyDescent="0.25">
      <c r="A28" s="19" t="s">
        <v>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28"/>
    </row>
    <row r="29" spans="1:12" x14ac:dyDescent="0.25">
      <c r="A29" s="12" t="s">
        <v>101</v>
      </c>
      <c r="B29" s="10">
        <f>+B23</f>
        <v>16406842535.740437</v>
      </c>
      <c r="C29" s="10"/>
      <c r="D29" s="10"/>
      <c r="E29" s="10"/>
      <c r="F29" s="10"/>
      <c r="G29" s="10"/>
      <c r="H29" s="10"/>
      <c r="I29" s="10"/>
      <c r="J29" s="10"/>
      <c r="K29" s="10"/>
      <c r="L29" s="28"/>
    </row>
    <row r="30" spans="1:12" x14ac:dyDescent="0.25">
      <c r="A30" s="12" t="s">
        <v>102</v>
      </c>
      <c r="B30" s="10">
        <f>+'I Trimestre'!B30+'II Trimestre'!B30</f>
        <v>16406842534</v>
      </c>
      <c r="C30" s="10"/>
      <c r="D30" s="10"/>
      <c r="E30" s="10"/>
      <c r="F30" s="10"/>
      <c r="G30" s="10"/>
      <c r="H30" s="10"/>
      <c r="I30" s="10"/>
      <c r="J30" s="10"/>
      <c r="K30" s="10"/>
      <c r="L30" s="28"/>
    </row>
    <row r="32" spans="1:12" x14ac:dyDescent="0.25">
      <c r="A32" s="4" t="s">
        <v>7</v>
      </c>
    </row>
    <row r="33" spans="1:12" x14ac:dyDescent="0.25">
      <c r="A33" s="12" t="s">
        <v>70</v>
      </c>
      <c r="B33" s="38">
        <v>1.0303325644000001</v>
      </c>
      <c r="C33" s="38">
        <v>1.0303325644000001</v>
      </c>
      <c r="D33" s="38">
        <v>1.0303325644000001</v>
      </c>
      <c r="E33" s="38">
        <v>1.0303325644000001</v>
      </c>
      <c r="F33" s="38">
        <v>1.0303325644000001</v>
      </c>
      <c r="G33" s="38">
        <v>1.0303325644000001</v>
      </c>
      <c r="H33" s="38">
        <v>1.0303325644000001</v>
      </c>
      <c r="I33" s="38">
        <v>1.0303325644000001</v>
      </c>
      <c r="J33" s="38">
        <v>1.0303325644000001</v>
      </c>
      <c r="K33" s="38">
        <v>1.0303325644000001</v>
      </c>
      <c r="L33" s="38">
        <v>1.0303325644000001</v>
      </c>
    </row>
    <row r="34" spans="1:12" x14ac:dyDescent="0.25">
      <c r="A34" s="12" t="s">
        <v>104</v>
      </c>
      <c r="B34" s="38">
        <v>1.0552807376</v>
      </c>
      <c r="C34" s="38">
        <v>1.0552807376</v>
      </c>
      <c r="D34" s="38">
        <v>1.0552807376</v>
      </c>
      <c r="E34" s="38">
        <v>1.0552807376</v>
      </c>
      <c r="F34" s="38">
        <v>1.0552807376</v>
      </c>
      <c r="G34" s="38">
        <v>1.0552807376</v>
      </c>
      <c r="H34" s="38">
        <v>1.0552807376</v>
      </c>
      <c r="I34" s="38">
        <v>1.0552807376</v>
      </c>
      <c r="J34" s="38">
        <v>1.0552807376</v>
      </c>
      <c r="K34" s="38">
        <v>1.0552807376</v>
      </c>
      <c r="L34" s="38">
        <v>1.0552807376</v>
      </c>
    </row>
    <row r="35" spans="1:12" x14ac:dyDescent="0.25">
      <c r="A35" s="12" t="s">
        <v>8</v>
      </c>
      <c r="B35" s="28">
        <v>101406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x14ac:dyDescent="0.25">
      <c r="A37" s="4" t="s">
        <v>9</v>
      </c>
      <c r="B37" s="28"/>
      <c r="C37" s="28"/>
      <c r="D37" s="27"/>
      <c r="E37" s="27"/>
      <c r="F37" s="27"/>
      <c r="G37" s="14"/>
      <c r="H37" s="14"/>
      <c r="I37" s="14"/>
      <c r="J37" s="14"/>
      <c r="K37" s="14"/>
      <c r="L37" s="28"/>
    </row>
    <row r="38" spans="1:12" x14ac:dyDescent="0.25">
      <c r="A38" s="13" t="s">
        <v>71</v>
      </c>
      <c r="B38" s="14">
        <f>B22/B33</f>
        <v>8516155157.6890059</v>
      </c>
      <c r="C38" s="14">
        <f>C22/C33</f>
        <v>5230040740.4263926</v>
      </c>
      <c r="D38" s="14"/>
      <c r="E38" s="14"/>
      <c r="F38" s="14">
        <f>F22/F33</f>
        <v>2287414700.2938304</v>
      </c>
      <c r="G38" s="14"/>
      <c r="H38" s="14"/>
      <c r="I38" s="14"/>
      <c r="J38" s="14"/>
      <c r="K38" s="14"/>
      <c r="L38" s="14">
        <f>L22/L33</f>
        <v>998699716.96878254</v>
      </c>
    </row>
    <row r="39" spans="1:12" x14ac:dyDescent="0.25">
      <c r="A39" s="13" t="s">
        <v>105</v>
      </c>
      <c r="B39" s="14">
        <f>B24/B34</f>
        <v>9992019876.1524334</v>
      </c>
      <c r="C39" s="14">
        <f>C24/C34</f>
        <v>6740999876.2020435</v>
      </c>
      <c r="D39" s="14"/>
      <c r="E39" s="14"/>
      <c r="F39" s="14">
        <f>F24/F34</f>
        <v>2515109471.2827439</v>
      </c>
      <c r="G39" s="14"/>
      <c r="H39" s="14"/>
      <c r="I39" s="14"/>
      <c r="J39" s="14"/>
      <c r="K39" s="14"/>
      <c r="L39" s="14">
        <f>L24/L34</f>
        <v>735910528.66764653</v>
      </c>
    </row>
    <row r="40" spans="1:12" x14ac:dyDescent="0.25">
      <c r="A40" s="13" t="s">
        <v>72</v>
      </c>
      <c r="B40" s="14">
        <f>B38/B16</f>
        <v>75765.830888417418</v>
      </c>
      <c r="C40" s="14">
        <f>C38/C16</f>
        <v>169248.76593131054</v>
      </c>
      <c r="D40" s="14"/>
      <c r="E40" s="14"/>
      <c r="F40" s="14">
        <f>F38/F16</f>
        <v>20703.208553969103</v>
      </c>
      <c r="G40" s="14"/>
      <c r="H40" s="14"/>
      <c r="I40" s="14"/>
      <c r="J40" s="14"/>
      <c r="K40" s="14"/>
      <c r="L40" s="14">
        <f>L38/L16</f>
        <v>121105.88940384194</v>
      </c>
    </row>
    <row r="41" spans="1:12" x14ac:dyDescent="0.25">
      <c r="A41" s="13" t="s">
        <v>106</v>
      </c>
      <c r="B41" s="14">
        <f>B39/B18</f>
        <v>79625.936361156404</v>
      </c>
      <c r="C41" s="14">
        <f>C39/C18</f>
        <v>169673.11833914596</v>
      </c>
      <c r="D41" s="14"/>
      <c r="E41" s="14"/>
      <c r="F41" s="14">
        <f>F39/F18</f>
        <v>19953.584914340125</v>
      </c>
      <c r="G41" s="14"/>
      <c r="H41" s="14"/>
      <c r="I41" s="14"/>
      <c r="J41" s="14"/>
      <c r="K41" s="14"/>
      <c r="L41" s="14">
        <f>L39/L18</f>
        <v>84718.877415258918</v>
      </c>
    </row>
    <row r="43" spans="1:12" x14ac:dyDescent="0.25">
      <c r="A43" s="4" t="s">
        <v>10</v>
      </c>
    </row>
    <row r="45" spans="1:12" x14ac:dyDescent="0.25">
      <c r="A45" s="4" t="s">
        <v>11</v>
      </c>
    </row>
    <row r="46" spans="1:12" x14ac:dyDescent="0.25">
      <c r="A46" s="13" t="s">
        <v>12</v>
      </c>
      <c r="B46" s="40">
        <f t="shared" ref="B46" si="3">(B17/B35)*100</f>
        <v>136.83854998718024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 x14ac:dyDescent="0.25">
      <c r="A47" s="13" t="s">
        <v>13</v>
      </c>
      <c r="B47" s="40">
        <f t="shared" ref="B47" si="4">(B18/B35)*100</f>
        <v>123.74711555529258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x14ac:dyDescent="0.2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49" spans="1:12" x14ac:dyDescent="0.25">
      <c r="A49" s="4" t="s">
        <v>14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</row>
    <row r="50" spans="1:12" x14ac:dyDescent="0.25">
      <c r="A50" s="13" t="s">
        <v>15</v>
      </c>
      <c r="B50" s="41">
        <f t="shared" ref="B50:L50" si="5">B18/B17*100</f>
        <v>90.432933969912625</v>
      </c>
      <c r="C50" s="41">
        <f t="shared" si="5"/>
        <v>63.818463169505414</v>
      </c>
      <c r="D50" s="41">
        <f t="shared" si="5"/>
        <v>58.551745176297118</v>
      </c>
      <c r="E50" s="41">
        <f t="shared" si="5"/>
        <v>72.858909090909108</v>
      </c>
      <c r="F50" s="41">
        <f t="shared" si="5"/>
        <v>99.91557970583689</v>
      </c>
      <c r="G50" s="41">
        <f t="shared" si="5"/>
        <v>77.898312936725475</v>
      </c>
      <c r="H50" s="41">
        <f t="shared" si="5"/>
        <v>91.091212304685428</v>
      </c>
      <c r="I50" s="41">
        <f t="shared" si="5"/>
        <v>84.258126859023704</v>
      </c>
      <c r="J50" s="41">
        <f t="shared" si="5"/>
        <v>77.973160379927691</v>
      </c>
      <c r="K50" s="41">
        <f t="shared" si="5"/>
        <v>103.04650215487979</v>
      </c>
      <c r="L50" s="41">
        <f t="shared" si="5"/>
        <v>97.131834954713185</v>
      </c>
    </row>
    <row r="51" spans="1:12" x14ac:dyDescent="0.25">
      <c r="A51" s="13" t="s">
        <v>16</v>
      </c>
      <c r="B51" s="41">
        <f>B24/B23*100</f>
        <v>64.268222737252813</v>
      </c>
      <c r="C51" s="41">
        <f>C24/C23*100</f>
        <v>60.825590009731357</v>
      </c>
      <c r="D51" s="41"/>
      <c r="E51" s="41"/>
      <c r="F51" s="41">
        <f>F24/F23*100</f>
        <v>72.557858438373785</v>
      </c>
      <c r="G51" s="41"/>
      <c r="H51" s="41"/>
      <c r="I51" s="41"/>
      <c r="J51" s="41"/>
      <c r="K51" s="41"/>
      <c r="L51" s="41">
        <f>L24/L23*100</f>
        <v>73.700440976912191</v>
      </c>
    </row>
    <row r="52" spans="1:12" x14ac:dyDescent="0.25">
      <c r="A52" s="13" t="s">
        <v>17</v>
      </c>
      <c r="B52" s="41">
        <f>AVERAGE(B50:B51)</f>
        <v>77.350578353582719</v>
      </c>
      <c r="C52" s="41">
        <f t="shared" ref="C52" si="6">AVERAGE(C50:C51)</f>
        <v>62.322026589618389</v>
      </c>
      <c r="D52" s="41"/>
      <c r="E52" s="41"/>
      <c r="F52" s="41">
        <f t="shared" ref="F52" si="7">AVERAGE(F50:F51)</f>
        <v>86.23671907210533</v>
      </c>
      <c r="G52" s="41"/>
      <c r="H52" s="41"/>
      <c r="I52" s="41"/>
      <c r="J52" s="41"/>
      <c r="K52" s="41"/>
      <c r="L52" s="41">
        <f t="shared" ref="L52" si="8">AVERAGE(L50:L51)</f>
        <v>85.41613796581268</v>
      </c>
    </row>
    <row r="53" spans="1:12" x14ac:dyDescent="0.25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1:12" x14ac:dyDescent="0.25">
      <c r="A54" s="4" t="s">
        <v>18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spans="1:12" x14ac:dyDescent="0.25">
      <c r="A55" s="13" t="s">
        <v>19</v>
      </c>
      <c r="B55" s="42">
        <f t="shared" ref="B55:L55" si="9">((B18/B19)*100)</f>
        <v>85.673858288951052</v>
      </c>
      <c r="C55" s="42">
        <f t="shared" si="9"/>
        <v>59.757511490816725</v>
      </c>
      <c r="D55" s="42">
        <f t="shared" si="9"/>
        <v>54.16109000197914</v>
      </c>
      <c r="E55" s="42">
        <f t="shared" si="9"/>
        <v>69.691130434782622</v>
      </c>
      <c r="F55" s="42">
        <f t="shared" si="9"/>
        <v>95.571457004482937</v>
      </c>
      <c r="G55" s="42">
        <f t="shared" si="9"/>
        <v>74.510721055611626</v>
      </c>
      <c r="H55" s="42">
        <f t="shared" si="9"/>
        <v>87.130040742509379</v>
      </c>
      <c r="I55" s="42">
        <f t="shared" si="9"/>
        <v>80.59473003906615</v>
      </c>
      <c r="J55" s="42">
        <f t="shared" si="9"/>
        <v>74.582710488243748</v>
      </c>
      <c r="K55" s="42">
        <f t="shared" si="9"/>
        <v>98.566384679027948</v>
      </c>
      <c r="L55" s="42">
        <f t="shared" si="9"/>
        <v>92.908711695812613</v>
      </c>
    </row>
    <row r="56" spans="1:12" x14ac:dyDescent="0.25">
      <c r="A56" s="13" t="s">
        <v>20</v>
      </c>
      <c r="B56" s="42">
        <f>B24/B25*100</f>
        <v>29.340967037786182</v>
      </c>
      <c r="C56" s="42">
        <f>C24/C25*100</f>
        <v>27.669214024542516</v>
      </c>
      <c r="D56" s="42"/>
      <c r="E56" s="42"/>
      <c r="F56" s="42">
        <f>F24/F25*100</f>
        <v>33.425535077515548</v>
      </c>
      <c r="G56" s="42"/>
      <c r="H56" s="42"/>
      <c r="I56" s="42"/>
      <c r="J56" s="42"/>
      <c r="K56" s="42"/>
      <c r="L56" s="42">
        <f>L24/L25*100</f>
        <v>33.951888535581418</v>
      </c>
    </row>
    <row r="57" spans="1:12" x14ac:dyDescent="0.25">
      <c r="A57" s="13" t="s">
        <v>21</v>
      </c>
      <c r="B57" s="42">
        <f>(B55+B56)/2</f>
        <v>57.507412663368619</v>
      </c>
      <c r="C57" s="42">
        <f>(C55+C56)/2</f>
        <v>43.713362757679619</v>
      </c>
      <c r="D57" s="42"/>
      <c r="E57" s="42"/>
      <c r="F57" s="42">
        <f>(F55+F56)/2</f>
        <v>64.498496040999242</v>
      </c>
      <c r="G57" s="42"/>
      <c r="H57" s="42"/>
      <c r="I57" s="42"/>
      <c r="J57" s="42"/>
      <c r="K57" s="42"/>
      <c r="L57" s="42">
        <f>(L55+L56)/2</f>
        <v>63.430300115697015</v>
      </c>
    </row>
    <row r="58" spans="1:12" x14ac:dyDescent="0.25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</row>
    <row r="59" spans="1:12" x14ac:dyDescent="0.25">
      <c r="A59" s="4" t="s">
        <v>36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</row>
    <row r="60" spans="1:12" x14ac:dyDescent="0.25">
      <c r="A60" s="13" t="s">
        <v>22</v>
      </c>
      <c r="B60" s="40">
        <f>B26/B24*100</f>
        <v>100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</row>
    <row r="61" spans="1:12" x14ac:dyDescent="0.2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</row>
    <row r="62" spans="1:12" x14ac:dyDescent="0.25">
      <c r="A62" s="4" t="s">
        <v>23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</row>
    <row r="63" spans="1:12" x14ac:dyDescent="0.25">
      <c r="A63" s="13" t="s">
        <v>24</v>
      </c>
      <c r="B63" s="41">
        <f t="shared" ref="B63:L63" si="10">((B18/B16)-1)*100</f>
        <v>11.642245175754674</v>
      </c>
      <c r="C63" s="41">
        <f t="shared" si="10"/>
        <v>28.567653134421754</v>
      </c>
      <c r="D63" s="41">
        <f t="shared" si="10"/>
        <v>16.179066834804544</v>
      </c>
      <c r="E63" s="41">
        <f t="shared" si="10"/>
        <v>50.741058396906389</v>
      </c>
      <c r="F63" s="41">
        <f t="shared" si="10"/>
        <v>14.085042448817052</v>
      </c>
      <c r="G63" s="41" t="s">
        <v>78</v>
      </c>
      <c r="H63" s="41">
        <f t="shared" si="10"/>
        <v>11.578646056962949</v>
      </c>
      <c r="I63" s="41">
        <f t="shared" si="10"/>
        <v>82.351403457177369</v>
      </c>
      <c r="J63" s="41">
        <f t="shared" si="10"/>
        <v>25.269414322543284</v>
      </c>
      <c r="K63" s="41">
        <f t="shared" si="10"/>
        <v>10.670692188040087</v>
      </c>
      <c r="L63" s="41">
        <f t="shared" si="10"/>
        <v>5.3355969199054165</v>
      </c>
    </row>
    <row r="64" spans="1:12" x14ac:dyDescent="0.25">
      <c r="A64" s="13" t="s">
        <v>25</v>
      </c>
      <c r="B64" s="41">
        <f>((B39/B38)-1)*100</f>
        <v>17.330176483819805</v>
      </c>
      <c r="C64" s="41">
        <f>((C39/C38)-1)*100</f>
        <v>28.890006995480235</v>
      </c>
      <c r="D64" s="41"/>
      <c r="E64" s="41"/>
      <c r="F64" s="41">
        <f>((F39/F38)-1)*100</f>
        <v>9.9542409585662295</v>
      </c>
      <c r="G64" s="41"/>
      <c r="H64" s="41"/>
      <c r="I64" s="41"/>
      <c r="J64" s="41"/>
      <c r="K64" s="41"/>
      <c r="L64" s="41">
        <f>((L39/L38)-1)*100</f>
        <v>-26.313133350907947</v>
      </c>
    </row>
    <row r="65" spans="1:12" x14ac:dyDescent="0.25">
      <c r="A65" s="13" t="s">
        <v>26</v>
      </c>
      <c r="B65" s="41">
        <f>((B41/B40)-1)*100</f>
        <v>5.0947840569766534</v>
      </c>
      <c r="C65" s="41">
        <f>((C41/C40)-1)*100</f>
        <v>0.25072703218860237</v>
      </c>
      <c r="D65" s="41"/>
      <c r="E65" s="41"/>
      <c r="F65" s="41">
        <f>((F41/F40)-1)*100</f>
        <v>-3.620809004917569</v>
      </c>
      <c r="G65" s="41"/>
      <c r="H65" s="41"/>
      <c r="I65" s="41"/>
      <c r="J65" s="41"/>
      <c r="K65" s="41"/>
      <c r="L65" s="41">
        <f>((L41/L40)-1)*100</f>
        <v>-30.04561724264806</v>
      </c>
    </row>
    <row r="66" spans="1:12" x14ac:dyDescent="0.2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</row>
    <row r="67" spans="1:12" x14ac:dyDescent="0.25">
      <c r="A67" s="4" t="s">
        <v>27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</row>
    <row r="68" spans="1:12" x14ac:dyDescent="0.25">
      <c r="A68" s="13" t="s">
        <v>28</v>
      </c>
      <c r="B68" s="41">
        <f>B23/(B17*6)</f>
        <v>19706.143633595097</v>
      </c>
      <c r="C68" s="41">
        <f>C23/(C17*6)</f>
        <v>31310.486335826099</v>
      </c>
      <c r="D68" s="41"/>
      <c r="E68" s="41"/>
      <c r="F68" s="41">
        <f>F23/(F17*6)</f>
        <v>4832.662325574328</v>
      </c>
      <c r="G68" s="41"/>
      <c r="H68" s="41"/>
      <c r="I68" s="41"/>
      <c r="J68" s="41"/>
      <c r="K68" s="41"/>
      <c r="L68" s="41">
        <f>L23/(L17*6)</f>
        <v>19637.602268068134</v>
      </c>
    </row>
    <row r="69" spans="1:12" x14ac:dyDescent="0.25">
      <c r="A69" s="13" t="s">
        <v>29</v>
      </c>
      <c r="B69" s="41">
        <f>B24/(B18*6)</f>
        <v>14004.619475881964</v>
      </c>
      <c r="C69" s="41">
        <f>C24/(C18*6)</f>
        <v>29842.128911971005</v>
      </c>
      <c r="D69" s="41"/>
      <c r="E69" s="41"/>
      <c r="F69" s="41">
        <f>F24/(F18*6)</f>
        <v>3509.4389676948463</v>
      </c>
      <c r="G69" s="41"/>
      <c r="H69" s="41"/>
      <c r="I69" s="41"/>
      <c r="J69" s="41"/>
      <c r="K69" s="41"/>
      <c r="L69" s="41">
        <f>L24/(L18*6)</f>
        <v>14900.366574569734</v>
      </c>
    </row>
    <row r="70" spans="1:12" x14ac:dyDescent="0.25">
      <c r="A70" s="13" t="s">
        <v>30</v>
      </c>
      <c r="B70" s="41">
        <f>(B69/B68)*B52</f>
        <v>54.970948970176181</v>
      </c>
      <c r="C70" s="41">
        <f>(C69/C68)*C52</f>
        <v>59.399331316506263</v>
      </c>
      <c r="D70" s="41"/>
      <c r="E70" s="41"/>
      <c r="F70" s="41">
        <f>(F69/F68)*F52</f>
        <v>62.624384235625833</v>
      </c>
      <c r="G70" s="41"/>
      <c r="H70" s="41"/>
      <c r="I70" s="41"/>
      <c r="J70" s="41"/>
      <c r="K70" s="41"/>
      <c r="L70" s="41">
        <f>(L69/L68)*L52</f>
        <v>64.810955517933408</v>
      </c>
    </row>
    <row r="71" spans="1:12" x14ac:dyDescent="0.25">
      <c r="A71" s="13" t="s">
        <v>37</v>
      </c>
      <c r="B71" s="41">
        <f>B23/B17</f>
        <v>118236.86180157057</v>
      </c>
      <c r="C71" s="41">
        <f>C23/C17</f>
        <v>187862.91801495661</v>
      </c>
      <c r="D71" s="41"/>
      <c r="E71" s="41"/>
      <c r="F71" s="41">
        <f>F23/F17</f>
        <v>28995.97395344597</v>
      </c>
      <c r="G71" s="41"/>
      <c r="H71" s="41"/>
      <c r="I71" s="41"/>
      <c r="J71" s="41"/>
      <c r="K71" s="41"/>
      <c r="L71" s="41">
        <f>L23/L17</f>
        <v>117825.61360840881</v>
      </c>
    </row>
    <row r="72" spans="1:12" x14ac:dyDescent="0.25">
      <c r="A72" s="13" t="s">
        <v>38</v>
      </c>
      <c r="B72" s="41">
        <f>B24/B18</f>
        <v>84027.716855291786</v>
      </c>
      <c r="C72" s="41">
        <f>C24/C18</f>
        <v>179052.77347182602</v>
      </c>
      <c r="D72" s="41"/>
      <c r="E72" s="41"/>
      <c r="F72" s="41">
        <f>F24/F18</f>
        <v>21056.633806169077</v>
      </c>
      <c r="G72" s="41"/>
      <c r="H72" s="41"/>
      <c r="I72" s="41"/>
      <c r="J72" s="41"/>
      <c r="K72" s="41"/>
      <c r="L72" s="41">
        <f>L24/L18</f>
        <v>89402.199447418403</v>
      </c>
    </row>
    <row r="73" spans="1:12" x14ac:dyDescent="0.2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1:12" x14ac:dyDescent="0.25">
      <c r="A74" s="4" t="s">
        <v>31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</row>
    <row r="75" spans="1:12" x14ac:dyDescent="0.25">
      <c r="A75" s="13" t="s">
        <v>32</v>
      </c>
      <c r="B75" s="40">
        <f>(B30/B29)*100</f>
        <v>99.999999989392009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</row>
    <row r="76" spans="1:12" ht="15.75" thickBot="1" x14ac:dyDescent="0.3">
      <c r="A76" s="21" t="s">
        <v>33</v>
      </c>
      <c r="B76" s="44">
        <f>(B24/B30)*100</f>
        <v>64.268222744070385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</row>
    <row r="77" spans="1:12" ht="15.75" thickTop="1" x14ac:dyDescent="0.25">
      <c r="A77" s="50" t="s">
        <v>92</v>
      </c>
      <c r="B77" s="50"/>
      <c r="C77" s="50"/>
      <c r="D77" s="50"/>
      <c r="E77" s="50"/>
      <c r="F77" s="50"/>
      <c r="G77" s="22"/>
      <c r="H77" s="22"/>
      <c r="I77" s="22"/>
      <c r="J77" s="22"/>
      <c r="K77" s="22"/>
      <c r="L77" s="22"/>
    </row>
    <row r="78" spans="1:12" x14ac:dyDescent="0.2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x14ac:dyDescent="0.25">
      <c r="A79" s="22" t="s">
        <v>130</v>
      </c>
    </row>
    <row r="80" spans="1:12" x14ac:dyDescent="0.25">
      <c r="A80" s="13" t="s">
        <v>133</v>
      </c>
    </row>
  </sheetData>
  <mergeCells count="6">
    <mergeCell ref="A77:F77"/>
    <mergeCell ref="G10:K10"/>
    <mergeCell ref="A9:A10"/>
    <mergeCell ref="D10:E10"/>
    <mergeCell ref="B9:B10"/>
    <mergeCell ref="C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81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13" customWidth="1"/>
    <col min="2" max="2" width="16.28515625" style="13" bestFit="1" customWidth="1"/>
    <col min="3" max="3" width="18.5703125" style="13" bestFit="1" customWidth="1"/>
    <col min="4" max="5" width="15.7109375" style="13" customWidth="1"/>
    <col min="6" max="6" width="16.28515625" style="13" bestFit="1" customWidth="1"/>
    <col min="7" max="14" width="15.7109375" style="13" customWidth="1"/>
    <col min="15" max="15" width="11.42578125" style="13"/>
    <col min="16" max="16" width="17.85546875" style="13" bestFit="1" customWidth="1"/>
    <col min="17" max="16384" width="11.42578125" style="13"/>
  </cols>
  <sheetData>
    <row r="9" spans="1:16" x14ac:dyDescent="0.25">
      <c r="A9" s="53" t="s">
        <v>0</v>
      </c>
      <c r="B9" s="53" t="s">
        <v>47</v>
      </c>
      <c r="C9" s="52" t="s">
        <v>2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6" ht="45.75" thickBot="1" x14ac:dyDescent="0.3">
      <c r="A10" s="54"/>
      <c r="B10" s="54"/>
      <c r="C10" s="33" t="s">
        <v>46</v>
      </c>
      <c r="D10" s="55" t="s">
        <v>49</v>
      </c>
      <c r="E10" s="55"/>
      <c r="F10" s="33" t="s">
        <v>43</v>
      </c>
      <c r="G10" s="54" t="s">
        <v>48</v>
      </c>
      <c r="H10" s="54"/>
      <c r="I10" s="54"/>
      <c r="J10" s="54"/>
      <c r="K10" s="54"/>
      <c r="L10" s="34" t="s">
        <v>107</v>
      </c>
      <c r="M10" s="34" t="s">
        <v>108</v>
      </c>
      <c r="N10" s="34" t="s">
        <v>77</v>
      </c>
    </row>
    <row r="11" spans="1:16" ht="45.75" customHeight="1" thickTop="1" x14ac:dyDescent="0.25">
      <c r="B11" s="16" t="s">
        <v>1</v>
      </c>
      <c r="C11" s="17" t="s">
        <v>52</v>
      </c>
      <c r="D11" s="18" t="s">
        <v>79</v>
      </c>
      <c r="E11" s="18" t="s">
        <v>51</v>
      </c>
      <c r="F11" s="16" t="s">
        <v>45</v>
      </c>
      <c r="G11" s="16" t="s">
        <v>136</v>
      </c>
      <c r="H11" s="16" t="s">
        <v>80</v>
      </c>
      <c r="I11" s="16" t="s">
        <v>81</v>
      </c>
      <c r="J11" s="16" t="s">
        <v>82</v>
      </c>
      <c r="K11" s="16" t="s">
        <v>83</v>
      </c>
      <c r="L11" s="16" t="s">
        <v>109</v>
      </c>
      <c r="M11" s="16" t="s">
        <v>83</v>
      </c>
      <c r="N11" s="16" t="s">
        <v>84</v>
      </c>
    </row>
    <row r="13" spans="1:16" x14ac:dyDescent="0.25">
      <c r="A13" s="4" t="s">
        <v>3</v>
      </c>
    </row>
    <row r="15" spans="1:16" x14ac:dyDescent="0.25">
      <c r="A15" s="4" t="s">
        <v>4</v>
      </c>
    </row>
    <row r="16" spans="1:16" x14ac:dyDescent="0.25">
      <c r="A16" s="12" t="s">
        <v>61</v>
      </c>
      <c r="B16" s="30">
        <f>+D16+K16</f>
        <v>128577</v>
      </c>
      <c r="C16" s="30">
        <f>+D16+E16</f>
        <v>42802</v>
      </c>
      <c r="D16" s="30">
        <v>25050</v>
      </c>
      <c r="E16" s="30">
        <v>17752</v>
      </c>
      <c r="F16" s="30">
        <f>+K16+I16+H16</f>
        <v>127053</v>
      </c>
      <c r="G16" s="30">
        <v>10945</v>
      </c>
      <c r="H16" s="30">
        <v>14513</v>
      </c>
      <c r="I16" s="30">
        <v>9013</v>
      </c>
      <c r="J16" s="30">
        <v>31700</v>
      </c>
      <c r="K16" s="30">
        <v>103527</v>
      </c>
      <c r="L16" s="30">
        <v>0</v>
      </c>
      <c r="M16" s="30">
        <v>0</v>
      </c>
      <c r="N16" s="30">
        <v>9256</v>
      </c>
      <c r="P16" s="30"/>
    </row>
    <row r="17" spans="1:16" x14ac:dyDescent="0.25">
      <c r="A17" s="12" t="s">
        <v>110</v>
      </c>
      <c r="B17" s="30">
        <f t="shared" ref="B17:B18" si="0">+D17+K17</f>
        <v>145506</v>
      </c>
      <c r="C17" s="30">
        <f t="shared" ref="C17:C19" si="1">+D17+E17</f>
        <v>69375</v>
      </c>
      <c r="D17" s="30">
        <v>44375</v>
      </c>
      <c r="E17" s="30">
        <v>25000</v>
      </c>
      <c r="F17" s="30">
        <f>+K17+I17+H17+L17+M17</f>
        <v>157290</v>
      </c>
      <c r="G17" s="30">
        <v>14129</v>
      </c>
      <c r="H17" s="30">
        <v>17117</v>
      </c>
      <c r="I17" s="30">
        <v>12042</v>
      </c>
      <c r="J17" s="30">
        <v>41179</v>
      </c>
      <c r="K17" s="14">
        <v>101131</v>
      </c>
      <c r="L17" s="14">
        <v>5000</v>
      </c>
      <c r="M17" s="14">
        <v>22000</v>
      </c>
      <c r="N17" s="30">
        <v>9756</v>
      </c>
      <c r="P17" s="28"/>
    </row>
    <row r="18" spans="1:16" x14ac:dyDescent="0.25">
      <c r="A18" s="12" t="s">
        <v>111</v>
      </c>
      <c r="B18" s="30">
        <f t="shared" si="0"/>
        <v>137971.66666666666</v>
      </c>
      <c r="C18" s="30">
        <f t="shared" si="1"/>
        <v>49543.666666666672</v>
      </c>
      <c r="D18" s="30">
        <v>27496.666666666668</v>
      </c>
      <c r="E18" s="30">
        <v>22047</v>
      </c>
      <c r="F18" s="30">
        <f>+K18+I18+H18+L18+M18</f>
        <v>137319.33333333331</v>
      </c>
      <c r="G18" s="30">
        <v>10810.666666666666</v>
      </c>
      <c r="H18" s="30">
        <v>15954</v>
      </c>
      <c r="I18" s="30">
        <v>10890.333333333334</v>
      </c>
      <c r="J18" s="30">
        <v>34769</v>
      </c>
      <c r="K18" s="30">
        <v>110475</v>
      </c>
      <c r="L18" s="30">
        <v>0</v>
      </c>
      <c r="M18" s="30">
        <v>0</v>
      </c>
      <c r="N18" s="30">
        <v>9647</v>
      </c>
    </row>
    <row r="19" spans="1:16" x14ac:dyDescent="0.25">
      <c r="A19" s="12" t="s">
        <v>87</v>
      </c>
      <c r="B19" s="30">
        <f>+D19+K19</f>
        <v>138467.91999999998</v>
      </c>
      <c r="C19" s="30">
        <f t="shared" si="1"/>
        <v>65814.25</v>
      </c>
      <c r="D19" s="14">
        <v>41855.919999999998</v>
      </c>
      <c r="E19" s="14">
        <v>23958.33</v>
      </c>
      <c r="F19" s="30">
        <f>+K19+I19+H19+L19+M19</f>
        <v>151556.08000000002</v>
      </c>
      <c r="G19" s="14">
        <v>13540.33</v>
      </c>
      <c r="H19" s="14">
        <v>16403.830000000002</v>
      </c>
      <c r="I19" s="14">
        <v>11540.25</v>
      </c>
      <c r="J19" s="14">
        <v>39921.17</v>
      </c>
      <c r="K19" s="14">
        <v>96612</v>
      </c>
      <c r="L19" s="14">
        <v>5000</v>
      </c>
      <c r="M19" s="14">
        <v>22000</v>
      </c>
      <c r="N19" s="30">
        <v>9350</v>
      </c>
    </row>
    <row r="20" spans="1:16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28"/>
      <c r="M20" s="28"/>
      <c r="N20" s="28"/>
    </row>
    <row r="21" spans="1:16" x14ac:dyDescent="0.25">
      <c r="A21" s="19" t="s">
        <v>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28"/>
      <c r="M21" s="28"/>
      <c r="N21" s="28"/>
    </row>
    <row r="22" spans="1:16" x14ac:dyDescent="0.25">
      <c r="A22" s="12" t="s">
        <v>61</v>
      </c>
      <c r="B22" s="10">
        <f>+C22+F22+N22</f>
        <v>6654533524</v>
      </c>
      <c r="C22" s="27">
        <f>+D22</f>
        <v>4020622518</v>
      </c>
      <c r="D22" s="51">
        <v>4020622518</v>
      </c>
      <c r="E22" s="51"/>
      <c r="F22" s="27">
        <f>G22+L22</f>
        <v>2105170398</v>
      </c>
      <c r="G22" s="51">
        <v>2105170398</v>
      </c>
      <c r="H22" s="51"/>
      <c r="I22" s="51"/>
      <c r="J22" s="51"/>
      <c r="K22" s="51"/>
      <c r="L22" s="59">
        <v>0</v>
      </c>
      <c r="M22" s="59"/>
      <c r="N22" s="10">
        <v>528740608</v>
      </c>
    </row>
    <row r="23" spans="1:16" x14ac:dyDescent="0.25">
      <c r="A23" s="12" t="s">
        <v>110</v>
      </c>
      <c r="B23" s="10">
        <f>+C23+F23+N23</f>
        <v>8945091955</v>
      </c>
      <c r="C23" s="10">
        <f>+D23+E23</f>
        <v>6141006302</v>
      </c>
      <c r="D23" s="27">
        <v>5887806466</v>
      </c>
      <c r="E23" s="27">
        <v>253199836</v>
      </c>
      <c r="F23" s="27">
        <f>G23+L23</f>
        <v>2187277187</v>
      </c>
      <c r="G23" s="51">
        <v>2015385187</v>
      </c>
      <c r="H23" s="51"/>
      <c r="I23" s="51"/>
      <c r="J23" s="51"/>
      <c r="K23" s="51"/>
      <c r="L23" s="59">
        <v>171892000</v>
      </c>
      <c r="M23" s="59"/>
      <c r="N23" s="10">
        <v>616808466</v>
      </c>
    </row>
    <row r="24" spans="1:16" x14ac:dyDescent="0.25">
      <c r="A24" s="12" t="s">
        <v>111</v>
      </c>
      <c r="B24" s="10">
        <f>+C24+F24+N24</f>
        <v>8433784748.7799997</v>
      </c>
      <c r="C24" s="27">
        <f>D24</f>
        <v>5801996070.7799997</v>
      </c>
      <c r="D24" s="51">
        <v>5801996070.7799997</v>
      </c>
      <c r="E24" s="51"/>
      <c r="F24" s="27">
        <f>G24+L24</f>
        <v>2224292146</v>
      </c>
      <c r="G24" s="51">
        <v>2224292146</v>
      </c>
      <c r="H24" s="51"/>
      <c r="I24" s="51"/>
      <c r="J24" s="51"/>
      <c r="K24" s="51"/>
      <c r="L24" s="59">
        <v>0</v>
      </c>
      <c r="M24" s="59"/>
      <c r="N24" s="10">
        <v>407496532</v>
      </c>
    </row>
    <row r="25" spans="1:16" x14ac:dyDescent="0.25">
      <c r="A25" s="12" t="s">
        <v>87</v>
      </c>
      <c r="B25" s="10">
        <f>+C25+F25+N25</f>
        <v>34069505747</v>
      </c>
      <c r="C25" s="10">
        <f>+D25+E25</f>
        <v>23841698390</v>
      </c>
      <c r="D25" s="27">
        <v>22818989017</v>
      </c>
      <c r="E25" s="27">
        <v>1022709373</v>
      </c>
      <c r="F25" s="27">
        <f>G25+L25</f>
        <v>7940475962</v>
      </c>
      <c r="G25" s="51">
        <v>7252907962</v>
      </c>
      <c r="H25" s="51"/>
      <c r="I25" s="51"/>
      <c r="J25" s="51"/>
      <c r="K25" s="51"/>
      <c r="L25" s="59">
        <v>687568000</v>
      </c>
      <c r="M25" s="59"/>
      <c r="N25" s="10">
        <v>2287331395</v>
      </c>
    </row>
    <row r="26" spans="1:16" x14ac:dyDescent="0.25">
      <c r="A26" s="12" t="s">
        <v>112</v>
      </c>
      <c r="B26" s="10">
        <f>+C26+F26+N26</f>
        <v>8433784748.7799997</v>
      </c>
      <c r="C26" s="28">
        <f>C24</f>
        <v>5801996070.7799997</v>
      </c>
      <c r="D26" s="27"/>
      <c r="E26" s="27"/>
      <c r="F26" s="27">
        <f>F24</f>
        <v>2224292146</v>
      </c>
      <c r="G26" s="27"/>
      <c r="H26" s="27"/>
      <c r="I26" s="27"/>
      <c r="J26" s="27"/>
      <c r="K26" s="28"/>
      <c r="L26" s="28"/>
      <c r="M26" s="28"/>
      <c r="N26" s="28">
        <f>+N24</f>
        <v>407496532</v>
      </c>
    </row>
    <row r="27" spans="1:16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28"/>
      <c r="M27" s="28"/>
      <c r="N27" s="28"/>
    </row>
    <row r="28" spans="1:16" x14ac:dyDescent="0.25">
      <c r="A28" s="19" t="s">
        <v>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28"/>
      <c r="M28" s="28"/>
      <c r="N28" s="28"/>
    </row>
    <row r="29" spans="1:16" x14ac:dyDescent="0.25">
      <c r="A29" s="12" t="s">
        <v>110</v>
      </c>
      <c r="B29" s="10">
        <f>B23</f>
        <v>8945091955</v>
      </c>
      <c r="C29" s="10"/>
      <c r="D29" s="10"/>
      <c r="E29" s="10"/>
      <c r="F29" s="10"/>
      <c r="G29" s="10"/>
      <c r="H29" s="10"/>
      <c r="I29" s="10"/>
      <c r="J29" s="10"/>
      <c r="K29" s="10"/>
      <c r="L29" s="28"/>
      <c r="M29" s="28"/>
      <c r="N29" s="28"/>
    </row>
    <row r="30" spans="1:16" x14ac:dyDescent="0.25">
      <c r="A30" s="12" t="s">
        <v>111</v>
      </c>
      <c r="B30" s="10">
        <v>8899066450</v>
      </c>
      <c r="C30" s="10"/>
      <c r="D30" s="10"/>
      <c r="E30" s="10"/>
      <c r="F30" s="10"/>
      <c r="G30" s="10"/>
      <c r="H30" s="10"/>
      <c r="I30" s="10"/>
      <c r="J30" s="10"/>
      <c r="K30" s="10"/>
      <c r="L30" s="28"/>
      <c r="M30" s="28"/>
      <c r="N30" s="28"/>
    </row>
    <row r="32" spans="1:16" x14ac:dyDescent="0.25">
      <c r="A32" s="4" t="s">
        <v>7</v>
      </c>
    </row>
    <row r="33" spans="1:14" x14ac:dyDescent="0.25">
      <c r="A33" s="12" t="s">
        <v>62</v>
      </c>
      <c r="B33" s="38">
        <v>1.0347772084</v>
      </c>
      <c r="C33" s="38">
        <v>1.0347772084</v>
      </c>
      <c r="D33" s="38">
        <v>1.0347772084</v>
      </c>
      <c r="E33" s="38">
        <v>1.0347772084</v>
      </c>
      <c r="F33" s="38">
        <v>1.0347772084</v>
      </c>
      <c r="G33" s="38">
        <v>1.0347772084</v>
      </c>
      <c r="H33" s="38">
        <v>1.0347772084</v>
      </c>
      <c r="I33" s="38">
        <v>1.0347772084</v>
      </c>
      <c r="J33" s="38">
        <v>1.0347772084</v>
      </c>
      <c r="K33" s="38">
        <v>1.0347772084</v>
      </c>
      <c r="L33" s="38">
        <v>1.0347772084</v>
      </c>
      <c r="M33" s="38">
        <v>1.0347772084</v>
      </c>
      <c r="N33" s="38">
        <v>1.0347772084</v>
      </c>
    </row>
    <row r="34" spans="1:14" x14ac:dyDescent="0.25">
      <c r="A34" s="12" t="s">
        <v>113</v>
      </c>
      <c r="B34" s="38">
        <v>1.060947463</v>
      </c>
      <c r="C34" s="38">
        <v>1.060947463</v>
      </c>
      <c r="D34" s="38">
        <v>1.060947463</v>
      </c>
      <c r="E34" s="38">
        <v>1.060947463</v>
      </c>
      <c r="F34" s="38">
        <v>1.060947463</v>
      </c>
      <c r="G34" s="38">
        <v>1.060947463</v>
      </c>
      <c r="H34" s="38">
        <v>1.060947463</v>
      </c>
      <c r="I34" s="38">
        <v>1.060947463</v>
      </c>
      <c r="J34" s="38">
        <v>1.060947463</v>
      </c>
      <c r="K34" s="38">
        <v>1.060947463</v>
      </c>
      <c r="L34" s="38">
        <v>1.060947463</v>
      </c>
      <c r="M34" s="38">
        <v>1.060947463</v>
      </c>
      <c r="N34" s="38">
        <v>1.060947463</v>
      </c>
    </row>
    <row r="35" spans="1:14" x14ac:dyDescent="0.25">
      <c r="A35" s="12" t="s">
        <v>8</v>
      </c>
      <c r="B35" s="28">
        <v>101406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x14ac:dyDescent="0.25">
      <c r="A37" s="4" t="s">
        <v>9</v>
      </c>
      <c r="B37" s="28"/>
      <c r="C37" s="28"/>
      <c r="D37" s="27"/>
      <c r="E37" s="27"/>
      <c r="F37" s="27"/>
      <c r="G37" s="51"/>
      <c r="H37" s="51"/>
      <c r="I37" s="51"/>
      <c r="J37" s="51"/>
      <c r="K37" s="28"/>
      <c r="L37" s="28"/>
      <c r="M37" s="28"/>
      <c r="N37" s="28"/>
    </row>
    <row r="38" spans="1:14" x14ac:dyDescent="0.25">
      <c r="A38" s="13" t="s">
        <v>63</v>
      </c>
      <c r="B38" s="14">
        <f>B22/B33</f>
        <v>6430885286.2051497</v>
      </c>
      <c r="C38" s="14">
        <f t="shared" ref="C38:F38" si="2">C22/C33</f>
        <v>3885495820.1261444</v>
      </c>
      <c r="D38" s="14"/>
      <c r="E38" s="14"/>
      <c r="F38" s="14">
        <f t="shared" si="2"/>
        <v>2034418984.986218</v>
      </c>
      <c r="G38" s="14"/>
      <c r="H38" s="14"/>
      <c r="I38" s="14"/>
      <c r="J38" s="14"/>
      <c r="K38" s="14"/>
      <c r="L38" s="14"/>
      <c r="M38" s="14"/>
      <c r="N38" s="14">
        <f>N22/N33</f>
        <v>510970481.09278786</v>
      </c>
    </row>
    <row r="39" spans="1:14" x14ac:dyDescent="0.25">
      <c r="A39" s="13" t="s">
        <v>114</v>
      </c>
      <c r="B39" s="14">
        <f>B24/B34</f>
        <v>7949295363.7233963</v>
      </c>
      <c r="C39" s="14">
        <f t="shared" ref="C39:F39" si="3">C24/C34</f>
        <v>5468693100.3858767</v>
      </c>
      <c r="D39" s="14"/>
      <c r="E39" s="14"/>
      <c r="F39" s="14">
        <f t="shared" si="3"/>
        <v>2096514882.7543783</v>
      </c>
      <c r="G39" s="14"/>
      <c r="H39" s="14"/>
      <c r="I39" s="14"/>
      <c r="J39" s="14"/>
      <c r="K39" s="14"/>
      <c r="L39" s="14"/>
      <c r="M39" s="14"/>
      <c r="N39" s="14">
        <f>N24/N34</f>
        <v>384087380.58314204</v>
      </c>
    </row>
    <row r="40" spans="1:14" x14ac:dyDescent="0.25">
      <c r="A40" s="13" t="s">
        <v>64</v>
      </c>
      <c r="B40" s="14">
        <f>B38/B16</f>
        <v>50015.829317880722</v>
      </c>
      <c r="C40" s="14">
        <f t="shared" ref="C40:F40" si="4">C38/C16</f>
        <v>90778.370639833287</v>
      </c>
      <c r="D40" s="14"/>
      <c r="E40" s="14"/>
      <c r="F40" s="14">
        <f t="shared" si="4"/>
        <v>16012.364800407846</v>
      </c>
      <c r="G40" s="14"/>
      <c r="H40" s="14"/>
      <c r="I40" s="14"/>
      <c r="J40" s="14"/>
      <c r="K40" s="14"/>
      <c r="L40" s="14"/>
      <c r="M40" s="14"/>
      <c r="N40" s="14">
        <f>N38/N16</f>
        <v>55204.24385185694</v>
      </c>
    </row>
    <row r="41" spans="1:14" x14ac:dyDescent="0.25">
      <c r="A41" s="13" t="s">
        <v>115</v>
      </c>
      <c r="B41" s="14">
        <f>B39/B18</f>
        <v>57615.418844859909</v>
      </c>
      <c r="C41" s="14">
        <f t="shared" ref="C41:F41" si="5">C39/C18</f>
        <v>110381.27511190552</v>
      </c>
      <c r="D41" s="14"/>
      <c r="E41" s="14"/>
      <c r="F41" s="14">
        <f t="shared" si="5"/>
        <v>15267.441458263065</v>
      </c>
      <c r="G41" s="14"/>
      <c r="H41" s="14"/>
      <c r="I41" s="14"/>
      <c r="J41" s="14"/>
      <c r="K41" s="14"/>
      <c r="L41" s="14"/>
      <c r="M41" s="14"/>
      <c r="N41" s="14">
        <f t="shared" ref="N41" si="6">N39/N18</f>
        <v>39814.178561536442</v>
      </c>
    </row>
    <row r="42" spans="1:14" x14ac:dyDescent="0.2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4" x14ac:dyDescent="0.25">
      <c r="A43" s="4" t="s">
        <v>10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4" x14ac:dyDescent="0.2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4" x14ac:dyDescent="0.25">
      <c r="A45" s="4" t="s">
        <v>11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1:14" x14ac:dyDescent="0.25">
      <c r="A46" s="13" t="s">
        <v>12</v>
      </c>
      <c r="B46" s="40">
        <f t="shared" ref="B46" si="7">(B17/B35)*100</f>
        <v>143.4885509733152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1:14" x14ac:dyDescent="0.25">
      <c r="A47" s="13" t="s">
        <v>13</v>
      </c>
      <c r="B47" s="40">
        <f t="shared" ref="B47" si="8">(B18/B35)*100</f>
        <v>136.05868160332392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14" x14ac:dyDescent="0.2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14" x14ac:dyDescent="0.25">
      <c r="A49" s="4" t="s">
        <v>14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1:14" x14ac:dyDescent="0.25">
      <c r="A50" s="13" t="s">
        <v>15</v>
      </c>
      <c r="B50" s="41">
        <f t="shared" ref="B50:N50" si="9">B18/B17*100</f>
        <v>94.821977558771906</v>
      </c>
      <c r="C50" s="41">
        <f t="shared" si="9"/>
        <v>71.414294294294294</v>
      </c>
      <c r="D50" s="41">
        <f t="shared" si="9"/>
        <v>61.964319248826293</v>
      </c>
      <c r="E50" s="41">
        <f t="shared" si="9"/>
        <v>88.188000000000002</v>
      </c>
      <c r="F50" s="41">
        <f t="shared" si="9"/>
        <v>87.303282683790016</v>
      </c>
      <c r="G50" s="41">
        <f t="shared" si="9"/>
        <v>76.514025526694496</v>
      </c>
      <c r="H50" s="41">
        <f t="shared" si="9"/>
        <v>93.205585090845361</v>
      </c>
      <c r="I50" s="41">
        <f t="shared" si="9"/>
        <v>90.436250899629073</v>
      </c>
      <c r="J50" s="41">
        <f t="shared" si="9"/>
        <v>84.433813351465545</v>
      </c>
      <c r="K50" s="41">
        <f t="shared" si="9"/>
        <v>109.23950124096469</v>
      </c>
      <c r="L50" s="41">
        <f t="shared" si="9"/>
        <v>0</v>
      </c>
      <c r="M50" s="41">
        <f t="shared" si="9"/>
        <v>0</v>
      </c>
      <c r="N50" s="41">
        <f t="shared" si="9"/>
        <v>98.882738827388266</v>
      </c>
    </row>
    <row r="51" spans="1:14" x14ac:dyDescent="0.25">
      <c r="A51" s="13" t="s">
        <v>16</v>
      </c>
      <c r="B51" s="41">
        <f>B24/B23*100</f>
        <v>94.283935718132028</v>
      </c>
      <c r="C51" s="41">
        <f>C24/C23*100</f>
        <v>94.479565488972199</v>
      </c>
      <c r="D51" s="41"/>
      <c r="E51" s="41"/>
      <c r="F51" s="41">
        <f>F24/F23*100</f>
        <v>101.69228478310828</v>
      </c>
      <c r="G51" s="41"/>
      <c r="H51" s="41"/>
      <c r="I51" s="41"/>
      <c r="J51" s="41"/>
      <c r="K51" s="41"/>
      <c r="L51" s="41"/>
      <c r="M51" s="41"/>
      <c r="N51" s="41">
        <f t="shared" ref="N51" si="10">N24/N23*100</f>
        <v>66.065327319939868</v>
      </c>
    </row>
    <row r="52" spans="1:14" x14ac:dyDescent="0.25">
      <c r="A52" s="13" t="s">
        <v>17</v>
      </c>
      <c r="B52" s="41">
        <f>AVERAGE(B50:B51)</f>
        <v>94.552956638451974</v>
      </c>
      <c r="C52" s="41">
        <f t="shared" ref="C52" si="11">AVERAGE(C50:C51)</f>
        <v>82.946929891633246</v>
      </c>
      <c r="D52" s="41"/>
      <c r="E52" s="41"/>
      <c r="F52" s="41">
        <f t="shared" ref="F52" si="12">AVERAGE(F50:F51)</f>
        <v>94.497783733449154</v>
      </c>
      <c r="G52" s="41"/>
      <c r="H52" s="41"/>
      <c r="I52" s="41"/>
      <c r="J52" s="41"/>
      <c r="K52" s="41"/>
      <c r="L52" s="41"/>
      <c r="M52" s="41"/>
      <c r="N52" s="41">
        <f t="shared" ref="N52" si="13">AVERAGE(N50:N51)</f>
        <v>82.47403307366406</v>
      </c>
    </row>
    <row r="53" spans="1:14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1:14" x14ac:dyDescent="0.25">
      <c r="A54" s="4" t="s">
        <v>18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1:14" x14ac:dyDescent="0.25">
      <c r="A55" s="13" t="s">
        <v>19</v>
      </c>
      <c r="B55" s="41">
        <f t="shared" ref="B55:N55" si="14">((B18/B19)*100)</f>
        <v>99.641611332550298</v>
      </c>
      <c r="C55" s="41">
        <f t="shared" si="14"/>
        <v>75.278023629634419</v>
      </c>
      <c r="D55" s="41">
        <f t="shared" si="14"/>
        <v>65.693614348141594</v>
      </c>
      <c r="E55" s="41">
        <f t="shared" si="14"/>
        <v>92.022273672664156</v>
      </c>
      <c r="F55" s="41">
        <f t="shared" si="14"/>
        <v>90.606284705525042</v>
      </c>
      <c r="G55" s="41">
        <f t="shared" si="14"/>
        <v>79.840496255753493</v>
      </c>
      <c r="H55" s="41">
        <f t="shared" si="14"/>
        <v>97.257774556307879</v>
      </c>
      <c r="I55" s="41">
        <f t="shared" si="14"/>
        <v>94.368261808308603</v>
      </c>
      <c r="J55" s="41">
        <f t="shared" si="14"/>
        <v>87.094140777938122</v>
      </c>
      <c r="K55" s="41">
        <f t="shared" si="14"/>
        <v>114.34914917401564</v>
      </c>
      <c r="L55" s="41">
        <f t="shared" si="14"/>
        <v>0</v>
      </c>
      <c r="M55" s="41">
        <f t="shared" si="14"/>
        <v>0</v>
      </c>
      <c r="N55" s="41">
        <f t="shared" si="14"/>
        <v>103.17647058823529</v>
      </c>
    </row>
    <row r="56" spans="1:14" x14ac:dyDescent="0.25">
      <c r="A56" s="13" t="s">
        <v>20</v>
      </c>
      <c r="B56" s="41">
        <f>B24/B25*100</f>
        <v>24.754643672876409</v>
      </c>
      <c r="C56" s="41">
        <f>C24/C25*100</f>
        <v>24.335498150641609</v>
      </c>
      <c r="D56" s="41"/>
      <c r="E56" s="41"/>
      <c r="F56" s="41">
        <f>F24/F25*100</f>
        <v>28.012075808107582</v>
      </c>
      <c r="G56" s="41"/>
      <c r="H56" s="41"/>
      <c r="I56" s="41"/>
      <c r="J56" s="41"/>
      <c r="K56" s="41"/>
      <c r="L56" s="41"/>
      <c r="M56" s="41"/>
      <c r="N56" s="41">
        <f t="shared" ref="N56" si="15">N24/N25*100</f>
        <v>17.815369162980428</v>
      </c>
    </row>
    <row r="57" spans="1:14" x14ac:dyDescent="0.25">
      <c r="A57" s="13" t="s">
        <v>21</v>
      </c>
      <c r="B57" s="41">
        <f>(B55+B56)/2</f>
        <v>62.198127502713355</v>
      </c>
      <c r="C57" s="41">
        <f>(C55+C56)/2</f>
        <v>49.806760890138015</v>
      </c>
      <c r="D57" s="41"/>
      <c r="E57" s="41"/>
      <c r="F57" s="41">
        <f>(F55+F56)/2</f>
        <v>59.309180256816312</v>
      </c>
      <c r="G57" s="41"/>
      <c r="H57" s="41"/>
      <c r="I57" s="41"/>
      <c r="J57" s="41"/>
      <c r="K57" s="41"/>
      <c r="L57" s="41"/>
      <c r="M57" s="41"/>
      <c r="N57" s="41">
        <f t="shared" ref="N57" si="16">(N55+N56)/2</f>
        <v>60.495919875607861</v>
      </c>
    </row>
    <row r="58" spans="1:14" x14ac:dyDescent="0.25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x14ac:dyDescent="0.25">
      <c r="A59" s="4" t="s">
        <v>36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13" t="s">
        <v>22</v>
      </c>
      <c r="B60" s="40">
        <f>B26/B24*100</f>
        <v>100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</row>
    <row r="61" spans="1:14" x14ac:dyDescent="0.2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</row>
    <row r="62" spans="1:14" x14ac:dyDescent="0.25">
      <c r="A62" s="4" t="s">
        <v>23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</row>
    <row r="63" spans="1:14" x14ac:dyDescent="0.25">
      <c r="A63" s="13" t="s">
        <v>24</v>
      </c>
      <c r="B63" s="41">
        <f t="shared" ref="B63:N63" si="17">((B18/B16)-1)*100</f>
        <v>7.3066463416214811</v>
      </c>
      <c r="C63" s="41">
        <f t="shared" si="17"/>
        <v>15.75082161269723</v>
      </c>
      <c r="D63" s="41">
        <f t="shared" si="17"/>
        <v>9.7671324018629555</v>
      </c>
      <c r="E63" s="41">
        <f t="shared" si="17"/>
        <v>24.194456962595766</v>
      </c>
      <c r="F63" s="41">
        <f t="shared" si="17"/>
        <v>8.0803549175016087</v>
      </c>
      <c r="G63" s="41">
        <f t="shared" si="17"/>
        <v>-1.2273488655398235</v>
      </c>
      <c r="H63" s="41">
        <f t="shared" si="17"/>
        <v>9.929029146282641</v>
      </c>
      <c r="I63" s="41">
        <f t="shared" si="17"/>
        <v>20.829172676504328</v>
      </c>
      <c r="J63" s="41">
        <f t="shared" si="17"/>
        <v>9.6813880126182852</v>
      </c>
      <c r="K63" s="41">
        <f t="shared" si="17"/>
        <v>6.711292706250549</v>
      </c>
      <c r="L63" s="41" t="s">
        <v>78</v>
      </c>
      <c r="M63" s="41" t="s">
        <v>78</v>
      </c>
      <c r="N63" s="41">
        <f t="shared" si="17"/>
        <v>4.2242869490060508</v>
      </c>
    </row>
    <row r="64" spans="1:14" x14ac:dyDescent="0.25">
      <c r="A64" s="13" t="s">
        <v>25</v>
      </c>
      <c r="B64" s="41">
        <f>((B39/B38)-1)*100</f>
        <v>23.61121385224174</v>
      </c>
      <c r="C64" s="41">
        <f>((C39/C38)-1)*100</f>
        <v>40.746338525422289</v>
      </c>
      <c r="D64" s="41"/>
      <c r="E64" s="41"/>
      <c r="F64" s="41">
        <f>((F39/F38)-1)*100</f>
        <v>3.0522669236976663</v>
      </c>
      <c r="G64" s="41"/>
      <c r="H64" s="41"/>
      <c r="I64" s="41"/>
      <c r="J64" s="41"/>
      <c r="K64" s="41"/>
      <c r="L64" s="41"/>
      <c r="M64" s="41"/>
      <c r="N64" s="41">
        <f t="shared" ref="N64" si="18">((N39/N38)-1)*100</f>
        <v>-24.831786806605159</v>
      </c>
    </row>
    <row r="65" spans="1:14" x14ac:dyDescent="0.25">
      <c r="A65" s="13" t="s">
        <v>26</v>
      </c>
      <c r="B65" s="41">
        <f>((B41/B40)-1)*100</f>
        <v>15.194368724107754</v>
      </c>
      <c r="C65" s="41">
        <f>((C41/C40)-1)*100</f>
        <v>21.594245781131626</v>
      </c>
      <c r="D65" s="41"/>
      <c r="E65" s="41"/>
      <c r="F65" s="41">
        <f>((F41/F40)-1)*100</f>
        <v>-4.6521756869154496</v>
      </c>
      <c r="G65" s="41"/>
      <c r="H65" s="41"/>
      <c r="I65" s="41"/>
      <c r="J65" s="41"/>
      <c r="K65" s="41"/>
      <c r="L65" s="41"/>
      <c r="M65" s="41"/>
      <c r="N65" s="41">
        <f t="shared" ref="N65" si="19">((N41/N40)-1)*100</f>
        <v>-27.878409731723576</v>
      </c>
    </row>
    <row r="66" spans="1:14" x14ac:dyDescent="0.2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</row>
    <row r="67" spans="1:14" x14ac:dyDescent="0.25">
      <c r="A67" s="4" t="s">
        <v>27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x14ac:dyDescent="0.25">
      <c r="A68" s="13" t="s">
        <v>41</v>
      </c>
      <c r="B68" s="42">
        <f>B23/(B17*3)</f>
        <v>20491.920046825104</v>
      </c>
      <c r="C68" s="42">
        <f>C23/(C17*3)</f>
        <v>29506.336586186186</v>
      </c>
      <c r="D68" s="42"/>
      <c r="E68" s="42"/>
      <c r="F68" s="42">
        <f>F23/(F17*3)</f>
        <v>4635.3385190836461</v>
      </c>
      <c r="G68" s="42"/>
      <c r="H68" s="42"/>
      <c r="I68" s="42"/>
      <c r="J68" s="42"/>
      <c r="K68" s="42"/>
      <c r="L68" s="42"/>
      <c r="M68" s="42"/>
      <c r="N68" s="42">
        <f t="shared" ref="N68:N69" si="20">N23/(N17*3)</f>
        <v>21074.5</v>
      </c>
    </row>
    <row r="69" spans="1:14" x14ac:dyDescent="0.25">
      <c r="A69" s="13" t="s">
        <v>42</v>
      </c>
      <c r="B69" s="42">
        <f>B24/(B18*3)</f>
        <v>20375.644151045504</v>
      </c>
      <c r="C69" s="42">
        <f>C24/(C18*3)</f>
        <v>39036.244597560399</v>
      </c>
      <c r="D69" s="42"/>
      <c r="E69" s="42"/>
      <c r="F69" s="42">
        <f>F24/(F18*3)</f>
        <v>5399.3177605484061</v>
      </c>
      <c r="G69" s="42"/>
      <c r="H69" s="42"/>
      <c r="I69" s="42"/>
      <c r="J69" s="42"/>
      <c r="K69" s="42"/>
      <c r="L69" s="42"/>
      <c r="M69" s="42"/>
      <c r="N69" s="42">
        <f t="shared" si="20"/>
        <v>14080.250578763691</v>
      </c>
    </row>
    <row r="70" spans="1:14" x14ac:dyDescent="0.25">
      <c r="A70" s="13" t="s">
        <v>30</v>
      </c>
      <c r="B70" s="42">
        <f>(B69/B68)*B52</f>
        <v>94.016441284760219</v>
      </c>
      <c r="C70" s="42">
        <f>(C69/C68)*C52</f>
        <v>109.73699274420856</v>
      </c>
      <c r="D70" s="42"/>
      <c r="E70" s="42"/>
      <c r="F70" s="42">
        <f>(F69/F68)*F52</f>
        <v>110.07255671703125</v>
      </c>
      <c r="G70" s="42"/>
      <c r="H70" s="42"/>
      <c r="I70" s="42"/>
      <c r="J70" s="42"/>
      <c r="K70" s="42"/>
      <c r="L70" s="42"/>
      <c r="M70" s="42"/>
      <c r="N70" s="42">
        <f t="shared" ref="N70" si="21">(N69/N68)*N52</f>
        <v>55.102377371630837</v>
      </c>
    </row>
    <row r="71" spans="1:14" x14ac:dyDescent="0.25">
      <c r="A71" s="13" t="s">
        <v>35</v>
      </c>
      <c r="B71" s="42">
        <f>B23/B17</f>
        <v>61475.760140475308</v>
      </c>
      <c r="C71" s="42">
        <f>C23/C17</f>
        <v>88519.009758558561</v>
      </c>
      <c r="D71" s="42"/>
      <c r="E71" s="42"/>
      <c r="F71" s="42">
        <f>F23/F17</f>
        <v>13906.015557250937</v>
      </c>
      <c r="G71" s="42"/>
      <c r="H71" s="42"/>
      <c r="I71" s="42"/>
      <c r="J71" s="42"/>
      <c r="K71" s="42"/>
      <c r="L71" s="42"/>
      <c r="M71" s="42"/>
      <c r="N71" s="42">
        <f t="shared" ref="N71:N72" si="22">N23/N17</f>
        <v>63223.5</v>
      </c>
    </row>
    <row r="72" spans="1:14" x14ac:dyDescent="0.25">
      <c r="A72" s="13" t="s">
        <v>34</v>
      </c>
      <c r="B72" s="42">
        <f>B24/B18</f>
        <v>61126.932453136513</v>
      </c>
      <c r="C72" s="42">
        <f>C24/C18</f>
        <v>117108.73379268119</v>
      </c>
      <c r="D72" s="42"/>
      <c r="E72" s="42"/>
      <c r="F72" s="42">
        <f>F24/F18</f>
        <v>16197.953281645219</v>
      </c>
      <c r="G72" s="42"/>
      <c r="H72" s="42"/>
      <c r="I72" s="42"/>
      <c r="J72" s="42"/>
      <c r="K72" s="42"/>
      <c r="L72" s="42"/>
      <c r="M72" s="42"/>
      <c r="N72" s="42">
        <f t="shared" si="22"/>
        <v>42240.751736291073</v>
      </c>
    </row>
    <row r="73" spans="1:14" x14ac:dyDescent="0.2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x14ac:dyDescent="0.25">
      <c r="A74" s="4" t="s">
        <v>31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1:14" x14ac:dyDescent="0.25">
      <c r="A75" s="13" t="s">
        <v>32</v>
      </c>
      <c r="B75" s="40">
        <f>(B30/B29)*100</f>
        <v>99.4854663850127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t="15.75" thickBot="1" x14ac:dyDescent="0.3">
      <c r="A76" s="21" t="s">
        <v>33</v>
      </c>
      <c r="B76" s="44">
        <f>(B24/B30)*100</f>
        <v>94.771567289285713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1:14" ht="15.75" thickTop="1" x14ac:dyDescent="0.25">
      <c r="A77" s="50" t="s">
        <v>92</v>
      </c>
      <c r="B77" s="50"/>
      <c r="C77" s="50"/>
      <c r="D77" s="50"/>
      <c r="E77" s="50"/>
      <c r="F77" s="50"/>
      <c r="G77" s="22"/>
      <c r="H77" s="22"/>
      <c r="I77" s="22"/>
      <c r="J77" s="22"/>
      <c r="K77" s="22"/>
      <c r="L77" s="22"/>
    </row>
    <row r="78" spans="1:14" x14ac:dyDescent="0.2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4" x14ac:dyDescent="0.25">
      <c r="A79" s="22" t="s">
        <v>131</v>
      </c>
    </row>
    <row r="80" spans="1:14" x14ac:dyDescent="0.25">
      <c r="A80" s="22" t="s">
        <v>116</v>
      </c>
    </row>
    <row r="81" spans="1:10" x14ac:dyDescent="0.25">
      <c r="A81" s="22" t="s">
        <v>133</v>
      </c>
      <c r="B81" s="24"/>
      <c r="C81" s="24"/>
      <c r="D81" s="24"/>
      <c r="E81" s="24"/>
      <c r="F81" s="24"/>
      <c r="G81" s="24"/>
      <c r="H81" s="24"/>
      <c r="I81" s="24"/>
      <c r="J81" s="24"/>
    </row>
  </sheetData>
  <mergeCells count="17">
    <mergeCell ref="L25:M25"/>
    <mergeCell ref="A77:F77"/>
    <mergeCell ref="G37:J37"/>
    <mergeCell ref="G25:K25"/>
    <mergeCell ref="A9:A10"/>
    <mergeCell ref="D10:E10"/>
    <mergeCell ref="D24:E24"/>
    <mergeCell ref="G10:K10"/>
    <mergeCell ref="D22:E22"/>
    <mergeCell ref="G22:K22"/>
    <mergeCell ref="G23:K23"/>
    <mergeCell ref="G24:K24"/>
    <mergeCell ref="B9:B10"/>
    <mergeCell ref="C9:N9"/>
    <mergeCell ref="L22:M22"/>
    <mergeCell ref="L23:M23"/>
    <mergeCell ref="L24:M24"/>
  </mergeCells>
  <pageMargins left="0.7" right="0.7" top="0.75" bottom="0.75" header="0.3" footer="0.3"/>
  <pageSetup paperSize="9" scale="17" orientation="portrait" r:id="rId1"/>
  <ignoredErrors>
    <ignoredError sqref="C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80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13" customWidth="1"/>
    <col min="2" max="14" width="15.7109375" style="13" customWidth="1"/>
    <col min="15" max="16384" width="11.42578125" style="13"/>
  </cols>
  <sheetData>
    <row r="9" spans="1:14" x14ac:dyDescent="0.25">
      <c r="A9" s="53" t="s">
        <v>0</v>
      </c>
      <c r="B9" s="53" t="s">
        <v>47</v>
      </c>
      <c r="C9" s="52" t="s">
        <v>2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ht="45.75" thickBot="1" x14ac:dyDescent="0.3">
      <c r="A10" s="54"/>
      <c r="B10" s="54"/>
      <c r="C10" s="33" t="s">
        <v>46</v>
      </c>
      <c r="D10" s="55" t="s">
        <v>49</v>
      </c>
      <c r="E10" s="55"/>
      <c r="F10" s="33" t="s">
        <v>43</v>
      </c>
      <c r="G10" s="54" t="s">
        <v>48</v>
      </c>
      <c r="H10" s="54"/>
      <c r="I10" s="54"/>
      <c r="J10" s="54"/>
      <c r="K10" s="54"/>
      <c r="L10" s="34" t="s">
        <v>107</v>
      </c>
      <c r="M10" s="34" t="s">
        <v>108</v>
      </c>
      <c r="N10" s="34" t="s">
        <v>77</v>
      </c>
    </row>
    <row r="11" spans="1:14" ht="45.75" customHeight="1" thickTop="1" x14ac:dyDescent="0.25">
      <c r="B11" s="16" t="s">
        <v>1</v>
      </c>
      <c r="C11" s="17" t="s">
        <v>52</v>
      </c>
      <c r="D11" s="18" t="s">
        <v>79</v>
      </c>
      <c r="E11" s="18" t="s">
        <v>51</v>
      </c>
      <c r="F11" s="16" t="s">
        <v>45</v>
      </c>
      <c r="G11" s="16" t="s">
        <v>136</v>
      </c>
      <c r="H11" s="16" t="s">
        <v>80</v>
      </c>
      <c r="I11" s="16" t="s">
        <v>81</v>
      </c>
      <c r="J11" s="16" t="s">
        <v>82</v>
      </c>
      <c r="K11" s="16" t="s">
        <v>83</v>
      </c>
      <c r="L11" s="16" t="s">
        <v>109</v>
      </c>
      <c r="M11" s="16" t="s">
        <v>83</v>
      </c>
      <c r="N11" s="16" t="s">
        <v>84</v>
      </c>
    </row>
    <row r="13" spans="1:14" x14ac:dyDescent="0.25">
      <c r="A13" s="4" t="s">
        <v>3</v>
      </c>
    </row>
    <row r="15" spans="1:14" x14ac:dyDescent="0.25">
      <c r="A15" s="4" t="s">
        <v>4</v>
      </c>
    </row>
    <row r="16" spans="1:14" x14ac:dyDescent="0.25">
      <c r="A16" s="12" t="s">
        <v>61</v>
      </c>
      <c r="B16" s="11">
        <f>+D16+K16</f>
        <v>117793</v>
      </c>
      <c r="C16" s="11">
        <f>+D16+E16</f>
        <v>34868.333333333336</v>
      </c>
      <c r="D16" s="11">
        <f>(+'I Trimestre'!D16+'II Trimestre'!D16+'III Trimestre'!D16)/3</f>
        <v>21566.666666666668</v>
      </c>
      <c r="E16" s="11">
        <f>(+'I Trimestre'!E16+'II Trimestre'!E16+'III Trimestre'!E16)/3</f>
        <v>13301.666666666666</v>
      </c>
      <c r="F16" s="11">
        <f>K16+I16+H16</f>
        <v>116008.33333333333</v>
      </c>
      <c r="G16" s="11">
        <f>(+'I Trimestre'!G16+'II Trimestre'!G16+'III Trimestre'!G16)/3</f>
        <v>9896.1</v>
      </c>
      <c r="H16" s="11">
        <f>(+'I Trimestre'!H16+'II Trimestre'!H16+'III Trimestre'!H16)/3</f>
        <v>13377.333333333334</v>
      </c>
      <c r="I16" s="11">
        <f>(+'I Trimestre'!I16+'II Trimestre'!I16+'III Trimestre'!I16)/3</f>
        <v>6404.666666666667</v>
      </c>
      <c r="J16" s="11">
        <f>(+'I Trimestre'!J16+'II Trimestre'!J16+'III Trimestre'!J16)/3</f>
        <v>27073.666666666668</v>
      </c>
      <c r="K16" s="11">
        <f>('I Trimestre'!K16+'II Trimestre'!K16+'III Trimestre'!K16)/3</f>
        <v>96226.333333333328</v>
      </c>
      <c r="L16" s="11">
        <f>+'III Trimestre'!L16</f>
        <v>0</v>
      </c>
      <c r="M16" s="11">
        <f>+'III Trimestre'!M16</f>
        <v>0</v>
      </c>
      <c r="N16" s="11">
        <f>+('I Trimestre'!L16+'II Trimestre'!L16+'III Trimestre'!N16)/3</f>
        <v>8583</v>
      </c>
    </row>
    <row r="17" spans="1:14" x14ac:dyDescent="0.25">
      <c r="A17" s="12" t="s">
        <v>110</v>
      </c>
      <c r="B17" s="11">
        <f>+D17+K17</f>
        <v>141010.33333333334</v>
      </c>
      <c r="C17" s="11">
        <f t="shared" ref="C17:C19" si="0">+D17+E17</f>
        <v>64627.444444444445</v>
      </c>
      <c r="D17" s="11">
        <f>(+'I Trimestre'!D17+'II Trimestre'!D17+'III Trimestre'!D17)/3</f>
        <v>41016.333333333336</v>
      </c>
      <c r="E17" s="11">
        <f>(+'I Trimestre'!E17+'II Trimestre'!E17+'III Trimestre'!E17)/3</f>
        <v>23611.111111111109</v>
      </c>
      <c r="F17" s="11">
        <f>K17+I17+H17+L17+M17</f>
        <v>154533</v>
      </c>
      <c r="G17" s="11">
        <f>(+'I Trimestre'!G17+'II Trimestre'!G17+'III Trimestre'!G17)/3</f>
        <v>13344</v>
      </c>
      <c r="H17" s="11">
        <f>(+'I Trimestre'!H17+'II Trimestre'!H17+'III Trimestre'!H17)/3</f>
        <v>16166</v>
      </c>
      <c r="I17" s="11">
        <f>(+'I Trimestre'!I17+'II Trimestre'!I17+'III Trimestre'!I17)/3</f>
        <v>11373</v>
      </c>
      <c r="J17" s="11">
        <f>(+'I Trimestre'!J17+'II Trimestre'!J17+'III Trimestre'!J17)/3</f>
        <v>40246</v>
      </c>
      <c r="K17" s="11">
        <f>('I Trimestre'!K17+'II Trimestre'!K17+'III Trimestre'!K17)/3</f>
        <v>99994</v>
      </c>
      <c r="L17" s="11">
        <f>+'III Trimestre'!L17</f>
        <v>5000</v>
      </c>
      <c r="M17" s="11">
        <f>+'III Trimestre'!M17</f>
        <v>22000</v>
      </c>
      <c r="N17" s="11">
        <f>+('I Trimestre'!L17+'II Trimestre'!L17+'III Trimestre'!N17)/3</f>
        <v>9214</v>
      </c>
    </row>
    <row r="18" spans="1:14" x14ac:dyDescent="0.25">
      <c r="A18" s="12" t="s">
        <v>111</v>
      </c>
      <c r="B18" s="11">
        <f>+D18+K18</f>
        <v>129648.55555555556</v>
      </c>
      <c r="C18" s="11">
        <f t="shared" si="0"/>
        <v>43000.777777777781</v>
      </c>
      <c r="D18" s="11">
        <f>(+'I Trimestre'!D18+'II Trimestre'!D18+'III Trimestre'!D18)/3</f>
        <v>24520.555555555558</v>
      </c>
      <c r="E18" s="11">
        <f>(+'I Trimestre'!E18+'II Trimestre'!E18+'III Trimestre'!E18)/3</f>
        <v>18480.222222222223</v>
      </c>
      <c r="F18" s="11">
        <f>K18+I18+H18+L18+M18</f>
        <v>129805.11111111112</v>
      </c>
      <c r="G18" s="11">
        <f>(+'I Trimestre'!G18+'II Trimestre'!G18+'III Trimestre'!G18)/3</f>
        <v>10329.555555555555</v>
      </c>
      <c r="H18" s="11">
        <f>(+'I Trimestre'!H18+'II Trimestre'!H18+'III Trimestre'!H18)/3</f>
        <v>14846.444444444445</v>
      </c>
      <c r="I18" s="11">
        <f>(+'I Trimestre'!I18+'II Trimestre'!I18+'III Trimestre'!I18)/3</f>
        <v>9830.6666666666661</v>
      </c>
      <c r="J18" s="11">
        <f>(+'I Trimestre'!J18+'II Trimestre'!J18+'III Trimestre'!J18)/3</f>
        <v>32267.888888888887</v>
      </c>
      <c r="K18" s="11">
        <f>('I Trimestre'!K18+'II Trimestre'!K18+'III Trimestre'!K18)/3</f>
        <v>105128</v>
      </c>
      <c r="L18" s="11">
        <f>+'III Trimestre'!L18</f>
        <v>0</v>
      </c>
      <c r="M18" s="11">
        <f>+'III Trimestre'!M18</f>
        <v>0</v>
      </c>
      <c r="N18" s="11">
        <f>+('I Trimestre'!L18+'II Trimestre'!L18+'III Trimestre'!N18)/3</f>
        <v>9006.6666666666661</v>
      </c>
    </row>
    <row r="19" spans="1:14" x14ac:dyDescent="0.25">
      <c r="A19" s="12" t="s">
        <v>87</v>
      </c>
      <c r="B19" s="11">
        <f>+D19+K19</f>
        <v>138467.91999999998</v>
      </c>
      <c r="C19" s="11">
        <f t="shared" si="0"/>
        <v>65814.25</v>
      </c>
      <c r="D19" s="27">
        <f>+'III Trimestre'!D19</f>
        <v>41855.919999999998</v>
      </c>
      <c r="E19" s="27">
        <f>+'III Trimestre'!E19</f>
        <v>23958.33</v>
      </c>
      <c r="F19" s="11">
        <f>K19+I19+H19+L19+M19</f>
        <v>151556.08000000002</v>
      </c>
      <c r="G19" s="27">
        <f>+'III Trimestre'!G19</f>
        <v>13540.33</v>
      </c>
      <c r="H19" s="27">
        <f>+'III Trimestre'!H19</f>
        <v>16403.830000000002</v>
      </c>
      <c r="I19" s="27">
        <f>'III Trimestre'!I19</f>
        <v>11540.25</v>
      </c>
      <c r="J19" s="27">
        <f>'III Trimestre'!J19</f>
        <v>39921.17</v>
      </c>
      <c r="K19" s="27">
        <f>+'III Trimestre'!K19</f>
        <v>96612</v>
      </c>
      <c r="L19" s="11">
        <f>+'III Trimestre'!L19</f>
        <v>5000</v>
      </c>
      <c r="M19" s="11">
        <f>+'III Trimestre'!M19</f>
        <v>22000</v>
      </c>
      <c r="N19" s="11">
        <f>+('I Trimestre'!L19+'II Trimestre'!L19+'III Trimestre'!N19)/3</f>
        <v>9349.6666666666661</v>
      </c>
    </row>
    <row r="20" spans="1:14" x14ac:dyDescent="0.25">
      <c r="A20" s="4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28"/>
      <c r="M20" s="28"/>
      <c r="N20" s="28"/>
    </row>
    <row r="21" spans="1:14" x14ac:dyDescent="0.25">
      <c r="A21" s="47" t="s">
        <v>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28"/>
      <c r="M21" s="28"/>
      <c r="N21" s="28"/>
    </row>
    <row r="22" spans="1:14" x14ac:dyDescent="0.25">
      <c r="A22" s="12" t="s">
        <v>61</v>
      </c>
      <c r="B22" s="11">
        <f>C22+F22+N22</f>
        <v>15429005506.450001</v>
      </c>
      <c r="C22" s="11">
        <f>+'I Trimestre'!C22+'II Trimestre'!C22+'III Trimestre'!C22</f>
        <v>9409303806</v>
      </c>
      <c r="D22" s="27"/>
      <c r="E22" s="27"/>
      <c r="F22" s="27">
        <f>+'I Trimestre'!F22+'II Trimestre'!F22+'III Trimestre'!F22</f>
        <v>4461968252</v>
      </c>
      <c r="G22" s="27"/>
      <c r="H22" s="27"/>
      <c r="I22" s="27"/>
      <c r="J22" s="27"/>
      <c r="K22" s="11"/>
      <c r="L22" s="11"/>
      <c r="M22" s="27"/>
      <c r="N22" s="27">
        <f>+'I Trimestre'!L22+'II Trimestre'!L22+'III Trimestre'!N22</f>
        <v>1557733448.45</v>
      </c>
    </row>
    <row r="23" spans="1:14" x14ac:dyDescent="0.25">
      <c r="A23" s="12" t="s">
        <v>110</v>
      </c>
      <c r="B23" s="11">
        <f t="shared" ref="B23:B26" si="1">C23+F23+N23</f>
        <v>25351934490.740437</v>
      </c>
      <c r="C23" s="11">
        <f>+'I Trimestre'!C23+'II Trimestre'!C23+'III Trimestre'!C23</f>
        <v>17836161779.130436</v>
      </c>
      <c r="D23" s="27"/>
      <c r="E23" s="27"/>
      <c r="F23" s="27">
        <f>+'I Trimestre'!F23+'II Trimestre'!F23+'III Trimestre'!F23</f>
        <v>5845249783.1099997</v>
      </c>
      <c r="G23" s="27"/>
      <c r="H23" s="27"/>
      <c r="I23" s="27"/>
      <c r="J23" s="27"/>
      <c r="K23" s="11"/>
      <c r="L23" s="11"/>
      <c r="M23" s="27"/>
      <c r="N23" s="27">
        <f>+'I Trimestre'!L23+'II Trimestre'!L23+'III Trimestre'!N23</f>
        <v>1670522928.5</v>
      </c>
    </row>
    <row r="24" spans="1:14" x14ac:dyDescent="0.25">
      <c r="A24" s="12" t="s">
        <v>111</v>
      </c>
      <c r="B24" s="11">
        <f t="shared" si="1"/>
        <v>18978170853.799999</v>
      </c>
      <c r="C24" s="11">
        <f>+'I Trimestre'!C24+'II Trimestre'!C24+'III Trimestre'!C24</f>
        <v>12915643392.299999</v>
      </c>
      <c r="D24" s="27"/>
      <c r="E24" s="27"/>
      <c r="F24" s="27">
        <f>+'I Trimestre'!F24+'II Trimestre'!F24+'III Trimestre'!F24</f>
        <v>4878438724</v>
      </c>
      <c r="G24" s="27"/>
      <c r="H24" s="27"/>
      <c r="I24" s="27"/>
      <c r="J24" s="27"/>
      <c r="K24" s="11"/>
      <c r="L24" s="11"/>
      <c r="M24" s="27"/>
      <c r="N24" s="27">
        <f>+'I Trimestre'!L24+'II Trimestre'!L24+'III Trimestre'!N24</f>
        <v>1184088737.5</v>
      </c>
    </row>
    <row r="25" spans="1:14" x14ac:dyDescent="0.25">
      <c r="A25" s="12" t="s">
        <v>87</v>
      </c>
      <c r="B25" s="11">
        <f t="shared" si="1"/>
        <v>34069505747</v>
      </c>
      <c r="C25" s="11">
        <f>+'III Trimestre'!C25</f>
        <v>23841698390</v>
      </c>
      <c r="D25" s="27"/>
      <c r="E25" s="27"/>
      <c r="F25" s="27">
        <f>+'III Trimestre'!F25</f>
        <v>7940475962</v>
      </c>
      <c r="G25" s="27"/>
      <c r="H25" s="27"/>
      <c r="I25" s="27"/>
      <c r="J25" s="27"/>
      <c r="K25" s="11"/>
      <c r="L25" s="11"/>
      <c r="M25" s="27"/>
      <c r="N25" s="27">
        <f>+'III Trimestre'!N25</f>
        <v>2287331395</v>
      </c>
    </row>
    <row r="26" spans="1:14" x14ac:dyDescent="0.25">
      <c r="A26" s="12" t="s">
        <v>112</v>
      </c>
      <c r="B26" s="11">
        <f t="shared" si="1"/>
        <v>18978170853.799999</v>
      </c>
      <c r="C26" s="27">
        <f>C24</f>
        <v>12915643392.299999</v>
      </c>
      <c r="D26" s="27"/>
      <c r="E26" s="27"/>
      <c r="F26" s="27">
        <f>F24</f>
        <v>4878438724</v>
      </c>
      <c r="G26" s="27"/>
      <c r="H26" s="27"/>
      <c r="I26" s="27"/>
      <c r="J26" s="27"/>
      <c r="K26" s="27"/>
      <c r="L26" s="27"/>
      <c r="M26" s="27"/>
      <c r="N26" s="27">
        <f>+N24</f>
        <v>1184088737.5</v>
      </c>
    </row>
    <row r="27" spans="1:14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28"/>
      <c r="M27" s="28"/>
      <c r="N27" s="28"/>
    </row>
    <row r="28" spans="1:14" x14ac:dyDescent="0.25">
      <c r="A28" s="19" t="s">
        <v>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28"/>
      <c r="M28" s="28"/>
      <c r="N28" s="28"/>
    </row>
    <row r="29" spans="1:14" x14ac:dyDescent="0.25">
      <c r="A29" s="12" t="s">
        <v>110</v>
      </c>
      <c r="B29" s="30">
        <f>+B23</f>
        <v>25351934490.740437</v>
      </c>
      <c r="C29" s="10"/>
      <c r="D29" s="10"/>
      <c r="E29" s="10"/>
      <c r="F29" s="10"/>
      <c r="G29" s="10"/>
      <c r="H29" s="10"/>
      <c r="I29" s="10"/>
      <c r="J29" s="10"/>
      <c r="K29" s="10"/>
      <c r="L29" s="28"/>
      <c r="M29" s="28"/>
      <c r="N29" s="28"/>
    </row>
    <row r="30" spans="1:14" x14ac:dyDescent="0.25">
      <c r="A30" s="12" t="s">
        <v>111</v>
      </c>
      <c r="B30" s="30">
        <f>+'I Trimestre'!B30+'II Trimestre'!B30+'III Trimestre'!B30</f>
        <v>25305908984</v>
      </c>
      <c r="C30" s="10"/>
      <c r="D30" s="10"/>
      <c r="E30" s="10"/>
      <c r="F30" s="10"/>
      <c r="G30" s="10"/>
      <c r="H30" s="10"/>
      <c r="I30" s="10"/>
      <c r="J30" s="10"/>
      <c r="K30" s="10"/>
      <c r="L30" s="28"/>
      <c r="M30" s="28"/>
      <c r="N30" s="28"/>
    </row>
    <row r="31" spans="1:14" x14ac:dyDescent="0.25">
      <c r="A31" s="4"/>
    </row>
    <row r="32" spans="1:14" x14ac:dyDescent="0.25">
      <c r="A32" s="4" t="s">
        <v>7</v>
      </c>
    </row>
    <row r="33" spans="1:14" x14ac:dyDescent="0.25">
      <c r="A33" s="12" t="s">
        <v>62</v>
      </c>
      <c r="B33" s="38">
        <v>1.0347772084</v>
      </c>
      <c r="C33" s="38">
        <v>1.0347772084</v>
      </c>
      <c r="D33" s="38">
        <v>1.0347772084</v>
      </c>
      <c r="E33" s="38">
        <v>1.0347772084</v>
      </c>
      <c r="F33" s="38">
        <v>1.0347772084</v>
      </c>
      <c r="G33" s="38">
        <v>1.0347772084</v>
      </c>
      <c r="H33" s="38">
        <v>1.0347772084</v>
      </c>
      <c r="I33" s="38">
        <v>1.0347772084</v>
      </c>
      <c r="J33" s="38">
        <v>1.0347772084</v>
      </c>
      <c r="K33" s="38">
        <v>1.0347772084</v>
      </c>
      <c r="L33" s="38">
        <v>1.0347772084</v>
      </c>
      <c r="M33" s="38">
        <v>1.0347772084</v>
      </c>
      <c r="N33" s="38">
        <v>1.0347772084</v>
      </c>
    </row>
    <row r="34" spans="1:14" x14ac:dyDescent="0.25">
      <c r="A34" s="12" t="s">
        <v>113</v>
      </c>
      <c r="B34" s="38">
        <v>1.060947463</v>
      </c>
      <c r="C34" s="38">
        <v>1.060947463</v>
      </c>
      <c r="D34" s="38">
        <v>1.060947463</v>
      </c>
      <c r="E34" s="38">
        <v>1.060947463</v>
      </c>
      <c r="F34" s="38">
        <v>1.060947463</v>
      </c>
      <c r="G34" s="38">
        <v>1.060947463</v>
      </c>
      <c r="H34" s="38">
        <v>1.060947463</v>
      </c>
      <c r="I34" s="38">
        <v>1.060947463</v>
      </c>
      <c r="J34" s="38">
        <v>1.060947463</v>
      </c>
      <c r="K34" s="38">
        <v>1.060947463</v>
      </c>
      <c r="L34" s="38">
        <v>1.060947463</v>
      </c>
      <c r="M34" s="38">
        <v>1.060947463</v>
      </c>
      <c r="N34" s="38">
        <v>1.060947463</v>
      </c>
    </row>
    <row r="35" spans="1:14" x14ac:dyDescent="0.25">
      <c r="A35" s="12" t="s">
        <v>8</v>
      </c>
      <c r="B35" s="28">
        <v>101406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x14ac:dyDescent="0.25">
      <c r="A37" s="4" t="s">
        <v>9</v>
      </c>
      <c r="B37" s="28"/>
      <c r="C37" s="28"/>
      <c r="D37" s="27"/>
      <c r="E37" s="28"/>
      <c r="F37" s="28"/>
      <c r="G37" s="51"/>
      <c r="H37" s="51"/>
      <c r="I37" s="51"/>
      <c r="J37" s="51"/>
      <c r="K37" s="28"/>
      <c r="L37" s="28"/>
      <c r="M37" s="28"/>
      <c r="N37" s="28"/>
    </row>
    <row r="38" spans="1:14" x14ac:dyDescent="0.25">
      <c r="A38" s="13" t="s">
        <v>63</v>
      </c>
      <c r="B38" s="14">
        <f>B22/B33</f>
        <v>14910461286.93416</v>
      </c>
      <c r="C38" s="14">
        <f>C22/C33</f>
        <v>9093072141.150959</v>
      </c>
      <c r="D38" s="14"/>
      <c r="E38" s="14"/>
      <c r="F38" s="14">
        <f>F22/F33</f>
        <v>4312008629.2770348</v>
      </c>
      <c r="G38" s="14"/>
      <c r="H38" s="14"/>
      <c r="I38" s="14"/>
      <c r="J38" s="14"/>
      <c r="K38" s="14"/>
      <c r="L38" s="14"/>
      <c r="M38" s="14"/>
      <c r="N38" s="14">
        <f t="shared" ref="N38" si="2">N22/N33</f>
        <v>1505380516.5061655</v>
      </c>
    </row>
    <row r="39" spans="1:14" x14ac:dyDescent="0.25">
      <c r="A39" s="13" t="s">
        <v>114</v>
      </c>
      <c r="B39" s="14">
        <f>B24/B34</f>
        <v>17887945931.022976</v>
      </c>
      <c r="C39" s="14">
        <f>C24/C34</f>
        <v>12173687993.728676</v>
      </c>
      <c r="D39" s="14"/>
      <c r="E39" s="14"/>
      <c r="F39" s="14">
        <f>F24/F34</f>
        <v>4598190668.372426</v>
      </c>
      <c r="G39" s="14"/>
      <c r="H39" s="14"/>
      <c r="I39" s="14"/>
      <c r="J39" s="14"/>
      <c r="K39" s="14"/>
      <c r="L39" s="14"/>
      <c r="M39" s="14"/>
      <c r="N39" s="14">
        <f t="shared" ref="N39" si="3">N24/N34</f>
        <v>1116067268.9218731</v>
      </c>
    </row>
    <row r="40" spans="1:14" x14ac:dyDescent="0.25">
      <c r="A40" s="13" t="s">
        <v>64</v>
      </c>
      <c r="B40" s="14">
        <f>B38/B16</f>
        <v>126581.89609683224</v>
      </c>
      <c r="C40" s="14">
        <f>C38/C16</f>
        <v>260783.10237037306</v>
      </c>
      <c r="D40" s="14"/>
      <c r="E40" s="14"/>
      <c r="F40" s="14">
        <f>F38/F16</f>
        <v>37169.817937881198</v>
      </c>
      <c r="G40" s="14"/>
      <c r="H40" s="14"/>
      <c r="I40" s="14"/>
      <c r="J40" s="14"/>
      <c r="K40" s="14"/>
      <c r="L40" s="14"/>
      <c r="M40" s="14"/>
      <c r="N40" s="14">
        <f t="shared" ref="N40" si="4">N38/N16</f>
        <v>175390.9491443744</v>
      </c>
    </row>
    <row r="41" spans="1:14" x14ac:dyDescent="0.25">
      <c r="A41" s="13" t="s">
        <v>115</v>
      </c>
      <c r="B41" s="14">
        <f>B39/B18</f>
        <v>137972.58175666933</v>
      </c>
      <c r="C41" s="14">
        <f>C39/C18</f>
        <v>283103.90236754908</v>
      </c>
      <c r="D41" s="14"/>
      <c r="E41" s="14"/>
      <c r="F41" s="14">
        <f>F39/F18</f>
        <v>35423.802876578928</v>
      </c>
      <c r="G41" s="14"/>
      <c r="H41" s="14"/>
      <c r="I41" s="14"/>
      <c r="J41" s="14"/>
      <c r="K41" s="14"/>
      <c r="L41" s="14"/>
      <c r="M41" s="14"/>
      <c r="N41" s="14">
        <f t="shared" ref="N41" si="5">N39/N18</f>
        <v>123915.6849284093</v>
      </c>
    </row>
    <row r="43" spans="1:14" x14ac:dyDescent="0.25">
      <c r="A43" s="4" t="s">
        <v>10</v>
      </c>
    </row>
    <row r="45" spans="1:14" x14ac:dyDescent="0.25">
      <c r="A45" s="4" t="s">
        <v>11</v>
      </c>
    </row>
    <row r="46" spans="1:14" x14ac:dyDescent="0.25">
      <c r="A46" s="13" t="s">
        <v>12</v>
      </c>
      <c r="B46" s="40">
        <f t="shared" ref="B46" si="6">(B17/B35)*100</f>
        <v>139.05521698255856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1:14" x14ac:dyDescent="0.25">
      <c r="A47" s="13" t="s">
        <v>13</v>
      </c>
      <c r="B47" s="40">
        <f t="shared" ref="B47" si="7">(B18/B35)*100</f>
        <v>127.85097090463637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14" x14ac:dyDescent="0.2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14" x14ac:dyDescent="0.25">
      <c r="A49" s="4" t="s">
        <v>14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1:14" x14ac:dyDescent="0.25">
      <c r="A50" s="13" t="s">
        <v>15</v>
      </c>
      <c r="B50" s="41">
        <f t="shared" ref="B50:N50" si="8">B18/B17*100</f>
        <v>91.942592071660627</v>
      </c>
      <c r="C50" s="41">
        <f t="shared" si="8"/>
        <v>66.536404382726985</v>
      </c>
      <c r="D50" s="41">
        <f t="shared" si="8"/>
        <v>59.782417302592194</v>
      </c>
      <c r="E50" s="41">
        <f t="shared" si="8"/>
        <v>78.269176470588235</v>
      </c>
      <c r="F50" s="41">
        <f t="shared" si="8"/>
        <v>83.998311759372513</v>
      </c>
      <c r="G50" s="41">
        <f t="shared" si="8"/>
        <v>77.409738875566205</v>
      </c>
      <c r="H50" s="41">
        <f t="shared" si="8"/>
        <v>91.837464087866167</v>
      </c>
      <c r="I50" s="41">
        <f t="shared" si="8"/>
        <v>86.438641226296198</v>
      </c>
      <c r="J50" s="41">
        <f t="shared" si="8"/>
        <v>80.176635911367313</v>
      </c>
      <c r="K50" s="41">
        <f t="shared" si="8"/>
        <v>105.13430805848351</v>
      </c>
      <c r="L50" s="41">
        <f t="shared" si="8"/>
        <v>0</v>
      </c>
      <c r="M50" s="41">
        <f t="shared" si="8"/>
        <v>0</v>
      </c>
      <c r="N50" s="41">
        <f t="shared" si="8"/>
        <v>97.749801027422038</v>
      </c>
    </row>
    <row r="51" spans="1:14" x14ac:dyDescent="0.25">
      <c r="A51" s="13" t="s">
        <v>16</v>
      </c>
      <c r="B51" s="41">
        <f>B24/B23*100</f>
        <v>74.858866729604415</v>
      </c>
      <c r="C51" s="41">
        <f>C24/C23*100</f>
        <v>72.412683582026091</v>
      </c>
      <c r="D51" s="41"/>
      <c r="E51" s="41"/>
      <c r="F51" s="41">
        <f>F24/F23*100</f>
        <v>83.459884607435853</v>
      </c>
      <c r="G51" s="41"/>
      <c r="H51" s="41"/>
      <c r="I51" s="41"/>
      <c r="J51" s="41"/>
      <c r="K51" s="41"/>
      <c r="L51" s="41"/>
      <c r="M51" s="41"/>
      <c r="N51" s="41">
        <f t="shared" ref="N51" si="9">N24/N23*100</f>
        <v>70.881322087762058</v>
      </c>
    </row>
    <row r="52" spans="1:14" x14ac:dyDescent="0.25">
      <c r="A52" s="13" t="s">
        <v>17</v>
      </c>
      <c r="B52" s="41">
        <f>AVERAGE(B50:B51)</f>
        <v>83.400729400632514</v>
      </c>
      <c r="C52" s="41">
        <f t="shared" ref="C52" si="10">AVERAGE(C50:C51)</f>
        <v>69.474543982376531</v>
      </c>
      <c r="D52" s="41"/>
      <c r="E52" s="41"/>
      <c r="F52" s="41">
        <f t="shared" ref="F52:N52" si="11">AVERAGE(F50:F51)</f>
        <v>83.729098183404176</v>
      </c>
      <c r="G52" s="41"/>
      <c r="H52" s="41"/>
      <c r="I52" s="41"/>
      <c r="J52" s="41"/>
      <c r="K52" s="41"/>
      <c r="L52" s="41"/>
      <c r="M52" s="41"/>
      <c r="N52" s="41">
        <f t="shared" si="11"/>
        <v>84.315561557592048</v>
      </c>
    </row>
    <row r="53" spans="1:14" x14ac:dyDescent="0.25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</row>
    <row r="54" spans="1:14" x14ac:dyDescent="0.25">
      <c r="A54" s="4" t="s">
        <v>18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</row>
    <row r="55" spans="1:14" x14ac:dyDescent="0.25">
      <c r="A55" s="13" t="s">
        <v>19</v>
      </c>
      <c r="B55" s="42">
        <f t="shared" ref="B55:N55" si="12">((B18/B19)*100)</f>
        <v>93.630752563883078</v>
      </c>
      <c r="C55" s="42">
        <f t="shared" si="12"/>
        <v>65.336576467524552</v>
      </c>
      <c r="D55" s="42">
        <f t="shared" si="12"/>
        <v>58.583243554449552</v>
      </c>
      <c r="E55" s="42">
        <f t="shared" si="12"/>
        <v>77.134851311515547</v>
      </c>
      <c r="F55" s="42">
        <f t="shared" si="12"/>
        <v>85.648237346275451</v>
      </c>
      <c r="G55" s="42">
        <f t="shared" si="12"/>
        <v>76.287325017599684</v>
      </c>
      <c r="H55" s="42">
        <f t="shared" si="12"/>
        <v>90.505963817257566</v>
      </c>
      <c r="I55" s="42">
        <f t="shared" si="12"/>
        <v>85.185907295480305</v>
      </c>
      <c r="J55" s="42">
        <f t="shared" si="12"/>
        <v>80.829016005515086</v>
      </c>
      <c r="K55" s="42">
        <f t="shared" si="12"/>
        <v>108.81464000331222</v>
      </c>
      <c r="L55" s="42">
        <f t="shared" si="12"/>
        <v>0</v>
      </c>
      <c r="M55" s="42">
        <f t="shared" si="12"/>
        <v>0</v>
      </c>
      <c r="N55" s="42">
        <f t="shared" si="12"/>
        <v>96.331420014973801</v>
      </c>
    </row>
    <row r="56" spans="1:14" x14ac:dyDescent="0.25">
      <c r="A56" s="13" t="s">
        <v>20</v>
      </c>
      <c r="B56" s="42">
        <f>B24/B25*100</f>
        <v>55.70427406470705</v>
      </c>
      <c r="C56" s="42">
        <f>C24/C25*100</f>
        <v>54.172497198090753</v>
      </c>
      <c r="D56" s="42"/>
      <c r="E56" s="42"/>
      <c r="F56" s="42">
        <f>F24/F25*100</f>
        <v>61.43761088562313</v>
      </c>
      <c r="G56" s="42"/>
      <c r="H56" s="42"/>
      <c r="I56" s="42"/>
      <c r="J56" s="42"/>
      <c r="K56" s="42"/>
      <c r="L56" s="42"/>
      <c r="M56" s="42"/>
      <c r="N56" s="42">
        <f t="shared" ref="N56" si="13">N24/N25*100</f>
        <v>51.767257691140109</v>
      </c>
    </row>
    <row r="57" spans="1:14" x14ac:dyDescent="0.25">
      <c r="A57" s="13" t="s">
        <v>21</v>
      </c>
      <c r="B57" s="42">
        <f>(B55+B56)/2</f>
        <v>74.667513314295064</v>
      </c>
      <c r="C57" s="42">
        <f>(C55+C56)/2</f>
        <v>59.754536832807652</v>
      </c>
      <c r="D57" s="42"/>
      <c r="E57" s="42"/>
      <c r="F57" s="42">
        <f>(F55+F56)/2</f>
        <v>73.54292411594929</v>
      </c>
      <c r="G57" s="42"/>
      <c r="H57" s="42"/>
      <c r="I57" s="42"/>
      <c r="J57" s="42"/>
      <c r="K57" s="42"/>
      <c r="L57" s="42"/>
      <c r="M57" s="42"/>
      <c r="N57" s="42">
        <f t="shared" ref="N57" si="14">(N55+N56)/2</f>
        <v>74.049338853056952</v>
      </c>
    </row>
    <row r="58" spans="1:14" x14ac:dyDescent="0.25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x14ac:dyDescent="0.25">
      <c r="A59" s="4" t="s">
        <v>36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13" t="s">
        <v>22</v>
      </c>
      <c r="B60" s="40">
        <f>B26/B24*100</f>
        <v>100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</row>
    <row r="61" spans="1:14" x14ac:dyDescent="0.2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</row>
    <row r="62" spans="1:14" x14ac:dyDescent="0.25">
      <c r="A62" s="4" t="s">
        <v>23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</row>
    <row r="63" spans="1:14" x14ac:dyDescent="0.25">
      <c r="A63" s="13" t="s">
        <v>24</v>
      </c>
      <c r="B63" s="41">
        <f t="shared" ref="B63:N63" si="15">((B18/B16)-1)*100</f>
        <v>10.064736916077832</v>
      </c>
      <c r="C63" s="41">
        <f t="shared" si="15"/>
        <v>23.323295572232048</v>
      </c>
      <c r="D63" s="41">
        <f t="shared" si="15"/>
        <v>13.696548171045864</v>
      </c>
      <c r="E63" s="41">
        <f t="shared" si="15"/>
        <v>38.931629286221451</v>
      </c>
      <c r="F63" s="41">
        <f t="shared" si="15"/>
        <v>11.892919569954286</v>
      </c>
      <c r="G63" s="41">
        <f t="shared" si="15"/>
        <v>4.3800644249305742</v>
      </c>
      <c r="H63" s="41">
        <f t="shared" si="15"/>
        <v>10.98209242831989</v>
      </c>
      <c r="I63" s="41">
        <f t="shared" si="15"/>
        <v>53.492245237847392</v>
      </c>
      <c r="J63" s="41">
        <f t="shared" si="15"/>
        <v>19.185514419505623</v>
      </c>
      <c r="K63" s="41">
        <f>((K18/K16)-1)*100</f>
        <v>9.2507594941093849</v>
      </c>
      <c r="L63" s="41" t="s">
        <v>78</v>
      </c>
      <c r="M63" s="41" t="s">
        <v>78</v>
      </c>
      <c r="N63" s="41">
        <f t="shared" si="15"/>
        <v>4.9361140238455725</v>
      </c>
    </row>
    <row r="64" spans="1:14" x14ac:dyDescent="0.25">
      <c r="A64" s="13" t="s">
        <v>25</v>
      </c>
      <c r="B64" s="41">
        <f>((B39/B38)-1)*100</f>
        <v>19.969098117024366</v>
      </c>
      <c r="C64" s="41">
        <f>((C39/C38)-1)*100</f>
        <v>33.878713428834487</v>
      </c>
      <c r="D64" s="41"/>
      <c r="E64" s="41"/>
      <c r="F64" s="41">
        <f>((F39/F38)-1)*100</f>
        <v>6.6368614652650537</v>
      </c>
      <c r="G64" s="41"/>
      <c r="H64" s="41"/>
      <c r="I64" s="41"/>
      <c r="J64" s="41"/>
      <c r="K64" s="41"/>
      <c r="L64" s="41"/>
      <c r="M64" s="41"/>
      <c r="N64" s="41">
        <f t="shared" ref="N64" si="16">((N39/N38)-1)*100</f>
        <v>-25.861451195598619</v>
      </c>
    </row>
    <row r="65" spans="1:14" x14ac:dyDescent="0.25">
      <c r="A65" s="13" t="s">
        <v>26</v>
      </c>
      <c r="B65" s="41">
        <f>((B41/B40)-1)*100</f>
        <v>8.9986688547653682</v>
      </c>
      <c r="C65" s="41">
        <f>((C41/C40)-1)*100</f>
        <v>8.5591435159304332</v>
      </c>
      <c r="D65" s="41"/>
      <c r="E65" s="41"/>
      <c r="F65" s="41">
        <f>((F41/F40)-1)*100</f>
        <v>-4.6974000900952495</v>
      </c>
      <c r="G65" s="41"/>
      <c r="H65" s="41"/>
      <c r="I65" s="41"/>
      <c r="J65" s="41"/>
      <c r="K65" s="41"/>
      <c r="L65" s="41"/>
      <c r="M65" s="41"/>
      <c r="N65" s="41">
        <f t="shared" ref="N65" si="17">((N41/N40)-1)*100</f>
        <v>-29.348871459491811</v>
      </c>
    </row>
    <row r="66" spans="1:14" x14ac:dyDescent="0.2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</row>
    <row r="67" spans="1:14" x14ac:dyDescent="0.25">
      <c r="A67" s="4" t="s">
        <v>27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x14ac:dyDescent="0.25">
      <c r="A68" s="13" t="s">
        <v>28</v>
      </c>
      <c r="B68" s="41">
        <f>B23/(B17*9)</f>
        <v>19976.419766510757</v>
      </c>
      <c r="C68" s="41">
        <f>C23/(C17*9)</f>
        <v>30664.925253857469</v>
      </c>
      <c r="D68" s="41"/>
      <c r="E68" s="41"/>
      <c r="F68" s="41">
        <f>F23/(F17*9)</f>
        <v>4202.8058610350754</v>
      </c>
      <c r="G68" s="41"/>
      <c r="H68" s="41"/>
      <c r="I68" s="41"/>
      <c r="J68" s="41"/>
      <c r="K68" s="41"/>
      <c r="L68" s="41"/>
      <c r="M68" s="41"/>
      <c r="N68" s="41">
        <f t="shared" ref="N68:N69" si="18">N23/(N17*9)</f>
        <v>20144.742644044087</v>
      </c>
    </row>
    <row r="69" spans="1:14" x14ac:dyDescent="0.25">
      <c r="A69" s="13" t="s">
        <v>29</v>
      </c>
      <c r="B69" s="41">
        <f>B24/(B18*9)</f>
        <v>16264.628953144269</v>
      </c>
      <c r="C69" s="41">
        <f>C24/(C18*9)</f>
        <v>33373.15188691677</v>
      </c>
      <c r="D69" s="41"/>
      <c r="E69" s="41"/>
      <c r="F69" s="41">
        <f>F24/(F18*9)</f>
        <v>4175.8659768576135</v>
      </c>
      <c r="G69" s="41"/>
      <c r="H69" s="41"/>
      <c r="I69" s="41"/>
      <c r="J69" s="41"/>
      <c r="K69" s="41"/>
      <c r="L69" s="41"/>
      <c r="M69" s="41"/>
      <c r="N69" s="41">
        <f t="shared" si="18"/>
        <v>14607.559061189242</v>
      </c>
    </row>
    <row r="70" spans="1:14" x14ac:dyDescent="0.25">
      <c r="A70" s="13" t="s">
        <v>30</v>
      </c>
      <c r="B70" s="41">
        <f>(B69/B68)*B52</f>
        <v>67.904155698456876</v>
      </c>
      <c r="C70" s="41">
        <f>(C69/C68)*C52</f>
        <v>75.610310131327225</v>
      </c>
      <c r="D70" s="41"/>
      <c r="E70" s="41"/>
      <c r="F70" s="41">
        <f>(F69/F68)*F52</f>
        <v>83.192396683994758</v>
      </c>
      <c r="G70" s="41"/>
      <c r="H70" s="41"/>
      <c r="I70" s="41"/>
      <c r="J70" s="41"/>
      <c r="K70" s="41"/>
      <c r="L70" s="41"/>
      <c r="M70" s="41"/>
      <c r="N70" s="41">
        <f t="shared" ref="N70" si="19">(N69/N68)*N52</f>
        <v>61.139750802128319</v>
      </c>
    </row>
    <row r="71" spans="1:14" x14ac:dyDescent="0.25">
      <c r="A71" s="13" t="s">
        <v>37</v>
      </c>
      <c r="B71" s="41">
        <f>B23/B17</f>
        <v>179787.7778985968</v>
      </c>
      <c r="C71" s="41">
        <f>C23/C17</f>
        <v>275984.32728471723</v>
      </c>
      <c r="D71" s="41"/>
      <c r="E71" s="41"/>
      <c r="F71" s="41">
        <f>F23/F17</f>
        <v>37825.252749315681</v>
      </c>
      <c r="G71" s="41"/>
      <c r="H71" s="41"/>
      <c r="I71" s="41"/>
      <c r="J71" s="41"/>
      <c r="K71" s="41"/>
      <c r="L71" s="41"/>
      <c r="M71" s="41"/>
      <c r="N71" s="41">
        <f t="shared" ref="N71:N72" si="20">N23/N17</f>
        <v>181302.6837963968</v>
      </c>
    </row>
    <row r="72" spans="1:14" x14ac:dyDescent="0.25">
      <c r="A72" s="13" t="s">
        <v>38</v>
      </c>
      <c r="B72" s="41">
        <f>B24/B18</f>
        <v>146381.66057829841</v>
      </c>
      <c r="C72" s="41">
        <f>C24/C18</f>
        <v>300358.36698225094</v>
      </c>
      <c r="D72" s="41"/>
      <c r="E72" s="41"/>
      <c r="F72" s="41">
        <f>F24/F18</f>
        <v>37582.793791718519</v>
      </c>
      <c r="G72" s="41"/>
      <c r="H72" s="41"/>
      <c r="I72" s="41"/>
      <c r="J72" s="41"/>
      <c r="K72" s="41"/>
      <c r="L72" s="41"/>
      <c r="M72" s="41"/>
      <c r="N72" s="41">
        <f t="shared" si="20"/>
        <v>131468.03155070319</v>
      </c>
    </row>
    <row r="73" spans="1:14" x14ac:dyDescent="0.2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x14ac:dyDescent="0.25">
      <c r="A74" s="4" t="s">
        <v>31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1:14" x14ac:dyDescent="0.25">
      <c r="A75" s="13" t="s">
        <v>32</v>
      </c>
      <c r="B75" s="40">
        <f>(B30/B29)*100</f>
        <v>99.818453669650935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t="15.75" thickBot="1" x14ac:dyDescent="0.3">
      <c r="A76" s="21" t="s">
        <v>33</v>
      </c>
      <c r="B76" s="44">
        <f>(B24/B30)*100</f>
        <v>74.995017431696297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1:14" ht="15.75" thickTop="1" x14ac:dyDescent="0.25">
      <c r="A77" s="50" t="s">
        <v>92</v>
      </c>
      <c r="B77" s="50"/>
      <c r="C77" s="50"/>
      <c r="D77" s="50"/>
      <c r="E77" s="50"/>
      <c r="F77" s="50"/>
      <c r="G77" s="22"/>
      <c r="H77" s="22"/>
      <c r="I77" s="22"/>
      <c r="J77" s="22"/>
      <c r="K77" s="22"/>
      <c r="L77" s="22"/>
    </row>
    <row r="78" spans="1:14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4" x14ac:dyDescent="0.25">
      <c r="A79" s="22" t="s">
        <v>130</v>
      </c>
    </row>
    <row r="80" spans="1:14" x14ac:dyDescent="0.25">
      <c r="A80" s="13" t="s">
        <v>133</v>
      </c>
    </row>
  </sheetData>
  <mergeCells count="7">
    <mergeCell ref="A77:F77"/>
    <mergeCell ref="G37:J37"/>
    <mergeCell ref="A9:A10"/>
    <mergeCell ref="D10:E10"/>
    <mergeCell ref="G10:K10"/>
    <mergeCell ref="B9:B10"/>
    <mergeCell ref="C9:N9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81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13" customWidth="1"/>
    <col min="2" max="14" width="15.7109375" style="13" customWidth="1"/>
    <col min="15" max="16384" width="11.42578125" style="13"/>
  </cols>
  <sheetData>
    <row r="9" spans="1:14" x14ac:dyDescent="0.25">
      <c r="A9" s="53" t="s">
        <v>0</v>
      </c>
      <c r="B9" s="53" t="s">
        <v>47</v>
      </c>
      <c r="C9" s="52" t="s">
        <v>2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ht="45.75" thickBot="1" x14ac:dyDescent="0.3">
      <c r="A10" s="54"/>
      <c r="B10" s="54"/>
      <c r="C10" s="33" t="s">
        <v>46</v>
      </c>
      <c r="D10" s="55" t="s">
        <v>49</v>
      </c>
      <c r="E10" s="55"/>
      <c r="F10" s="33" t="s">
        <v>43</v>
      </c>
      <c r="G10" s="54" t="s">
        <v>48</v>
      </c>
      <c r="H10" s="54"/>
      <c r="I10" s="54"/>
      <c r="J10" s="54"/>
      <c r="K10" s="54"/>
      <c r="L10" s="34" t="s">
        <v>107</v>
      </c>
      <c r="M10" s="34" t="s">
        <v>108</v>
      </c>
      <c r="N10" s="34" t="s">
        <v>77</v>
      </c>
    </row>
    <row r="11" spans="1:14" ht="45.75" customHeight="1" thickTop="1" x14ac:dyDescent="0.25">
      <c r="B11" s="16" t="s">
        <v>1</v>
      </c>
      <c r="C11" s="17" t="s">
        <v>52</v>
      </c>
      <c r="D11" s="18" t="s">
        <v>79</v>
      </c>
      <c r="E11" s="18" t="s">
        <v>51</v>
      </c>
      <c r="F11" s="16" t="s">
        <v>45</v>
      </c>
      <c r="G11" s="16" t="s">
        <v>136</v>
      </c>
      <c r="H11" s="16" t="s">
        <v>80</v>
      </c>
      <c r="I11" s="16" t="s">
        <v>81</v>
      </c>
      <c r="J11" s="16" t="s">
        <v>82</v>
      </c>
      <c r="K11" s="16" t="s">
        <v>83</v>
      </c>
      <c r="L11" s="16" t="s">
        <v>109</v>
      </c>
      <c r="M11" s="16" t="s">
        <v>83</v>
      </c>
      <c r="N11" s="16" t="s">
        <v>84</v>
      </c>
    </row>
    <row r="13" spans="1:14" x14ac:dyDescent="0.25">
      <c r="A13" s="4" t="s">
        <v>3</v>
      </c>
    </row>
    <row r="15" spans="1:14" x14ac:dyDescent="0.25">
      <c r="A15" s="4" t="s">
        <v>4</v>
      </c>
    </row>
    <row r="16" spans="1:14" x14ac:dyDescent="0.25">
      <c r="A16" s="12" t="s">
        <v>65</v>
      </c>
      <c r="B16" s="14">
        <f>+D16+K16</f>
        <v>130565</v>
      </c>
      <c r="C16" s="14">
        <f>+D16+E16</f>
        <v>42624</v>
      </c>
      <c r="D16" s="14">
        <v>25706</v>
      </c>
      <c r="E16" s="14">
        <v>16918</v>
      </c>
      <c r="F16" s="14">
        <f>+K16+I16+H16</f>
        <v>128844</v>
      </c>
      <c r="G16" s="14">
        <v>9498</v>
      </c>
      <c r="H16" s="30">
        <v>14401</v>
      </c>
      <c r="I16" s="30">
        <v>9584</v>
      </c>
      <c r="J16" s="30">
        <v>32320</v>
      </c>
      <c r="K16" s="14">
        <v>104859</v>
      </c>
      <c r="L16" s="14">
        <v>0</v>
      </c>
      <c r="M16" s="14">
        <v>0</v>
      </c>
      <c r="N16" s="14">
        <v>9610</v>
      </c>
    </row>
    <row r="17" spans="1:14" x14ac:dyDescent="0.25">
      <c r="A17" s="12" t="s">
        <v>117</v>
      </c>
      <c r="B17" s="14">
        <f>+D17+K17</f>
        <v>130839</v>
      </c>
      <c r="C17" s="14">
        <f t="shared" ref="C17:C19" si="0">+D17+E17</f>
        <v>69375</v>
      </c>
      <c r="D17" s="14">
        <v>44375</v>
      </c>
      <c r="E17" s="30">
        <v>25000</v>
      </c>
      <c r="F17" s="14">
        <f>+K17+I17+H17+L17+M17</f>
        <v>142623</v>
      </c>
      <c r="G17" s="30">
        <v>14129</v>
      </c>
      <c r="H17" s="30">
        <v>17117</v>
      </c>
      <c r="I17" s="14">
        <v>12042</v>
      </c>
      <c r="J17" s="14">
        <v>38396</v>
      </c>
      <c r="K17" s="14">
        <v>86464</v>
      </c>
      <c r="L17" s="14">
        <v>5000</v>
      </c>
      <c r="M17" s="14">
        <v>22000</v>
      </c>
      <c r="N17" s="14">
        <v>9756</v>
      </c>
    </row>
    <row r="18" spans="1:14" x14ac:dyDescent="0.25">
      <c r="A18" s="12" t="s">
        <v>118</v>
      </c>
      <c r="B18" s="14">
        <f t="shared" ref="B18" si="1">+D18+K18</f>
        <v>121420.66666666667</v>
      </c>
      <c r="C18" s="14">
        <f t="shared" si="0"/>
        <v>51442.666666666672</v>
      </c>
      <c r="D18" s="14">
        <v>26688.666666666668</v>
      </c>
      <c r="E18" s="14">
        <v>24754</v>
      </c>
      <c r="F18" s="14">
        <f>+K18+I18+H18+L18+M18</f>
        <v>139396.33333333331</v>
      </c>
      <c r="G18" s="14">
        <v>10580.666666666666</v>
      </c>
      <c r="H18" s="14">
        <v>15712</v>
      </c>
      <c r="I18" s="30">
        <v>10920.333333333334</v>
      </c>
      <c r="J18" s="30">
        <v>34450.333333333336</v>
      </c>
      <c r="K18" s="14">
        <v>94732</v>
      </c>
      <c r="L18" s="14">
        <v>0</v>
      </c>
      <c r="M18" s="14">
        <v>18032</v>
      </c>
      <c r="N18" s="14">
        <v>10011.666666666666</v>
      </c>
    </row>
    <row r="19" spans="1:14" x14ac:dyDescent="0.25">
      <c r="A19" s="12" t="s">
        <v>87</v>
      </c>
      <c r="B19" s="14">
        <f>+D19+K19</f>
        <v>138467.91999999998</v>
      </c>
      <c r="C19" s="14">
        <f t="shared" si="0"/>
        <v>65814.25</v>
      </c>
      <c r="D19" s="14">
        <v>41855.919999999998</v>
      </c>
      <c r="E19" s="14">
        <v>23958.33</v>
      </c>
      <c r="F19" s="14">
        <f>+K19+I19+H19+L19+M19</f>
        <v>151556.08000000002</v>
      </c>
      <c r="G19" s="14">
        <v>13540.33</v>
      </c>
      <c r="H19" s="14">
        <v>16403.830000000002</v>
      </c>
      <c r="I19" s="14">
        <v>11540.25</v>
      </c>
      <c r="J19" s="14">
        <v>39921.17</v>
      </c>
      <c r="K19" s="14">
        <v>96612</v>
      </c>
      <c r="L19" s="14">
        <v>5000</v>
      </c>
      <c r="M19" s="14">
        <v>22000</v>
      </c>
      <c r="N19" s="14">
        <v>9349.5</v>
      </c>
    </row>
    <row r="20" spans="1:14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x14ac:dyDescent="0.25">
      <c r="A21" s="19" t="s">
        <v>5</v>
      </c>
      <c r="B21" s="28"/>
      <c r="C21" s="28"/>
      <c r="D21" s="28"/>
      <c r="E21" s="28"/>
      <c r="F21" s="28"/>
      <c r="G21" s="28"/>
      <c r="H21" s="28"/>
      <c r="I21" s="10"/>
      <c r="J21" s="10"/>
      <c r="K21" s="28"/>
      <c r="L21" s="27"/>
      <c r="M21" s="28"/>
      <c r="N21" s="28"/>
    </row>
    <row r="22" spans="1:14" x14ac:dyDescent="0.25">
      <c r="A22" s="12" t="s">
        <v>65</v>
      </c>
      <c r="B22" s="14">
        <f>+C22+F22+N22</f>
        <v>7551136042</v>
      </c>
      <c r="C22" s="14">
        <f>D22</f>
        <v>4643948653</v>
      </c>
      <c r="D22" s="51">
        <v>4643948653</v>
      </c>
      <c r="E22" s="51"/>
      <c r="F22" s="14">
        <f>+G22+L22</f>
        <v>2364202477</v>
      </c>
      <c r="G22" s="51">
        <v>2364202477</v>
      </c>
      <c r="H22" s="51"/>
      <c r="I22" s="51"/>
      <c r="J22" s="51"/>
      <c r="K22" s="51"/>
      <c r="L22" s="51">
        <f>M22</f>
        <v>0</v>
      </c>
      <c r="M22" s="51"/>
      <c r="N22" s="14">
        <v>542984912</v>
      </c>
    </row>
    <row r="23" spans="1:14" x14ac:dyDescent="0.25">
      <c r="A23" s="12" t="s">
        <v>117</v>
      </c>
      <c r="B23" s="14">
        <f>+C23+F23+N23</f>
        <v>8887541447.3547821</v>
      </c>
      <c r="C23" s="14">
        <f>+D23+E23</f>
        <v>5862837884.3547831</v>
      </c>
      <c r="D23" s="14">
        <v>5609638047.9200001</v>
      </c>
      <c r="E23" s="14">
        <v>253199836.43478262</v>
      </c>
      <c r="F23" s="14">
        <f>G23+L23</f>
        <v>2095226180</v>
      </c>
      <c r="G23" s="51">
        <v>1579550180</v>
      </c>
      <c r="H23" s="51"/>
      <c r="I23" s="51"/>
      <c r="J23" s="51"/>
      <c r="K23" s="51"/>
      <c r="L23" s="51">
        <v>515676000</v>
      </c>
      <c r="M23" s="51"/>
      <c r="N23" s="14">
        <v>929477383</v>
      </c>
    </row>
    <row r="24" spans="1:14" x14ac:dyDescent="0.25">
      <c r="A24" s="12" t="s">
        <v>118</v>
      </c>
      <c r="B24" s="14">
        <f>+C24+F24+N24</f>
        <v>10974659553.110001</v>
      </c>
      <c r="C24" s="14">
        <f>D24</f>
        <v>6771851214.75</v>
      </c>
      <c r="D24" s="51">
        <v>6771851214.75</v>
      </c>
      <c r="E24" s="51"/>
      <c r="F24" s="14">
        <f>G24+L24</f>
        <v>3256614113.8599997</v>
      </c>
      <c r="G24" s="51">
        <v>2923769783.6199999</v>
      </c>
      <c r="H24" s="51"/>
      <c r="I24" s="51"/>
      <c r="J24" s="51"/>
      <c r="K24" s="51"/>
      <c r="L24" s="51">
        <v>332844330.24000001</v>
      </c>
      <c r="M24" s="51"/>
      <c r="N24" s="14">
        <v>946194224.5</v>
      </c>
    </row>
    <row r="25" spans="1:14" x14ac:dyDescent="0.25">
      <c r="A25" s="12" t="s">
        <v>87</v>
      </c>
      <c r="B25" s="14">
        <f>+C25+F25+N25</f>
        <v>34239475937.339996</v>
      </c>
      <c r="C25" s="14">
        <f>+D25+E25</f>
        <v>23698999663.839996</v>
      </c>
      <c r="D25" s="14">
        <v>22676290290.839996</v>
      </c>
      <c r="E25" s="14">
        <v>1022709373.0000001</v>
      </c>
      <c r="F25" s="14">
        <f>G25+L25</f>
        <v>7940475962</v>
      </c>
      <c r="G25" s="51">
        <v>7252907962</v>
      </c>
      <c r="H25" s="51"/>
      <c r="I25" s="51"/>
      <c r="J25" s="51"/>
      <c r="K25" s="51"/>
      <c r="L25" s="51">
        <v>687568000</v>
      </c>
      <c r="M25" s="51"/>
      <c r="N25" s="14">
        <v>2600000311.5</v>
      </c>
    </row>
    <row r="26" spans="1:14" x14ac:dyDescent="0.25">
      <c r="A26" s="12" t="s">
        <v>119</v>
      </c>
      <c r="B26" s="14">
        <f>+C26+F26+N26</f>
        <v>10974659553.110001</v>
      </c>
      <c r="C26" s="14">
        <f>C24</f>
        <v>6771851214.75</v>
      </c>
      <c r="D26" s="49"/>
      <c r="E26" s="49"/>
      <c r="F26" s="14">
        <f>F24</f>
        <v>3256614113.8599997</v>
      </c>
      <c r="G26" s="49"/>
      <c r="H26" s="49"/>
      <c r="I26" s="49"/>
      <c r="J26" s="49"/>
      <c r="K26" s="49"/>
      <c r="L26" s="48"/>
      <c r="M26" s="48"/>
      <c r="N26" s="14">
        <f>+N24</f>
        <v>946194224.5</v>
      </c>
    </row>
    <row r="27" spans="1:14" x14ac:dyDescent="0.25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x14ac:dyDescent="0.25">
      <c r="A28" s="19" t="s">
        <v>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x14ac:dyDescent="0.25">
      <c r="A29" s="12" t="s">
        <v>117</v>
      </c>
      <c r="B29" s="28">
        <f>B23</f>
        <v>8887541447.3547821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x14ac:dyDescent="0.25">
      <c r="A30" s="12" t="s">
        <v>118</v>
      </c>
      <c r="B30" s="28">
        <v>2921022316.6700001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x14ac:dyDescent="0.25">
      <c r="D31" s="29"/>
    </row>
    <row r="32" spans="1:14" x14ac:dyDescent="0.25">
      <c r="A32" s="4" t="s">
        <v>7</v>
      </c>
    </row>
    <row r="33" spans="1:14" x14ac:dyDescent="0.25">
      <c r="A33" s="12" t="s">
        <v>66</v>
      </c>
      <c r="B33" s="38">
        <v>1.0451999999999999</v>
      </c>
      <c r="C33" s="38">
        <v>1.0451999999999999</v>
      </c>
      <c r="D33" s="38">
        <v>1.0451999999999999</v>
      </c>
      <c r="E33" s="38">
        <v>1.0451999999999999</v>
      </c>
      <c r="F33" s="38">
        <v>1.0451999999999999</v>
      </c>
      <c r="G33" s="38">
        <v>1.0451999999999999</v>
      </c>
      <c r="H33" s="38">
        <v>1.0451999999999999</v>
      </c>
      <c r="I33" s="38">
        <v>1.0451999999999999</v>
      </c>
      <c r="J33" s="38">
        <v>1.0451999999999999</v>
      </c>
      <c r="K33" s="38">
        <v>1.0451999999999999</v>
      </c>
      <c r="L33" s="38">
        <v>1.0451999999999999</v>
      </c>
      <c r="M33" s="38">
        <v>1.0451999999999999</v>
      </c>
      <c r="N33" s="38">
        <v>1.0451999999999999</v>
      </c>
    </row>
    <row r="34" spans="1:14" x14ac:dyDescent="0.25">
      <c r="A34" s="12" t="s">
        <v>120</v>
      </c>
      <c r="B34" s="38">
        <v>1.0610999999999999</v>
      </c>
      <c r="C34" s="38">
        <v>1.0610999999999999</v>
      </c>
      <c r="D34" s="38">
        <v>1.0610999999999999</v>
      </c>
      <c r="E34" s="38">
        <v>1.0610999999999999</v>
      </c>
      <c r="F34" s="38">
        <v>1.0610999999999999</v>
      </c>
      <c r="G34" s="38">
        <v>1.0610999999999999</v>
      </c>
      <c r="H34" s="38">
        <v>1.0610999999999999</v>
      </c>
      <c r="I34" s="38">
        <v>1.0610999999999999</v>
      </c>
      <c r="J34" s="38">
        <v>1.0610999999999999</v>
      </c>
      <c r="K34" s="38">
        <v>1.0610999999999999</v>
      </c>
      <c r="L34" s="38">
        <v>1.0610999999999999</v>
      </c>
      <c r="M34" s="38">
        <v>1.0610999999999999</v>
      </c>
      <c r="N34" s="38">
        <v>1.0610999999999999</v>
      </c>
    </row>
    <row r="35" spans="1:14" x14ac:dyDescent="0.25">
      <c r="A35" s="12" t="s">
        <v>8</v>
      </c>
      <c r="B35" s="28">
        <v>101406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x14ac:dyDescent="0.25">
      <c r="A37" s="4" t="s">
        <v>9</v>
      </c>
      <c r="B37" s="28"/>
      <c r="C37" s="28"/>
      <c r="D37" s="27"/>
      <c r="E37" s="27"/>
      <c r="F37" s="27"/>
      <c r="G37" s="28"/>
      <c r="H37" s="28"/>
      <c r="I37" s="28"/>
      <c r="J37" s="28"/>
      <c r="K37" s="28"/>
      <c r="L37" s="28"/>
      <c r="M37" s="28"/>
      <c r="N37" s="28"/>
    </row>
    <row r="38" spans="1:14" x14ac:dyDescent="0.25">
      <c r="A38" s="13" t="s">
        <v>67</v>
      </c>
      <c r="B38" s="14">
        <f>B22/B33</f>
        <v>7224584808.6490631</v>
      </c>
      <c r="C38" s="14">
        <f t="shared" ref="C38:F38" si="2">C22/C33</f>
        <v>4443119645.0440111</v>
      </c>
      <c r="D38" s="14"/>
      <c r="E38" s="14"/>
      <c r="F38" s="14">
        <f t="shared" si="2"/>
        <v>2261961803.4825873</v>
      </c>
      <c r="G38" s="28"/>
      <c r="H38" s="28"/>
      <c r="I38" s="28"/>
      <c r="J38" s="28"/>
      <c r="K38" s="14"/>
      <c r="L38" s="14"/>
      <c r="M38" s="14"/>
      <c r="N38" s="14">
        <f>N22/N33</f>
        <v>519503360.12246466</v>
      </c>
    </row>
    <row r="39" spans="1:14" x14ac:dyDescent="0.25">
      <c r="A39" s="13" t="s">
        <v>121</v>
      </c>
      <c r="B39" s="14">
        <f>B24/B34</f>
        <v>10342719397.898409</v>
      </c>
      <c r="C39" s="14">
        <f t="shared" ref="C39:F39" si="3">C24/C34</f>
        <v>6381916138.6768456</v>
      </c>
      <c r="D39" s="14"/>
      <c r="E39" s="14"/>
      <c r="F39" s="14">
        <f t="shared" si="3"/>
        <v>3069092558.533597</v>
      </c>
      <c r="G39" s="14"/>
      <c r="H39" s="14"/>
      <c r="I39" s="14"/>
      <c r="J39" s="14"/>
      <c r="K39" s="14"/>
      <c r="L39" s="14"/>
      <c r="M39" s="14"/>
      <c r="N39" s="14">
        <f>N24/N34</f>
        <v>891710700.68796539</v>
      </c>
    </row>
    <row r="40" spans="1:14" x14ac:dyDescent="0.25">
      <c r="A40" s="13" t="s">
        <v>68</v>
      </c>
      <c r="B40" s="14">
        <f>B38/B16</f>
        <v>55333.242512534467</v>
      </c>
      <c r="C40" s="14">
        <f t="shared" ref="C40:F40" si="4">C38/C16</f>
        <v>104239.85653725627</v>
      </c>
      <c r="D40" s="14"/>
      <c r="E40" s="14"/>
      <c r="F40" s="14">
        <f t="shared" si="4"/>
        <v>17555.817915328516</v>
      </c>
      <c r="G40" s="14"/>
      <c r="H40" s="14"/>
      <c r="I40" s="14"/>
      <c r="J40" s="14"/>
      <c r="K40" s="14"/>
      <c r="L40" s="14"/>
      <c r="M40" s="14"/>
      <c r="N40" s="14">
        <f>N38/N16</f>
        <v>54058.622281213808</v>
      </c>
    </row>
    <row r="41" spans="1:14" x14ac:dyDescent="0.25">
      <c r="A41" s="13" t="s">
        <v>122</v>
      </c>
      <c r="B41" s="14">
        <f>B39/B18</f>
        <v>85180.881326339906</v>
      </c>
      <c r="C41" s="14">
        <f t="shared" ref="C41:F41" si="5">C39/C18</f>
        <v>124058.81250343772</v>
      </c>
      <c r="D41" s="14"/>
      <c r="E41" s="14"/>
      <c r="F41" s="14">
        <f t="shared" si="5"/>
        <v>22017.025018833094</v>
      </c>
      <c r="G41" s="14"/>
      <c r="H41" s="14"/>
      <c r="I41" s="14"/>
      <c r="J41" s="14"/>
      <c r="K41" s="14"/>
      <c r="L41" s="14"/>
      <c r="M41" s="14"/>
      <c r="N41" s="14">
        <f t="shared" ref="N41" si="6">N39/N18</f>
        <v>89067.158384015187</v>
      </c>
    </row>
    <row r="43" spans="1:14" x14ac:dyDescent="0.25">
      <c r="A43" s="4" t="s">
        <v>10</v>
      </c>
    </row>
    <row r="45" spans="1:14" x14ac:dyDescent="0.25">
      <c r="A45" s="4" t="s">
        <v>11</v>
      </c>
    </row>
    <row r="46" spans="1:14" x14ac:dyDescent="0.25">
      <c r="A46" s="13" t="s">
        <v>12</v>
      </c>
      <c r="B46" s="40">
        <f t="shared" ref="B46" si="7">(B17/B35)*100</f>
        <v>129.02490976865275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1:14" x14ac:dyDescent="0.25">
      <c r="A47" s="13" t="s">
        <v>13</v>
      </c>
      <c r="B47" s="40">
        <f t="shared" ref="B47" si="8">(B18/B35)*100</f>
        <v>119.73716216660422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14" x14ac:dyDescent="0.2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14" x14ac:dyDescent="0.25">
      <c r="A49" s="4" t="s">
        <v>14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1:14" x14ac:dyDescent="0.25">
      <c r="A50" s="13" t="s">
        <v>15</v>
      </c>
      <c r="B50" s="41">
        <f t="shared" ref="B50:N50" si="9">B18/B17*100</f>
        <v>92.801585663805653</v>
      </c>
      <c r="C50" s="41">
        <f t="shared" si="9"/>
        <v>74.151591591591597</v>
      </c>
      <c r="D50" s="41">
        <f t="shared" si="9"/>
        <v>60.143474178403757</v>
      </c>
      <c r="E50" s="41">
        <f t="shared" si="9"/>
        <v>99.016000000000005</v>
      </c>
      <c r="F50" s="41">
        <f t="shared" si="9"/>
        <v>97.737625301201987</v>
      </c>
      <c r="G50" s="41">
        <f t="shared" si="9"/>
        <v>74.886167928846106</v>
      </c>
      <c r="H50" s="41">
        <f t="shared" si="9"/>
        <v>91.791785943798558</v>
      </c>
      <c r="I50" s="41">
        <f t="shared" si="9"/>
        <v>90.685378951447717</v>
      </c>
      <c r="J50" s="41">
        <f t="shared" si="9"/>
        <v>89.723755946800026</v>
      </c>
      <c r="K50" s="41">
        <f t="shared" si="9"/>
        <v>109.56236121391562</v>
      </c>
      <c r="L50" s="41">
        <f t="shared" si="9"/>
        <v>0</v>
      </c>
      <c r="M50" s="41">
        <f t="shared" si="9"/>
        <v>81.963636363636354</v>
      </c>
      <c r="N50" s="41">
        <f t="shared" si="9"/>
        <v>102.62060953942873</v>
      </c>
    </row>
    <row r="51" spans="1:14" x14ac:dyDescent="0.25">
      <c r="A51" s="13" t="s">
        <v>16</v>
      </c>
      <c r="B51" s="41">
        <f>B24/B23*100</f>
        <v>123.48363850810971</v>
      </c>
      <c r="C51" s="41">
        <f>C24/C23*100</f>
        <v>115.50466426542265</v>
      </c>
      <c r="D51" s="41"/>
      <c r="E51" s="41"/>
      <c r="F51" s="41">
        <f>F24/F23*100</f>
        <v>155.43019388293436</v>
      </c>
      <c r="G51" s="41"/>
      <c r="H51" s="41"/>
      <c r="I51" s="41"/>
      <c r="J51" s="41"/>
      <c r="K51" s="41"/>
      <c r="L51" s="41"/>
      <c r="M51" s="41"/>
      <c r="N51" s="41">
        <f t="shared" ref="N51" si="10">N24/N23*100</f>
        <v>101.79852052408683</v>
      </c>
    </row>
    <row r="52" spans="1:14" x14ac:dyDescent="0.25">
      <c r="A52" s="13" t="s">
        <v>17</v>
      </c>
      <c r="B52" s="41">
        <f>AVERAGE(B50:B51)</f>
        <v>108.14261208595768</v>
      </c>
      <c r="C52" s="41">
        <f t="shared" ref="C52" si="11">AVERAGE(C50:C51)</f>
        <v>94.828127928507115</v>
      </c>
      <c r="D52" s="41"/>
      <c r="E52" s="41"/>
      <c r="F52" s="41">
        <f t="shared" ref="F52" si="12">AVERAGE(F50:F51)</f>
        <v>126.58390959206818</v>
      </c>
      <c r="G52" s="41"/>
      <c r="H52" s="41"/>
      <c r="I52" s="41"/>
      <c r="J52" s="41"/>
      <c r="K52" s="41"/>
      <c r="L52" s="41"/>
      <c r="M52" s="41"/>
      <c r="N52" s="41">
        <f t="shared" ref="N52" si="13">AVERAGE(N50:N51)</f>
        <v>102.20956503175778</v>
      </c>
    </row>
    <row r="53" spans="1:14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1:14" x14ac:dyDescent="0.25">
      <c r="A54" s="4" t="s">
        <v>18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1:14" x14ac:dyDescent="0.25">
      <c r="A55" s="13" t="s">
        <v>19</v>
      </c>
      <c r="B55" s="41">
        <f t="shared" ref="B55:N55" si="14">((B18/B19)*100)</f>
        <v>87.688662230693353</v>
      </c>
      <c r="C55" s="41">
        <f t="shared" si="14"/>
        <v>78.16341699049471</v>
      </c>
      <c r="D55" s="41">
        <f t="shared" si="14"/>
        <v>63.763182523921749</v>
      </c>
      <c r="E55" s="41">
        <f t="shared" si="14"/>
        <v>103.32105785336456</v>
      </c>
      <c r="F55" s="41">
        <f t="shared" si="14"/>
        <v>91.976734508660613</v>
      </c>
      <c r="G55" s="41">
        <f t="shared" si="14"/>
        <v>78.141867049522915</v>
      </c>
      <c r="H55" s="41">
        <f t="shared" si="14"/>
        <v>95.782509328614097</v>
      </c>
      <c r="I55" s="41">
        <f t="shared" si="14"/>
        <v>94.628221514554127</v>
      </c>
      <c r="J55" s="41">
        <f t="shared" si="14"/>
        <v>86.295900980190055</v>
      </c>
      <c r="K55" s="41">
        <f t="shared" si="14"/>
        <v>98.054071957934823</v>
      </c>
      <c r="L55" s="41">
        <f t="shared" si="14"/>
        <v>0</v>
      </c>
      <c r="M55" s="41">
        <f t="shared" si="14"/>
        <v>81.963636363636354</v>
      </c>
      <c r="N55" s="41">
        <f t="shared" si="14"/>
        <v>107.08237517157779</v>
      </c>
    </row>
    <row r="56" spans="1:14" x14ac:dyDescent="0.25">
      <c r="A56" s="13" t="s">
        <v>20</v>
      </c>
      <c r="B56" s="41">
        <f>B24/B25*100</f>
        <v>32.052650493816529</v>
      </c>
      <c r="C56" s="41">
        <f>C24/C25*100</f>
        <v>28.574417953524474</v>
      </c>
      <c r="D56" s="41"/>
      <c r="E56" s="41"/>
      <c r="F56" s="41">
        <f>F24/F25*100</f>
        <v>41.012832599013919</v>
      </c>
      <c r="G56" s="41"/>
      <c r="H56" s="41"/>
      <c r="I56" s="41"/>
      <c r="J56" s="41"/>
      <c r="K56" s="41"/>
      <c r="L56" s="41"/>
      <c r="M56" s="41"/>
      <c r="N56" s="41">
        <f t="shared" ref="N56" si="15">N24/N25*100</f>
        <v>36.392081197641041</v>
      </c>
    </row>
    <row r="57" spans="1:14" x14ac:dyDescent="0.25">
      <c r="A57" s="13" t="s">
        <v>21</v>
      </c>
      <c r="B57" s="41">
        <f>(B55+B56)/2</f>
        <v>59.870656362254941</v>
      </c>
      <c r="C57" s="41">
        <f>(C55+C56)/2</f>
        <v>53.368917472009592</v>
      </c>
      <c r="D57" s="41"/>
      <c r="E57" s="41"/>
      <c r="F57" s="41">
        <f>(F55+F56)/2</f>
        <v>66.494783553837266</v>
      </c>
      <c r="G57" s="41"/>
      <c r="H57" s="41"/>
      <c r="I57" s="41"/>
      <c r="J57" s="41"/>
      <c r="K57" s="41"/>
      <c r="L57" s="41"/>
      <c r="M57" s="41"/>
      <c r="N57" s="41">
        <f t="shared" ref="N57" si="16">(N55+N56)/2</f>
        <v>71.737228184609421</v>
      </c>
    </row>
    <row r="58" spans="1:14" x14ac:dyDescent="0.25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x14ac:dyDescent="0.25">
      <c r="A59" s="4" t="s">
        <v>36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13" t="s">
        <v>22</v>
      </c>
      <c r="B60" s="40">
        <f>B26/B24*100</f>
        <v>100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</row>
    <row r="61" spans="1:14" x14ac:dyDescent="0.2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</row>
    <row r="62" spans="1:14" x14ac:dyDescent="0.25">
      <c r="A62" s="4" t="s">
        <v>23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</row>
    <row r="63" spans="1:14" x14ac:dyDescent="0.25">
      <c r="A63" s="13" t="s">
        <v>24</v>
      </c>
      <c r="B63" s="41">
        <f t="shared" ref="B63:N63" si="17">((B18/B16)-1)*100</f>
        <v>-7.0036635647633965</v>
      </c>
      <c r="C63" s="41">
        <f t="shared" si="17"/>
        <v>20.689439439439461</v>
      </c>
      <c r="D63" s="41">
        <f t="shared" si="17"/>
        <v>3.8227132446380985</v>
      </c>
      <c r="E63" s="41">
        <f t="shared" si="17"/>
        <v>46.317531623123308</v>
      </c>
      <c r="F63" s="41">
        <f t="shared" si="17"/>
        <v>8.1900075543551267</v>
      </c>
      <c r="G63" s="41">
        <f t="shared" si="17"/>
        <v>11.398890994595344</v>
      </c>
      <c r="H63" s="41">
        <f t="shared" si="17"/>
        <v>9.103534476772456</v>
      </c>
      <c r="I63" s="41">
        <f t="shared" si="17"/>
        <v>13.943377851975525</v>
      </c>
      <c r="J63" s="41">
        <f t="shared" si="17"/>
        <v>6.5913778877887852</v>
      </c>
      <c r="K63" s="41">
        <f>((K18/K16)-1)*100</f>
        <v>-9.6577308576278664</v>
      </c>
      <c r="L63" s="41" t="s">
        <v>78</v>
      </c>
      <c r="M63" s="41" t="s">
        <v>78</v>
      </c>
      <c r="N63" s="41">
        <f t="shared" si="17"/>
        <v>4.1796739507457437</v>
      </c>
    </row>
    <row r="64" spans="1:14" x14ac:dyDescent="0.25">
      <c r="A64" s="13" t="s">
        <v>25</v>
      </c>
      <c r="B64" s="41">
        <f>((B39/B38)-1)*100</f>
        <v>43.160052402131214</v>
      </c>
      <c r="C64" s="41">
        <f>((C39/C38)-1)*100</f>
        <v>43.635928098299729</v>
      </c>
      <c r="D64" s="41"/>
      <c r="E64" s="41"/>
      <c r="F64" s="41">
        <f>((F39/F38)-1)*100</f>
        <v>35.682775624607174</v>
      </c>
      <c r="G64" s="41"/>
      <c r="H64" s="41"/>
      <c r="I64" s="41"/>
      <c r="J64" s="41"/>
      <c r="K64" s="41"/>
      <c r="L64" s="41"/>
      <c r="M64" s="41"/>
      <c r="N64" s="41">
        <f t="shared" ref="N64" si="18">((N39/N38)-1)*100</f>
        <v>71.646762877098396</v>
      </c>
    </row>
    <row r="65" spans="1:14" x14ac:dyDescent="0.25">
      <c r="A65" s="13" t="s">
        <v>26</v>
      </c>
      <c r="B65" s="41">
        <f>((B41/B40)-1)*100</f>
        <v>53.941604465063023</v>
      </c>
      <c r="C65" s="41">
        <f>((C41/C40)-1)*100</f>
        <v>19.012838874253401</v>
      </c>
      <c r="D65" s="41"/>
      <c r="E65" s="41"/>
      <c r="F65" s="41">
        <f>((F41/F40)-1)*100</f>
        <v>25.411559433009167</v>
      </c>
      <c r="G65" s="41"/>
      <c r="H65" s="41"/>
      <c r="I65" s="41"/>
      <c r="J65" s="41"/>
      <c r="K65" s="41"/>
      <c r="L65" s="41"/>
      <c r="M65" s="41"/>
      <c r="N65" s="41">
        <f t="shared" ref="N65" si="19">((N41/N40)-1)*100</f>
        <v>64.760318753013024</v>
      </c>
    </row>
    <row r="66" spans="1:14" x14ac:dyDescent="0.2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</row>
    <row r="67" spans="1:14" x14ac:dyDescent="0.25">
      <c r="A67" s="4" t="s">
        <v>27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x14ac:dyDescent="0.25">
      <c r="A68" s="13" t="s">
        <v>41</v>
      </c>
      <c r="B68" s="41">
        <f>B23/(B17*3)</f>
        <v>22642.437008727728</v>
      </c>
      <c r="C68" s="41">
        <f>C23/(C17*3)</f>
        <v>28169.791636539499</v>
      </c>
      <c r="D68" s="41"/>
      <c r="E68" s="41"/>
      <c r="F68" s="41">
        <f>F23/(F17*3)</f>
        <v>4896.8870845983229</v>
      </c>
      <c r="G68" s="41"/>
      <c r="H68" s="41"/>
      <c r="I68" s="41"/>
      <c r="J68" s="41"/>
      <c r="K68" s="41"/>
      <c r="L68" s="41"/>
      <c r="M68" s="41"/>
      <c r="N68" s="41">
        <f t="shared" ref="N68:N69" si="20">N23/(N17*3)</f>
        <v>31757.461493781604</v>
      </c>
    </row>
    <row r="69" spans="1:14" x14ac:dyDescent="0.25">
      <c r="A69" s="13" t="s">
        <v>42</v>
      </c>
      <c r="B69" s="41">
        <f>B24/(B18*3)</f>
        <v>30128.47772512642</v>
      </c>
      <c r="C69" s="41">
        <f>C24/(C18*3)</f>
        <v>43879.601982465916</v>
      </c>
      <c r="D69" s="41"/>
      <c r="E69" s="41"/>
      <c r="F69" s="41">
        <f>F24/(F18*3)</f>
        <v>7787.4217491612644</v>
      </c>
      <c r="G69" s="41"/>
      <c r="H69" s="41"/>
      <c r="I69" s="41"/>
      <c r="J69" s="41"/>
      <c r="K69" s="41"/>
      <c r="L69" s="41"/>
      <c r="M69" s="41"/>
      <c r="N69" s="41">
        <f t="shared" si="20"/>
        <v>31503.053920426169</v>
      </c>
    </row>
    <row r="70" spans="1:14" x14ac:dyDescent="0.25">
      <c r="A70" s="13" t="s">
        <v>30</v>
      </c>
      <c r="B70" s="41">
        <f>(B69/B68)*B52</f>
        <v>143.89671386136007</v>
      </c>
      <c r="C70" s="41">
        <f>(C69/C68)*C52</f>
        <v>147.71215080085733</v>
      </c>
      <c r="D70" s="41"/>
      <c r="E70" s="41"/>
      <c r="F70" s="41">
        <f>(F69/F68)*F52</f>
        <v>201.30386378553675</v>
      </c>
      <c r="G70" s="41"/>
      <c r="H70" s="41"/>
      <c r="I70" s="41"/>
      <c r="J70" s="41"/>
      <c r="K70" s="41"/>
      <c r="L70" s="41"/>
      <c r="M70" s="41"/>
      <c r="N70" s="41">
        <f t="shared" ref="N70" si="21">(N69/N68)*N52</f>
        <v>101.39076887519043</v>
      </c>
    </row>
    <row r="71" spans="1:14" x14ac:dyDescent="0.25">
      <c r="A71" s="13" t="s">
        <v>35</v>
      </c>
      <c r="B71" s="41">
        <f>B23/B17</f>
        <v>67927.31102618319</v>
      </c>
      <c r="C71" s="41">
        <f>C23/C17</f>
        <v>84509.374909618491</v>
      </c>
      <c r="D71" s="41"/>
      <c r="E71" s="41"/>
      <c r="F71" s="41">
        <f>F23/F17</f>
        <v>14690.66125379497</v>
      </c>
      <c r="G71" s="41"/>
      <c r="H71" s="41"/>
      <c r="I71" s="41"/>
      <c r="J71" s="41"/>
      <c r="K71" s="41"/>
      <c r="L71" s="41"/>
      <c r="M71" s="41"/>
      <c r="N71" s="41">
        <f t="shared" ref="N71:N72" si="22">N23/N17</f>
        <v>95272.384481344809</v>
      </c>
    </row>
    <row r="72" spans="1:14" x14ac:dyDescent="0.25">
      <c r="A72" s="13" t="s">
        <v>34</v>
      </c>
      <c r="B72" s="41">
        <f>B24/B18</f>
        <v>90385.433175379265</v>
      </c>
      <c r="C72" s="41">
        <f>C24/C18</f>
        <v>131638.80594739775</v>
      </c>
      <c r="D72" s="41"/>
      <c r="E72" s="41"/>
      <c r="F72" s="41">
        <f>F24/F18</f>
        <v>23362.265247483792</v>
      </c>
      <c r="G72" s="41"/>
      <c r="H72" s="41"/>
      <c r="I72" s="41"/>
      <c r="J72" s="41"/>
      <c r="K72" s="41"/>
      <c r="L72" s="41"/>
      <c r="M72" s="41"/>
      <c r="N72" s="41">
        <f t="shared" si="22"/>
        <v>94509.161761278519</v>
      </c>
    </row>
    <row r="73" spans="1:14" x14ac:dyDescent="0.2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x14ac:dyDescent="0.25">
      <c r="A74" s="4" t="s">
        <v>31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1:14" x14ac:dyDescent="0.25">
      <c r="A75" s="13" t="s">
        <v>32</v>
      </c>
      <c r="B75" s="40">
        <f>(B30/B29)*100</f>
        <v>32.866483199798637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t="15.75" thickBot="1" x14ac:dyDescent="0.3">
      <c r="A76" s="21" t="s">
        <v>33</v>
      </c>
      <c r="B76" s="44">
        <f>(B24/B30)*100</f>
        <v>375.71296496020074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1:14" ht="15.75" thickTop="1" x14ac:dyDescent="0.25">
      <c r="A77" s="50" t="s">
        <v>92</v>
      </c>
      <c r="B77" s="50"/>
      <c r="C77" s="50"/>
      <c r="D77" s="50"/>
      <c r="E77" s="50"/>
      <c r="F77" s="50"/>
      <c r="G77" s="22"/>
      <c r="H77" s="22"/>
      <c r="I77" s="22"/>
      <c r="J77" s="22"/>
      <c r="K77" s="22"/>
      <c r="L77" s="22"/>
    </row>
    <row r="78" spans="1:14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4" x14ac:dyDescent="0.25">
      <c r="A79" s="22" t="s">
        <v>130</v>
      </c>
    </row>
    <row r="80" spans="1:14" x14ac:dyDescent="0.25">
      <c r="A80" s="13" t="s">
        <v>133</v>
      </c>
    </row>
    <row r="81" spans="1:1" x14ac:dyDescent="0.25">
      <c r="A81" s="13" t="s">
        <v>135</v>
      </c>
    </row>
  </sheetData>
  <mergeCells count="16">
    <mergeCell ref="A77:F77"/>
    <mergeCell ref="L25:M25"/>
    <mergeCell ref="G25:K25"/>
    <mergeCell ref="A9:A10"/>
    <mergeCell ref="D10:E10"/>
    <mergeCell ref="D24:E24"/>
    <mergeCell ref="G10:K10"/>
    <mergeCell ref="D22:E22"/>
    <mergeCell ref="G22:K22"/>
    <mergeCell ref="G24:K24"/>
    <mergeCell ref="G23:K23"/>
    <mergeCell ref="B9:B10"/>
    <mergeCell ref="C9:N9"/>
    <mergeCell ref="L22:M22"/>
    <mergeCell ref="L23:M23"/>
    <mergeCell ref="L24:M24"/>
  </mergeCells>
  <pageMargins left="0.7" right="0.7" top="0.75" bottom="0.75" header="0.3" footer="0.3"/>
  <pageSetup orientation="portrait" r:id="rId1"/>
  <ignoredErrors>
    <ignoredError sqref="C23:C2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80"/>
  <sheetViews>
    <sheetView showGridLines="0" tabSelected="1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1" customWidth="1"/>
    <col min="2" max="6" width="15.7109375" style="1" customWidth="1"/>
    <col min="7" max="7" width="12.7109375" style="1" bestFit="1" customWidth="1"/>
    <col min="8" max="16" width="15.7109375" style="1" customWidth="1"/>
    <col min="17" max="16384" width="11.42578125" style="1"/>
  </cols>
  <sheetData>
    <row r="7" spans="1:16" x14ac:dyDescent="0.25">
      <c r="G7" s="3"/>
      <c r="H7" s="3"/>
    </row>
    <row r="9" spans="1:16" x14ac:dyDescent="0.25">
      <c r="A9" s="53" t="s">
        <v>0</v>
      </c>
      <c r="B9" s="53" t="s">
        <v>47</v>
      </c>
      <c r="C9" s="52" t="s">
        <v>2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25"/>
      <c r="P9" s="25"/>
    </row>
    <row r="10" spans="1:16" ht="45.75" thickBot="1" x14ac:dyDescent="0.3">
      <c r="A10" s="54"/>
      <c r="B10" s="54"/>
      <c r="C10" s="33" t="s">
        <v>46</v>
      </c>
      <c r="D10" s="55" t="s">
        <v>49</v>
      </c>
      <c r="E10" s="55"/>
      <c r="F10" s="33" t="s">
        <v>43</v>
      </c>
      <c r="G10" s="54" t="s">
        <v>48</v>
      </c>
      <c r="H10" s="54"/>
      <c r="I10" s="54"/>
      <c r="J10" s="54"/>
      <c r="K10" s="54"/>
      <c r="L10" s="34" t="s">
        <v>107</v>
      </c>
      <c r="M10" s="34" t="s">
        <v>108</v>
      </c>
      <c r="N10" s="34" t="s">
        <v>77</v>
      </c>
      <c r="O10" s="26"/>
      <c r="P10" s="26"/>
    </row>
    <row r="11" spans="1:16" ht="45.75" customHeight="1" thickTop="1" x14ac:dyDescent="0.25">
      <c r="B11" s="5" t="s">
        <v>1</v>
      </c>
      <c r="C11" s="8" t="s">
        <v>52</v>
      </c>
      <c r="D11" s="6" t="s">
        <v>79</v>
      </c>
      <c r="E11" s="6" t="s">
        <v>51</v>
      </c>
      <c r="F11" s="5" t="s">
        <v>45</v>
      </c>
      <c r="G11" s="5" t="s">
        <v>136</v>
      </c>
      <c r="H11" s="5" t="s">
        <v>80</v>
      </c>
      <c r="I11" s="5" t="s">
        <v>81</v>
      </c>
      <c r="J11" s="5" t="s">
        <v>82</v>
      </c>
      <c r="K11" s="5" t="s">
        <v>83</v>
      </c>
      <c r="L11" s="5" t="s">
        <v>109</v>
      </c>
      <c r="M11" s="5" t="s">
        <v>83</v>
      </c>
      <c r="N11" s="5" t="s">
        <v>84</v>
      </c>
      <c r="O11" s="5"/>
      <c r="P11" s="5"/>
    </row>
    <row r="13" spans="1:16" x14ac:dyDescent="0.25">
      <c r="A13" s="4" t="s">
        <v>3</v>
      </c>
    </row>
    <row r="15" spans="1:16" x14ac:dyDescent="0.25">
      <c r="A15" s="4" t="s">
        <v>4</v>
      </c>
    </row>
    <row r="16" spans="1:16" s="13" customFormat="1" x14ac:dyDescent="0.25">
      <c r="A16" s="12" t="s">
        <v>73</v>
      </c>
      <c r="B16" s="11">
        <f>+D16+K16</f>
        <v>120986</v>
      </c>
      <c r="C16" s="11">
        <f>+D16+E16</f>
        <v>36807.25</v>
      </c>
      <c r="D16" s="11">
        <f>(+'I Trimestre'!D16+'II Trimestre'!D16+'III Trimestre'!D16+'IV Trimestre'!D16)/4</f>
        <v>22601.5</v>
      </c>
      <c r="E16" s="11">
        <f>(+'I Trimestre'!E16+'II Trimestre'!E16+'III Trimestre'!E16+'IV Trimestre'!E16)/4</f>
        <v>14205.75</v>
      </c>
      <c r="F16" s="11">
        <f>K16+I16+H16</f>
        <v>119217.25</v>
      </c>
      <c r="G16" s="11">
        <f>(+'I Trimestre'!G16+'II Trimestre'!G16+'III Trimestre'!G16+'IV Trimestre'!G16)/4</f>
        <v>9796.5750000000007</v>
      </c>
      <c r="H16" s="11">
        <f>(+'I Trimestre'!H16+'II Trimestre'!H16+'III Trimestre'!H16+'IV Trimestre'!H16)/4</f>
        <v>13633.25</v>
      </c>
      <c r="I16" s="11">
        <f>(+'I Trimestre'!I16+'II Trimestre'!I16+'III Trimestre'!I16+'IV Trimestre'!I16)/4</f>
        <v>7199.5</v>
      </c>
      <c r="J16" s="11">
        <f>(+'I Trimestre'!J16+'II Trimestre'!J16+'III Trimestre'!J16+'IV Trimestre'!J16)/4</f>
        <v>28385.25</v>
      </c>
      <c r="K16" s="11">
        <f>(+'I Trimestre'!K16+'II Trimestre'!K16+'III Trimestre'!K16+'IV Trimestre'!K16)/4</f>
        <v>98384.5</v>
      </c>
      <c r="L16" s="11">
        <f>('III Trimestre'!L16+'IV Trimestre'!L16)/2</f>
        <v>0</v>
      </c>
      <c r="M16" s="11">
        <f>('III Trimestre'!M16+'IV Trimestre'!M16)/2</f>
        <v>0</v>
      </c>
      <c r="N16" s="11">
        <f>+('I Trimestre'!L16+'II Trimestre'!L16+'III Trimestre'!N16+'IV Trimestre'!N16)/4</f>
        <v>8839.75</v>
      </c>
      <c r="O16" s="31"/>
      <c r="P16" s="31"/>
    </row>
    <row r="17" spans="1:16" s="13" customFormat="1" x14ac:dyDescent="0.25">
      <c r="A17" s="12" t="s">
        <v>123</v>
      </c>
      <c r="B17" s="11">
        <f>+D17+K17</f>
        <v>138467.5</v>
      </c>
      <c r="C17" s="11">
        <f>+D17+E17</f>
        <v>65814.333333333328</v>
      </c>
      <c r="D17" s="11">
        <f>(+'I Trimestre'!D17+'II Trimestre'!D17+'III Trimestre'!D17+'IV Trimestre'!D17)/4</f>
        <v>41856</v>
      </c>
      <c r="E17" s="11">
        <f>(+'I Trimestre'!E17+'II Trimestre'!E17+'III Trimestre'!E17+'IV Trimestre'!E17)/4</f>
        <v>23958.333333333332</v>
      </c>
      <c r="F17" s="11">
        <f>K17+I17+H17+L17+M17</f>
        <v>151555.5</v>
      </c>
      <c r="G17" s="11">
        <f>(+'I Trimestre'!G17+'II Trimestre'!G17+'III Trimestre'!G17+'IV Trimestre'!G17)/4</f>
        <v>13540.25</v>
      </c>
      <c r="H17" s="11">
        <f>(+'I Trimestre'!H17+'II Trimestre'!H17+'III Trimestre'!H17+'IV Trimestre'!H17)/4</f>
        <v>16403.75</v>
      </c>
      <c r="I17" s="11">
        <f>(+'I Trimestre'!I17+'II Trimestre'!I17+'III Trimestre'!I17+'IV Trimestre'!I17)/4</f>
        <v>11540.25</v>
      </c>
      <c r="J17" s="11">
        <f>(+'I Trimestre'!J17+'II Trimestre'!J17+'III Trimestre'!J17+'IV Trimestre'!J17)/4</f>
        <v>39783.5</v>
      </c>
      <c r="K17" s="11">
        <f>(+'I Trimestre'!K17+'II Trimestre'!K17+'III Trimestre'!K17+'IV Trimestre'!K17)/4</f>
        <v>96611.5</v>
      </c>
      <c r="L17" s="11">
        <f>+('III Trimestre'!L17+'IV Trimestre'!L17)/2</f>
        <v>5000</v>
      </c>
      <c r="M17" s="11">
        <f>+('III Trimestre'!M17+'IV Trimestre'!M17)/2</f>
        <v>22000</v>
      </c>
      <c r="N17" s="11">
        <f>+('I Trimestre'!L17+'II Trimestre'!L17+'III Trimestre'!N17+'IV Trimestre'!N17)/4</f>
        <v>9349.5</v>
      </c>
      <c r="O17" s="31"/>
      <c r="P17" s="31"/>
    </row>
    <row r="18" spans="1:16" s="13" customFormat="1" x14ac:dyDescent="0.25">
      <c r="A18" s="12" t="s">
        <v>124</v>
      </c>
      <c r="B18" s="11">
        <f>+D18+K18</f>
        <v>127591.58333333334</v>
      </c>
      <c r="C18" s="11">
        <f>+D18+E18</f>
        <v>45111.25</v>
      </c>
      <c r="D18" s="11">
        <f>(+'I Trimestre'!D18+'II Trimestre'!D18+'III Trimestre'!D18+'IV Trimestre'!D18)/4</f>
        <v>25062.583333333336</v>
      </c>
      <c r="E18" s="11">
        <f>(+'I Trimestre'!E18+'II Trimestre'!E18+'III Trimestre'!E18+'IV Trimestre'!E18)/4</f>
        <v>20048.666666666668</v>
      </c>
      <c r="F18" s="11">
        <f>K18+I18+H18+L18+M18</f>
        <v>145726.91666666666</v>
      </c>
      <c r="G18" s="11">
        <f>(+'I Trimestre'!G18+'II Trimestre'!G18+'III Trimestre'!G18+'IV Trimestre'!G18)/4</f>
        <v>10392.333333333332</v>
      </c>
      <c r="H18" s="11">
        <f>(+'I Trimestre'!H18+'II Trimestre'!H18+'III Trimestre'!H18+'IV Trimestre'!H18)/4</f>
        <v>15062.833333333334</v>
      </c>
      <c r="I18" s="11">
        <f>(+'I Trimestre'!I18+'II Trimestre'!I18+'III Trimestre'!I18+'IV Trimestre'!I18)/4</f>
        <v>10103.083333333334</v>
      </c>
      <c r="J18" s="11">
        <f>(+'I Trimestre'!J18+'II Trimestre'!J18+'III Trimestre'!J18+'IV Trimestre'!J18)/4</f>
        <v>32813.5</v>
      </c>
      <c r="K18" s="11">
        <f>(+'I Trimestre'!K18+'II Trimestre'!K18+'III Trimestre'!K18+'IV Trimestre'!K18)/4</f>
        <v>102529</v>
      </c>
      <c r="L18" s="11">
        <f>+('III Trimestre'!L18+'IV Trimestre'!L18)/2</f>
        <v>0</v>
      </c>
      <c r="M18" s="11">
        <f>+('III Trimestre'!M18+'IV Trimestre'!M18)</f>
        <v>18032</v>
      </c>
      <c r="N18" s="11">
        <f>+('I Trimestre'!L18+'II Trimestre'!L18+'III Trimestre'!N18+'IV Trimestre'!N18)/4</f>
        <v>9257.9166666666661</v>
      </c>
      <c r="O18" s="31"/>
      <c r="P18" s="31"/>
    </row>
    <row r="19" spans="1:16" s="13" customFormat="1" x14ac:dyDescent="0.25">
      <c r="A19" s="12" t="s">
        <v>87</v>
      </c>
      <c r="B19" s="11">
        <f>+D19+K19</f>
        <v>138467.91999999998</v>
      </c>
      <c r="C19" s="11">
        <f>+D19+E19</f>
        <v>65814.25</v>
      </c>
      <c r="D19" s="27">
        <f>+'IV Trimestre'!D19</f>
        <v>41855.919999999998</v>
      </c>
      <c r="E19" s="27">
        <f>+'IV Trimestre'!E19</f>
        <v>23958.33</v>
      </c>
      <c r="F19" s="11">
        <f>K19+I19+H19+L19+M19</f>
        <v>151556.08000000002</v>
      </c>
      <c r="G19" s="27">
        <f>+'IV Trimestre'!G19</f>
        <v>13540.33</v>
      </c>
      <c r="H19" s="27">
        <f>+'IV Trimestre'!H19</f>
        <v>16403.830000000002</v>
      </c>
      <c r="I19" s="27">
        <f>'IV Trimestre'!I19</f>
        <v>11540.25</v>
      </c>
      <c r="J19" s="27">
        <f>'IV Trimestre'!J19</f>
        <v>39921.17</v>
      </c>
      <c r="K19" s="27">
        <f>+'IV Trimestre'!K19</f>
        <v>96612</v>
      </c>
      <c r="L19" s="11">
        <f>+'IV Trimestre'!L19</f>
        <v>5000</v>
      </c>
      <c r="M19" s="27">
        <f>+'IV Trimestre'!M19</f>
        <v>22000</v>
      </c>
      <c r="N19" s="27">
        <f>+'IV Trimestre'!N19</f>
        <v>9349.5</v>
      </c>
      <c r="O19" s="27"/>
      <c r="P19" s="27"/>
    </row>
    <row r="20" spans="1:16" s="13" customFormat="1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28"/>
      <c r="M20" s="28"/>
      <c r="N20" s="28"/>
    </row>
    <row r="21" spans="1:16" s="13" customFormat="1" x14ac:dyDescent="0.25">
      <c r="A21" s="19" t="s">
        <v>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28"/>
      <c r="M21" s="28"/>
      <c r="N21" s="28"/>
      <c r="O21" s="35"/>
      <c r="P21" s="35"/>
    </row>
    <row r="22" spans="1:16" s="13" customFormat="1" x14ac:dyDescent="0.25">
      <c r="A22" s="12" t="s">
        <v>73</v>
      </c>
      <c r="B22" s="30">
        <f>C22+F22+N22</f>
        <v>22980141548.450001</v>
      </c>
      <c r="C22" s="30">
        <f>+'I Trimestre'!C22+'II Trimestre'!C22+'III Trimestre'!C22+'IV Trimestre'!C22</f>
        <v>14053252459</v>
      </c>
      <c r="D22" s="14"/>
      <c r="E22" s="14"/>
      <c r="F22" s="14">
        <f>+'I Trimestre'!F22+'II Trimestre'!F22+'III Trimestre'!F22+'IV Trimestre'!F22</f>
        <v>6826170729</v>
      </c>
      <c r="G22" s="14"/>
      <c r="H22" s="14"/>
      <c r="I22" s="14"/>
      <c r="J22" s="14"/>
      <c r="K22" s="30"/>
      <c r="L22" s="30"/>
      <c r="M22" s="30"/>
      <c r="N22" s="30">
        <f>+'I Trimestre'!L22+'II Trimestre'!L22+'III Trimestre'!N22+'IV Trimestre'!N22</f>
        <v>2100718360.45</v>
      </c>
      <c r="O22" s="9"/>
      <c r="P22" s="9"/>
    </row>
    <row r="23" spans="1:16" s="13" customFormat="1" x14ac:dyDescent="0.25">
      <c r="A23" s="12" t="s">
        <v>125</v>
      </c>
      <c r="B23" s="30">
        <f>C23+F23+N23</f>
        <v>34239475936.985218</v>
      </c>
      <c r="C23" s="30">
        <f>+'I Trimestre'!C23+'II Trimestre'!C23+'III Trimestre'!C23+'IV Trimestre'!C23</f>
        <v>23698999663.485218</v>
      </c>
      <c r="D23" s="14"/>
      <c r="E23" s="14"/>
      <c r="F23" s="30">
        <f>'IV Trimestre'!F25</f>
        <v>7940475962</v>
      </c>
      <c r="G23" s="14"/>
      <c r="H23" s="14"/>
      <c r="I23" s="14"/>
      <c r="J23" s="14"/>
      <c r="K23" s="30"/>
      <c r="L23" s="30"/>
      <c r="M23" s="30"/>
      <c r="N23" s="30">
        <f>+'I Trimestre'!L23+'II Trimestre'!L23+'III Trimestre'!N23+'IV Trimestre'!N23</f>
        <v>2600000311.5</v>
      </c>
      <c r="O23" s="9"/>
      <c r="P23" s="9"/>
    </row>
    <row r="24" spans="1:16" s="13" customFormat="1" x14ac:dyDescent="0.25">
      <c r="A24" s="12" t="s">
        <v>124</v>
      </c>
      <c r="B24" s="30">
        <f>C24+F24+N24</f>
        <v>29952830406.91</v>
      </c>
      <c r="C24" s="30">
        <f>+'I Trimestre'!C24+'II Trimestre'!C24+'III Trimestre'!C24+'IV Trimestre'!C24</f>
        <v>19687494607.049999</v>
      </c>
      <c r="D24" s="14"/>
      <c r="E24" s="14"/>
      <c r="F24" s="14">
        <f>+'I Trimestre'!F24+'II Trimestre'!F24+'III Trimestre'!F24+'IV Trimestre'!F24</f>
        <v>8135052837.8599997</v>
      </c>
      <c r="G24" s="14"/>
      <c r="H24" s="14"/>
      <c r="I24" s="14"/>
      <c r="J24" s="14"/>
      <c r="K24" s="30"/>
      <c r="L24" s="30"/>
      <c r="M24" s="30"/>
      <c r="N24" s="30">
        <f>+'I Trimestre'!L24+'II Trimestre'!L24+'III Trimestre'!N24+'IV Trimestre'!N24</f>
        <v>2130282962</v>
      </c>
      <c r="O24" s="9"/>
      <c r="P24" s="9"/>
    </row>
    <row r="25" spans="1:16" s="13" customFormat="1" x14ac:dyDescent="0.25">
      <c r="A25" s="12" t="s">
        <v>87</v>
      </c>
      <c r="B25" s="30">
        <f>C25+F25+N25</f>
        <v>34239475937.339996</v>
      </c>
      <c r="C25" s="30">
        <f>+'IV Trimestre'!C25</f>
        <v>23698999663.839996</v>
      </c>
      <c r="D25" s="14"/>
      <c r="E25" s="14"/>
      <c r="F25" s="14">
        <f>+'IV Trimestre'!F25</f>
        <v>7940475962</v>
      </c>
      <c r="G25" s="14"/>
      <c r="H25" s="14"/>
      <c r="I25" s="14"/>
      <c r="J25" s="14"/>
      <c r="K25" s="30"/>
      <c r="L25" s="30"/>
      <c r="M25" s="30"/>
      <c r="N25" s="30">
        <f>+'IV Trimestre'!N25</f>
        <v>2600000311.5</v>
      </c>
      <c r="O25" s="9"/>
      <c r="P25" s="9"/>
    </row>
    <row r="26" spans="1:16" s="13" customFormat="1" x14ac:dyDescent="0.25">
      <c r="A26" s="12" t="s">
        <v>126</v>
      </c>
      <c r="B26" s="30">
        <f>C26+F26+N26</f>
        <v>29952830406.91</v>
      </c>
      <c r="C26" s="14">
        <f>C24</f>
        <v>19687494607.049999</v>
      </c>
      <c r="D26" s="14"/>
      <c r="E26" s="14"/>
      <c r="F26" s="14">
        <f>F24</f>
        <v>8135052837.8599997</v>
      </c>
      <c r="G26" s="14"/>
      <c r="H26" s="14"/>
      <c r="I26" s="14"/>
      <c r="J26" s="14"/>
      <c r="K26" s="14"/>
      <c r="L26" s="14"/>
      <c r="M26" s="14"/>
      <c r="N26" s="14">
        <f>+N24</f>
        <v>2130282962</v>
      </c>
      <c r="O26" s="15"/>
      <c r="P26" s="15"/>
    </row>
    <row r="27" spans="1:16" s="13" customFormat="1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28"/>
      <c r="M27" s="28"/>
      <c r="N27" s="28"/>
    </row>
    <row r="28" spans="1:16" s="13" customFormat="1" x14ac:dyDescent="0.25">
      <c r="A28" s="19" t="s">
        <v>6</v>
      </c>
      <c r="B28" s="10"/>
      <c r="C28" s="10" t="s">
        <v>44</v>
      </c>
      <c r="D28" s="10"/>
      <c r="E28" s="10"/>
      <c r="F28" s="10"/>
      <c r="G28" s="10"/>
      <c r="H28" s="10"/>
      <c r="I28" s="10"/>
      <c r="J28" s="10"/>
      <c r="K28" s="10"/>
      <c r="L28" s="28"/>
      <c r="M28" s="28"/>
      <c r="N28" s="28"/>
    </row>
    <row r="29" spans="1:16" s="13" customFormat="1" x14ac:dyDescent="0.25">
      <c r="A29" s="12" t="s">
        <v>123</v>
      </c>
      <c r="B29" s="30">
        <f>+B23</f>
        <v>34239475936.985218</v>
      </c>
      <c r="C29" s="10"/>
      <c r="D29" s="10"/>
      <c r="E29" s="10"/>
      <c r="F29" s="10"/>
      <c r="G29" s="10"/>
      <c r="H29" s="10"/>
      <c r="I29" s="10"/>
      <c r="J29" s="10"/>
      <c r="K29" s="10"/>
      <c r="L29" s="28"/>
      <c r="M29" s="28"/>
      <c r="N29" s="28"/>
    </row>
    <row r="30" spans="1:16" s="13" customFormat="1" x14ac:dyDescent="0.25">
      <c r="A30" s="12" t="s">
        <v>124</v>
      </c>
      <c r="B30" s="30">
        <f>+'I Trimestre'!B30+'II Trimestre'!B30+'III Trimestre'!B30+'IV Trimestre'!B30</f>
        <v>28226931300.669998</v>
      </c>
      <c r="C30" s="10"/>
      <c r="D30" s="10"/>
      <c r="E30" s="10"/>
      <c r="F30" s="10"/>
      <c r="G30" s="10"/>
      <c r="H30" s="10"/>
      <c r="I30" s="10"/>
      <c r="J30" s="10"/>
      <c r="K30" s="10"/>
      <c r="L30" s="28"/>
      <c r="M30" s="28"/>
      <c r="N30" s="28"/>
    </row>
    <row r="31" spans="1:16" s="13" customFormat="1" x14ac:dyDescent="0.25"/>
    <row r="32" spans="1:16" s="13" customFormat="1" x14ac:dyDescent="0.25">
      <c r="A32" s="4" t="s">
        <v>7</v>
      </c>
    </row>
    <row r="33" spans="1:16" s="13" customFormat="1" x14ac:dyDescent="0.25">
      <c r="A33" s="12" t="s">
        <v>74</v>
      </c>
      <c r="B33" s="38">
        <v>1.0451999999999999</v>
      </c>
      <c r="C33" s="38">
        <v>1.0451999999999999</v>
      </c>
      <c r="D33" s="38">
        <v>1.0451999999999999</v>
      </c>
      <c r="E33" s="38">
        <v>1.0451999999999999</v>
      </c>
      <c r="F33" s="38">
        <v>1.0451999999999999</v>
      </c>
      <c r="G33" s="38">
        <v>1.0451999999999999</v>
      </c>
      <c r="H33" s="38">
        <v>1.0451999999999999</v>
      </c>
      <c r="I33" s="38">
        <v>1.0451999999999999</v>
      </c>
      <c r="J33" s="38">
        <v>1.0451999999999999</v>
      </c>
      <c r="K33" s="38">
        <v>1.0451999999999999</v>
      </c>
      <c r="L33" s="38">
        <v>1.0451999999999999</v>
      </c>
      <c r="M33" s="38">
        <v>1.0451999999999999</v>
      </c>
      <c r="N33" s="38">
        <v>1.0451999999999999</v>
      </c>
      <c r="O33" s="36"/>
      <c r="P33" s="36"/>
    </row>
    <row r="34" spans="1:16" s="13" customFormat="1" x14ac:dyDescent="0.25">
      <c r="A34" s="12" t="s">
        <v>127</v>
      </c>
      <c r="B34" s="38">
        <v>1.0610999999999999</v>
      </c>
      <c r="C34" s="38">
        <v>1.0610999999999999</v>
      </c>
      <c r="D34" s="38">
        <v>1.0610999999999999</v>
      </c>
      <c r="E34" s="38">
        <v>1.0610999999999999</v>
      </c>
      <c r="F34" s="38">
        <v>1.0610999999999999</v>
      </c>
      <c r="G34" s="38">
        <v>1.0610999999999999</v>
      </c>
      <c r="H34" s="38">
        <v>1.0610999999999999</v>
      </c>
      <c r="I34" s="38">
        <v>1.0610999999999999</v>
      </c>
      <c r="J34" s="38">
        <v>1.0610999999999999</v>
      </c>
      <c r="K34" s="38">
        <v>1.0610999999999999</v>
      </c>
      <c r="L34" s="38">
        <v>1.0610999999999999</v>
      </c>
      <c r="M34" s="38">
        <v>1.0610999999999999</v>
      </c>
      <c r="N34" s="38">
        <v>1.0610999999999999</v>
      </c>
      <c r="O34" s="36"/>
      <c r="P34" s="36"/>
    </row>
    <row r="35" spans="1:16" s="13" customFormat="1" x14ac:dyDescent="0.25">
      <c r="A35" s="12" t="s">
        <v>8</v>
      </c>
      <c r="B35" s="28">
        <v>101406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6" s="13" customFormat="1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6" s="13" customFormat="1" x14ac:dyDescent="0.25">
      <c r="A37" s="4" t="s">
        <v>9</v>
      </c>
      <c r="B37" s="28"/>
      <c r="C37" s="28"/>
      <c r="D37" s="27"/>
      <c r="E37" s="27"/>
      <c r="F37" s="27"/>
      <c r="G37" s="28"/>
      <c r="H37" s="28"/>
      <c r="I37" s="28"/>
      <c r="J37" s="28"/>
      <c r="K37" s="28"/>
      <c r="L37" s="28"/>
      <c r="M37" s="28"/>
      <c r="N37" s="28"/>
    </row>
    <row r="38" spans="1:16" s="13" customFormat="1" x14ac:dyDescent="0.25">
      <c r="A38" s="13" t="s">
        <v>75</v>
      </c>
      <c r="B38" s="14">
        <f>B22/B33</f>
        <v>21986358159.634521</v>
      </c>
      <c r="C38" s="14">
        <f t="shared" ref="C38:F38" si="0">C22/C33</f>
        <v>13445515173.1726</v>
      </c>
      <c r="D38" s="14"/>
      <c r="E38" s="14"/>
      <c r="F38" s="14">
        <f t="shared" si="0"/>
        <v>6530970846.7278996</v>
      </c>
      <c r="G38" s="14"/>
      <c r="H38" s="14"/>
      <c r="I38" s="14"/>
      <c r="J38" s="14"/>
      <c r="K38" s="14"/>
      <c r="L38" s="14"/>
      <c r="M38" s="14"/>
      <c r="N38" s="14">
        <f>N22/N33</f>
        <v>2009872139.7340224</v>
      </c>
      <c r="O38" s="15"/>
      <c r="P38" s="15"/>
    </row>
    <row r="39" spans="1:16" s="13" customFormat="1" x14ac:dyDescent="0.25">
      <c r="A39" s="13" t="s">
        <v>128</v>
      </c>
      <c r="B39" s="14">
        <f>B24/B34</f>
        <v>28228093871.369335</v>
      </c>
      <c r="C39" s="14">
        <f t="shared" ref="C39:F39" si="1">C24/C34</f>
        <v>18553854120.29969</v>
      </c>
      <c r="D39" s="14"/>
      <c r="E39" s="14"/>
      <c r="F39" s="14">
        <f t="shared" si="1"/>
        <v>7666622220.2054472</v>
      </c>
      <c r="G39" s="14"/>
      <c r="H39" s="14"/>
      <c r="I39" s="14"/>
      <c r="J39" s="14"/>
      <c r="K39" s="14"/>
      <c r="L39" s="14"/>
      <c r="M39" s="14"/>
      <c r="N39" s="14">
        <f>N24/N34</f>
        <v>2007617530.8641977</v>
      </c>
      <c r="O39" s="15"/>
      <c r="P39" s="15"/>
    </row>
    <row r="40" spans="1:16" s="13" customFormat="1" x14ac:dyDescent="0.25">
      <c r="A40" s="13" t="s">
        <v>76</v>
      </c>
      <c r="B40" s="14">
        <f>B38/B16</f>
        <v>181726.46553844676</v>
      </c>
      <c r="C40" s="14">
        <f t="shared" ref="C40:F40" si="2">C38/C16</f>
        <v>365295.29299723828</v>
      </c>
      <c r="D40" s="14"/>
      <c r="E40" s="14"/>
      <c r="F40" s="14">
        <f t="shared" si="2"/>
        <v>54782.096103776086</v>
      </c>
      <c r="G40" s="14"/>
      <c r="H40" s="14"/>
      <c r="I40" s="14"/>
      <c r="J40" s="14"/>
      <c r="K40" s="14"/>
      <c r="L40" s="14"/>
      <c r="M40" s="14"/>
      <c r="N40" s="14">
        <f>N38/N16</f>
        <v>227367.5318571252</v>
      </c>
      <c r="O40" s="15"/>
      <c r="P40" s="15"/>
    </row>
    <row r="41" spans="1:16" s="13" customFormat="1" x14ac:dyDescent="0.25">
      <c r="A41" s="13" t="s">
        <v>129</v>
      </c>
      <c r="B41" s="28">
        <f>B39/B18</f>
        <v>221237.89934970372</v>
      </c>
      <c r="C41" s="27">
        <f t="shared" ref="C41:F41" si="3">C39/C18</f>
        <v>411291.06642577384</v>
      </c>
      <c r="D41" s="27"/>
      <c r="E41" s="27"/>
      <c r="F41" s="27">
        <f t="shared" si="3"/>
        <v>52609.513709412742</v>
      </c>
      <c r="G41" s="27"/>
      <c r="H41" s="27"/>
      <c r="I41" s="27"/>
      <c r="J41" s="27"/>
      <c r="K41" s="14"/>
      <c r="L41" s="14"/>
      <c r="M41" s="28"/>
      <c r="N41" s="28">
        <f t="shared" ref="N41" si="4">N39/N18</f>
        <v>216854.13718322493</v>
      </c>
    </row>
    <row r="42" spans="1:16" s="13" customFormat="1" x14ac:dyDescent="0.25"/>
    <row r="43" spans="1:16" s="13" customFormat="1" x14ac:dyDescent="0.25">
      <c r="A43" s="4" t="s">
        <v>10</v>
      </c>
    </row>
    <row r="44" spans="1:16" s="13" customFormat="1" x14ac:dyDescent="0.25"/>
    <row r="45" spans="1:16" s="13" customFormat="1" x14ac:dyDescent="0.25">
      <c r="A45" s="4" t="s">
        <v>11</v>
      </c>
    </row>
    <row r="46" spans="1:16" s="13" customFormat="1" x14ac:dyDescent="0.25">
      <c r="A46" s="13" t="s">
        <v>12</v>
      </c>
      <c r="B46" s="40">
        <f t="shared" ref="B46" si="5">(B17/B35)*100</f>
        <v>136.54764017908209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1:16" s="13" customFormat="1" x14ac:dyDescent="0.25">
      <c r="A47" s="13" t="s">
        <v>13</v>
      </c>
      <c r="B47" s="40">
        <f t="shared" ref="B47" si="6">(B18/B35)*100</f>
        <v>125.82251872012833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16" s="13" customFormat="1" x14ac:dyDescent="0.2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16" s="13" customFormat="1" x14ac:dyDescent="0.25">
      <c r="A49" s="4" t="s">
        <v>14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1:16" s="13" customFormat="1" x14ac:dyDescent="0.25">
      <c r="A50" s="13" t="s">
        <v>15</v>
      </c>
      <c r="B50" s="41">
        <f t="shared" ref="B50:N50" si="7">B18/B17*100</f>
        <v>92.145509475749435</v>
      </c>
      <c r="C50" s="41">
        <f t="shared" si="7"/>
        <v>68.543199809565309</v>
      </c>
      <c r="D50" s="41">
        <f t="shared" si="7"/>
        <v>59.878113850662594</v>
      </c>
      <c r="E50" s="41">
        <f t="shared" si="7"/>
        <v>83.681391304347841</v>
      </c>
      <c r="F50" s="41">
        <f t="shared" si="7"/>
        <v>96.154159147419037</v>
      </c>
      <c r="G50" s="41">
        <f t="shared" si="7"/>
        <v>76.751413994079371</v>
      </c>
      <c r="H50" s="41">
        <f t="shared" si="7"/>
        <v>91.825548020015759</v>
      </c>
      <c r="I50" s="41">
        <f t="shared" si="7"/>
        <v>87.546485850248771</v>
      </c>
      <c r="J50" s="41">
        <f t="shared" si="7"/>
        <v>82.480173941458148</v>
      </c>
      <c r="K50" s="41">
        <f t="shared" si="7"/>
        <v>106.12504722522682</v>
      </c>
      <c r="L50" s="41">
        <f t="shared" si="7"/>
        <v>0</v>
      </c>
      <c r="M50" s="41">
        <f t="shared" si="7"/>
        <v>81.963636363636354</v>
      </c>
      <c r="N50" s="41">
        <f t="shared" si="7"/>
        <v>99.020446726206387</v>
      </c>
      <c r="O50" s="37"/>
      <c r="P50" s="37"/>
    </row>
    <row r="51" spans="1:16" s="13" customFormat="1" x14ac:dyDescent="0.25">
      <c r="A51" s="13" t="s">
        <v>16</v>
      </c>
      <c r="B51" s="41">
        <f>B24/B23*100</f>
        <v>87.480399705987281</v>
      </c>
      <c r="C51" s="41">
        <f>C24/C23*100</f>
        <v>83.073103871907136</v>
      </c>
      <c r="D51" s="41"/>
      <c r="E51" s="41"/>
      <c r="F51" s="41">
        <f>F24/F23*100</f>
        <v>102.45044348463705</v>
      </c>
      <c r="G51" s="41"/>
      <c r="H51" s="41"/>
      <c r="I51" s="41"/>
      <c r="J51" s="41"/>
      <c r="K51" s="41"/>
      <c r="L51" s="41"/>
      <c r="M51" s="41"/>
      <c r="N51" s="41">
        <f t="shared" ref="N51" si="8">N24/N23*100</f>
        <v>81.93395026060557</v>
      </c>
      <c r="O51" s="15"/>
      <c r="P51" s="15"/>
    </row>
    <row r="52" spans="1:16" s="13" customFormat="1" x14ac:dyDescent="0.25">
      <c r="A52" s="13" t="s">
        <v>17</v>
      </c>
      <c r="B52" s="41">
        <f>AVERAGE(B50:B51)</f>
        <v>89.812954590868358</v>
      </c>
      <c r="C52" s="41">
        <f t="shared" ref="C52" si="9">AVERAGE(C50:C51)</f>
        <v>75.80815184073623</v>
      </c>
      <c r="D52" s="41"/>
      <c r="E52" s="41"/>
      <c r="F52" s="41">
        <f t="shared" ref="F52" si="10">AVERAGE(F50:F51)</f>
        <v>99.302301316028036</v>
      </c>
      <c r="G52" s="41"/>
      <c r="H52" s="41"/>
      <c r="I52" s="41"/>
      <c r="J52" s="41"/>
      <c r="K52" s="41"/>
      <c r="L52" s="41"/>
      <c r="M52" s="41"/>
      <c r="N52" s="41">
        <f t="shared" ref="N52" si="11">AVERAGE(N50:N51)</f>
        <v>90.477198493405979</v>
      </c>
      <c r="O52" s="15"/>
      <c r="P52" s="15"/>
    </row>
    <row r="53" spans="1:16" s="13" customFormat="1" x14ac:dyDescent="0.25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</row>
    <row r="54" spans="1:16" s="13" customFormat="1" x14ac:dyDescent="0.25">
      <c r="A54" s="4" t="s">
        <v>18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</row>
    <row r="55" spans="1:16" s="13" customFormat="1" x14ac:dyDescent="0.25">
      <c r="A55" s="13" t="s">
        <v>19</v>
      </c>
      <c r="B55" s="41">
        <f t="shared" ref="B55:N55" si="12">((B18/B19)*100)</f>
        <v>92.145229980585654</v>
      </c>
      <c r="C55" s="41">
        <f t="shared" si="12"/>
        <v>68.543286598267088</v>
      </c>
      <c r="D55" s="41">
        <f t="shared" si="12"/>
        <v>59.878228296817603</v>
      </c>
      <c r="E55" s="41">
        <f t="shared" si="12"/>
        <v>83.681402946977798</v>
      </c>
      <c r="F55" s="41">
        <f t="shared" si="12"/>
        <v>96.153791168699172</v>
      </c>
      <c r="G55" s="41">
        <f t="shared" si="12"/>
        <v>76.750960525580481</v>
      </c>
      <c r="H55" s="41">
        <f t="shared" si="12"/>
        <v>91.825100195096709</v>
      </c>
      <c r="I55" s="41">
        <f t="shared" si="12"/>
        <v>87.546485850248771</v>
      </c>
      <c r="J55" s="41">
        <f t="shared" si="12"/>
        <v>82.195737249183836</v>
      </c>
      <c r="K55" s="41">
        <f t="shared" si="12"/>
        <v>106.12449799196789</v>
      </c>
      <c r="L55" s="41">
        <f t="shared" si="12"/>
        <v>0</v>
      </c>
      <c r="M55" s="41">
        <f t="shared" si="12"/>
        <v>81.963636363636354</v>
      </c>
      <c r="N55" s="41">
        <f t="shared" si="12"/>
        <v>99.020446726206387</v>
      </c>
      <c r="O55" s="37"/>
      <c r="P55" s="37"/>
    </row>
    <row r="56" spans="1:16" s="13" customFormat="1" x14ac:dyDescent="0.25">
      <c r="A56" s="13" t="s">
        <v>20</v>
      </c>
      <c r="B56" s="41">
        <f>B24/B25*100</f>
        <v>87.480399705080828</v>
      </c>
      <c r="C56" s="41">
        <f>C24/C25*100</f>
        <v>83.073103870663516</v>
      </c>
      <c r="D56" s="41"/>
      <c r="E56" s="41"/>
      <c r="F56" s="41">
        <f>F24/F25*100</f>
        <v>102.45044348463705</v>
      </c>
      <c r="G56" s="41"/>
      <c r="H56" s="41"/>
      <c r="I56" s="41"/>
      <c r="J56" s="41"/>
      <c r="K56" s="41"/>
      <c r="L56" s="41"/>
      <c r="M56" s="41"/>
      <c r="N56" s="41">
        <f t="shared" ref="N56" si="13">N24/N25*100</f>
        <v>81.93395026060557</v>
      </c>
      <c r="O56" s="15"/>
      <c r="P56" s="15"/>
    </row>
    <row r="57" spans="1:16" s="13" customFormat="1" x14ac:dyDescent="0.25">
      <c r="A57" s="13" t="s">
        <v>21</v>
      </c>
      <c r="B57" s="41">
        <f>(B55+B56)/2</f>
        <v>89.812814842833234</v>
      </c>
      <c r="C57" s="41">
        <f>(C55+C56)/2</f>
        <v>75.808195234465302</v>
      </c>
      <c r="D57" s="41"/>
      <c r="E57" s="41"/>
      <c r="F57" s="41">
        <f>(F55+F56)/2</f>
        <v>99.30211732666811</v>
      </c>
      <c r="G57" s="41"/>
      <c r="H57" s="41"/>
      <c r="I57" s="41"/>
      <c r="J57" s="41"/>
      <c r="K57" s="41"/>
      <c r="L57" s="41"/>
      <c r="M57" s="41"/>
      <c r="N57" s="41">
        <f t="shared" ref="N57" si="14">(N55+N56)/2</f>
        <v>90.477198493405979</v>
      </c>
      <c r="O57" s="15"/>
      <c r="P57" s="15"/>
    </row>
    <row r="58" spans="1:16" s="13" customFormat="1" x14ac:dyDescent="0.25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6" s="13" customFormat="1" x14ac:dyDescent="0.25">
      <c r="A59" s="4" t="s">
        <v>36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6" s="13" customFormat="1" x14ac:dyDescent="0.25">
      <c r="A60" s="13" t="s">
        <v>22</v>
      </c>
      <c r="B60" s="40">
        <f>B26/B24*100</f>
        <v>100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</row>
    <row r="61" spans="1:16" s="13" customFormat="1" x14ac:dyDescent="0.2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</row>
    <row r="62" spans="1:16" s="13" customFormat="1" x14ac:dyDescent="0.25">
      <c r="A62" s="4" t="s">
        <v>23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</row>
    <row r="63" spans="1:16" s="13" customFormat="1" x14ac:dyDescent="0.25">
      <c r="A63" s="13" t="s">
        <v>24</v>
      </c>
      <c r="B63" s="41">
        <f t="shared" ref="B63:N63" si="15">((B18/B16)-1)*100</f>
        <v>5.4597914910265111</v>
      </c>
      <c r="C63" s="41">
        <f t="shared" si="15"/>
        <v>22.560772673861806</v>
      </c>
      <c r="D63" s="41">
        <f t="shared" si="15"/>
        <v>10.889026539536474</v>
      </c>
      <c r="E63" s="41">
        <f t="shared" si="15"/>
        <v>41.130645454598792</v>
      </c>
      <c r="F63" s="41">
        <f t="shared" si="15"/>
        <v>22.236435303336279</v>
      </c>
      <c r="G63" s="41">
        <f t="shared" si="15"/>
        <v>6.0812920161722905</v>
      </c>
      <c r="H63" s="41">
        <f t="shared" si="15"/>
        <v>10.486005415681031</v>
      </c>
      <c r="I63" s="41">
        <f t="shared" si="15"/>
        <v>40.330347014838999</v>
      </c>
      <c r="J63" s="41">
        <f t="shared" si="15"/>
        <v>15.600531966426235</v>
      </c>
      <c r="K63" s="41">
        <f t="shared" si="15"/>
        <v>4.2125538067480095</v>
      </c>
      <c r="L63" s="41" t="s">
        <v>78</v>
      </c>
      <c r="M63" s="41" t="s">
        <v>78</v>
      </c>
      <c r="N63" s="41">
        <f t="shared" si="15"/>
        <v>4.7305259387048881</v>
      </c>
      <c r="O63" s="15"/>
      <c r="P63" s="15"/>
    </row>
    <row r="64" spans="1:16" s="13" customFormat="1" x14ac:dyDescent="0.25">
      <c r="A64" s="13" t="s">
        <v>25</v>
      </c>
      <c r="B64" s="41">
        <f>((B39/B38)-1)*100</f>
        <v>28.38912959761668</v>
      </c>
      <c r="C64" s="41">
        <f>((C39/C38)-1)*100</f>
        <v>37.992883733600571</v>
      </c>
      <c r="D64" s="41"/>
      <c r="E64" s="41"/>
      <c r="F64" s="41">
        <f>((F39/F38)-1)*100</f>
        <v>17.388706826742673</v>
      </c>
      <c r="G64" s="41"/>
      <c r="H64" s="41"/>
      <c r="I64" s="41"/>
      <c r="J64" s="41"/>
      <c r="K64" s="41"/>
      <c r="L64" s="41"/>
      <c r="M64" s="41"/>
      <c r="N64" s="41">
        <f t="shared" ref="N64" si="16">((N39/N38)-1)*100</f>
        <v>-0.11217673130804462</v>
      </c>
      <c r="O64" s="15"/>
      <c r="P64" s="15"/>
    </row>
    <row r="65" spans="1:16" s="13" customFormat="1" x14ac:dyDescent="0.25">
      <c r="A65" s="13" t="s">
        <v>26</v>
      </c>
      <c r="B65" s="41">
        <f>((B41/B40)-1)*100</f>
        <v>21.742256249900894</v>
      </c>
      <c r="C65" s="41">
        <f>((C41/C40)-1)*100</f>
        <v>12.591395046769271</v>
      </c>
      <c r="D65" s="41"/>
      <c r="E65" s="41"/>
      <c r="F65" s="41">
        <f>((F41/F40)-1)*100</f>
        <v>-3.9658621135046146</v>
      </c>
      <c r="G65" s="41"/>
      <c r="H65" s="41"/>
      <c r="I65" s="41"/>
      <c r="J65" s="41"/>
      <c r="K65" s="41"/>
      <c r="L65" s="41"/>
      <c r="M65" s="41"/>
      <c r="N65" s="41">
        <f t="shared" ref="N65" si="17">((N41/N40)-1)*100</f>
        <v>-4.6239648150408481</v>
      </c>
      <c r="O65" s="15"/>
      <c r="P65" s="15"/>
    </row>
    <row r="66" spans="1:16" s="13" customFormat="1" x14ac:dyDescent="0.25">
      <c r="A66" s="4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</row>
    <row r="67" spans="1:16" s="13" customFormat="1" x14ac:dyDescent="0.25">
      <c r="A67" s="4" t="s">
        <v>27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6" s="13" customFormat="1" x14ac:dyDescent="0.25">
      <c r="A68" s="13" t="s">
        <v>28</v>
      </c>
      <c r="B68" s="42">
        <f>B23/(B17*12)</f>
        <v>20606.204787516457</v>
      </c>
      <c r="C68" s="42">
        <f>C23/(C17*12)</f>
        <v>30007.39411309241</v>
      </c>
      <c r="D68" s="42"/>
      <c r="E68" s="42"/>
      <c r="F68" s="42">
        <f>F23/(F17*12)</f>
        <v>4366.0990869131547</v>
      </c>
      <c r="G68" s="42"/>
      <c r="H68" s="42"/>
      <c r="I68" s="42"/>
      <c r="J68" s="42"/>
      <c r="K68" s="42"/>
      <c r="L68" s="42"/>
      <c r="M68" s="42"/>
      <c r="N68" s="42">
        <f>N23/(N17*12)</f>
        <v>23174.147561366917</v>
      </c>
      <c r="O68" s="27"/>
      <c r="P68" s="27"/>
    </row>
    <row r="69" spans="1:16" s="13" customFormat="1" x14ac:dyDescent="0.25">
      <c r="A69" s="13" t="s">
        <v>29</v>
      </c>
      <c r="B69" s="42">
        <f>B24/(B18*12)</f>
        <v>19562.961249997552</v>
      </c>
      <c r="C69" s="42">
        <f>C24/(C18*12)</f>
        <v>36368.412548699045</v>
      </c>
      <c r="D69" s="42"/>
      <c r="E69" s="42"/>
      <c r="F69" s="42">
        <f>F24/(F18*12)</f>
        <v>4651.9962497548213</v>
      </c>
      <c r="G69" s="42"/>
      <c r="H69" s="42"/>
      <c r="I69" s="42"/>
      <c r="J69" s="42"/>
      <c r="K69" s="42"/>
      <c r="L69" s="42"/>
      <c r="M69" s="42"/>
      <c r="N69" s="42">
        <f>N24/(N18*12)</f>
        <v>19175.327080426661</v>
      </c>
      <c r="O69" s="27"/>
      <c r="P69" s="27"/>
    </row>
    <row r="70" spans="1:16" s="13" customFormat="1" x14ac:dyDescent="0.25">
      <c r="A70" s="13" t="s">
        <v>30</v>
      </c>
      <c r="B70" s="42">
        <f>(B69/B68)*B52</f>
        <v>85.265936572336145</v>
      </c>
      <c r="C70" s="42">
        <f>(C69/C68)*C52</f>
        <v>91.878092789650424</v>
      </c>
      <c r="D70" s="42"/>
      <c r="E70" s="42"/>
      <c r="F70" s="42">
        <f>(F69/F68)*F52</f>
        <v>105.80472960378656</v>
      </c>
      <c r="G70" s="42"/>
      <c r="H70" s="42"/>
      <c r="I70" s="42"/>
      <c r="J70" s="42"/>
      <c r="K70" s="42"/>
      <c r="L70" s="42"/>
      <c r="M70" s="42"/>
      <c r="N70" s="42">
        <f t="shared" ref="N70" si="18">(N69/N68)*N52</f>
        <v>74.864884235224565</v>
      </c>
      <c r="O70" s="27"/>
      <c r="P70" s="27"/>
    </row>
    <row r="71" spans="1:16" s="13" customFormat="1" x14ac:dyDescent="0.25">
      <c r="A71" s="13" t="s">
        <v>37</v>
      </c>
      <c r="B71" s="42">
        <f>B23/B17</f>
        <v>247274.45745019746</v>
      </c>
      <c r="C71" s="42">
        <f>C23/C17</f>
        <v>360088.72935710894</v>
      </c>
      <c r="D71" s="42"/>
      <c r="E71" s="42"/>
      <c r="F71" s="42">
        <f>F23/F17</f>
        <v>52393.189042957863</v>
      </c>
      <c r="G71" s="42"/>
      <c r="H71" s="42"/>
      <c r="I71" s="42"/>
      <c r="J71" s="42"/>
      <c r="K71" s="42"/>
      <c r="L71" s="42"/>
      <c r="M71" s="42"/>
      <c r="N71" s="42">
        <f t="shared" ref="N71:N72" si="19">N23/N17</f>
        <v>278089.77073640301</v>
      </c>
      <c r="O71" s="27"/>
      <c r="P71" s="27"/>
    </row>
    <row r="72" spans="1:16" s="13" customFormat="1" x14ac:dyDescent="0.25">
      <c r="A72" s="13" t="s">
        <v>38</v>
      </c>
      <c r="B72" s="42">
        <f>B24/B18</f>
        <v>234755.53499997058</v>
      </c>
      <c r="C72" s="42">
        <f>C24/C18</f>
        <v>436420.95058438857</v>
      </c>
      <c r="D72" s="42"/>
      <c r="E72" s="42"/>
      <c r="F72" s="42">
        <f>F24/F18</f>
        <v>55823.954997057852</v>
      </c>
      <c r="G72" s="42"/>
      <c r="H72" s="42"/>
      <c r="I72" s="42"/>
      <c r="J72" s="42"/>
      <c r="K72" s="42"/>
      <c r="L72" s="42"/>
      <c r="M72" s="42"/>
      <c r="N72" s="42">
        <f t="shared" si="19"/>
        <v>230103.92496511995</v>
      </c>
      <c r="O72" s="27"/>
      <c r="P72" s="27"/>
    </row>
    <row r="73" spans="1:16" s="13" customFormat="1" x14ac:dyDescent="0.2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6" s="13" customFormat="1" x14ac:dyDescent="0.25">
      <c r="A74" s="4" t="s">
        <v>31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1:16" s="13" customFormat="1" x14ac:dyDescent="0.25">
      <c r="A75" s="13" t="s">
        <v>32</v>
      </c>
      <c r="B75" s="40">
        <f>(B30/B29)*100</f>
        <v>82.439729371498601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6" s="13" customFormat="1" ht="15.75" thickBot="1" x14ac:dyDescent="0.3">
      <c r="A76" s="21" t="s">
        <v>33</v>
      </c>
      <c r="B76" s="44">
        <f>(B24/B30)*100</f>
        <v>106.11437030776007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2"/>
      <c r="P76" s="22"/>
    </row>
    <row r="77" spans="1:16" s="13" customFormat="1" ht="15.75" thickTop="1" x14ac:dyDescent="0.25">
      <c r="A77" s="50" t="s">
        <v>92</v>
      </c>
      <c r="B77" s="50"/>
      <c r="C77" s="50"/>
      <c r="D77" s="50"/>
      <c r="E77" s="50"/>
      <c r="F77" s="50"/>
      <c r="G77" s="22"/>
      <c r="H77" s="22"/>
      <c r="I77" s="22"/>
      <c r="J77" s="22"/>
      <c r="K77" s="22"/>
      <c r="L77" s="2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6" s="13" customFormat="1" x14ac:dyDescent="0.25">
      <c r="A79" s="22" t="s">
        <v>130</v>
      </c>
    </row>
    <row r="80" spans="1:16" s="13" customFormat="1" x14ac:dyDescent="0.25">
      <c r="A80" s="13" t="s">
        <v>133</v>
      </c>
    </row>
  </sheetData>
  <mergeCells count="6">
    <mergeCell ref="A77:F77"/>
    <mergeCell ref="A9:A10"/>
    <mergeCell ref="D10:E10"/>
    <mergeCell ref="G10:K10"/>
    <mergeCell ref="B9:B10"/>
    <mergeCell ref="C9:N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Hoja2 (2)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Stephanie Tatiana Salas Soto</cp:lastModifiedBy>
  <dcterms:created xsi:type="dcterms:W3CDTF">2012-02-08T21:16:28Z</dcterms:created>
  <dcterms:modified xsi:type="dcterms:W3CDTF">2020-05-26T17:32:19Z</dcterms:modified>
</cp:coreProperties>
</file>