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Productos 2015\CEN CINAI\Indicador 2015\04-10-2016\"/>
    </mc:Choice>
  </mc:AlternateContent>
  <bookViews>
    <workbookView xWindow="0" yWindow="0" windowWidth="21600" windowHeight="9735" activeTab="7"/>
  </bookViews>
  <sheets>
    <sheet name="I Trimestre" sheetId="4" r:id="rId1"/>
    <sheet name="Hoja2 (2)" sheetId="15" state="hidden" r:id="rId2"/>
    <sheet name="II Trimestre" sheetId="7" r:id="rId3"/>
    <sheet name="III Trimestre" sheetId="8" r:id="rId4"/>
    <sheet name="IV Trimestre" sheetId="3" r:id="rId5"/>
    <sheet name="I Semestre" sheetId="9" r:id="rId6"/>
    <sheet name="III T Acumulado" sheetId="10" r:id="rId7"/>
    <sheet name="Anual" sheetId="2" r:id="rId8"/>
    <sheet name="Observaciones" sheetId="11" r:id="rId9"/>
    <sheet name="Hoja1" sheetId="16" r:id="rId10"/>
  </sheets>
  <calcPr calcId="152511"/>
</workbook>
</file>

<file path=xl/calcChain.xml><?xml version="1.0" encoding="utf-8"?>
<calcChain xmlns="http://schemas.openxmlformats.org/spreadsheetml/2006/main">
  <c r="B21" i="2" l="1"/>
  <c r="B22" i="2"/>
  <c r="B23" i="2"/>
  <c r="B19" i="2"/>
  <c r="Q69" i="2"/>
  <c r="Q66" i="2"/>
  <c r="Q62" i="2"/>
  <c r="Q61" i="2"/>
  <c r="Q60" i="2"/>
  <c r="Q54" i="2"/>
  <c r="Q53" i="2"/>
  <c r="Q52" i="2"/>
  <c r="Q49" i="2"/>
  <c r="Q47" i="2"/>
  <c r="Q44" i="2"/>
  <c r="Q43" i="2"/>
  <c r="Q38" i="2"/>
  <c r="Q37" i="2"/>
  <c r="Q36" i="2"/>
  <c r="Q35" i="2"/>
  <c r="Q23" i="2"/>
  <c r="Q22" i="2"/>
  <c r="Q21" i="2"/>
  <c r="Q20" i="2"/>
  <c r="B20" i="2" s="1"/>
  <c r="Q19" i="2"/>
  <c r="Q16" i="2"/>
  <c r="Q15" i="2"/>
  <c r="Q14" i="2"/>
  <c r="Q13" i="2"/>
  <c r="Q12" i="2"/>
  <c r="Q11" i="2"/>
  <c r="Q10" i="2"/>
  <c r="B20" i="9"/>
  <c r="B21" i="9"/>
  <c r="B22" i="9"/>
  <c r="B23" i="9"/>
  <c r="B19" i="9"/>
  <c r="B20" i="10"/>
  <c r="B21" i="10"/>
  <c r="B22" i="10"/>
  <c r="B23" i="10"/>
  <c r="B19" i="10"/>
  <c r="O69" i="10"/>
  <c r="P69" i="10"/>
  <c r="Q69" i="10"/>
  <c r="O68" i="10"/>
  <c r="P68" i="10"/>
  <c r="Q68" i="10"/>
  <c r="O67" i="10"/>
  <c r="P67" i="10"/>
  <c r="Q67" i="10"/>
  <c r="O66" i="10"/>
  <c r="P66" i="10"/>
  <c r="Q66" i="10"/>
  <c r="O65" i="10"/>
  <c r="P65" i="10"/>
  <c r="Q65" i="10"/>
  <c r="O62" i="10"/>
  <c r="P62" i="10"/>
  <c r="Q62" i="10"/>
  <c r="O61" i="10"/>
  <c r="P61" i="10"/>
  <c r="Q61" i="10"/>
  <c r="O60" i="10"/>
  <c r="P60" i="10"/>
  <c r="Q60" i="10"/>
  <c r="O54" i="10"/>
  <c r="P54" i="10"/>
  <c r="Q54" i="10"/>
  <c r="O53" i="10"/>
  <c r="P53" i="10"/>
  <c r="Q53" i="10"/>
  <c r="O52" i="10"/>
  <c r="P52" i="10"/>
  <c r="Q52" i="10"/>
  <c r="O49" i="10"/>
  <c r="P49" i="10"/>
  <c r="Q49" i="10"/>
  <c r="O48" i="10"/>
  <c r="P48" i="10"/>
  <c r="Q48" i="10"/>
  <c r="O47" i="10"/>
  <c r="P47" i="10"/>
  <c r="Q47" i="10"/>
  <c r="O44" i="10"/>
  <c r="P44" i="10"/>
  <c r="Q44" i="10"/>
  <c r="O43" i="10"/>
  <c r="P43" i="10"/>
  <c r="Q43" i="10"/>
  <c r="Q38" i="10"/>
  <c r="Q37" i="10"/>
  <c r="Q36" i="10"/>
  <c r="Q35" i="10"/>
  <c r="Q23" i="10"/>
  <c r="Q22" i="10"/>
  <c r="Q21" i="10"/>
  <c r="Q20" i="10"/>
  <c r="Q19" i="10"/>
  <c r="Q16" i="10"/>
  <c r="Q15" i="10"/>
  <c r="Q14" i="10"/>
  <c r="Q13" i="10"/>
  <c r="Q12" i="10"/>
  <c r="Q11" i="10"/>
  <c r="Q10" i="10"/>
  <c r="O69" i="8"/>
  <c r="P69" i="8"/>
  <c r="Q69" i="8"/>
  <c r="O68" i="8"/>
  <c r="P68" i="8"/>
  <c r="Q68" i="8"/>
  <c r="O67" i="8"/>
  <c r="P67" i="8"/>
  <c r="Q67" i="8"/>
  <c r="O66" i="8"/>
  <c r="P66" i="8"/>
  <c r="Q66" i="8"/>
  <c r="O65" i="8"/>
  <c r="P65" i="8"/>
  <c r="Q65" i="8"/>
  <c r="O62" i="8"/>
  <c r="P62" i="8"/>
  <c r="Q62" i="8"/>
  <c r="O61" i="8"/>
  <c r="P61" i="8"/>
  <c r="Q61" i="8"/>
  <c r="O60" i="8"/>
  <c r="P60" i="8"/>
  <c r="Q60" i="8"/>
  <c r="O54" i="8"/>
  <c r="P54" i="8"/>
  <c r="Q54" i="8"/>
  <c r="O53" i="8"/>
  <c r="P53" i="8"/>
  <c r="Q53" i="8"/>
  <c r="O52" i="8"/>
  <c r="P52" i="8"/>
  <c r="Q52" i="8"/>
  <c r="O49" i="8"/>
  <c r="P49" i="8"/>
  <c r="Q49" i="8"/>
  <c r="O48" i="8"/>
  <c r="P48" i="8"/>
  <c r="Q48" i="8"/>
  <c r="O47" i="8"/>
  <c r="P47" i="8"/>
  <c r="Q47" i="8"/>
  <c r="O44" i="8"/>
  <c r="P44" i="8"/>
  <c r="Q44" i="8"/>
  <c r="O43" i="8"/>
  <c r="P43" i="8"/>
  <c r="Q43" i="8"/>
  <c r="Q38" i="8"/>
  <c r="Q37" i="8"/>
  <c r="Q36" i="8"/>
  <c r="Q35" i="8"/>
  <c r="O69" i="7"/>
  <c r="P69" i="7"/>
  <c r="Q69" i="7"/>
  <c r="O68" i="7"/>
  <c r="P68" i="7"/>
  <c r="Q68" i="7"/>
  <c r="O67" i="7"/>
  <c r="P67" i="7"/>
  <c r="Q67" i="7"/>
  <c r="O66" i="7"/>
  <c r="P66" i="7"/>
  <c r="Q66" i="7"/>
  <c r="O65" i="7"/>
  <c r="P65" i="7"/>
  <c r="Q65" i="7"/>
  <c r="O62" i="7"/>
  <c r="P62" i="7"/>
  <c r="Q62" i="7"/>
  <c r="O61" i="7"/>
  <c r="P61" i="7"/>
  <c r="Q61" i="7"/>
  <c r="O60" i="7"/>
  <c r="P60" i="7"/>
  <c r="Q60" i="7"/>
  <c r="O54" i="7"/>
  <c r="P54" i="7"/>
  <c r="Q54" i="7"/>
  <c r="O53" i="7"/>
  <c r="P53" i="7"/>
  <c r="Q53" i="7"/>
  <c r="O52" i="7"/>
  <c r="P52" i="7"/>
  <c r="Q52" i="7"/>
  <c r="O49" i="7"/>
  <c r="P49" i="7"/>
  <c r="Q49" i="7"/>
  <c r="O48" i="7"/>
  <c r="P48" i="7"/>
  <c r="Q48" i="7"/>
  <c r="O47" i="7"/>
  <c r="P47" i="7"/>
  <c r="Q47" i="7"/>
  <c r="O44" i="7"/>
  <c r="P44" i="7"/>
  <c r="Q44" i="7"/>
  <c r="O43" i="7"/>
  <c r="P43" i="7"/>
  <c r="Q43" i="7"/>
  <c r="Q38" i="7"/>
  <c r="Q37" i="7"/>
  <c r="Q36" i="7"/>
  <c r="Q35" i="7"/>
  <c r="Q68" i="2" l="1"/>
  <c r="Q48" i="2"/>
  <c r="Q65" i="2"/>
  <c r="Q67" i="2" s="1"/>
  <c r="O69" i="9" l="1"/>
  <c r="P69" i="9"/>
  <c r="Q69" i="9"/>
  <c r="O68" i="9"/>
  <c r="P68" i="9"/>
  <c r="Q68" i="9"/>
  <c r="O67" i="9"/>
  <c r="P67" i="9"/>
  <c r="Q67" i="9"/>
  <c r="O66" i="9"/>
  <c r="P66" i="9"/>
  <c r="Q66" i="9"/>
  <c r="O65" i="9"/>
  <c r="P65" i="9"/>
  <c r="Q65" i="9"/>
  <c r="O62" i="9"/>
  <c r="P62" i="9"/>
  <c r="Q62" i="9"/>
  <c r="O61" i="9"/>
  <c r="P61" i="9"/>
  <c r="Q61" i="9"/>
  <c r="O60" i="9"/>
  <c r="P60" i="9"/>
  <c r="Q60" i="9"/>
  <c r="O54" i="9"/>
  <c r="P54" i="9"/>
  <c r="Q54" i="9"/>
  <c r="O53" i="9"/>
  <c r="P53" i="9"/>
  <c r="Q53" i="9"/>
  <c r="O52" i="9"/>
  <c r="P52" i="9"/>
  <c r="Q52" i="9"/>
  <c r="O49" i="9"/>
  <c r="P49" i="9"/>
  <c r="Q49" i="9"/>
  <c r="O48" i="9"/>
  <c r="P48" i="9"/>
  <c r="Q48" i="9"/>
  <c r="O47" i="9"/>
  <c r="P47" i="9"/>
  <c r="Q47" i="9"/>
  <c r="O44" i="9"/>
  <c r="P44" i="9"/>
  <c r="Q44" i="9"/>
  <c r="O43" i="9"/>
  <c r="P43" i="9"/>
  <c r="Q43" i="9"/>
  <c r="Q38" i="9"/>
  <c r="Q37" i="9"/>
  <c r="Q36" i="9"/>
  <c r="Q35" i="9"/>
  <c r="Q23" i="9"/>
  <c r="Q22" i="9"/>
  <c r="Q21" i="9"/>
  <c r="Q20" i="9"/>
  <c r="Q19" i="9"/>
  <c r="Q16" i="9"/>
  <c r="Q15" i="9"/>
  <c r="Q14" i="9"/>
  <c r="Q13" i="9"/>
  <c r="Q12" i="9"/>
  <c r="Q11" i="9"/>
  <c r="Q10" i="9"/>
  <c r="Q69" i="3"/>
  <c r="Q68" i="3"/>
  <c r="Q66" i="3"/>
  <c r="Q65" i="3"/>
  <c r="Q67" i="3" s="1"/>
  <c r="Q62" i="3"/>
  <c r="Q61" i="3"/>
  <c r="Q60" i="3"/>
  <c r="Q54" i="3"/>
  <c r="Q53" i="3"/>
  <c r="Q52" i="3"/>
  <c r="Q49" i="3"/>
  <c r="Q48" i="3"/>
  <c r="Q47" i="3"/>
  <c r="Q44" i="3"/>
  <c r="Q43" i="3"/>
  <c r="Q38" i="3"/>
  <c r="Q37" i="3"/>
  <c r="Q36" i="3"/>
  <c r="Q35" i="3"/>
  <c r="B23" i="3"/>
  <c r="B21" i="3"/>
  <c r="B16" i="8" l="1"/>
  <c r="B16" i="7"/>
  <c r="B22" i="3" l="1"/>
  <c r="B22" i="8"/>
  <c r="Q23" i="3"/>
  <c r="B23" i="8" l="1"/>
  <c r="B21" i="8" l="1"/>
  <c r="B20" i="8"/>
  <c r="B19" i="8"/>
  <c r="B13" i="8"/>
  <c r="B12" i="8"/>
  <c r="B11" i="8"/>
  <c r="B10" i="8"/>
  <c r="Q23" i="8" l="1"/>
  <c r="B23" i="7" l="1"/>
  <c r="F12" i="7" l="1"/>
  <c r="O69" i="4" l="1"/>
  <c r="P69" i="4"/>
  <c r="Q69" i="4"/>
  <c r="O68" i="4"/>
  <c r="P68" i="4"/>
  <c r="Q68" i="4"/>
  <c r="O67" i="4"/>
  <c r="P67" i="4"/>
  <c r="Q67" i="4"/>
  <c r="O66" i="4"/>
  <c r="P66" i="4"/>
  <c r="Q66" i="4"/>
  <c r="O65" i="4"/>
  <c r="P65" i="4"/>
  <c r="Q65" i="4"/>
  <c r="O62" i="4"/>
  <c r="P62" i="4"/>
  <c r="Q62" i="4"/>
  <c r="O61" i="4"/>
  <c r="P61" i="4"/>
  <c r="Q61" i="4"/>
  <c r="O60" i="4"/>
  <c r="P60" i="4"/>
  <c r="Q60" i="4"/>
  <c r="O54" i="4"/>
  <c r="P54" i="4"/>
  <c r="Q54" i="4"/>
  <c r="O53" i="4"/>
  <c r="P53" i="4"/>
  <c r="Q53" i="4"/>
  <c r="O52" i="4"/>
  <c r="P52" i="4"/>
  <c r="Q52" i="4"/>
  <c r="O49" i="4"/>
  <c r="P49" i="4"/>
  <c r="Q49" i="4"/>
  <c r="O48" i="4"/>
  <c r="P48" i="4"/>
  <c r="Q48" i="4"/>
  <c r="O47" i="4"/>
  <c r="P47" i="4"/>
  <c r="Q47" i="4"/>
  <c r="O44" i="4"/>
  <c r="P44" i="4"/>
  <c r="Q44" i="4"/>
  <c r="O43" i="4"/>
  <c r="P43" i="4"/>
  <c r="Q43" i="4"/>
  <c r="Q38" i="4"/>
  <c r="Q37" i="4"/>
  <c r="Q36" i="4"/>
  <c r="Q35" i="4"/>
  <c r="B19" i="4" l="1"/>
  <c r="F16" i="4" l="1"/>
  <c r="F13" i="4"/>
  <c r="F12" i="4"/>
  <c r="O22" i="10" l="1"/>
  <c r="P22" i="10"/>
  <c r="O21" i="10"/>
  <c r="O36" i="10" s="1"/>
  <c r="O38" i="10" s="1"/>
  <c r="P21" i="10"/>
  <c r="P36" i="10" s="1"/>
  <c r="P38" i="10" s="1"/>
  <c r="O20" i="10"/>
  <c r="P20" i="10"/>
  <c r="O19" i="10"/>
  <c r="O35" i="10" s="1"/>
  <c r="O37" i="10" s="1"/>
  <c r="P19" i="10"/>
  <c r="P35" i="10" s="1"/>
  <c r="P37" i="10" s="1"/>
  <c r="O16" i="10"/>
  <c r="P16" i="10"/>
  <c r="O15" i="10"/>
  <c r="P15" i="10"/>
  <c r="O14" i="10"/>
  <c r="P14" i="10"/>
  <c r="O13" i="10"/>
  <c r="P13" i="10"/>
  <c r="O12" i="10"/>
  <c r="P12" i="10"/>
  <c r="O11" i="10"/>
  <c r="P11" i="10"/>
  <c r="O10" i="10"/>
  <c r="P10" i="10"/>
  <c r="O22" i="9"/>
  <c r="P22" i="9"/>
  <c r="O21" i="9"/>
  <c r="O36" i="9" s="1"/>
  <c r="O38" i="9" s="1"/>
  <c r="P21" i="9"/>
  <c r="P36" i="9" s="1"/>
  <c r="P38" i="9" s="1"/>
  <c r="O20" i="9"/>
  <c r="P20" i="9"/>
  <c r="O19" i="9"/>
  <c r="O35" i="9" s="1"/>
  <c r="O37" i="9" s="1"/>
  <c r="P19" i="9"/>
  <c r="P35" i="9" s="1"/>
  <c r="P37" i="9" s="1"/>
  <c r="O16" i="9"/>
  <c r="P16" i="9"/>
  <c r="O15" i="9"/>
  <c r="P15" i="9"/>
  <c r="O14" i="9"/>
  <c r="P14" i="9"/>
  <c r="O13" i="9"/>
  <c r="P13" i="9"/>
  <c r="O12" i="9"/>
  <c r="P12" i="9"/>
  <c r="O11" i="9"/>
  <c r="P11" i="9"/>
  <c r="O10" i="9"/>
  <c r="P10" i="9"/>
  <c r="M52" i="3"/>
  <c r="N23" i="3"/>
  <c r="O23" i="3"/>
  <c r="P23" i="3"/>
  <c r="P23" i="9" l="1"/>
  <c r="P23" i="10"/>
  <c r="O23" i="9"/>
  <c r="O23" i="10"/>
  <c r="O36" i="8"/>
  <c r="O38" i="8" s="1"/>
  <c r="P36" i="8"/>
  <c r="P38" i="8" s="1"/>
  <c r="O35" i="8"/>
  <c r="O37" i="8" s="1"/>
  <c r="P35" i="8"/>
  <c r="P37" i="8" s="1"/>
  <c r="P23" i="8" l="1"/>
  <c r="O23" i="8"/>
  <c r="M23" i="8"/>
  <c r="N23" i="8"/>
  <c r="F16" i="8"/>
  <c r="O36" i="7"/>
  <c r="O38" i="7" s="1"/>
  <c r="P36" i="7"/>
  <c r="P38" i="7" s="1"/>
  <c r="O35" i="7"/>
  <c r="O37" i="7" s="1"/>
  <c r="P35" i="7"/>
  <c r="P37" i="7" s="1"/>
  <c r="M23" i="7"/>
  <c r="N23" i="7"/>
  <c r="O23" i="7"/>
  <c r="P23" i="7"/>
  <c r="O36" i="4" l="1"/>
  <c r="O38" i="4" s="1"/>
  <c r="P36" i="4"/>
  <c r="P38" i="4" s="1"/>
  <c r="O35" i="4"/>
  <c r="O37" i="4" s="1"/>
  <c r="P35" i="4"/>
  <c r="P37" i="4" s="1"/>
  <c r="N23" i="4" l="1"/>
  <c r="O23" i="4"/>
  <c r="P23" i="4"/>
  <c r="J47" i="4" l="1"/>
  <c r="B13" i="3"/>
  <c r="P22" i="2" l="1"/>
  <c r="P21" i="2"/>
  <c r="P23" i="2" s="1"/>
  <c r="P20" i="2"/>
  <c r="P19" i="2"/>
  <c r="P35" i="2" s="1"/>
  <c r="P16" i="2"/>
  <c r="P15" i="2"/>
  <c r="P44" i="2" s="1"/>
  <c r="P14" i="2"/>
  <c r="P13" i="2"/>
  <c r="P43" i="2" s="1"/>
  <c r="P12" i="2"/>
  <c r="P11" i="2"/>
  <c r="P10" i="2"/>
  <c r="P69" i="3"/>
  <c r="P68" i="3"/>
  <c r="P66" i="3"/>
  <c r="P65" i="3"/>
  <c r="P60" i="3"/>
  <c r="P53" i="3"/>
  <c r="P52" i="3"/>
  <c r="P48" i="3"/>
  <c r="P47" i="3"/>
  <c r="P44" i="3"/>
  <c r="P43" i="3"/>
  <c r="P36" i="3"/>
  <c r="P38" i="3" s="1"/>
  <c r="P35" i="3"/>
  <c r="P37" i="3" s="1"/>
  <c r="P62" i="3" l="1"/>
  <c r="P54" i="3"/>
  <c r="P49" i="3"/>
  <c r="P67" i="3" s="1"/>
  <c r="P68" i="2"/>
  <c r="P53" i="2"/>
  <c r="P37" i="2"/>
  <c r="P60" i="2"/>
  <c r="P61" i="3"/>
  <c r="P66" i="2"/>
  <c r="P65" i="2"/>
  <c r="P48" i="2"/>
  <c r="P69" i="2"/>
  <c r="P47" i="2"/>
  <c r="P36" i="2"/>
  <c r="P52" i="2"/>
  <c r="O16" i="2"/>
  <c r="N16" i="2"/>
  <c r="N20" i="2"/>
  <c r="O22" i="2"/>
  <c r="O21" i="2"/>
  <c r="O20" i="2"/>
  <c r="O19" i="2"/>
  <c r="O35" i="2" s="1"/>
  <c r="N22" i="2"/>
  <c r="M22" i="2"/>
  <c r="N21" i="2"/>
  <c r="N19" i="2"/>
  <c r="N35" i="2" s="1"/>
  <c r="M20" i="2"/>
  <c r="M21" i="2"/>
  <c r="M19" i="2"/>
  <c r="M35" i="2" s="1"/>
  <c r="O11" i="2"/>
  <c r="O12" i="2"/>
  <c r="O13" i="2"/>
  <c r="O43" i="2" s="1"/>
  <c r="O14" i="2"/>
  <c r="O15" i="2"/>
  <c r="O44" i="2" s="1"/>
  <c r="O10" i="2"/>
  <c r="N11" i="2"/>
  <c r="N12" i="2"/>
  <c r="N13" i="2"/>
  <c r="N43" i="2" s="1"/>
  <c r="N14" i="2"/>
  <c r="N15" i="2"/>
  <c r="N44" i="2" s="1"/>
  <c r="N10" i="2"/>
  <c r="M16" i="2"/>
  <c r="M11" i="2"/>
  <c r="M12" i="2"/>
  <c r="M13" i="2"/>
  <c r="M43" i="2" s="1"/>
  <c r="M14" i="2"/>
  <c r="M15" i="2"/>
  <c r="M44" i="2" s="1"/>
  <c r="M10" i="2"/>
  <c r="O69" i="3"/>
  <c r="O68" i="3"/>
  <c r="O66" i="3"/>
  <c r="O65" i="3"/>
  <c r="O60" i="3"/>
  <c r="O53" i="3"/>
  <c r="O52" i="3"/>
  <c r="O48" i="3"/>
  <c r="O47" i="3"/>
  <c r="O49" i="3" s="1"/>
  <c r="O44" i="3"/>
  <c r="O43" i="3"/>
  <c r="O36" i="3"/>
  <c r="O35" i="3"/>
  <c r="O37" i="3" s="1"/>
  <c r="B19" i="3"/>
  <c r="N22" i="9"/>
  <c r="M22" i="9"/>
  <c r="N16" i="9"/>
  <c r="M16" i="9"/>
  <c r="N16" i="10"/>
  <c r="M16" i="10"/>
  <c r="N22" i="10"/>
  <c r="M22" i="10"/>
  <c r="N20" i="10"/>
  <c r="N68" i="10" s="1"/>
  <c r="N21" i="10"/>
  <c r="M20" i="10"/>
  <c r="M21" i="10"/>
  <c r="M66" i="10" s="1"/>
  <c r="N19" i="10"/>
  <c r="N35" i="10" s="1"/>
  <c r="M19" i="10"/>
  <c r="M35" i="10" s="1"/>
  <c r="N11" i="10"/>
  <c r="N12" i="10"/>
  <c r="N13" i="10"/>
  <c r="N43" i="10" s="1"/>
  <c r="N14" i="10"/>
  <c r="N15" i="10"/>
  <c r="N44" i="10" s="1"/>
  <c r="M11" i="10"/>
  <c r="M12" i="10"/>
  <c r="M13" i="10"/>
  <c r="M43" i="10" s="1"/>
  <c r="M14" i="10"/>
  <c r="M15" i="10"/>
  <c r="M44" i="10" s="1"/>
  <c r="N10" i="10"/>
  <c r="M10" i="10"/>
  <c r="N20" i="9"/>
  <c r="N21" i="9"/>
  <c r="M20" i="9"/>
  <c r="M21" i="9"/>
  <c r="M23" i="9" s="1"/>
  <c r="N19" i="9"/>
  <c r="N35" i="9" s="1"/>
  <c r="M19" i="9"/>
  <c r="M35" i="9" s="1"/>
  <c r="N11" i="9"/>
  <c r="N12" i="9"/>
  <c r="N13" i="9"/>
  <c r="N43" i="9" s="1"/>
  <c r="N14" i="9"/>
  <c r="N52" i="9" s="1"/>
  <c r="N15" i="9"/>
  <c r="N44" i="9" s="1"/>
  <c r="M11" i="9"/>
  <c r="M12" i="9"/>
  <c r="M13" i="9"/>
  <c r="M43" i="9" s="1"/>
  <c r="M14" i="9"/>
  <c r="M15" i="9"/>
  <c r="M44" i="9" s="1"/>
  <c r="N10" i="9"/>
  <c r="M10" i="9"/>
  <c r="M52" i="9" l="1"/>
  <c r="O61" i="3"/>
  <c r="O67" i="3"/>
  <c r="O54" i="3"/>
  <c r="M68" i="10"/>
  <c r="O38" i="3"/>
  <c r="O62" i="3" s="1"/>
  <c r="N60" i="10"/>
  <c r="N66" i="10"/>
  <c r="P54" i="2"/>
  <c r="N37" i="9"/>
  <c r="M60" i="10"/>
  <c r="N69" i="9"/>
  <c r="M37" i="9"/>
  <c r="N65" i="9"/>
  <c r="M65" i="9"/>
  <c r="N37" i="10"/>
  <c r="P49" i="2"/>
  <c r="P67" i="2" s="1"/>
  <c r="M37" i="10"/>
  <c r="N52" i="2"/>
  <c r="N47" i="2"/>
  <c r="N49" i="2" s="1"/>
  <c r="N60" i="2"/>
  <c r="M65" i="2"/>
  <c r="M68" i="2"/>
  <c r="O53" i="2"/>
  <c r="O36" i="2"/>
  <c r="O66" i="2"/>
  <c r="O69" i="2"/>
  <c r="O48" i="2"/>
  <c r="P61" i="2"/>
  <c r="P38" i="2"/>
  <c r="P62" i="2" s="1"/>
  <c r="M47" i="9"/>
  <c r="M60" i="9"/>
  <c r="M66" i="9"/>
  <c r="M68" i="9"/>
  <c r="N23" i="10"/>
  <c r="N53" i="9"/>
  <c r="N54" i="9" s="1"/>
  <c r="M36" i="10"/>
  <c r="M48" i="10"/>
  <c r="M52" i="10"/>
  <c r="M65" i="10"/>
  <c r="M69" i="10"/>
  <c r="M66" i="2"/>
  <c r="M69" i="2"/>
  <c r="M48" i="2"/>
  <c r="M36" i="2"/>
  <c r="M53" i="2"/>
  <c r="N69" i="2"/>
  <c r="N48" i="2"/>
  <c r="N53" i="2"/>
  <c r="N66" i="2"/>
  <c r="N36" i="2"/>
  <c r="O68" i="2"/>
  <c r="O65" i="2"/>
  <c r="M36" i="9"/>
  <c r="N47" i="9"/>
  <c r="N49" i="9" s="1"/>
  <c r="N60" i="9"/>
  <c r="N66" i="9"/>
  <c r="N68" i="9"/>
  <c r="M23" i="10"/>
  <c r="M53" i="9"/>
  <c r="N36" i="10"/>
  <c r="N48" i="10"/>
  <c r="N52" i="10"/>
  <c r="N65" i="10"/>
  <c r="N69" i="10"/>
  <c r="O47" i="2"/>
  <c r="O52" i="2"/>
  <c r="O60" i="2"/>
  <c r="N65" i="2"/>
  <c r="N68" i="2"/>
  <c r="N36" i="9"/>
  <c r="M48" i="9"/>
  <c r="M69" i="9"/>
  <c r="N23" i="9"/>
  <c r="M47" i="10"/>
  <c r="M53" i="10"/>
  <c r="M37" i="2"/>
  <c r="N37" i="2"/>
  <c r="O37" i="2"/>
  <c r="O23" i="2"/>
  <c r="M60" i="2"/>
  <c r="M52" i="2"/>
  <c r="M47" i="2"/>
  <c r="N48" i="9"/>
  <c r="N47" i="10"/>
  <c r="N49" i="10" s="1"/>
  <c r="N53" i="10"/>
  <c r="M23" i="2"/>
  <c r="N23" i="2"/>
  <c r="M54" i="2" l="1"/>
  <c r="M54" i="9"/>
  <c r="N67" i="9"/>
  <c r="M49" i="10"/>
  <c r="O54" i="2"/>
  <c r="O49" i="2"/>
  <c r="O67" i="2" s="1"/>
  <c r="M49" i="2"/>
  <c r="M67" i="2" s="1"/>
  <c r="N67" i="2"/>
  <c r="N61" i="10"/>
  <c r="N38" i="10"/>
  <c r="N62" i="10" s="1"/>
  <c r="M38" i="2"/>
  <c r="M62" i="2" s="1"/>
  <c r="M61" i="2"/>
  <c r="M61" i="10"/>
  <c r="M38" i="10"/>
  <c r="M62" i="10" s="1"/>
  <c r="O61" i="2"/>
  <c r="O38" i="2"/>
  <c r="O62" i="2" s="1"/>
  <c r="M61" i="9"/>
  <c r="M38" i="9"/>
  <c r="M62" i="9" s="1"/>
  <c r="N61" i="9"/>
  <c r="N38" i="9"/>
  <c r="N62" i="9" s="1"/>
  <c r="N38" i="2"/>
  <c r="N62" i="2" s="1"/>
  <c r="N61" i="2"/>
  <c r="N54" i="10"/>
  <c r="M54" i="10"/>
  <c r="M49" i="9"/>
  <c r="M67" i="9" s="1"/>
  <c r="N54" i="2"/>
  <c r="N67" i="10"/>
  <c r="M67" i="10"/>
  <c r="M69" i="3"/>
  <c r="N69" i="3"/>
  <c r="M68" i="3"/>
  <c r="N68" i="3"/>
  <c r="M66" i="3"/>
  <c r="N66" i="3"/>
  <c r="M65" i="3"/>
  <c r="N65" i="3"/>
  <c r="M60" i="3"/>
  <c r="N60" i="3"/>
  <c r="M53" i="3"/>
  <c r="N53" i="3"/>
  <c r="N52" i="3"/>
  <c r="M48" i="3"/>
  <c r="N48" i="3"/>
  <c r="M47" i="3"/>
  <c r="M49" i="3" s="1"/>
  <c r="N47" i="3"/>
  <c r="N49" i="3" s="1"/>
  <c r="M44" i="3"/>
  <c r="N44" i="3"/>
  <c r="M43" i="3"/>
  <c r="N43" i="3"/>
  <c r="M36" i="3"/>
  <c r="M38" i="3" s="1"/>
  <c r="N36" i="3"/>
  <c r="N38" i="3" s="1"/>
  <c r="M35" i="3"/>
  <c r="M37" i="3" s="1"/>
  <c r="N35" i="3"/>
  <c r="N37" i="3" s="1"/>
  <c r="M23" i="3"/>
  <c r="M69" i="8"/>
  <c r="N69" i="8"/>
  <c r="M68" i="8"/>
  <c r="N68" i="8"/>
  <c r="M66" i="8"/>
  <c r="N66" i="8"/>
  <c r="M65" i="8"/>
  <c r="N65" i="8"/>
  <c r="M60" i="8"/>
  <c r="N60" i="8"/>
  <c r="M53" i="8"/>
  <c r="N53" i="8"/>
  <c r="M52" i="8"/>
  <c r="N52" i="8"/>
  <c r="M48" i="8"/>
  <c r="N48" i="8"/>
  <c r="M47" i="8"/>
  <c r="N47" i="8"/>
  <c r="N49" i="8" s="1"/>
  <c r="M44" i="8"/>
  <c r="N44" i="8"/>
  <c r="M43" i="8"/>
  <c r="N43" i="8"/>
  <c r="M36" i="8"/>
  <c r="M38" i="8" s="1"/>
  <c r="N36" i="8"/>
  <c r="N38" i="8" s="1"/>
  <c r="M35" i="8"/>
  <c r="M37" i="8" s="1"/>
  <c r="N35" i="8"/>
  <c r="N37" i="8" s="1"/>
  <c r="M69" i="7"/>
  <c r="N69" i="7"/>
  <c r="M68" i="7"/>
  <c r="N68" i="7"/>
  <c r="M66" i="7"/>
  <c r="N66" i="7"/>
  <c r="M65" i="7"/>
  <c r="N65" i="7"/>
  <c r="M60" i="7"/>
  <c r="N60" i="7"/>
  <c r="M53" i="7"/>
  <c r="N53" i="7"/>
  <c r="N54" i="7" s="1"/>
  <c r="M52" i="7"/>
  <c r="M54" i="7" s="1"/>
  <c r="N52" i="7"/>
  <c r="M48" i="7"/>
  <c r="N48" i="7"/>
  <c r="M47" i="7"/>
  <c r="M49" i="7" s="1"/>
  <c r="N47" i="7"/>
  <c r="N49" i="7" s="1"/>
  <c r="M44" i="7"/>
  <c r="N44" i="7"/>
  <c r="M43" i="7"/>
  <c r="N43" i="7"/>
  <c r="M36" i="7"/>
  <c r="M38" i="7" s="1"/>
  <c r="N36" i="7"/>
  <c r="M35" i="7"/>
  <c r="M37" i="7" s="1"/>
  <c r="N35" i="7"/>
  <c r="N37" i="7" s="1"/>
  <c r="B21" i="7"/>
  <c r="B19" i="7"/>
  <c r="M69" i="4"/>
  <c r="N69" i="4"/>
  <c r="M68" i="4"/>
  <c r="N68" i="4"/>
  <c r="M66" i="4"/>
  <c r="N66" i="4"/>
  <c r="M65" i="4"/>
  <c r="N65" i="4"/>
  <c r="N67" i="4" s="1"/>
  <c r="M60" i="4"/>
  <c r="N60" i="4"/>
  <c r="M53" i="4"/>
  <c r="N53" i="4"/>
  <c r="M52" i="4"/>
  <c r="N52" i="4"/>
  <c r="M48" i="4"/>
  <c r="N48" i="4"/>
  <c r="M47" i="4"/>
  <c r="M49" i="4" s="1"/>
  <c r="N47" i="4"/>
  <c r="N49" i="4" s="1"/>
  <c r="M44" i="4"/>
  <c r="N44" i="4"/>
  <c r="M43" i="4"/>
  <c r="N43" i="4"/>
  <c r="M36" i="4"/>
  <c r="N36" i="4"/>
  <c r="N38" i="4" s="1"/>
  <c r="M35" i="4"/>
  <c r="M37" i="4" s="1"/>
  <c r="N35" i="4"/>
  <c r="N37" i="4" s="1"/>
  <c r="B21" i="4"/>
  <c r="M23" i="4"/>
  <c r="M61" i="4" l="1"/>
  <c r="N54" i="4"/>
  <c r="M67" i="3"/>
  <c r="M62" i="7"/>
  <c r="M38" i="4"/>
  <c r="M62" i="4" s="1"/>
  <c r="M61" i="7"/>
  <c r="M62" i="8"/>
  <c r="M54" i="8"/>
  <c r="N62" i="3"/>
  <c r="N62" i="8"/>
  <c r="M49" i="8"/>
  <c r="M67" i="8" s="1"/>
  <c r="M54" i="4"/>
  <c r="M67" i="4"/>
  <c r="N61" i="7"/>
  <c r="M67" i="7"/>
  <c r="M61" i="8"/>
  <c r="N61" i="3"/>
  <c r="N67" i="3"/>
  <c r="M62" i="3"/>
  <c r="N67" i="8"/>
  <c r="N62" i="4"/>
  <c r="N67" i="7"/>
  <c r="N38" i="7"/>
  <c r="N62" i="7" s="1"/>
  <c r="N54" i="8"/>
  <c r="N54" i="3"/>
  <c r="N61" i="4"/>
  <c r="N61" i="8"/>
  <c r="M61" i="3"/>
  <c r="M54" i="3"/>
  <c r="J13" i="2" l="1"/>
  <c r="J12" i="2"/>
  <c r="H11" i="2"/>
  <c r="H10" i="2"/>
  <c r="J13" i="10" l="1"/>
  <c r="J12" i="10"/>
  <c r="H11" i="10"/>
  <c r="H10" i="10"/>
  <c r="J13" i="9"/>
  <c r="J12" i="9"/>
  <c r="H11" i="9"/>
  <c r="H10" i="9"/>
  <c r="L36" i="3"/>
  <c r="K36" i="3"/>
  <c r="F36" i="3"/>
  <c r="C36" i="3"/>
  <c r="B36" i="3"/>
  <c r="L35" i="3"/>
  <c r="K35" i="3"/>
  <c r="F35" i="3"/>
  <c r="C35" i="3"/>
  <c r="B35" i="3"/>
  <c r="F11" i="7" l="1"/>
  <c r="F10" i="7"/>
  <c r="F11" i="4"/>
  <c r="F10" i="4"/>
  <c r="F11" i="3"/>
  <c r="F10" i="3"/>
  <c r="L36" i="8"/>
  <c r="K36" i="8"/>
  <c r="F36" i="8"/>
  <c r="C36" i="8"/>
  <c r="B36" i="8"/>
  <c r="L35" i="8"/>
  <c r="L37" i="8" s="1"/>
  <c r="K35" i="8"/>
  <c r="F35" i="8"/>
  <c r="C35" i="8"/>
  <c r="B35" i="8"/>
  <c r="F11" i="8" l="1"/>
  <c r="F10" i="8"/>
  <c r="J43" i="4" l="1"/>
  <c r="C20" i="8" l="1"/>
  <c r="F22" i="2" l="1"/>
  <c r="F22" i="10"/>
  <c r="F22" i="9"/>
  <c r="F13" i="7"/>
  <c r="F43" i="7" s="1"/>
  <c r="F14" i="7"/>
  <c r="F69" i="7" s="1"/>
  <c r="F15" i="7"/>
  <c r="F44" i="7" s="1"/>
  <c r="F16" i="7"/>
  <c r="F13" i="8"/>
  <c r="F43" i="8" s="1"/>
  <c r="F14" i="8"/>
  <c r="F69" i="8" s="1"/>
  <c r="F15" i="8"/>
  <c r="F13" i="3"/>
  <c r="F43" i="3" s="1"/>
  <c r="F14" i="3"/>
  <c r="F69" i="3" s="1"/>
  <c r="F15" i="3"/>
  <c r="F44" i="3" s="1"/>
  <c r="F16" i="3"/>
  <c r="F43" i="4"/>
  <c r="F14" i="4"/>
  <c r="F69" i="4" s="1"/>
  <c r="F15" i="4"/>
  <c r="F44" i="4" s="1"/>
  <c r="F68" i="7"/>
  <c r="F12" i="8"/>
  <c r="F65" i="8" s="1"/>
  <c r="F12" i="3"/>
  <c r="F68" i="3" s="1"/>
  <c r="F68" i="4"/>
  <c r="B11" i="7"/>
  <c r="B13" i="7"/>
  <c r="B43" i="7" s="1"/>
  <c r="B14" i="7"/>
  <c r="B15" i="7"/>
  <c r="B44" i="7" s="1"/>
  <c r="B43" i="8"/>
  <c r="B14" i="8"/>
  <c r="B15" i="8"/>
  <c r="B44" i="8" s="1"/>
  <c r="B11" i="3"/>
  <c r="B12" i="3"/>
  <c r="B43" i="3"/>
  <c r="B14" i="3"/>
  <c r="B15" i="3"/>
  <c r="B44" i="3" s="1"/>
  <c r="B11" i="4"/>
  <c r="B13" i="4"/>
  <c r="B14" i="4"/>
  <c r="B15" i="4"/>
  <c r="B10" i="7"/>
  <c r="B10" i="3"/>
  <c r="B10" i="4"/>
  <c r="B35" i="7"/>
  <c r="L53" i="4"/>
  <c r="F20" i="2"/>
  <c r="F21" i="2"/>
  <c r="F19" i="2"/>
  <c r="F35" i="2" s="1"/>
  <c r="C21" i="2"/>
  <c r="C19" i="2"/>
  <c r="F20" i="10"/>
  <c r="F21" i="10"/>
  <c r="F36" i="10" s="1"/>
  <c r="F19" i="10"/>
  <c r="F35" i="10" s="1"/>
  <c r="C21" i="10"/>
  <c r="C19" i="10"/>
  <c r="F20" i="9"/>
  <c r="F21" i="9"/>
  <c r="F23" i="9" s="1"/>
  <c r="F19" i="9"/>
  <c r="F35" i="9" s="1"/>
  <c r="C21" i="9"/>
  <c r="C19" i="9"/>
  <c r="C22" i="3"/>
  <c r="C20" i="3"/>
  <c r="B20" i="3" s="1"/>
  <c r="C11" i="3"/>
  <c r="C12" i="3"/>
  <c r="C13" i="3"/>
  <c r="C43" i="3" s="1"/>
  <c r="C14" i="3"/>
  <c r="C69" i="3" s="1"/>
  <c r="C15" i="3"/>
  <c r="C44" i="3" s="1"/>
  <c r="C10" i="3"/>
  <c r="C37" i="3" s="1"/>
  <c r="C22" i="8"/>
  <c r="C11" i="8"/>
  <c r="C12" i="8"/>
  <c r="C68" i="8" s="1"/>
  <c r="C13" i="8"/>
  <c r="C43" i="8" s="1"/>
  <c r="C14" i="8"/>
  <c r="C66" i="8" s="1"/>
  <c r="C15" i="8"/>
  <c r="C44" i="8" s="1"/>
  <c r="C10" i="8"/>
  <c r="L69" i="3"/>
  <c r="K69" i="3"/>
  <c r="L68" i="3"/>
  <c r="K68" i="3"/>
  <c r="L66" i="3"/>
  <c r="K66" i="3"/>
  <c r="L65" i="3"/>
  <c r="K65" i="3"/>
  <c r="L60" i="3"/>
  <c r="K60" i="3"/>
  <c r="J60" i="3"/>
  <c r="I60" i="3"/>
  <c r="H60" i="3"/>
  <c r="G60" i="3"/>
  <c r="E60" i="3"/>
  <c r="D60" i="3"/>
  <c r="L53" i="3"/>
  <c r="K53" i="3"/>
  <c r="F53" i="3"/>
  <c r="L52" i="3"/>
  <c r="K52" i="3"/>
  <c r="J52" i="3"/>
  <c r="I52" i="3"/>
  <c r="H52" i="3"/>
  <c r="G52" i="3"/>
  <c r="E52" i="3"/>
  <c r="L48" i="3"/>
  <c r="K48" i="3"/>
  <c r="F48" i="3"/>
  <c r="L47" i="3"/>
  <c r="K47" i="3"/>
  <c r="J47" i="3"/>
  <c r="I47" i="3"/>
  <c r="H47" i="3"/>
  <c r="G47" i="3"/>
  <c r="E47" i="3"/>
  <c r="D47" i="3"/>
  <c r="L44" i="3"/>
  <c r="K44" i="3"/>
  <c r="J44" i="3"/>
  <c r="I44" i="3"/>
  <c r="H44" i="3"/>
  <c r="G44" i="3"/>
  <c r="E44" i="3"/>
  <c r="D44" i="3"/>
  <c r="L43" i="3"/>
  <c r="K43" i="3"/>
  <c r="J43" i="3"/>
  <c r="I43" i="3"/>
  <c r="H43" i="3"/>
  <c r="G43" i="3"/>
  <c r="E43" i="3"/>
  <c r="D43" i="3"/>
  <c r="L38" i="3"/>
  <c r="K38" i="3"/>
  <c r="L37" i="3"/>
  <c r="K37" i="3"/>
  <c r="L69" i="8"/>
  <c r="K69" i="8"/>
  <c r="L68" i="8"/>
  <c r="K68" i="8"/>
  <c r="L66" i="8"/>
  <c r="K66" i="8"/>
  <c r="L65" i="8"/>
  <c r="K65" i="8"/>
  <c r="L60" i="8"/>
  <c r="K60" i="8"/>
  <c r="J60" i="8"/>
  <c r="I60" i="8"/>
  <c r="H60" i="8"/>
  <c r="G60" i="8"/>
  <c r="E60" i="8"/>
  <c r="D60" i="8"/>
  <c r="L53" i="8"/>
  <c r="K53" i="8"/>
  <c r="F53" i="8"/>
  <c r="L52" i="8"/>
  <c r="K52" i="8"/>
  <c r="J52" i="8"/>
  <c r="I52" i="8"/>
  <c r="H52" i="8"/>
  <c r="G52" i="8"/>
  <c r="E52" i="8"/>
  <c r="L48" i="8"/>
  <c r="K48" i="8"/>
  <c r="F48" i="8"/>
  <c r="L47" i="8"/>
  <c r="K47" i="8"/>
  <c r="J47" i="8"/>
  <c r="I47" i="8"/>
  <c r="H47" i="8"/>
  <c r="G47" i="8"/>
  <c r="E47" i="8"/>
  <c r="D47" i="8"/>
  <c r="L44" i="8"/>
  <c r="K44" i="8"/>
  <c r="J44" i="8"/>
  <c r="I44" i="8"/>
  <c r="H44" i="8"/>
  <c r="G44" i="8"/>
  <c r="F44" i="8"/>
  <c r="E44" i="8"/>
  <c r="D44" i="8"/>
  <c r="L43" i="8"/>
  <c r="K43" i="8"/>
  <c r="J43" i="8"/>
  <c r="I43" i="8"/>
  <c r="H43" i="8"/>
  <c r="G43" i="8"/>
  <c r="E43" i="8"/>
  <c r="D43" i="8"/>
  <c r="L38" i="8"/>
  <c r="K38" i="8"/>
  <c r="K37" i="8"/>
  <c r="B73" i="7"/>
  <c r="L69" i="7"/>
  <c r="K69" i="7"/>
  <c r="L68" i="7"/>
  <c r="K68" i="7"/>
  <c r="L66" i="7"/>
  <c r="K66" i="7"/>
  <c r="L65" i="7"/>
  <c r="K65" i="7"/>
  <c r="L60" i="7"/>
  <c r="K60" i="7"/>
  <c r="J60" i="7"/>
  <c r="I60" i="7"/>
  <c r="H60" i="7"/>
  <c r="G60" i="7"/>
  <c r="E60" i="7"/>
  <c r="D60" i="7"/>
  <c r="L53" i="7"/>
  <c r="K53" i="7"/>
  <c r="F53" i="7"/>
  <c r="L52" i="7"/>
  <c r="K52" i="7"/>
  <c r="J52" i="7"/>
  <c r="I52" i="7"/>
  <c r="H52" i="7"/>
  <c r="G52" i="7"/>
  <c r="E52" i="7"/>
  <c r="L48" i="7"/>
  <c r="K48" i="7"/>
  <c r="F48" i="7"/>
  <c r="L47" i="7"/>
  <c r="K47" i="7"/>
  <c r="J47" i="7"/>
  <c r="I47" i="7"/>
  <c r="H47" i="7"/>
  <c r="G47" i="7"/>
  <c r="E47" i="7"/>
  <c r="L44" i="7"/>
  <c r="K44" i="7"/>
  <c r="J44" i="7"/>
  <c r="I44" i="7"/>
  <c r="H44" i="7"/>
  <c r="G44" i="7"/>
  <c r="E44" i="7"/>
  <c r="D44" i="7"/>
  <c r="L43" i="7"/>
  <c r="K43" i="7"/>
  <c r="J43" i="7"/>
  <c r="I43" i="7"/>
  <c r="H43" i="7"/>
  <c r="G43" i="7"/>
  <c r="E43" i="7"/>
  <c r="D43" i="7"/>
  <c r="L36" i="7"/>
  <c r="L38" i="7" s="1"/>
  <c r="K36" i="7"/>
  <c r="K38" i="7" s="1"/>
  <c r="F36" i="7"/>
  <c r="C36" i="7"/>
  <c r="B36" i="7"/>
  <c r="L35" i="7"/>
  <c r="L37" i="7" s="1"/>
  <c r="K35" i="7"/>
  <c r="K37" i="7" s="1"/>
  <c r="F35" i="7"/>
  <c r="C35" i="7"/>
  <c r="L23" i="3"/>
  <c r="K23" i="3"/>
  <c r="F23" i="3"/>
  <c r="C23" i="3"/>
  <c r="L23" i="8"/>
  <c r="K23" i="8"/>
  <c r="F23" i="8"/>
  <c r="C23" i="8"/>
  <c r="L23" i="7"/>
  <c r="K23" i="7"/>
  <c r="F23" i="7"/>
  <c r="C23" i="7"/>
  <c r="C23" i="4"/>
  <c r="C22" i="7"/>
  <c r="C20" i="7"/>
  <c r="B20" i="7" s="1"/>
  <c r="C11" i="7"/>
  <c r="C13" i="7"/>
  <c r="C43" i="7" s="1"/>
  <c r="C14" i="7"/>
  <c r="C15" i="7"/>
  <c r="C44" i="7" s="1"/>
  <c r="C10" i="7"/>
  <c r="D60" i="4"/>
  <c r="E60" i="4"/>
  <c r="G60" i="4"/>
  <c r="H60" i="4"/>
  <c r="I60" i="4"/>
  <c r="J60" i="4"/>
  <c r="K60" i="4"/>
  <c r="L60" i="4"/>
  <c r="F53" i="4"/>
  <c r="E52" i="4"/>
  <c r="G52" i="4"/>
  <c r="H52" i="4"/>
  <c r="I52" i="4"/>
  <c r="J52" i="4"/>
  <c r="K52" i="4"/>
  <c r="L52" i="4"/>
  <c r="F35" i="4"/>
  <c r="F36" i="4"/>
  <c r="C35" i="4"/>
  <c r="C36" i="4"/>
  <c r="C61" i="4" s="1"/>
  <c r="F48" i="4"/>
  <c r="E47" i="4"/>
  <c r="G47" i="4"/>
  <c r="H47" i="4"/>
  <c r="I47" i="4"/>
  <c r="K47" i="4"/>
  <c r="L47" i="4"/>
  <c r="D43" i="4"/>
  <c r="E43" i="4"/>
  <c r="G43" i="4"/>
  <c r="H43" i="4"/>
  <c r="I43" i="4"/>
  <c r="K43" i="4"/>
  <c r="L43" i="4"/>
  <c r="D44" i="4"/>
  <c r="E44" i="4"/>
  <c r="G44" i="4"/>
  <c r="H44" i="4"/>
  <c r="I44" i="4"/>
  <c r="J44" i="4"/>
  <c r="K44" i="4"/>
  <c r="L44" i="4"/>
  <c r="F23" i="4"/>
  <c r="C22" i="4"/>
  <c r="C20" i="4"/>
  <c r="B20" i="4" s="1"/>
  <c r="C11" i="4"/>
  <c r="C13" i="4"/>
  <c r="C43" i="4" s="1"/>
  <c r="C14" i="4"/>
  <c r="C66" i="4" s="1"/>
  <c r="C15" i="4"/>
  <c r="C44" i="4" s="1"/>
  <c r="C10" i="4"/>
  <c r="F68" i="8" l="1"/>
  <c r="B57" i="7"/>
  <c r="F66" i="7"/>
  <c r="F38" i="4"/>
  <c r="C53" i="4"/>
  <c r="B22" i="4"/>
  <c r="B37" i="7"/>
  <c r="C53" i="7"/>
  <c r="B22" i="7"/>
  <c r="B53" i="7" s="1"/>
  <c r="K49" i="8"/>
  <c r="K67" i="8" s="1"/>
  <c r="B60" i="4"/>
  <c r="L49" i="3"/>
  <c r="L67" i="3" s="1"/>
  <c r="C36" i="10"/>
  <c r="C35" i="2"/>
  <c r="C36" i="9"/>
  <c r="C23" i="2"/>
  <c r="C36" i="2"/>
  <c r="C35" i="10"/>
  <c r="F23" i="2"/>
  <c r="F36" i="2"/>
  <c r="F61" i="2" s="1"/>
  <c r="F66" i="3"/>
  <c r="F52" i="3"/>
  <c r="F54" i="3" s="1"/>
  <c r="B47" i="3"/>
  <c r="F52" i="8"/>
  <c r="F54" i="8" s="1"/>
  <c r="F66" i="8"/>
  <c r="F60" i="8"/>
  <c r="F47" i="8"/>
  <c r="F49" i="8" s="1"/>
  <c r="F37" i="8"/>
  <c r="L49" i="7"/>
  <c r="L67" i="7" s="1"/>
  <c r="C23" i="10"/>
  <c r="B69" i="7"/>
  <c r="F38" i="7"/>
  <c r="F60" i="7"/>
  <c r="F52" i="7"/>
  <c r="F54" i="7" s="1"/>
  <c r="L54" i="4"/>
  <c r="F66" i="4"/>
  <c r="F60" i="4"/>
  <c r="F52" i="4"/>
  <c r="F54" i="4" s="1"/>
  <c r="F47" i="4"/>
  <c r="F49" i="4" s="1"/>
  <c r="C69" i="4"/>
  <c r="F23" i="10"/>
  <c r="L54" i="3"/>
  <c r="K54" i="3"/>
  <c r="C53" i="3"/>
  <c r="F37" i="3"/>
  <c r="F47" i="3"/>
  <c r="F49" i="3" s="1"/>
  <c r="F65" i="3"/>
  <c r="C38" i="3"/>
  <c r="C62" i="3" s="1"/>
  <c r="C60" i="3"/>
  <c r="L54" i="8"/>
  <c r="K54" i="8"/>
  <c r="B60" i="8"/>
  <c r="B47" i="8"/>
  <c r="C37" i="8"/>
  <c r="C38" i="8"/>
  <c r="K54" i="7"/>
  <c r="B66" i="7"/>
  <c r="F47" i="7"/>
  <c r="F49" i="7" s="1"/>
  <c r="F65" i="7"/>
  <c r="F37" i="7"/>
  <c r="C37" i="7"/>
  <c r="B60" i="7"/>
  <c r="F65" i="4"/>
  <c r="F37" i="4"/>
  <c r="L62" i="3"/>
  <c r="B60" i="3"/>
  <c r="C66" i="3"/>
  <c r="F53" i="9"/>
  <c r="F53" i="2"/>
  <c r="F36" i="9"/>
  <c r="F61" i="9" s="1"/>
  <c r="F48" i="10"/>
  <c r="C22" i="10"/>
  <c r="C38" i="7"/>
  <c r="K49" i="7"/>
  <c r="K67" i="7" s="1"/>
  <c r="F61" i="8"/>
  <c r="F53" i="10"/>
  <c r="C22" i="9"/>
  <c r="C22" i="2"/>
  <c r="C20" i="2"/>
  <c r="C37" i="4"/>
  <c r="F48" i="9"/>
  <c r="L49" i="8"/>
  <c r="L67" i="8" s="1"/>
  <c r="K61" i="7"/>
  <c r="C48" i="8"/>
  <c r="C53" i="8"/>
  <c r="K49" i="3"/>
  <c r="K67" i="3" s="1"/>
  <c r="C65" i="3"/>
  <c r="F61" i="10"/>
  <c r="B48" i="7"/>
  <c r="F61" i="4"/>
  <c r="L62" i="7"/>
  <c r="C69" i="7"/>
  <c r="C69" i="8"/>
  <c r="C68" i="3"/>
  <c r="F48" i="2"/>
  <c r="C48" i="4"/>
  <c r="C48" i="7"/>
  <c r="C60" i="7"/>
  <c r="C66" i="7"/>
  <c r="C60" i="4"/>
  <c r="L54" i="7"/>
  <c r="C47" i="8"/>
  <c r="C65" i="8"/>
  <c r="K62" i="3"/>
  <c r="C20" i="9"/>
  <c r="C20" i="10"/>
  <c r="B61" i="7"/>
  <c r="L62" i="8"/>
  <c r="C48" i="3"/>
  <c r="K61" i="8"/>
  <c r="C35" i="9"/>
  <c r="C38" i="4"/>
  <c r="K61" i="3"/>
  <c r="B38" i="7"/>
  <c r="C23" i="9"/>
  <c r="F61" i="3"/>
  <c r="F38" i="3"/>
  <c r="F60" i="3"/>
  <c r="C47" i="3"/>
  <c r="F38" i="8"/>
  <c r="C60" i="8"/>
  <c r="L61" i="3"/>
  <c r="C61" i="3"/>
  <c r="K62" i="8"/>
  <c r="L61" i="8"/>
  <c r="C61" i="8"/>
  <c r="K62" i="7"/>
  <c r="L61" i="7"/>
  <c r="F61" i="7"/>
  <c r="C61" i="7"/>
  <c r="L66" i="4"/>
  <c r="L65" i="4"/>
  <c r="K65" i="4"/>
  <c r="K53" i="4"/>
  <c r="K54" i="4" s="1"/>
  <c r="K66" i="4"/>
  <c r="B44" i="4"/>
  <c r="B43" i="4"/>
  <c r="B73" i="4"/>
  <c r="B35" i="4"/>
  <c r="B37" i="4" s="1"/>
  <c r="D14" i="2"/>
  <c r="C49" i="3" l="1"/>
  <c r="C67" i="3" s="1"/>
  <c r="F67" i="8"/>
  <c r="C62" i="7"/>
  <c r="F62" i="4"/>
  <c r="C61" i="2"/>
  <c r="B62" i="7"/>
  <c r="C61" i="10"/>
  <c r="C53" i="2"/>
  <c r="C48" i="2"/>
  <c r="F62" i="8"/>
  <c r="C49" i="8"/>
  <c r="C67" i="8" s="1"/>
  <c r="C62" i="8"/>
  <c r="F62" i="7"/>
  <c r="F67" i="3"/>
  <c r="F62" i="3"/>
  <c r="F67" i="7"/>
  <c r="F67" i="4"/>
  <c r="C62" i="4"/>
  <c r="C48" i="9"/>
  <c r="C53" i="9"/>
  <c r="C48" i="10"/>
  <c r="C53" i="10"/>
  <c r="C61" i="9"/>
  <c r="B66" i="4"/>
  <c r="B48" i="4"/>
  <c r="L23" i="4" l="1"/>
  <c r="D52" i="3" l="1"/>
  <c r="C16" i="3"/>
  <c r="C52" i="3" s="1"/>
  <c r="C54" i="3" s="1"/>
  <c r="B16" i="3"/>
  <c r="B52" i="3" s="1"/>
  <c r="D52" i="8"/>
  <c r="B52" i="8"/>
  <c r="C16" i="8"/>
  <c r="C52" i="8" s="1"/>
  <c r="C54" i="8" s="1"/>
  <c r="L35" i="4"/>
  <c r="L37" i="4" s="1"/>
  <c r="L36" i="4"/>
  <c r="L61" i="4" l="1"/>
  <c r="L38" i="4"/>
  <c r="L62" i="4" s="1"/>
  <c r="J16" i="2"/>
  <c r="I16" i="2"/>
  <c r="I11" i="2"/>
  <c r="J11" i="2"/>
  <c r="I12" i="2"/>
  <c r="I13" i="2"/>
  <c r="I43" i="2" s="1"/>
  <c r="J43" i="2"/>
  <c r="I14" i="2"/>
  <c r="J14" i="2"/>
  <c r="I15" i="2"/>
  <c r="I44" i="2" s="1"/>
  <c r="J15" i="2"/>
  <c r="J44" i="2" s="1"/>
  <c r="J10" i="2"/>
  <c r="I10" i="2"/>
  <c r="J16" i="10"/>
  <c r="I16" i="10"/>
  <c r="I11" i="10"/>
  <c r="J11" i="10"/>
  <c r="I12" i="10"/>
  <c r="I13" i="10"/>
  <c r="I43" i="10" s="1"/>
  <c r="J43" i="10"/>
  <c r="I14" i="10"/>
  <c r="J14" i="10"/>
  <c r="I15" i="10"/>
  <c r="I44" i="10" s="1"/>
  <c r="J15" i="10"/>
  <c r="J44" i="10" s="1"/>
  <c r="J10" i="10"/>
  <c r="I10" i="10"/>
  <c r="J16" i="9"/>
  <c r="I16" i="9"/>
  <c r="I11" i="9"/>
  <c r="J11" i="9"/>
  <c r="I12" i="9"/>
  <c r="I13" i="9"/>
  <c r="I43" i="9" s="1"/>
  <c r="J43" i="9"/>
  <c r="I14" i="9"/>
  <c r="J14" i="9"/>
  <c r="I15" i="9"/>
  <c r="I44" i="9" s="1"/>
  <c r="J15" i="9"/>
  <c r="J44" i="9" s="1"/>
  <c r="I10" i="9"/>
  <c r="J10" i="9"/>
  <c r="K36" i="4"/>
  <c r="I52" i="10" l="1"/>
  <c r="I47" i="10"/>
  <c r="I60" i="10"/>
  <c r="J52" i="10"/>
  <c r="J47" i="10"/>
  <c r="J60" i="10"/>
  <c r="I47" i="2"/>
  <c r="I52" i="2"/>
  <c r="I60" i="2"/>
  <c r="J47" i="2"/>
  <c r="J52" i="2"/>
  <c r="J60" i="2"/>
  <c r="K38" i="4"/>
  <c r="I60" i="9"/>
  <c r="I52" i="9"/>
  <c r="I47" i="9"/>
  <c r="J60" i="9"/>
  <c r="J52" i="9"/>
  <c r="J47" i="9"/>
  <c r="L48" i="4"/>
  <c r="L68" i="4"/>
  <c r="L69" i="4"/>
  <c r="D47" i="7" l="1"/>
  <c r="C12" i="7"/>
  <c r="B12" i="7"/>
  <c r="L49" i="4"/>
  <c r="L67" i="4" s="1"/>
  <c r="C68" i="7" l="1"/>
  <c r="C47" i="7"/>
  <c r="C49" i="7" s="1"/>
  <c r="C65" i="7"/>
  <c r="B47" i="7"/>
  <c r="B49" i="7" s="1"/>
  <c r="B68" i="7"/>
  <c r="B65" i="7"/>
  <c r="K23" i="4"/>
  <c r="B23" i="4" s="1"/>
  <c r="L19" i="2"/>
  <c r="L35" i="2" s="1"/>
  <c r="L20" i="2"/>
  <c r="L21" i="2"/>
  <c r="L36" i="2" s="1"/>
  <c r="K20" i="2"/>
  <c r="K21" i="2"/>
  <c r="K19" i="2"/>
  <c r="B57" i="4" l="1"/>
  <c r="K35" i="2"/>
  <c r="B35" i="2"/>
  <c r="K36" i="2"/>
  <c r="B36" i="2"/>
  <c r="B67" i="7"/>
  <c r="L48" i="2"/>
  <c r="L23" i="2"/>
  <c r="C67" i="7"/>
  <c r="K48" i="2"/>
  <c r="K23" i="2"/>
  <c r="K10" i="9"/>
  <c r="L10" i="9"/>
  <c r="K11" i="9"/>
  <c r="L11" i="9"/>
  <c r="H12" i="9"/>
  <c r="K12" i="9"/>
  <c r="L12" i="9"/>
  <c r="H13" i="9"/>
  <c r="H43" i="9" s="1"/>
  <c r="K13" i="9"/>
  <c r="K43" i="9" s="1"/>
  <c r="L13" i="9"/>
  <c r="L43" i="9" s="1"/>
  <c r="H14" i="9"/>
  <c r="K14" i="9"/>
  <c r="L14" i="9"/>
  <c r="H15" i="9"/>
  <c r="H44" i="9" s="1"/>
  <c r="K15" i="9"/>
  <c r="K44" i="9" s="1"/>
  <c r="L15" i="9"/>
  <c r="L44" i="9" s="1"/>
  <c r="H16" i="9"/>
  <c r="K16" i="9"/>
  <c r="L16" i="9"/>
  <c r="K10" i="10"/>
  <c r="L10" i="10"/>
  <c r="K11" i="10"/>
  <c r="L11" i="10"/>
  <c r="H12" i="10"/>
  <c r="K12" i="10"/>
  <c r="L12" i="10"/>
  <c r="H13" i="10"/>
  <c r="H43" i="10" s="1"/>
  <c r="K13" i="10"/>
  <c r="K43" i="10" s="1"/>
  <c r="L13" i="10"/>
  <c r="L43" i="10" s="1"/>
  <c r="H14" i="10"/>
  <c r="K14" i="10"/>
  <c r="L14" i="10"/>
  <c r="H15" i="10"/>
  <c r="H44" i="10" s="1"/>
  <c r="K15" i="10"/>
  <c r="K44" i="10" s="1"/>
  <c r="L15" i="10"/>
  <c r="L44" i="10" s="1"/>
  <c r="H16" i="10"/>
  <c r="K16" i="10"/>
  <c r="L16" i="10"/>
  <c r="K10" i="2"/>
  <c r="L10" i="2"/>
  <c r="L37" i="2" s="1"/>
  <c r="K11" i="2"/>
  <c r="L11" i="2"/>
  <c r="H12" i="2"/>
  <c r="K12" i="2"/>
  <c r="K65" i="2" s="1"/>
  <c r="L12" i="2"/>
  <c r="L65" i="2" s="1"/>
  <c r="H13" i="2"/>
  <c r="H43" i="2" s="1"/>
  <c r="K13" i="2"/>
  <c r="K43" i="2" s="1"/>
  <c r="L13" i="2"/>
  <c r="L43" i="2" s="1"/>
  <c r="H14" i="2"/>
  <c r="K14" i="2"/>
  <c r="K69" i="2" s="1"/>
  <c r="L14" i="2"/>
  <c r="H15" i="2"/>
  <c r="H44" i="2" s="1"/>
  <c r="K15" i="2"/>
  <c r="K44" i="2" s="1"/>
  <c r="L15" i="2"/>
  <c r="L44" i="2" s="1"/>
  <c r="H16" i="2"/>
  <c r="K16" i="2"/>
  <c r="L16" i="2"/>
  <c r="D11" i="2"/>
  <c r="E11" i="2"/>
  <c r="G11" i="2"/>
  <c r="F11" i="2" s="1"/>
  <c r="E12" i="2"/>
  <c r="G12" i="2"/>
  <c r="D13" i="2"/>
  <c r="E13" i="2"/>
  <c r="E43" i="2" s="1"/>
  <c r="G13" i="2"/>
  <c r="E14" i="2"/>
  <c r="G14" i="2"/>
  <c r="D15" i="2"/>
  <c r="E15" i="2"/>
  <c r="E44" i="2" s="1"/>
  <c r="G15" i="2"/>
  <c r="G10" i="2"/>
  <c r="E10" i="2"/>
  <c r="D10" i="2"/>
  <c r="L22" i="2"/>
  <c r="L53" i="2" s="1"/>
  <c r="D11" i="10"/>
  <c r="E11" i="10"/>
  <c r="G11" i="10"/>
  <c r="F11" i="10" s="1"/>
  <c r="E12" i="10"/>
  <c r="G12" i="10"/>
  <c r="D13" i="10"/>
  <c r="E13" i="10"/>
  <c r="E43" i="10" s="1"/>
  <c r="G13" i="10"/>
  <c r="D14" i="10"/>
  <c r="E14" i="10"/>
  <c r="G14" i="10"/>
  <c r="D15" i="10"/>
  <c r="E15" i="10"/>
  <c r="E44" i="10" s="1"/>
  <c r="G15" i="10"/>
  <c r="G10" i="10"/>
  <c r="E10" i="10"/>
  <c r="D10" i="10"/>
  <c r="G11" i="9"/>
  <c r="F11" i="9" s="1"/>
  <c r="G12" i="9"/>
  <c r="F12" i="9" s="1"/>
  <c r="G13" i="9"/>
  <c r="G14" i="9"/>
  <c r="G15" i="9"/>
  <c r="G10" i="9"/>
  <c r="F10" i="9" s="1"/>
  <c r="E11" i="9"/>
  <c r="E12" i="9"/>
  <c r="E13" i="9"/>
  <c r="E43" i="9" s="1"/>
  <c r="E14" i="9"/>
  <c r="E15" i="9"/>
  <c r="E44" i="9" s="1"/>
  <c r="E10" i="9"/>
  <c r="D11" i="9"/>
  <c r="D13" i="9"/>
  <c r="D14" i="9"/>
  <c r="D15" i="9"/>
  <c r="C15" i="9" s="1"/>
  <c r="C44" i="9" s="1"/>
  <c r="D10" i="9"/>
  <c r="B57" i="2" l="1"/>
  <c r="C10" i="9"/>
  <c r="C37" i="9" s="1"/>
  <c r="C11" i="9"/>
  <c r="C14" i="9"/>
  <c r="C13" i="9"/>
  <c r="C43" i="9" s="1"/>
  <c r="F10" i="10"/>
  <c r="F37" i="10" s="1"/>
  <c r="F12" i="10"/>
  <c r="F65" i="10" s="1"/>
  <c r="K66" i="2"/>
  <c r="F10" i="2"/>
  <c r="F37" i="2" s="1"/>
  <c r="L68" i="2"/>
  <c r="F12" i="2"/>
  <c r="F68" i="2" s="1"/>
  <c r="F37" i="9"/>
  <c r="B10" i="2"/>
  <c r="B37" i="2" s="1"/>
  <c r="C10" i="2"/>
  <c r="C37" i="2" s="1"/>
  <c r="D60" i="2"/>
  <c r="D44" i="9"/>
  <c r="B15" i="9"/>
  <c r="B44" i="9" s="1"/>
  <c r="B10" i="10"/>
  <c r="C10" i="10"/>
  <c r="C37" i="10" s="1"/>
  <c r="B14" i="10"/>
  <c r="D60" i="10"/>
  <c r="C14" i="10"/>
  <c r="B11" i="10"/>
  <c r="C11" i="10"/>
  <c r="G60" i="2"/>
  <c r="F14" i="2"/>
  <c r="G47" i="2"/>
  <c r="B14" i="2"/>
  <c r="B69" i="2" s="1"/>
  <c r="L47" i="2"/>
  <c r="L49" i="2" s="1"/>
  <c r="L52" i="2"/>
  <c r="L54" i="2" s="1"/>
  <c r="L60" i="2"/>
  <c r="H60" i="9"/>
  <c r="H52" i="9"/>
  <c r="H47" i="9"/>
  <c r="L66" i="2"/>
  <c r="B52" i="7"/>
  <c r="B54" i="7" s="1"/>
  <c r="D52" i="7"/>
  <c r="C16" i="7"/>
  <c r="E47" i="9"/>
  <c r="E60" i="9"/>
  <c r="F68" i="9"/>
  <c r="F65" i="9"/>
  <c r="F14" i="10"/>
  <c r="G60" i="10"/>
  <c r="G47" i="10"/>
  <c r="L60" i="9"/>
  <c r="L52" i="9"/>
  <c r="L47" i="9"/>
  <c r="B10" i="9"/>
  <c r="K68" i="2"/>
  <c r="K60" i="9"/>
  <c r="K52" i="9"/>
  <c r="K47" i="9"/>
  <c r="D52" i="4"/>
  <c r="C16" i="4"/>
  <c r="C52" i="4" s="1"/>
  <c r="C54" i="4" s="1"/>
  <c r="B16" i="4"/>
  <c r="B52" i="4" s="1"/>
  <c r="G43" i="9"/>
  <c r="F13" i="9"/>
  <c r="F43" i="9" s="1"/>
  <c r="D44" i="10"/>
  <c r="B15" i="10"/>
  <c r="B44" i="10" s="1"/>
  <c r="C15" i="10"/>
  <c r="C44" i="10" s="1"/>
  <c r="F15" i="2"/>
  <c r="F44" i="2" s="1"/>
  <c r="G44" i="2"/>
  <c r="H60" i="10"/>
  <c r="H52" i="10"/>
  <c r="H47" i="10"/>
  <c r="K61" i="2"/>
  <c r="K38" i="2"/>
  <c r="L38" i="2"/>
  <c r="L62" i="2" s="1"/>
  <c r="L61" i="2"/>
  <c r="E47" i="10"/>
  <c r="E60" i="10"/>
  <c r="B13" i="2"/>
  <c r="B43" i="2" s="1"/>
  <c r="D43" i="2"/>
  <c r="C13" i="2"/>
  <c r="C43" i="2" s="1"/>
  <c r="K52" i="10"/>
  <c r="K47" i="10"/>
  <c r="K60" i="10"/>
  <c r="D44" i="2"/>
  <c r="C15" i="2"/>
  <c r="C44" i="2" s="1"/>
  <c r="B15" i="2"/>
  <c r="B44" i="2" s="1"/>
  <c r="F14" i="9"/>
  <c r="G60" i="9"/>
  <c r="G47" i="9"/>
  <c r="F15" i="9"/>
  <c r="F44" i="9" s="1"/>
  <c r="G44" i="9"/>
  <c r="G44" i="10"/>
  <c r="F15" i="10"/>
  <c r="F44" i="10" s="1"/>
  <c r="B13" i="10"/>
  <c r="B43" i="10" s="1"/>
  <c r="D43" i="10"/>
  <c r="C13" i="10"/>
  <c r="C43" i="10" s="1"/>
  <c r="L52" i="10"/>
  <c r="L47" i="10"/>
  <c r="L60" i="10"/>
  <c r="B11" i="9"/>
  <c r="L69" i="2"/>
  <c r="B13" i="9"/>
  <c r="B43" i="9" s="1"/>
  <c r="D43" i="9"/>
  <c r="G43" i="2"/>
  <c r="F13" i="2"/>
  <c r="F43" i="2" s="1"/>
  <c r="H47" i="2"/>
  <c r="H52" i="2"/>
  <c r="H60" i="2"/>
  <c r="B14" i="9"/>
  <c r="D60" i="9"/>
  <c r="F13" i="10"/>
  <c r="F43" i="10" s="1"/>
  <c r="G43" i="10"/>
  <c r="E47" i="2"/>
  <c r="E60" i="2"/>
  <c r="C14" i="2"/>
  <c r="B11" i="2"/>
  <c r="C11" i="2"/>
  <c r="K47" i="2"/>
  <c r="K49" i="2" s="1"/>
  <c r="K52" i="2"/>
  <c r="K60" i="2"/>
  <c r="B48" i="2"/>
  <c r="K37" i="2"/>
  <c r="K69" i="4"/>
  <c r="C38" i="9" l="1"/>
  <c r="C62" i="9" s="1"/>
  <c r="C69" i="9"/>
  <c r="C60" i="9"/>
  <c r="C66" i="9"/>
  <c r="L67" i="2"/>
  <c r="F68" i="10"/>
  <c r="F65" i="2"/>
  <c r="K67" i="2"/>
  <c r="K62" i="2"/>
  <c r="F66" i="2"/>
  <c r="F60" i="2"/>
  <c r="F47" i="2"/>
  <c r="F49" i="2" s="1"/>
  <c r="F38" i="2"/>
  <c r="F62" i="2" s="1"/>
  <c r="F69" i="2"/>
  <c r="B60" i="9"/>
  <c r="B60" i="10"/>
  <c r="C60" i="2"/>
  <c r="C69" i="2"/>
  <c r="C66" i="2"/>
  <c r="C38" i="2"/>
  <c r="C62" i="2" s="1"/>
  <c r="F69" i="9"/>
  <c r="F47" i="9"/>
  <c r="F49" i="9" s="1"/>
  <c r="F38" i="9"/>
  <c r="F62" i="9" s="1"/>
  <c r="F66" i="9"/>
  <c r="F60" i="9"/>
  <c r="B66" i="2"/>
  <c r="B60" i="2"/>
  <c r="F66" i="10"/>
  <c r="F47" i="10"/>
  <c r="F49" i="10" s="1"/>
  <c r="F69" i="10"/>
  <c r="F60" i="10"/>
  <c r="F38" i="10"/>
  <c r="F62" i="10" s="1"/>
  <c r="C60" i="10"/>
  <c r="C69" i="10"/>
  <c r="C66" i="10"/>
  <c r="C38" i="10"/>
  <c r="C62" i="10" s="1"/>
  <c r="B61" i="2"/>
  <c r="B38" i="2"/>
  <c r="B62" i="2" s="1"/>
  <c r="C52" i="7"/>
  <c r="C54" i="7" s="1"/>
  <c r="F67" i="2" l="1"/>
  <c r="F67" i="10"/>
  <c r="F67" i="9"/>
  <c r="B12" i="4"/>
  <c r="D47" i="4"/>
  <c r="C12" i="4"/>
  <c r="D12" i="2"/>
  <c r="D12" i="10"/>
  <c r="D12" i="9"/>
  <c r="C12" i="9" s="1"/>
  <c r="C68" i="4" l="1"/>
  <c r="C47" i="4"/>
  <c r="C49" i="4" s="1"/>
  <c r="C65" i="4"/>
  <c r="B47" i="4"/>
  <c r="B49" i="4" s="1"/>
  <c r="B65" i="4"/>
  <c r="B12" i="2"/>
  <c r="C12" i="2"/>
  <c r="D47" i="2"/>
  <c r="B12" i="10"/>
  <c r="B47" i="10" s="1"/>
  <c r="C12" i="10"/>
  <c r="D47" i="10"/>
  <c r="B12" i="9"/>
  <c r="B47" i="9" s="1"/>
  <c r="D47" i="9"/>
  <c r="B27" i="9"/>
  <c r="B27" i="10"/>
  <c r="B27" i="2"/>
  <c r="B73" i="2" s="1"/>
  <c r="L22" i="9"/>
  <c r="K22" i="9"/>
  <c r="L20" i="9"/>
  <c r="K21" i="9"/>
  <c r="L21" i="9"/>
  <c r="L19" i="9"/>
  <c r="L35" i="9" s="1"/>
  <c r="L37" i="9" s="1"/>
  <c r="K19" i="9"/>
  <c r="L20" i="10"/>
  <c r="K21" i="10"/>
  <c r="L21" i="10"/>
  <c r="L19" i="10"/>
  <c r="L35" i="10" s="1"/>
  <c r="L37" i="10" s="1"/>
  <c r="K19" i="10"/>
  <c r="L22" i="10"/>
  <c r="K22" i="10"/>
  <c r="K22" i="2"/>
  <c r="E16" i="9"/>
  <c r="E52" i="9" s="1"/>
  <c r="G16" i="9"/>
  <c r="D16" i="9"/>
  <c r="E16" i="10"/>
  <c r="E52" i="10" s="1"/>
  <c r="G16" i="10"/>
  <c r="D16" i="10"/>
  <c r="E16" i="2"/>
  <c r="E52" i="2" s="1"/>
  <c r="G16" i="2"/>
  <c r="D16" i="2"/>
  <c r="B35" i="9" l="1"/>
  <c r="B37" i="9" s="1"/>
  <c r="C16" i="9"/>
  <c r="C52" i="9" s="1"/>
  <c r="C54" i="9" s="1"/>
  <c r="B35" i="10"/>
  <c r="B37" i="10" s="1"/>
  <c r="C67" i="4"/>
  <c r="C16" i="2"/>
  <c r="C52" i="2" s="1"/>
  <c r="C54" i="2" s="1"/>
  <c r="B16" i="2"/>
  <c r="B52" i="2" s="1"/>
  <c r="D52" i="2"/>
  <c r="L65" i="10"/>
  <c r="L68" i="10"/>
  <c r="F16" i="9"/>
  <c r="F52" i="9" s="1"/>
  <c r="F54" i="9" s="1"/>
  <c r="G52" i="9"/>
  <c r="K66" i="10"/>
  <c r="K36" i="10"/>
  <c r="K23" i="10"/>
  <c r="K69" i="10"/>
  <c r="K53" i="10"/>
  <c r="K54" i="10" s="1"/>
  <c r="B16" i="9"/>
  <c r="B52" i="9" s="1"/>
  <c r="D52" i="9"/>
  <c r="L69" i="10"/>
  <c r="L53" i="10"/>
  <c r="L54" i="10" s="1"/>
  <c r="L48" i="10"/>
  <c r="L49" i="10" s="1"/>
  <c r="L36" i="10"/>
  <c r="L66" i="10"/>
  <c r="L23" i="10"/>
  <c r="C65" i="10"/>
  <c r="C68" i="10"/>
  <c r="C47" i="10"/>
  <c r="C49" i="10" s="1"/>
  <c r="C47" i="9"/>
  <c r="C49" i="9" s="1"/>
  <c r="C68" i="9"/>
  <c r="C65" i="9"/>
  <c r="F16" i="10"/>
  <c r="F52" i="10" s="1"/>
  <c r="F54" i="10" s="1"/>
  <c r="G52" i="10"/>
  <c r="K69" i="9"/>
  <c r="K23" i="9"/>
  <c r="K66" i="9"/>
  <c r="K53" i="9"/>
  <c r="K54" i="9" s="1"/>
  <c r="K36" i="9"/>
  <c r="B67" i="4"/>
  <c r="L65" i="9"/>
  <c r="L68" i="9"/>
  <c r="K35" i="10"/>
  <c r="K37" i="10" s="1"/>
  <c r="B16" i="10"/>
  <c r="B52" i="10" s="1"/>
  <c r="C16" i="10"/>
  <c r="C52" i="10" s="1"/>
  <c r="C54" i="10" s="1"/>
  <c r="D52" i="10"/>
  <c r="L53" i="9"/>
  <c r="L54" i="9" s="1"/>
  <c r="L48" i="9"/>
  <c r="L49" i="9" s="1"/>
  <c r="L36" i="9"/>
  <c r="L66" i="9"/>
  <c r="L23" i="9"/>
  <c r="L69" i="9"/>
  <c r="B65" i="2"/>
  <c r="B68" i="2"/>
  <c r="B47" i="2"/>
  <c r="B49" i="2" s="1"/>
  <c r="F16" i="2"/>
  <c r="F52" i="2" s="1"/>
  <c r="F54" i="2" s="1"/>
  <c r="G52" i="2"/>
  <c r="B53" i="2"/>
  <c r="K53" i="2"/>
  <c r="K54" i="2" s="1"/>
  <c r="K35" i="9"/>
  <c r="K37" i="9" s="1"/>
  <c r="C65" i="2"/>
  <c r="C68" i="2"/>
  <c r="C47" i="2"/>
  <c r="C49" i="2" s="1"/>
  <c r="K20" i="9"/>
  <c r="K20" i="10"/>
  <c r="B37" i="8"/>
  <c r="B26" i="4"/>
  <c r="B72" i="4" s="1"/>
  <c r="B53" i="4"/>
  <c r="B54" i="4" s="1"/>
  <c r="B57" i="9" l="1"/>
  <c r="K48" i="9"/>
  <c r="K49" i="9" s="1"/>
  <c r="C67" i="9"/>
  <c r="L67" i="10"/>
  <c r="K38" i="10"/>
  <c r="K62" i="10" s="1"/>
  <c r="K61" i="10"/>
  <c r="B67" i="2"/>
  <c r="L67" i="9"/>
  <c r="L38" i="9"/>
  <c r="L62" i="9" s="1"/>
  <c r="L61" i="9"/>
  <c r="B36" i="9"/>
  <c r="B66" i="9"/>
  <c r="B69" i="9"/>
  <c r="B53" i="9"/>
  <c r="B54" i="9" s="1"/>
  <c r="B73" i="9"/>
  <c r="B57" i="10"/>
  <c r="B54" i="2"/>
  <c r="L38" i="10"/>
  <c r="L62" i="10" s="1"/>
  <c r="L61" i="10"/>
  <c r="K68" i="10"/>
  <c r="K65" i="10"/>
  <c r="B48" i="10"/>
  <c r="B49" i="10" s="1"/>
  <c r="K48" i="10"/>
  <c r="K49" i="10" s="1"/>
  <c r="B73" i="10"/>
  <c r="B66" i="10"/>
  <c r="B69" i="10"/>
  <c r="B53" i="10"/>
  <c r="B54" i="10" s="1"/>
  <c r="B36" i="10"/>
  <c r="K68" i="9"/>
  <c r="K65" i="9"/>
  <c r="K38" i="9"/>
  <c r="K62" i="9" s="1"/>
  <c r="K61" i="9"/>
  <c r="C67" i="10"/>
  <c r="C67" i="2"/>
  <c r="B26" i="3"/>
  <c r="B72" i="3" s="1"/>
  <c r="B68" i="3"/>
  <c r="B65" i="3"/>
  <c r="B38" i="3"/>
  <c r="B73" i="3"/>
  <c r="B66" i="3"/>
  <c r="B69" i="3"/>
  <c r="B53" i="3"/>
  <c r="B54" i="3" s="1"/>
  <c r="B48" i="3"/>
  <c r="B49" i="3" s="1"/>
  <c r="B57" i="3"/>
  <c r="B37" i="3"/>
  <c r="B66" i="8"/>
  <c r="B69" i="8"/>
  <c r="B53" i="8"/>
  <c r="B54" i="8" s="1"/>
  <c r="B48" i="8"/>
  <c r="B49" i="8" s="1"/>
  <c r="B73" i="8"/>
  <c r="B57" i="8"/>
  <c r="B65" i="8"/>
  <c r="B68" i="8"/>
  <c r="B26" i="7"/>
  <c r="B72" i="7" s="1"/>
  <c r="B26" i="8"/>
  <c r="B72" i="8" s="1"/>
  <c r="B26" i="2"/>
  <c r="B72" i="2" s="1"/>
  <c r="K67" i="9" l="1"/>
  <c r="B26" i="10"/>
  <c r="B72" i="10" s="1"/>
  <c r="B65" i="9"/>
  <c r="B68" i="9"/>
  <c r="B38" i="9"/>
  <c r="B62" i="9" s="1"/>
  <c r="B61" i="9"/>
  <c r="B38" i="10"/>
  <c r="B62" i="10" s="1"/>
  <c r="B61" i="10"/>
  <c r="B65" i="10"/>
  <c r="B67" i="10" s="1"/>
  <c r="B68" i="10"/>
  <c r="K67" i="10"/>
  <c r="B48" i="9"/>
  <c r="B49" i="9" s="1"/>
  <c r="B26" i="9"/>
  <c r="B72" i="9" s="1"/>
  <c r="B61" i="3"/>
  <c r="B67" i="3"/>
  <c r="B62" i="3"/>
  <c r="B67" i="8"/>
  <c r="B61" i="8"/>
  <c r="B38" i="8"/>
  <c r="B62" i="8" s="1"/>
  <c r="B67" i="9" l="1"/>
  <c r="K68" i="4"/>
  <c r="B69" i="4" l="1"/>
  <c r="B68" i="4" l="1"/>
  <c r="K48" i="4" l="1"/>
  <c r="K35" i="4"/>
  <c r="K37" i="4" l="1"/>
  <c r="K62" i="4" s="1"/>
  <c r="K61" i="4"/>
  <c r="K49" i="4"/>
  <c r="K67" i="4" s="1"/>
  <c r="B36" i="4"/>
  <c r="B38" i="4" s="1"/>
  <c r="B61" i="4" l="1"/>
  <c r="B62" i="4"/>
</calcChain>
</file>

<file path=xl/sharedStrings.xml><?xml version="1.0" encoding="utf-8"?>
<sst xmlns="http://schemas.openxmlformats.org/spreadsheetml/2006/main" count="632" uniqueCount="145">
  <si>
    <t>Indicador</t>
  </si>
  <si>
    <t>Total</t>
  </si>
  <si>
    <t>Productos</t>
  </si>
  <si>
    <t>programa</t>
  </si>
  <si>
    <t>Comidas Servidas</t>
  </si>
  <si>
    <t>DAF</t>
  </si>
  <si>
    <t>Insumos</t>
  </si>
  <si>
    <t xml:space="preserve">Beneficiarios </t>
  </si>
  <si>
    <t>Gasto FODESAF</t>
  </si>
  <si>
    <t>Ingresos FODESAF</t>
  </si>
  <si>
    <t>Otros insumos</t>
  </si>
  <si>
    <t>Población objetivo</t>
  </si>
  <si>
    <t>Cálculos intermedios</t>
  </si>
  <si>
    <t>Indicadores</t>
  </si>
  <si>
    <t>De Cobertura Potencial</t>
  </si>
  <si>
    <t>Cobertura Programada</t>
  </si>
  <si>
    <t>Cobertura Efectiva</t>
  </si>
  <si>
    <t>De resultado</t>
  </si>
  <si>
    <t>Índice efectividad en beneficiarios (IEB)</t>
  </si>
  <si>
    <t xml:space="preserve">Índice efectividad en gasto (IEG) </t>
  </si>
  <si>
    <t>Índice efectividad total (IET)</t>
  </si>
  <si>
    <t xml:space="preserve">De avance </t>
  </si>
  <si>
    <t xml:space="preserve">Índice avance beneficiarios (IAB) </t>
  </si>
  <si>
    <t>Índice avance gasto (IAG)</t>
  </si>
  <si>
    <t xml:space="preserve">Índice avance total (IAT) </t>
  </si>
  <si>
    <t>Índice transferencia efectiva del gasto (ITG)</t>
  </si>
  <si>
    <t>De expansión</t>
  </si>
  <si>
    <t xml:space="preserve">Índice de crecimiento beneficiarios (ICB) </t>
  </si>
  <si>
    <t xml:space="preserve">Índice de crecimiento del gasto real (ICGR) </t>
  </si>
  <si>
    <t xml:space="preserve">Índice de crecimiento del gasto real por beneficiario (ICGRB) </t>
  </si>
  <si>
    <t>De gasto medio</t>
  </si>
  <si>
    <t xml:space="preserve">Gasto programado por beneficiario (GPB) </t>
  </si>
  <si>
    <t xml:space="preserve">Gasto efectivo por beneficiario (GEB) </t>
  </si>
  <si>
    <t xml:space="preserve">Índice de eficiencia (IE) </t>
  </si>
  <si>
    <t>De giro de recursos</t>
  </si>
  <si>
    <t>Índice de giro efectivo (IGE)</t>
  </si>
  <si>
    <t xml:space="preserve">Índice de uso de recursos (IUR) </t>
  </si>
  <si>
    <t>(Niños de 2 a 6 años)</t>
  </si>
  <si>
    <t xml:space="preserve">Gasto efectivo trimestral por beneficiario (GEB) </t>
  </si>
  <si>
    <t xml:space="preserve">Gasto programado trimestral por beneficiario (GPB) </t>
  </si>
  <si>
    <t>De composición</t>
  </si>
  <si>
    <t xml:space="preserve">Gasto programado acumulado por beneficiario (GPB) </t>
  </si>
  <si>
    <t xml:space="preserve">Gasto efectivo acumulado por beneficiario (GEB) </t>
  </si>
  <si>
    <t>NOTAS</t>
  </si>
  <si>
    <t xml:space="preserve">Gasto mensual programado por beneficiario (GPB) </t>
  </si>
  <si>
    <t xml:space="preserve">Gasto mensual efectivo por beneficiario (GEB) </t>
  </si>
  <si>
    <t xml:space="preserve">Gasto programado mensual por beneficiario (GPB) </t>
  </si>
  <si>
    <t xml:space="preserve">Gasto efectivo mensual por beneficiario (GEB) </t>
  </si>
  <si>
    <t>Intramuros</t>
  </si>
  <si>
    <t>Extramuros</t>
  </si>
  <si>
    <t>El cálculo de beneficiarios del trimestre se toma como el promedio de los individuos atendidos en los tres meses, debido a que el grueso de la población es la misma a través del período.</t>
  </si>
  <si>
    <t>Red de cuido</t>
  </si>
  <si>
    <t>Leche  (kg)</t>
  </si>
  <si>
    <t>Los beneficiarios se miden como comidas servidas intramuros + leche 1600 para evitar la duplicación de individuos, debido a que un mismo individuo puede recibir varios beneficios del programa.</t>
  </si>
  <si>
    <t>No se toman en cuenta modificaciones a las metas o al presupuesto que sean retroactivas, ni aquellas que respondan a cambios de precios.</t>
  </si>
  <si>
    <t>IPC, BCCR</t>
  </si>
  <si>
    <t>Total Comidas</t>
  </si>
  <si>
    <t>Total Leche</t>
  </si>
  <si>
    <t xml:space="preserve"> </t>
  </si>
  <si>
    <t>Comidas</t>
  </si>
  <si>
    <t>Leche</t>
  </si>
  <si>
    <t>Red de Cuido</t>
  </si>
  <si>
    <t>Efectivos 1T 2014</t>
  </si>
  <si>
    <t>IPC (1T 2014)</t>
  </si>
  <si>
    <t>Gasto efectivo real 1T 2014</t>
  </si>
  <si>
    <t>Gasto efectivo real por beneficiario 1T 2014</t>
  </si>
  <si>
    <t>Efectivos 2T 2014</t>
  </si>
  <si>
    <t>IPC (2T 2014)</t>
  </si>
  <si>
    <t>Gasto efectivo real 2T 2014</t>
  </si>
  <si>
    <t>Gasto efectivo real por beneficiario 2T 2014</t>
  </si>
  <si>
    <t>Efectivos 3T 2014</t>
  </si>
  <si>
    <t>IPC (3T 2014)</t>
  </si>
  <si>
    <t>Gasto efectivo real 3T 2014</t>
  </si>
  <si>
    <t>Gasto efectivo real por beneficiario 3T 2014</t>
  </si>
  <si>
    <t>Efectivos 4T 2014</t>
  </si>
  <si>
    <t>IPC (4T 2014)</t>
  </si>
  <si>
    <t>Gasto efectivo real 4T 2014</t>
  </si>
  <si>
    <t>Gasto efectivo real por beneficiario 4T 2014</t>
  </si>
  <si>
    <t>Efectivos 1S 2014</t>
  </si>
  <si>
    <t>IPC (1S 2014)</t>
  </si>
  <si>
    <t>Gasto efectivo real 1S 2014</t>
  </si>
  <si>
    <t>Gasto efectivo real por beneficiario 1S 2014</t>
  </si>
  <si>
    <t>Efectivos  2014</t>
  </si>
  <si>
    <t>IPC ( 2014)</t>
  </si>
  <si>
    <t>Gasto efectivo real  2014</t>
  </si>
  <si>
    <t>Gasto efectivo real por beneficiario  2014</t>
  </si>
  <si>
    <t xml:space="preserve">Para el cálculo de Costos Medios por beneficiario en el caso de leche, se toma el total de beneficiarios de leche (1600, 640 y 320 grs). </t>
  </si>
  <si>
    <t>Compra de alimentos</t>
  </si>
  <si>
    <t>Vehiculos</t>
  </si>
  <si>
    <t xml:space="preserve">Debido a modificaciones se introdujo el producto vehiculos y el proyecto de prevención. </t>
  </si>
  <si>
    <t>Indicadores propuestos aplicado a CEN-CINAI. Primer trimestre 2015</t>
  </si>
  <si>
    <t>Programados 1T 2015</t>
  </si>
  <si>
    <t>Efectivos 1T 2015</t>
  </si>
  <si>
    <t>Programados año 2015</t>
  </si>
  <si>
    <t>En transferencias 1T 2015</t>
  </si>
  <si>
    <t>IPC (1T 2015)</t>
  </si>
  <si>
    <t>Gasto efectivo real 1T 2015</t>
  </si>
  <si>
    <t>Gasto efectivo real por beneficiario 1T 2015</t>
  </si>
  <si>
    <t>Fuentes: Informes trimestrales, CEN CINAI, 2014 y 2015</t>
  </si>
  <si>
    <t>Metas y Modificaciones CEN CINAI, Desaf 2015</t>
  </si>
  <si>
    <t>ENAHO 2014</t>
  </si>
  <si>
    <t>Indicadores propuestos aplicado a CEN-CINAI. Segundo trimestre 2015</t>
  </si>
  <si>
    <t>Programados 2T 2015</t>
  </si>
  <si>
    <t>Efectivos 2T 2015</t>
  </si>
  <si>
    <t>En transferencias 2T 2015</t>
  </si>
  <si>
    <t>IPC (2T 2015)</t>
  </si>
  <si>
    <t>Gasto efectivo real 2T 2015</t>
  </si>
  <si>
    <t>Gasto efectivo real por beneficiario 2T 2015</t>
  </si>
  <si>
    <t>Indicadores propuestos aplicado a CEN-CINAI. Tercer trimestre 2015</t>
  </si>
  <si>
    <t>Programados 3T 2015</t>
  </si>
  <si>
    <t>Efectivos 3T 2015</t>
  </si>
  <si>
    <t>En transferencias 3T 2015</t>
  </si>
  <si>
    <t>IPC (3T 2015)</t>
  </si>
  <si>
    <t>Gasto efectivo real 3T 2015</t>
  </si>
  <si>
    <t>Gasto efectivo real por beneficiario 3T 2015</t>
  </si>
  <si>
    <t>Indicadores propuestos aplicado a CEN-CINAI. Cuarto trimestre 2015</t>
  </si>
  <si>
    <t>Programados 4T 2015</t>
  </si>
  <si>
    <t>Efectivos 4T 2015</t>
  </si>
  <si>
    <t>En transferencias 4T 2015</t>
  </si>
  <si>
    <t>IPC (4T 2015)</t>
  </si>
  <si>
    <t>Gasto efectivo real 4T 2015</t>
  </si>
  <si>
    <t>Gasto efectivo real por beneficiario 4T 2015</t>
  </si>
  <si>
    <t>Indicadores propuestos aplicado a CEN-CINAI. Primer Semestre 2015</t>
  </si>
  <si>
    <t>Programados 1S 2015</t>
  </si>
  <si>
    <t>Efectivos 1S 2015</t>
  </si>
  <si>
    <t>En transferencias 1S 2015</t>
  </si>
  <si>
    <t>IPC (1S 2015)</t>
  </si>
  <si>
    <t>Gasto efectivo real 1S 2015</t>
  </si>
  <si>
    <t>Gasto efectivo real por beneficiario 1S 2015</t>
  </si>
  <si>
    <t>Indicadores propuestos aplicado a CEN-CINAI. Tercer trimestre ACUMULADO 2015</t>
  </si>
  <si>
    <t>Indicadores propuestos aplicado a CEN-CINAI. Año 2015</t>
  </si>
  <si>
    <t>Programados  2015</t>
  </si>
  <si>
    <t>Efectivos  2015</t>
  </si>
  <si>
    <t>Programados 2015</t>
  </si>
  <si>
    <t>En transferencias  2015</t>
  </si>
  <si>
    <t>IPC ( 2015)</t>
  </si>
  <si>
    <t>Gasto efectivo real  2015</t>
  </si>
  <si>
    <t>Gasto efectivo real por beneficiario  2015</t>
  </si>
  <si>
    <t>Salud Oral</t>
  </si>
  <si>
    <t>Pago de factura</t>
  </si>
  <si>
    <t xml:space="preserve">Transferencia a Asociaciones </t>
  </si>
  <si>
    <t>Fecha de actualización: 31/03/2015</t>
  </si>
  <si>
    <t>Fecha de actualización:30/06/2015</t>
  </si>
  <si>
    <t>Fecha de actualización: 30/09/2015</t>
  </si>
  <si>
    <t>Fecha de actualización: 31/12/2015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</si>
</sst>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0____"/>
    <numFmt numFmtId="165" formatCode="#,##0.0"/>
    <numFmt numFmtId="166" formatCode="_(* #,##0_);_(* \(#,##0\);_(* &quot;-&quot;??_);_(@_)"/>
    <numFmt numFmtId="167" formatCode="#,##0____"/>
    <numFmt numFmtId="168" formatCode="&quot;$&quot;#,##0.00"/>
    <numFmt numFmtId="169" formatCode="_(* #,##0.0_);_(* \(#,##0.0\);_(* &quot;-&quot;??_);_(@_)"/>
    <numFmt numFmtId="170" formatCode="0_);\(0\)"/>
  </numFmts>
  <fonts count="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2"/>
      <color theme="1"/>
      <name val="Calibri"/>
      <family val="2"/>
      <scheme val="minor"/>
    </font>
    <font>
      <i/>
      <sz val="11"/>
      <color theme="1"/>
      <name val="Calibri"/>
      <family val="2"/>
      <scheme val="minor"/>
    </font>
    <font>
      <sz val="11"/>
      <color theme="9" tint="-0.249977111117893"/>
      <name val="Calibri"/>
      <family val="2"/>
      <scheme val="minor"/>
    </font>
    <font>
      <sz val="11"/>
      <color theme="3" tint="0.3999755851924192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theme="0"/>
        <bgColor indexed="64"/>
      </patternFill>
    </fill>
  </fills>
  <borders count="4">
    <border>
      <left/>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1" fillId="0" borderId="0" applyFont="0" applyFill="0" applyBorder="0" applyAlignment="0" applyProtection="0"/>
  </cellStyleXfs>
  <cellXfs count="106">
    <xf numFmtId="0" fontId="0" fillId="0" borderId="0" xfId="0"/>
    <xf numFmtId="0" fontId="0" fillId="0" borderId="3" xfId="0" applyBorder="1" applyAlignment="1">
      <alignment horizontal="center"/>
    </xf>
    <xf numFmtId="0" fontId="3" fillId="0" borderId="0" xfId="0" applyFont="1"/>
    <xf numFmtId="0" fontId="0" fillId="0" borderId="0" xfId="0" applyAlignment="1">
      <alignment horizontal="left" indent="1"/>
    </xf>
    <xf numFmtId="3" fontId="0" fillId="0" borderId="0" xfId="0" applyNumberFormat="1"/>
    <xf numFmtId="3" fontId="0" fillId="0" borderId="0" xfId="0" applyNumberFormat="1" applyFill="1"/>
    <xf numFmtId="0" fontId="0" fillId="0" borderId="0" xfId="0" applyAlignment="1">
      <alignment horizontal="left"/>
    </xf>
    <xf numFmtId="0" fontId="0" fillId="2" borderId="0" xfId="0" applyFill="1" applyAlignment="1">
      <alignment horizontal="left"/>
    </xf>
    <xf numFmtId="3" fontId="0" fillId="2" borderId="0" xfId="0" applyNumberFormat="1" applyFill="1"/>
    <xf numFmtId="0" fontId="0" fillId="2" borderId="0" xfId="0" applyFill="1" applyAlignment="1">
      <alignment horizontal="left" indent="1"/>
    </xf>
    <xf numFmtId="0" fontId="0" fillId="3" borderId="0" xfId="0" applyFill="1" applyAlignment="1">
      <alignment horizontal="left" indent="1"/>
    </xf>
    <xf numFmtId="2" fontId="0" fillId="3" borderId="0" xfId="0" applyNumberFormat="1" applyFill="1"/>
    <xf numFmtId="0" fontId="3" fillId="3" borderId="0" xfId="0" applyFont="1" applyFill="1"/>
    <xf numFmtId="0" fontId="0" fillId="3" borderId="0" xfId="0" applyFill="1"/>
    <xf numFmtId="3" fontId="0" fillId="3" borderId="0" xfId="0" applyNumberFormat="1" applyFill="1"/>
    <xf numFmtId="164" fontId="0" fillId="0" borderId="0" xfId="0" applyNumberFormat="1"/>
    <xf numFmtId="164" fontId="0" fillId="3" borderId="0" xfId="0" applyNumberFormat="1" applyFill="1"/>
    <xf numFmtId="164" fontId="0" fillId="0" borderId="0" xfId="0" applyNumberFormat="1" applyFill="1"/>
    <xf numFmtId="0" fontId="0" fillId="2" borderId="0" xfId="0" applyFill="1"/>
    <xf numFmtId="164" fontId="0" fillId="2" borderId="0" xfId="0" applyNumberFormat="1" applyFill="1"/>
    <xf numFmtId="0" fontId="0" fillId="0" borderId="3" xfId="0" applyBorder="1"/>
    <xf numFmtId="165" fontId="0" fillId="0" borderId="0" xfId="0" applyNumberFormat="1"/>
    <xf numFmtId="43" fontId="0" fillId="0" borderId="0" xfId="1" applyFont="1"/>
    <xf numFmtId="43" fontId="0" fillId="2" borderId="0" xfId="1" applyFont="1" applyFill="1"/>
    <xf numFmtId="166" fontId="0" fillId="0" borderId="0" xfId="1" applyNumberFormat="1" applyFont="1"/>
    <xf numFmtId="0" fontId="0" fillId="0" borderId="1" xfId="0" applyBorder="1" applyAlignment="1">
      <alignment horizontal="center"/>
    </xf>
    <xf numFmtId="0" fontId="6" fillId="0" borderId="0" xfId="0" applyFont="1" applyAlignment="1">
      <alignment horizontal="left" indent="1"/>
    </xf>
    <xf numFmtId="0" fontId="6" fillId="0" borderId="0" xfId="0" applyFont="1" applyAlignment="1">
      <alignment horizontal="left" indent="2"/>
    </xf>
    <xf numFmtId="3" fontId="2" fillId="2" borderId="0" xfId="0" applyNumberFormat="1" applyFont="1" applyFill="1"/>
    <xf numFmtId="166" fontId="0" fillId="0" borderId="0" xfId="0" applyNumberFormat="1"/>
    <xf numFmtId="167" fontId="0" fillId="0" borderId="0" xfId="0" applyNumberFormat="1" applyFill="1"/>
    <xf numFmtId="3" fontId="4" fillId="2" borderId="0" xfId="0" applyNumberFormat="1" applyFont="1" applyFill="1"/>
    <xf numFmtId="0" fontId="0" fillId="0" borderId="0" xfId="0" applyFill="1"/>
    <xf numFmtId="0" fontId="0" fillId="0" borderId="0" xfId="0" applyFill="1" applyBorder="1"/>
    <xf numFmtId="3" fontId="0" fillId="3" borderId="0" xfId="0" applyNumberFormat="1" applyFill="1" applyAlignment="1">
      <alignment horizontal="right"/>
    </xf>
    <xf numFmtId="166" fontId="0" fillId="2" borderId="0" xfId="1" applyNumberFormat="1" applyFont="1" applyFill="1"/>
    <xf numFmtId="0" fontId="0" fillId="0" borderId="0" xfId="0" applyAlignment="1">
      <alignment horizontal="center"/>
    </xf>
    <xf numFmtId="166" fontId="0" fillId="0" borderId="0" xfId="1" applyNumberFormat="1" applyFont="1" applyFill="1"/>
    <xf numFmtId="0" fontId="2" fillId="0" borderId="0" xfId="0" applyFont="1" applyFill="1"/>
    <xf numFmtId="166" fontId="0" fillId="0" borderId="0" xfId="1" applyNumberFormat="1" applyFont="1" applyAlignment="1"/>
    <xf numFmtId="3" fontId="0" fillId="0" borderId="0" xfId="0" applyNumberFormat="1" applyAlignment="1"/>
    <xf numFmtId="168" fontId="0" fillId="0" borderId="0" xfId="0" applyNumberFormat="1"/>
    <xf numFmtId="14" fontId="0" fillId="0" borderId="0" xfId="0" applyNumberFormat="1" applyAlignment="1">
      <alignment horizontal="left"/>
    </xf>
    <xf numFmtId="43" fontId="2" fillId="2" borderId="0" xfId="1" applyFont="1" applyFill="1"/>
    <xf numFmtId="3" fontId="0" fillId="0" borderId="0" xfId="0" applyNumberFormat="1" applyFill="1" applyAlignment="1"/>
    <xf numFmtId="43" fontId="0" fillId="0" borderId="0" xfId="1" applyFont="1" applyFill="1"/>
    <xf numFmtId="166" fontId="0" fillId="0" borderId="0" xfId="0" applyNumberFormat="1" applyFill="1"/>
    <xf numFmtId="0" fontId="0" fillId="0" borderId="0" xfId="0" applyFill="1" applyAlignment="1">
      <alignment horizontal="center"/>
    </xf>
    <xf numFmtId="0" fontId="0" fillId="0" borderId="3" xfId="0" applyFill="1" applyBorder="1" applyAlignment="1">
      <alignment horizontal="center"/>
    </xf>
    <xf numFmtId="0" fontId="0" fillId="0" borderId="3" xfId="0" applyFill="1" applyBorder="1"/>
    <xf numFmtId="3" fontId="0" fillId="3" borderId="0" xfId="0" applyNumberFormat="1" applyFill="1" applyAlignment="1"/>
    <xf numFmtId="0" fontId="0" fillId="3" borderId="0" xfId="0" applyFill="1" applyAlignment="1"/>
    <xf numFmtId="166" fontId="4" fillId="0" borderId="0" xfId="1" applyNumberFormat="1" applyFont="1"/>
    <xf numFmtId="166" fontId="0" fillId="2" borderId="0" xfId="0" applyNumberFormat="1" applyFill="1"/>
    <xf numFmtId="3" fontId="0" fillId="0" borderId="0" xfId="0" applyNumberFormat="1" applyAlignment="1">
      <alignment horizontal="center"/>
    </xf>
    <xf numFmtId="3" fontId="0" fillId="0" borderId="0" xfId="0" applyNumberFormat="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164" fontId="0" fillId="0" borderId="0" xfId="0" applyNumberFormat="1" applyAlignment="1"/>
    <xf numFmtId="164" fontId="0" fillId="3" borderId="0" xfId="0" applyNumberFormat="1" applyFill="1" applyAlignment="1"/>
    <xf numFmtId="167" fontId="0" fillId="0" borderId="0" xfId="0" applyNumberFormat="1" applyFill="1" applyAlignment="1"/>
    <xf numFmtId="0" fontId="0" fillId="0" borderId="0" xfId="0" applyFill="1" applyAlignment="1">
      <alignment horizontal="left" indent="1"/>
    </xf>
    <xf numFmtId="169" fontId="0" fillId="0" borderId="0" xfId="1" applyNumberFormat="1" applyFont="1"/>
    <xf numFmtId="37" fontId="0" fillId="0" borderId="0" xfId="1" applyNumberFormat="1" applyFont="1"/>
    <xf numFmtId="37" fontId="0" fillId="0" borderId="0" xfId="1" applyNumberFormat="1" applyFont="1" applyFill="1"/>
    <xf numFmtId="3" fontId="4" fillId="0" borderId="0" xfId="0" applyNumberFormat="1" applyFont="1"/>
    <xf numFmtId="170" fontId="0" fillId="0" borderId="0" xfId="1" applyNumberFormat="1" applyFont="1"/>
    <xf numFmtId="170" fontId="0" fillId="0" borderId="0" xfId="0" applyNumberFormat="1"/>
    <xf numFmtId="170" fontId="4" fillId="0" borderId="0" xfId="0" applyNumberFormat="1" applyFont="1"/>
    <xf numFmtId="0" fontId="4" fillId="0" borderId="0" xfId="0" applyFont="1" applyFill="1"/>
    <xf numFmtId="0" fontId="4" fillId="0" borderId="0" xfId="0" applyFont="1"/>
    <xf numFmtId="37" fontId="0" fillId="0" borderId="0" xfId="0" applyNumberFormat="1"/>
    <xf numFmtId="0" fontId="2" fillId="0" borderId="0" xfId="0" applyFont="1"/>
    <xf numFmtId="3" fontId="4" fillId="0" borderId="0" xfId="0" applyNumberFormat="1" applyFont="1" applyFill="1"/>
    <xf numFmtId="43" fontId="2" fillId="0" borderId="0" xfId="1" applyFont="1"/>
    <xf numFmtId="0" fontId="7" fillId="0" borderId="0" xfId="0" applyFont="1"/>
    <xf numFmtId="3" fontId="4" fillId="0" borderId="0" xfId="0" applyNumberFormat="1" applyFont="1" applyFill="1" applyAlignment="1"/>
    <xf numFmtId="0" fontId="8" fillId="0" borderId="0" xfId="0" applyFont="1"/>
    <xf numFmtId="37" fontId="4" fillId="0" borderId="0" xfId="1" applyNumberFormat="1" applyFont="1"/>
    <xf numFmtId="170" fontId="4" fillId="0" borderId="0" xfId="1" applyNumberFormat="1" applyFont="1" applyFill="1"/>
    <xf numFmtId="170" fontId="4" fillId="0" borderId="0" xfId="0" applyNumberFormat="1" applyFont="1" applyFill="1"/>
    <xf numFmtId="166" fontId="4" fillId="0" borderId="0" xfId="1" applyNumberFormat="1" applyFont="1" applyFill="1"/>
    <xf numFmtId="0" fontId="0" fillId="0" borderId="1" xfId="0" applyBorder="1" applyAlignment="1"/>
    <xf numFmtId="0" fontId="0" fillId="0" borderId="0" xfId="0" applyBorder="1" applyAlignment="1"/>
    <xf numFmtId="43" fontId="4" fillId="0" borderId="0" xfId="1" applyFont="1"/>
    <xf numFmtId="1" fontId="4" fillId="0" borderId="0" xfId="1" applyNumberFormat="1" applyFont="1" applyFill="1"/>
    <xf numFmtId="1" fontId="4" fillId="0" borderId="0" xfId="0" applyNumberFormat="1" applyFont="1" applyFill="1"/>
    <xf numFmtId="1" fontId="0" fillId="0" borderId="0" xfId="1" applyNumberFormat="1" applyFont="1"/>
    <xf numFmtId="1" fontId="0" fillId="0" borderId="0" xfId="0" applyNumberFormat="1"/>
    <xf numFmtId="4" fontId="0" fillId="0" borderId="0" xfId="1" applyNumberFormat="1" applyFont="1"/>
    <xf numFmtId="4" fontId="0" fillId="0" borderId="0" xfId="0" applyNumberFormat="1"/>
    <xf numFmtId="4" fontId="4" fillId="0" borderId="0" xfId="0" applyNumberFormat="1" applyFont="1"/>
    <xf numFmtId="4" fontId="0" fillId="0" borderId="0" xfId="1" applyNumberFormat="1" applyFont="1" applyAlignment="1"/>
    <xf numFmtId="37" fontId="4" fillId="0" borderId="0" xfId="0" applyNumberFormat="1" applyFont="1" applyFill="1"/>
    <xf numFmtId="0" fontId="0" fillId="3" borderId="0" xfId="0" applyFill="1" applyAlignment="1">
      <alignment horizont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xf>
    <xf numFmtId="0" fontId="5" fillId="0" borderId="0" xfId="0" applyFont="1" applyAlignment="1">
      <alignment horizontal="center"/>
    </xf>
    <xf numFmtId="0" fontId="0" fillId="0" borderId="2" xfId="0" applyBorder="1" applyAlignment="1">
      <alignment horizontal="center"/>
    </xf>
    <xf numFmtId="0" fontId="0" fillId="0" borderId="1" xfId="0" applyBorder="1" applyAlignment="1">
      <alignment horizontal="center"/>
    </xf>
    <xf numFmtId="0" fontId="0" fillId="0" borderId="0" xfId="0" applyBorder="1" applyAlignment="1">
      <alignment horizontal="center"/>
    </xf>
    <xf numFmtId="166" fontId="0" fillId="0" borderId="0" xfId="1" applyNumberFormat="1" applyFont="1" applyAlignment="1">
      <alignment horizontal="center"/>
    </xf>
    <xf numFmtId="0" fontId="0" fillId="0" borderId="0" xfId="0" applyBorder="1"/>
    <xf numFmtId="166" fontId="0" fillId="4" borderId="0" xfId="1" applyNumberFormat="1" applyFont="1" applyFill="1" applyAlignment="1">
      <alignment horizontal="left"/>
    </xf>
    <xf numFmtId="1" fontId="0" fillId="4" borderId="0" xfId="1" applyNumberFormat="1" applyFont="1" applyFill="1" applyAlignment="1">
      <alignment horizontal="left"/>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CEN-CINAI: Indicadores de cobertura potencial 2015</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Anual!$A$43</c:f>
              <c:strCache>
                <c:ptCount val="1"/>
                <c:pt idx="0">
                  <c:v>Cobertura Programada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(Anual!$B$4,Anual!$C$5,Anual!$D$6,Anual!$E$6,Anual!$F$5,Anual!$K$5:$M$5)</c:f>
              <c:strCache>
                <c:ptCount val="8"/>
                <c:pt idx="0">
                  <c:v>Total</c:v>
                </c:pt>
                <c:pt idx="1">
                  <c:v>Total Comidas</c:v>
                </c:pt>
                <c:pt idx="2">
                  <c:v>Intramuros</c:v>
                </c:pt>
                <c:pt idx="3">
                  <c:v>Extramuros</c:v>
                </c:pt>
                <c:pt idx="4">
                  <c:v>Total Leche</c:v>
                </c:pt>
                <c:pt idx="5">
                  <c:v>DAF</c:v>
                </c:pt>
                <c:pt idx="6">
                  <c:v>Red de cuido</c:v>
                </c:pt>
                <c:pt idx="7">
                  <c:v>Salud Oral</c:v>
                </c:pt>
              </c:strCache>
            </c:strRef>
          </c:cat>
          <c:val>
            <c:numRef>
              <c:f>(Anual!$B$43:$F$43,Anual!$K$43:$M$43)</c:f>
              <c:numCache>
                <c:formatCode>#,##0.0____</c:formatCode>
                <c:ptCount val="8"/>
                <c:pt idx="0">
                  <c:v>99.94314682332876</c:v>
                </c:pt>
                <c:pt idx="1">
                  <c:v>26.156606812905668</c:v>
                </c:pt>
                <c:pt idx="2">
                  <c:v>21.335931207656227</c:v>
                </c:pt>
                <c:pt idx="3">
                  <c:v>4.8206756052494439</c:v>
                </c:pt>
                <c:pt idx="4">
                  <c:v>106.63635813289956</c:v>
                </c:pt>
                <c:pt idx="5">
                  <c:v>7.0829582602927932</c:v>
                </c:pt>
                <c:pt idx="6">
                  <c:v>1.2993319751741128</c:v>
                </c:pt>
                <c:pt idx="7">
                  <c:v>3.9481372688365628</c:v>
                </c:pt>
              </c:numCache>
            </c:numRef>
          </c:val>
        </c:ser>
        <c:ser>
          <c:idx val="1"/>
          <c:order val="1"/>
          <c:tx>
            <c:strRef>
              <c:f>Anual!$A$44</c:f>
              <c:strCache>
                <c:ptCount val="1"/>
                <c:pt idx="0">
                  <c:v>Cobertura Efectiva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(Anual!$B$4,Anual!$C$5,Anual!$D$6,Anual!$E$6,Anual!$F$5,Anual!$K$5:$M$5)</c:f>
              <c:strCache>
                <c:ptCount val="8"/>
                <c:pt idx="0">
                  <c:v>Total</c:v>
                </c:pt>
                <c:pt idx="1">
                  <c:v>Total Comidas</c:v>
                </c:pt>
                <c:pt idx="2">
                  <c:v>Intramuros</c:v>
                </c:pt>
                <c:pt idx="3">
                  <c:v>Extramuros</c:v>
                </c:pt>
                <c:pt idx="4">
                  <c:v>Total Leche</c:v>
                </c:pt>
                <c:pt idx="5">
                  <c:v>DAF</c:v>
                </c:pt>
                <c:pt idx="6">
                  <c:v>Red de cuido</c:v>
                </c:pt>
                <c:pt idx="7">
                  <c:v>Salud Oral</c:v>
                </c:pt>
              </c:strCache>
            </c:strRef>
          </c:cat>
          <c:val>
            <c:numRef>
              <c:f>(Anual!$B$44:$F$44,Anual!$K$44:$M$44)</c:f>
              <c:numCache>
                <c:formatCode>#,##0.0____</c:formatCode>
                <c:ptCount val="8"/>
                <c:pt idx="0">
                  <c:v>79.361836252322831</c:v>
                </c:pt>
                <c:pt idx="1">
                  <c:v>18.126095608092101</c:v>
                </c:pt>
                <c:pt idx="2">
                  <c:v>13.879479161731496</c:v>
                </c:pt>
                <c:pt idx="3">
                  <c:v>4.2466164463606066</c:v>
                </c:pt>
                <c:pt idx="4">
                  <c:v>83.179948200439043</c:v>
                </c:pt>
                <c:pt idx="5">
                  <c:v>5.8783815795707586</c:v>
                </c:pt>
                <c:pt idx="6">
                  <c:v>1.6832883245684684</c:v>
                </c:pt>
                <c:pt idx="7">
                  <c:v>0</c:v>
                </c:pt>
              </c:numCache>
            </c:numRef>
          </c:val>
        </c:ser>
        <c:dLbls>
          <c:showLegendKey val="0"/>
          <c:showVal val="0"/>
          <c:showCatName val="0"/>
          <c:showSerName val="0"/>
          <c:showPercent val="0"/>
          <c:showBubbleSize val="0"/>
        </c:dLbls>
        <c:gapWidth val="100"/>
        <c:overlap val="-10"/>
        <c:axId val="528484320"/>
        <c:axId val="528483928"/>
      </c:barChart>
      <c:catAx>
        <c:axId val="52848432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528483928"/>
        <c:crosses val="autoZero"/>
        <c:auto val="1"/>
        <c:lblAlgn val="ctr"/>
        <c:lblOffset val="100"/>
        <c:noMultiLvlLbl val="0"/>
      </c:catAx>
      <c:valAx>
        <c:axId val="528483928"/>
        <c:scaling>
          <c:orientation val="minMax"/>
        </c:scaling>
        <c:delete val="0"/>
        <c:axPos val="l"/>
        <c:majorGridlines>
          <c:spPr>
            <a:ln w="9525" cap="flat" cmpd="sng" algn="ctr">
              <a:solidFill>
                <a:schemeClr val="tx1">
                  <a:lumMod val="15000"/>
                  <a:lumOff val="85000"/>
                </a:schemeClr>
              </a:solidFill>
              <a:round/>
            </a:ln>
            <a:effectLst/>
          </c:spPr>
        </c:majorGridlines>
        <c:numFmt formatCode="#,##0.0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5284843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R"/>
              <a:t>CEN-CINAI:</a:t>
            </a:r>
            <a:r>
              <a:rPr lang="es-CR" baseline="0"/>
              <a:t> Indicadores de resultado 2015</a:t>
            </a:r>
            <a:endParaRPr lang="es-C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Anual!$A$47</c:f>
              <c:strCache>
                <c:ptCount val="1"/>
                <c:pt idx="0">
                  <c:v>Índice efectividad en beneficiarios (IEB)</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(Anual!$B$4,Anual!$C$5,Anual!$F$5,Anual!$K$6:$M$6)</c:f>
              <c:strCache>
                <c:ptCount val="6"/>
                <c:pt idx="0">
                  <c:v>Total</c:v>
                </c:pt>
                <c:pt idx="1">
                  <c:v>Total Comidas</c:v>
                </c:pt>
                <c:pt idx="2">
                  <c:v>Total Leche</c:v>
                </c:pt>
                <c:pt idx="3">
                  <c:v>DAF</c:v>
                </c:pt>
                <c:pt idx="4">
                  <c:v>Red de Cuido</c:v>
                </c:pt>
                <c:pt idx="5">
                  <c:v>Salud Oral</c:v>
                </c:pt>
              </c:strCache>
            </c:strRef>
          </c:cat>
          <c:val>
            <c:numRef>
              <c:f>(Anual!$B$47:$C$47,Anual!$F$47,Anual!$K$47:$M$47)</c:f>
              <c:numCache>
                <c:formatCode>#,##0.0____</c:formatCode>
                <c:ptCount val="6"/>
                <c:pt idx="0">
                  <c:v>90.096773281924058</c:v>
                </c:pt>
                <c:pt idx="1">
                  <c:v>69.383571788263879</c:v>
                </c:pt>
                <c:pt idx="2">
                  <c:v>89.392967973357301</c:v>
                </c:pt>
                <c:pt idx="3">
                  <c:v>82.993311036789294</c:v>
                </c:pt>
                <c:pt idx="4">
                  <c:v>129.55028866605895</c:v>
                </c:pt>
                <c:pt idx="5">
                  <c:v>0</c:v>
                </c:pt>
              </c:numCache>
            </c:numRef>
          </c:val>
        </c:ser>
        <c:ser>
          <c:idx val="1"/>
          <c:order val="1"/>
          <c:tx>
            <c:strRef>
              <c:f>Anual!$A$48</c:f>
              <c:strCache>
                <c:ptCount val="1"/>
                <c:pt idx="0">
                  <c:v>Índice efectividad en gasto (IEG)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(Anual!$B$4,Anual!$C$5,Anual!$F$5,Anual!$K$6:$M$6)</c:f>
              <c:strCache>
                <c:ptCount val="6"/>
                <c:pt idx="0">
                  <c:v>Total</c:v>
                </c:pt>
                <c:pt idx="1">
                  <c:v>Total Comidas</c:v>
                </c:pt>
                <c:pt idx="2">
                  <c:v>Total Leche</c:v>
                </c:pt>
                <c:pt idx="3">
                  <c:v>DAF</c:v>
                </c:pt>
                <c:pt idx="4">
                  <c:v>Red de Cuido</c:v>
                </c:pt>
                <c:pt idx="5">
                  <c:v>Salud Oral</c:v>
                </c:pt>
              </c:strCache>
            </c:strRef>
          </c:cat>
          <c:val>
            <c:numRef>
              <c:f>(Anual!$B$48:$C$48,Anual!$F$48,Anual!$K$48:$M$48)</c:f>
              <c:numCache>
                <c:formatCode>#,##0.0____</c:formatCode>
                <c:ptCount val="6"/>
                <c:pt idx="0">
                  <c:v>74.953516851314859</c:v>
                </c:pt>
                <c:pt idx="1">
                  <c:v>70.799136431866188</c:v>
                </c:pt>
                <c:pt idx="2">
                  <c:v>94.737664777382051</c:v>
                </c:pt>
                <c:pt idx="3">
                  <c:v>75.418041082098739</c:v>
                </c:pt>
                <c:pt idx="4">
                  <c:v>33.825348714250104</c:v>
                </c:pt>
                <c:pt idx="5">
                  <c:v>98.379976424361487</c:v>
                </c:pt>
              </c:numCache>
            </c:numRef>
          </c:val>
        </c:ser>
        <c:ser>
          <c:idx val="2"/>
          <c:order val="2"/>
          <c:tx>
            <c:strRef>
              <c:f>Anual!$A$49</c:f>
              <c:strCache>
                <c:ptCount val="1"/>
                <c:pt idx="0">
                  <c:v>Índice efectividad total (IET)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(Anual!$B$4,Anual!$C$5,Anual!$F$5,Anual!$K$6:$M$6)</c:f>
              <c:strCache>
                <c:ptCount val="6"/>
                <c:pt idx="0">
                  <c:v>Total</c:v>
                </c:pt>
                <c:pt idx="1">
                  <c:v>Total Comidas</c:v>
                </c:pt>
                <c:pt idx="2">
                  <c:v>Total Leche</c:v>
                </c:pt>
                <c:pt idx="3">
                  <c:v>DAF</c:v>
                </c:pt>
                <c:pt idx="4">
                  <c:v>Red de Cuido</c:v>
                </c:pt>
                <c:pt idx="5">
                  <c:v>Salud Oral</c:v>
                </c:pt>
              </c:strCache>
            </c:strRef>
          </c:cat>
          <c:val>
            <c:numRef>
              <c:f>(Anual!$B$49:$C$49,Anual!$F$49,Anual!$K$49:$M$49)</c:f>
              <c:numCache>
                <c:formatCode>#,##0.0____</c:formatCode>
                <c:ptCount val="6"/>
                <c:pt idx="0">
                  <c:v>82.525145066619459</c:v>
                </c:pt>
                <c:pt idx="1">
                  <c:v>70.091354110065026</c:v>
                </c:pt>
                <c:pt idx="2">
                  <c:v>92.065316375369676</c:v>
                </c:pt>
                <c:pt idx="3">
                  <c:v>79.205676059444016</c:v>
                </c:pt>
                <c:pt idx="4">
                  <c:v>81.687818690154529</c:v>
                </c:pt>
                <c:pt idx="5">
                  <c:v>49.189988212180744</c:v>
                </c:pt>
              </c:numCache>
            </c:numRef>
          </c:val>
        </c:ser>
        <c:dLbls>
          <c:showLegendKey val="0"/>
          <c:showVal val="0"/>
          <c:showCatName val="0"/>
          <c:showSerName val="0"/>
          <c:showPercent val="0"/>
          <c:showBubbleSize val="0"/>
        </c:dLbls>
        <c:gapWidth val="100"/>
        <c:overlap val="-6"/>
        <c:axId val="682459576"/>
        <c:axId val="682461144"/>
      </c:barChart>
      <c:catAx>
        <c:axId val="6824595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682461144"/>
        <c:crosses val="autoZero"/>
        <c:auto val="1"/>
        <c:lblAlgn val="ctr"/>
        <c:lblOffset val="100"/>
        <c:noMultiLvlLbl val="0"/>
      </c:catAx>
      <c:valAx>
        <c:axId val="682461144"/>
        <c:scaling>
          <c:orientation val="minMax"/>
        </c:scaling>
        <c:delete val="0"/>
        <c:axPos val="l"/>
        <c:majorGridlines>
          <c:spPr>
            <a:ln w="9525" cap="flat" cmpd="sng" algn="ctr">
              <a:solidFill>
                <a:schemeClr val="tx1">
                  <a:lumMod val="15000"/>
                  <a:lumOff val="85000"/>
                </a:schemeClr>
              </a:solidFill>
              <a:round/>
            </a:ln>
            <a:effectLst/>
          </c:spPr>
        </c:majorGridlines>
        <c:numFmt formatCode="#,##0.0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6824595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R"/>
              <a:t>CEN-CINAI: Indicadores de avance 2015</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Anual!$A$52</c:f>
              <c:strCache>
                <c:ptCount val="1"/>
                <c:pt idx="0">
                  <c:v>Índice avance beneficiarios (IAB)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(Anual!$B$4,Anual!$C$5,Anual!$F$5,Anual!$K$5:$M$5)</c:f>
              <c:strCache>
                <c:ptCount val="6"/>
                <c:pt idx="0">
                  <c:v>Total</c:v>
                </c:pt>
                <c:pt idx="1">
                  <c:v>Total Comidas</c:v>
                </c:pt>
                <c:pt idx="2">
                  <c:v>Total Leche</c:v>
                </c:pt>
                <c:pt idx="3">
                  <c:v>DAF</c:v>
                </c:pt>
                <c:pt idx="4">
                  <c:v>Red de cuido</c:v>
                </c:pt>
                <c:pt idx="5">
                  <c:v>Salud Oral</c:v>
                </c:pt>
              </c:strCache>
            </c:strRef>
          </c:cat>
          <c:val>
            <c:numRef>
              <c:f>(Anual!$B$52:$C$52,Anual!$F$52,Anual!$K$52:$M$52)</c:f>
              <c:numCache>
                <c:formatCode>#,##0.0____</c:formatCode>
                <c:ptCount val="6"/>
                <c:pt idx="0">
                  <c:v>90.096773281924058</c:v>
                </c:pt>
                <c:pt idx="1">
                  <c:v>69.383571788263879</c:v>
                </c:pt>
                <c:pt idx="2">
                  <c:v>89.392967973357301</c:v>
                </c:pt>
                <c:pt idx="3">
                  <c:v>82.993311036789294</c:v>
                </c:pt>
                <c:pt idx="4">
                  <c:v>118.76044568245125</c:v>
                </c:pt>
                <c:pt idx="5">
                  <c:v>0</c:v>
                </c:pt>
              </c:numCache>
            </c:numRef>
          </c:val>
        </c:ser>
        <c:ser>
          <c:idx val="1"/>
          <c:order val="1"/>
          <c:tx>
            <c:strRef>
              <c:f>Anual!$A$53</c:f>
              <c:strCache>
                <c:ptCount val="1"/>
                <c:pt idx="0">
                  <c:v>Índice avance gasto (IAG)</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(Anual!$B$4,Anual!$C$5,Anual!$F$5,Anual!$K$5:$M$5)</c:f>
              <c:strCache>
                <c:ptCount val="6"/>
                <c:pt idx="0">
                  <c:v>Total</c:v>
                </c:pt>
                <c:pt idx="1">
                  <c:v>Total Comidas</c:v>
                </c:pt>
                <c:pt idx="2">
                  <c:v>Total Leche</c:v>
                </c:pt>
                <c:pt idx="3">
                  <c:v>DAF</c:v>
                </c:pt>
                <c:pt idx="4">
                  <c:v>Red de cuido</c:v>
                </c:pt>
                <c:pt idx="5">
                  <c:v>Salud Oral</c:v>
                </c:pt>
              </c:strCache>
            </c:strRef>
          </c:cat>
          <c:val>
            <c:numRef>
              <c:f>(Anual!$B$53:$C$53,Anual!$F$53,Anual!$K$53:$M$53)</c:f>
              <c:numCache>
                <c:formatCode>#,##0.0____</c:formatCode>
                <c:ptCount val="6"/>
                <c:pt idx="0">
                  <c:v>74.953516851314859</c:v>
                </c:pt>
                <c:pt idx="1">
                  <c:v>70.799136431866202</c:v>
                </c:pt>
                <c:pt idx="2">
                  <c:v>94.737664777382022</c:v>
                </c:pt>
                <c:pt idx="3">
                  <c:v>75.418041082098739</c:v>
                </c:pt>
                <c:pt idx="4">
                  <c:v>33.825348714250104</c:v>
                </c:pt>
                <c:pt idx="5">
                  <c:v>98.379976424361487</c:v>
                </c:pt>
              </c:numCache>
            </c:numRef>
          </c:val>
        </c:ser>
        <c:ser>
          <c:idx val="2"/>
          <c:order val="2"/>
          <c:tx>
            <c:strRef>
              <c:f>Anual!$A$54</c:f>
              <c:strCache>
                <c:ptCount val="1"/>
                <c:pt idx="0">
                  <c:v>Índice avance total (IAT) </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(Anual!$B$4,Anual!$C$5,Anual!$F$5,Anual!$K$5:$M$5)</c:f>
              <c:strCache>
                <c:ptCount val="6"/>
                <c:pt idx="0">
                  <c:v>Total</c:v>
                </c:pt>
                <c:pt idx="1">
                  <c:v>Total Comidas</c:v>
                </c:pt>
                <c:pt idx="2">
                  <c:v>Total Leche</c:v>
                </c:pt>
                <c:pt idx="3">
                  <c:v>DAF</c:v>
                </c:pt>
                <c:pt idx="4">
                  <c:v>Red de cuido</c:v>
                </c:pt>
                <c:pt idx="5">
                  <c:v>Salud Oral</c:v>
                </c:pt>
              </c:strCache>
            </c:strRef>
          </c:cat>
          <c:val>
            <c:numRef>
              <c:f>(Anual!$B$54:$C$54,Anual!$F$54,Anual!$K$54:$M$54)</c:f>
              <c:numCache>
                <c:formatCode>#,##0.0____</c:formatCode>
                <c:ptCount val="6"/>
                <c:pt idx="0">
                  <c:v>82.525145066619459</c:v>
                </c:pt>
                <c:pt idx="1">
                  <c:v>70.091354110065041</c:v>
                </c:pt>
                <c:pt idx="2">
                  <c:v>92.065316375369662</c:v>
                </c:pt>
                <c:pt idx="3">
                  <c:v>79.205676059444016</c:v>
                </c:pt>
                <c:pt idx="4">
                  <c:v>76.292897198350673</c:v>
                </c:pt>
                <c:pt idx="5">
                  <c:v>49.189988212180744</c:v>
                </c:pt>
              </c:numCache>
            </c:numRef>
          </c:val>
        </c:ser>
        <c:dLbls>
          <c:showLegendKey val="0"/>
          <c:showVal val="0"/>
          <c:showCatName val="0"/>
          <c:showSerName val="0"/>
          <c:showPercent val="0"/>
          <c:showBubbleSize val="0"/>
        </c:dLbls>
        <c:gapWidth val="100"/>
        <c:overlap val="-7"/>
        <c:axId val="529469392"/>
        <c:axId val="529466648"/>
      </c:barChart>
      <c:catAx>
        <c:axId val="52946939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529466648"/>
        <c:crosses val="autoZero"/>
        <c:auto val="1"/>
        <c:lblAlgn val="ctr"/>
        <c:lblOffset val="100"/>
        <c:noMultiLvlLbl val="0"/>
      </c:catAx>
      <c:valAx>
        <c:axId val="529466648"/>
        <c:scaling>
          <c:orientation val="minMax"/>
        </c:scaling>
        <c:delete val="0"/>
        <c:axPos val="l"/>
        <c:majorGridlines>
          <c:spPr>
            <a:ln w="9525" cap="flat" cmpd="sng" algn="ctr">
              <a:solidFill>
                <a:schemeClr val="tx1">
                  <a:lumMod val="15000"/>
                  <a:lumOff val="85000"/>
                </a:schemeClr>
              </a:solidFill>
              <a:round/>
            </a:ln>
            <a:effectLst/>
          </c:spPr>
        </c:majorGridlines>
        <c:numFmt formatCode="#,##0.0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5294693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CEN-CINAI: Índice transferencia efectiva del gasto (ITG) 2015</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Anual!$A$57</c:f>
              <c:strCache>
                <c:ptCount val="1"/>
                <c:pt idx="0">
                  <c:v>Índice transferencia efectiva del gasto (ITG)</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val>
            <c:numRef>
              <c:f>Anual!$B$57</c:f>
              <c:numCache>
                <c:formatCode>#,##0.0____</c:formatCode>
                <c:ptCount val="1"/>
                <c:pt idx="0">
                  <c:v>100</c:v>
                </c:pt>
              </c:numCache>
            </c:numRef>
          </c:val>
        </c:ser>
        <c:dLbls>
          <c:showLegendKey val="0"/>
          <c:showVal val="0"/>
          <c:showCatName val="0"/>
          <c:showSerName val="0"/>
          <c:showPercent val="0"/>
          <c:showBubbleSize val="0"/>
        </c:dLbls>
        <c:gapWidth val="100"/>
        <c:overlap val="-24"/>
        <c:axId val="682458008"/>
        <c:axId val="682460360"/>
      </c:barChart>
      <c:catAx>
        <c:axId val="682458008"/>
        <c:scaling>
          <c:orientation val="minMax"/>
        </c:scaling>
        <c:delete val="1"/>
        <c:axPos val="b"/>
        <c:majorTickMark val="none"/>
        <c:minorTickMark val="none"/>
        <c:tickLblPos val="nextTo"/>
        <c:crossAx val="682460360"/>
        <c:crosses val="autoZero"/>
        <c:auto val="1"/>
        <c:lblAlgn val="ctr"/>
        <c:lblOffset val="100"/>
        <c:noMultiLvlLbl val="0"/>
      </c:catAx>
      <c:valAx>
        <c:axId val="682460360"/>
        <c:scaling>
          <c:orientation val="minMax"/>
        </c:scaling>
        <c:delete val="0"/>
        <c:axPos val="l"/>
        <c:majorGridlines>
          <c:spPr>
            <a:ln w="9525" cap="flat" cmpd="sng" algn="ctr">
              <a:solidFill>
                <a:schemeClr val="tx1">
                  <a:lumMod val="15000"/>
                  <a:lumOff val="85000"/>
                </a:schemeClr>
              </a:solidFill>
              <a:round/>
            </a:ln>
            <a:effectLst/>
          </c:spPr>
        </c:majorGridlines>
        <c:numFmt formatCode="#,##0.0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6824580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R"/>
              <a:t>CEN-CINAI: Indicadores de expansión 2015</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Anual!$A$60</c:f>
              <c:strCache>
                <c:ptCount val="1"/>
                <c:pt idx="0">
                  <c:v>Índice de crecimiento beneficiarios (ICB)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(Anual!$B$4,Anual!$C$5,Anual!$F$5,Anual!$K$6:$M$6)</c:f>
              <c:strCache>
                <c:ptCount val="6"/>
                <c:pt idx="0">
                  <c:v>Total</c:v>
                </c:pt>
                <c:pt idx="1">
                  <c:v>Total Comidas</c:v>
                </c:pt>
                <c:pt idx="2">
                  <c:v>Total Leche</c:v>
                </c:pt>
                <c:pt idx="3">
                  <c:v>DAF</c:v>
                </c:pt>
                <c:pt idx="4">
                  <c:v>Red de Cuido</c:v>
                </c:pt>
                <c:pt idx="5">
                  <c:v>Salud Oral</c:v>
                </c:pt>
              </c:strCache>
            </c:strRef>
          </c:cat>
          <c:val>
            <c:numRef>
              <c:f>(Anual!$B$60:$C$60,Anual!$F$60,Anual!$K$60:$M$60)</c:f>
              <c:numCache>
                <c:formatCode>#,##0.0____</c:formatCode>
                <c:ptCount val="6"/>
                <c:pt idx="0">
                  <c:v>-1.192408418411528</c:v>
                </c:pt>
                <c:pt idx="1">
                  <c:v>-4.2110830602463567</c:v>
                </c:pt>
                <c:pt idx="2">
                  <c:v>2.1075401599844223</c:v>
                </c:pt>
                <c:pt idx="3">
                  <c:v>-13.855915450854839</c:v>
                </c:pt>
                <c:pt idx="4">
                  <c:v>45.885372112917032</c:v>
                </c:pt>
                <c:pt idx="5">
                  <c:v>0</c:v>
                </c:pt>
              </c:numCache>
            </c:numRef>
          </c:val>
        </c:ser>
        <c:ser>
          <c:idx val="1"/>
          <c:order val="1"/>
          <c:tx>
            <c:strRef>
              <c:f>Anual!$A$61</c:f>
              <c:strCache>
                <c:ptCount val="1"/>
                <c:pt idx="0">
                  <c:v>Índice de crecimiento del gasto real (ICGR)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(Anual!$B$4,Anual!$C$5,Anual!$F$5,Anual!$K$6:$M$6)</c:f>
              <c:strCache>
                <c:ptCount val="6"/>
                <c:pt idx="0">
                  <c:v>Total</c:v>
                </c:pt>
                <c:pt idx="1">
                  <c:v>Total Comidas</c:v>
                </c:pt>
                <c:pt idx="2">
                  <c:v>Total Leche</c:v>
                </c:pt>
                <c:pt idx="3">
                  <c:v>DAF</c:v>
                </c:pt>
                <c:pt idx="4">
                  <c:v>Red de Cuido</c:v>
                </c:pt>
                <c:pt idx="5">
                  <c:v>Salud Oral</c:v>
                </c:pt>
              </c:strCache>
            </c:strRef>
          </c:cat>
          <c:val>
            <c:numRef>
              <c:f>(Anual!$B$61:$C$61,Anual!$F$61,Anual!$K$61:$M$61)</c:f>
              <c:numCache>
                <c:formatCode>#,##0.0____</c:formatCode>
                <c:ptCount val="6"/>
                <c:pt idx="0">
                  <c:v>5.235012249795612</c:v>
                </c:pt>
                <c:pt idx="1">
                  <c:v>2.571500018873718</c:v>
                </c:pt>
                <c:pt idx="2">
                  <c:v>7.8625119364307716</c:v>
                </c:pt>
                <c:pt idx="3">
                  <c:v>-13.504887370563434</c:v>
                </c:pt>
                <c:pt idx="4">
                  <c:v>63.998867594671658</c:v>
                </c:pt>
                <c:pt idx="5">
                  <c:v>-87.452416299573272</c:v>
                </c:pt>
              </c:numCache>
            </c:numRef>
          </c:val>
        </c:ser>
        <c:ser>
          <c:idx val="2"/>
          <c:order val="2"/>
          <c:tx>
            <c:strRef>
              <c:f>Anual!$A$62</c:f>
              <c:strCache>
                <c:ptCount val="1"/>
                <c:pt idx="0">
                  <c:v>Índice de crecimiento del gasto real por beneficiario (ICGRB) </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(Anual!$B$4,Anual!$C$5,Anual!$F$5,Anual!$K$6:$M$6)</c:f>
              <c:strCache>
                <c:ptCount val="6"/>
                <c:pt idx="0">
                  <c:v>Total</c:v>
                </c:pt>
                <c:pt idx="1">
                  <c:v>Total Comidas</c:v>
                </c:pt>
                <c:pt idx="2">
                  <c:v>Total Leche</c:v>
                </c:pt>
                <c:pt idx="3">
                  <c:v>DAF</c:v>
                </c:pt>
                <c:pt idx="4">
                  <c:v>Red de Cuido</c:v>
                </c:pt>
                <c:pt idx="5">
                  <c:v>Salud Oral</c:v>
                </c:pt>
              </c:strCache>
            </c:strRef>
          </c:cat>
          <c:val>
            <c:numRef>
              <c:f>(Anual!$B$62:$C$62,Anual!$F$62,Anual!$K$62:$M$62)</c:f>
              <c:numCache>
                <c:formatCode>#,##0.0____</c:formatCode>
                <c:ptCount val="6"/>
                <c:pt idx="0">
                  <c:v>6.5049866769597342</c:v>
                </c:pt>
                <c:pt idx="1">
                  <c:v>7.0807597536424627</c:v>
                </c:pt>
                <c:pt idx="2">
                  <c:v>5.636186874572946</c:v>
                </c:pt>
                <c:pt idx="3">
                  <c:v>0.4074894778075544</c:v>
                </c:pt>
                <c:pt idx="4">
                  <c:v>12.416252033640895</c:v>
                </c:pt>
                <c:pt idx="5">
                  <c:v>0</c:v>
                </c:pt>
              </c:numCache>
            </c:numRef>
          </c:val>
        </c:ser>
        <c:dLbls>
          <c:showLegendKey val="0"/>
          <c:showVal val="0"/>
          <c:showCatName val="0"/>
          <c:showSerName val="0"/>
          <c:showPercent val="0"/>
          <c:showBubbleSize val="0"/>
        </c:dLbls>
        <c:gapWidth val="100"/>
        <c:overlap val="-24"/>
        <c:axId val="525428432"/>
        <c:axId val="684194400"/>
      </c:barChart>
      <c:catAx>
        <c:axId val="52542843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684194400"/>
        <c:crosses val="autoZero"/>
        <c:auto val="1"/>
        <c:lblAlgn val="ctr"/>
        <c:lblOffset val="100"/>
        <c:noMultiLvlLbl val="0"/>
      </c:catAx>
      <c:valAx>
        <c:axId val="684194400"/>
        <c:scaling>
          <c:orientation val="minMax"/>
        </c:scaling>
        <c:delete val="0"/>
        <c:axPos val="l"/>
        <c:majorGridlines>
          <c:spPr>
            <a:ln w="9525" cap="flat" cmpd="sng" algn="ctr">
              <a:solidFill>
                <a:schemeClr val="tx1">
                  <a:lumMod val="15000"/>
                  <a:lumOff val="85000"/>
                </a:schemeClr>
              </a:solidFill>
              <a:round/>
            </a:ln>
            <a:effectLst/>
          </c:spPr>
        </c:majorGridlines>
        <c:numFmt formatCode="#,##0.0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5254284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R"/>
              <a:t>CEN-CINAI: Indicadores de gasto medio 2015</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Anual!$A$68</c:f>
              <c:strCache>
                <c:ptCount val="1"/>
                <c:pt idx="0">
                  <c:v>Gasto programado acumulado por beneficiario (GPB)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(Anual!$B$4,Anual!$C$5,Anual!$F$5,Anual!$K$6:$M$6)</c:f>
              <c:strCache>
                <c:ptCount val="6"/>
                <c:pt idx="0">
                  <c:v>Total</c:v>
                </c:pt>
                <c:pt idx="1">
                  <c:v>Total Comidas</c:v>
                </c:pt>
                <c:pt idx="2">
                  <c:v>Total Leche</c:v>
                </c:pt>
                <c:pt idx="3">
                  <c:v>DAF</c:v>
                </c:pt>
                <c:pt idx="4">
                  <c:v>Red de Cuido</c:v>
                </c:pt>
                <c:pt idx="5">
                  <c:v>Salud Oral</c:v>
                </c:pt>
              </c:strCache>
            </c:strRef>
          </c:cat>
          <c:val>
            <c:numRef>
              <c:f>(Anual!$B$68:$C$68,Anual!$F$68,Anual!$K$68:$M$68)</c:f>
              <c:numCache>
                <c:formatCode>#,##0____</c:formatCode>
                <c:ptCount val="6"/>
                <c:pt idx="0">
                  <c:v>156731.50152687007</c:v>
                </c:pt>
                <c:pt idx="1">
                  <c:v>160018.04190882432</c:v>
                </c:pt>
                <c:pt idx="2">
                  <c:v>57657.649921798504</c:v>
                </c:pt>
                <c:pt idx="3">
                  <c:v>362603.03389074694</c:v>
                </c:pt>
                <c:pt idx="4">
                  <c:v>1640599.2415679125</c:v>
                </c:pt>
                <c:pt idx="5">
                  <c:v>6362.5</c:v>
                </c:pt>
              </c:numCache>
            </c:numRef>
          </c:val>
        </c:ser>
        <c:ser>
          <c:idx val="1"/>
          <c:order val="1"/>
          <c:tx>
            <c:strRef>
              <c:f>Anual!$A$69</c:f>
              <c:strCache>
                <c:ptCount val="1"/>
                <c:pt idx="0">
                  <c:v>Gasto efectivo acumulado por beneficiario (GEB)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(Anual!$B$4,Anual!$C$5,Anual!$F$5,Anual!$K$6:$M$6)</c:f>
              <c:strCache>
                <c:ptCount val="6"/>
                <c:pt idx="0">
                  <c:v>Total</c:v>
                </c:pt>
                <c:pt idx="1">
                  <c:v>Total Comidas</c:v>
                </c:pt>
                <c:pt idx="2">
                  <c:v>Total Leche</c:v>
                </c:pt>
                <c:pt idx="3">
                  <c:v>DAF</c:v>
                </c:pt>
                <c:pt idx="4">
                  <c:v>Red de Cuido</c:v>
                </c:pt>
                <c:pt idx="5">
                  <c:v>Salud Oral</c:v>
                </c:pt>
              </c:strCache>
            </c:strRef>
          </c:cat>
          <c:val>
            <c:numRef>
              <c:f>(Anual!$B$69:$C$69,Anual!$F$69,Anual!$K$69:$M$69)</c:f>
              <c:numCache>
                <c:formatCode>#,##0.0____</c:formatCode>
                <c:ptCount val="6"/>
                <c:pt idx="0">
                  <c:v>130388.43471193468</c:v>
                </c:pt>
                <c:pt idx="1">
                  <c:v>163282.73233375457</c:v>
                </c:pt>
                <c:pt idx="2">
                  <c:v>61104.930667152636</c:v>
                </c:pt>
                <c:pt idx="3" formatCode="#,##0____">
                  <c:v>329506.19953388406</c:v>
                </c:pt>
                <c:pt idx="4" formatCode="#,##0____">
                  <c:v>428357.52832180134</c:v>
                </c:pt>
                <c:pt idx="5" formatCode="#,##0____">
                  <c:v>0</c:v>
                </c:pt>
              </c:numCache>
            </c:numRef>
          </c:val>
        </c:ser>
        <c:dLbls>
          <c:showLegendKey val="0"/>
          <c:showVal val="0"/>
          <c:showCatName val="0"/>
          <c:showSerName val="0"/>
          <c:showPercent val="0"/>
          <c:showBubbleSize val="0"/>
        </c:dLbls>
        <c:gapWidth val="100"/>
        <c:overlap val="-10"/>
        <c:axId val="536712080"/>
        <c:axId val="536711688"/>
      </c:barChart>
      <c:catAx>
        <c:axId val="5367120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536711688"/>
        <c:crosses val="autoZero"/>
        <c:auto val="1"/>
        <c:lblAlgn val="ctr"/>
        <c:lblOffset val="100"/>
        <c:noMultiLvlLbl val="0"/>
      </c:catAx>
      <c:valAx>
        <c:axId val="536711688"/>
        <c:scaling>
          <c:orientation val="minMax"/>
        </c:scaling>
        <c:delete val="0"/>
        <c:axPos val="l"/>
        <c:majorGridlines>
          <c:spPr>
            <a:ln w="9525" cap="flat" cmpd="sng" algn="ctr">
              <a:solidFill>
                <a:schemeClr val="tx1">
                  <a:lumMod val="15000"/>
                  <a:lumOff val="85000"/>
                </a:schemeClr>
              </a:solidFill>
              <a:round/>
            </a:ln>
            <a:effectLst/>
          </c:spPr>
        </c:majorGridlines>
        <c:numFmt formatCode="#,##0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5367120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CEN-CINAI: Índice de eficiencia (IE) 2015 </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Anual!$A$67</c:f>
              <c:strCache>
                <c:ptCount val="1"/>
                <c:pt idx="0">
                  <c:v>Índice de eficiencia (IE)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(Anual!$B$4,Anual!$C$5,Anual!$F$5,Anual!$K$6:$L$6)</c:f>
              <c:strCache>
                <c:ptCount val="5"/>
                <c:pt idx="0">
                  <c:v>Total</c:v>
                </c:pt>
                <c:pt idx="1">
                  <c:v>Total Comidas</c:v>
                </c:pt>
                <c:pt idx="2">
                  <c:v>Total Leche</c:v>
                </c:pt>
                <c:pt idx="3">
                  <c:v>DAF</c:v>
                </c:pt>
                <c:pt idx="4">
                  <c:v>Red de Cuido</c:v>
                </c:pt>
              </c:strCache>
            </c:strRef>
          </c:cat>
          <c:val>
            <c:numRef>
              <c:f>(Anual!$B$67:$C$67,Anual!$F$67,Anual!$K$67:$L$67)</c:f>
              <c:numCache>
                <c:formatCode>#,##0.0____</c:formatCode>
                <c:ptCount val="5"/>
                <c:pt idx="0">
                  <c:v>99.198137692116532</c:v>
                </c:pt>
                <c:pt idx="1">
                  <c:v>68.689940933282813</c:v>
                </c:pt>
                <c:pt idx="2">
                  <c:v>86.871382121773394</c:v>
                </c:pt>
                <c:pt idx="3">
                  <c:v>87.161390229226086</c:v>
                </c:pt>
                <c:pt idx="4">
                  <c:v>312.86242105619101</c:v>
                </c:pt>
              </c:numCache>
            </c:numRef>
          </c:val>
        </c:ser>
        <c:dLbls>
          <c:showLegendKey val="0"/>
          <c:showVal val="0"/>
          <c:showCatName val="0"/>
          <c:showSerName val="0"/>
          <c:showPercent val="0"/>
          <c:showBubbleSize val="0"/>
        </c:dLbls>
        <c:gapWidth val="100"/>
        <c:overlap val="-24"/>
        <c:axId val="522565288"/>
        <c:axId val="522566072"/>
      </c:barChart>
      <c:catAx>
        <c:axId val="52256528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522566072"/>
        <c:crosses val="autoZero"/>
        <c:auto val="1"/>
        <c:lblAlgn val="ctr"/>
        <c:lblOffset val="100"/>
        <c:noMultiLvlLbl val="0"/>
      </c:catAx>
      <c:valAx>
        <c:axId val="522566072"/>
        <c:scaling>
          <c:orientation val="minMax"/>
        </c:scaling>
        <c:delete val="0"/>
        <c:axPos val="l"/>
        <c:majorGridlines>
          <c:spPr>
            <a:ln w="9525" cap="flat" cmpd="sng" algn="ctr">
              <a:solidFill>
                <a:schemeClr val="tx1">
                  <a:lumMod val="15000"/>
                  <a:lumOff val="85000"/>
                </a:schemeClr>
              </a:solidFill>
              <a:round/>
            </a:ln>
            <a:effectLst/>
          </c:spPr>
        </c:majorGridlines>
        <c:numFmt formatCode="#,##0.0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5225652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R"/>
              <a:t>CEN-CINAI: Indicadores de giro de recursos 2015</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1"/>
            <c:invertIfNegative val="0"/>
            <c:bubble3D val="0"/>
            <c:spPr>
              <a:solidFill>
                <a:srgbClr val="92D05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strRef>
              <c:f>Anual!$A$72:$A$73</c:f>
              <c:strCache>
                <c:ptCount val="2"/>
                <c:pt idx="0">
                  <c:v>Índice de giro efectivo (IGE)</c:v>
                </c:pt>
                <c:pt idx="1">
                  <c:v>Índice de uso de recursos (IUR) </c:v>
                </c:pt>
              </c:strCache>
            </c:strRef>
          </c:cat>
          <c:val>
            <c:numRef>
              <c:f>Anual!$B$72:$B$73</c:f>
              <c:numCache>
                <c:formatCode>#,##0.0____</c:formatCode>
                <c:ptCount val="2"/>
                <c:pt idx="0">
                  <c:v>76.976058781773048</c:v>
                </c:pt>
                <c:pt idx="1">
                  <c:v>97.372505214651099</c:v>
                </c:pt>
              </c:numCache>
            </c:numRef>
          </c:val>
        </c:ser>
        <c:dLbls>
          <c:showLegendKey val="0"/>
          <c:showVal val="0"/>
          <c:showCatName val="0"/>
          <c:showSerName val="0"/>
          <c:showPercent val="0"/>
          <c:showBubbleSize val="0"/>
        </c:dLbls>
        <c:gapWidth val="100"/>
        <c:overlap val="-24"/>
        <c:axId val="684581096"/>
        <c:axId val="536711296"/>
      </c:barChart>
      <c:catAx>
        <c:axId val="68458109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536711296"/>
        <c:crosses val="autoZero"/>
        <c:auto val="1"/>
        <c:lblAlgn val="ctr"/>
        <c:lblOffset val="100"/>
        <c:noMultiLvlLbl val="0"/>
      </c:catAx>
      <c:valAx>
        <c:axId val="536711296"/>
        <c:scaling>
          <c:orientation val="minMax"/>
        </c:scaling>
        <c:delete val="0"/>
        <c:axPos val="l"/>
        <c:majorGridlines>
          <c:spPr>
            <a:ln w="9525" cap="flat" cmpd="sng" algn="ctr">
              <a:solidFill>
                <a:schemeClr val="tx1">
                  <a:lumMod val="15000"/>
                  <a:lumOff val="85000"/>
                </a:schemeClr>
              </a:solidFill>
              <a:round/>
            </a:ln>
            <a:effectLst/>
          </c:spPr>
        </c:majorGridlines>
        <c:numFmt formatCode="#,##0.0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684581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18</xdr:col>
      <xdr:colOff>11905</xdr:colOff>
      <xdr:row>37</xdr:row>
      <xdr:rowOff>9525</xdr:rowOff>
    </xdr:from>
    <xdr:to>
      <xdr:col>24</xdr:col>
      <xdr:colOff>11905</xdr:colOff>
      <xdr:row>51</xdr:row>
      <xdr:rowOff>85725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750094</xdr:colOff>
      <xdr:row>51</xdr:row>
      <xdr:rowOff>176213</xdr:rowOff>
    </xdr:from>
    <xdr:to>
      <xdr:col>23</xdr:col>
      <xdr:colOff>750094</xdr:colOff>
      <xdr:row>66</xdr:row>
      <xdr:rowOff>61913</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11905</xdr:colOff>
      <xdr:row>68</xdr:row>
      <xdr:rowOff>21431</xdr:rowOff>
    </xdr:from>
    <xdr:to>
      <xdr:col>24</xdr:col>
      <xdr:colOff>11905</xdr:colOff>
      <xdr:row>82</xdr:row>
      <xdr:rowOff>73819</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7</xdr:colOff>
      <xdr:row>82</xdr:row>
      <xdr:rowOff>188119</xdr:rowOff>
    </xdr:from>
    <xdr:to>
      <xdr:col>24</xdr:col>
      <xdr:colOff>7</xdr:colOff>
      <xdr:row>97</xdr:row>
      <xdr:rowOff>73819</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35717</xdr:colOff>
      <xdr:row>75</xdr:row>
      <xdr:rowOff>188120</xdr:rowOff>
    </xdr:from>
    <xdr:to>
      <xdr:col>16</xdr:col>
      <xdr:colOff>2035967</xdr:colOff>
      <xdr:row>90</xdr:row>
      <xdr:rowOff>73820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1143000</xdr:colOff>
      <xdr:row>76</xdr:row>
      <xdr:rowOff>9525</xdr:rowOff>
    </xdr:from>
    <xdr:to>
      <xdr:col>13</xdr:col>
      <xdr:colOff>23812</xdr:colOff>
      <xdr:row>90</xdr:row>
      <xdr:rowOff>85725</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-1</xdr:colOff>
      <xdr:row>86</xdr:row>
      <xdr:rowOff>21433</xdr:rowOff>
    </xdr:from>
    <xdr:to>
      <xdr:col>8</xdr:col>
      <xdr:colOff>119062</xdr:colOff>
      <xdr:row>100</xdr:row>
      <xdr:rowOff>97633</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190509</xdr:colOff>
      <xdr:row>86</xdr:row>
      <xdr:rowOff>128588</xdr:rowOff>
    </xdr:from>
    <xdr:to>
      <xdr:col>3</xdr:col>
      <xdr:colOff>1190634</xdr:colOff>
      <xdr:row>101</xdr:row>
      <xdr:rowOff>14288</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304800</xdr:colOff>
      <xdr:row>42</xdr:row>
      <xdr:rowOff>180975</xdr:rowOff>
    </xdr:to>
    <xdr:sp macro="" textlink="">
      <xdr:nvSpPr>
        <xdr:cNvPr id="2" name="1 CuadroTexto"/>
        <xdr:cNvSpPr txBox="1"/>
      </xdr:nvSpPr>
      <xdr:spPr>
        <a:xfrm>
          <a:off x="0" y="0"/>
          <a:ext cx="7924800" cy="8181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100" u="sng">
              <a:solidFill>
                <a:sysClr val="windowText" lastClr="000000"/>
              </a:solidFill>
            </a:rPr>
            <a:t>Observaciones</a:t>
          </a:r>
        </a:p>
        <a:p>
          <a:endParaRPr lang="es-CR" sz="1100">
            <a:solidFill>
              <a:sysClr val="windowText" lastClr="000000"/>
            </a:solidFill>
          </a:endParaRPr>
        </a:p>
        <a:p>
          <a:pPr marL="0" marR="0" indent="0" defTabSz="914400" eaLnBrk="1" fontAlgn="auto" latinLnBrk="0" hangingPunct="1">
            <a:lnSpc>
              <a:spcPct val="200000"/>
            </a:lnSpc>
            <a:spcBef>
              <a:spcPts val="0"/>
            </a:spcBef>
            <a:spcAft>
              <a:spcPts val="1000"/>
            </a:spcAft>
            <a:buClrTx/>
            <a:buSzTx/>
            <a:buFontTx/>
            <a:buNone/>
            <a:tabLst/>
            <a:defRPr/>
          </a:pPr>
          <a:r>
            <a:rPr lang="es-CR" sz="1100">
              <a:solidFill>
                <a:sysClr val="windowText" lastClr="000000"/>
              </a:solidFill>
              <a:effectLst/>
              <a:latin typeface="+mn-lt"/>
              <a:ea typeface="+mn-ea"/>
              <a:cs typeface="+mn-cs"/>
            </a:rPr>
            <a:t>La información es proporcionada por las unidades ejecutoras de cada programa. </a:t>
          </a:r>
        </a:p>
        <a:p>
          <a:pPr marL="0" marR="0" indent="0" defTabSz="914400" eaLnBrk="1" fontAlgn="auto" latinLnBrk="0" hangingPunct="1">
            <a:lnSpc>
              <a:spcPct val="200000"/>
            </a:lnSpc>
            <a:spcBef>
              <a:spcPts val="0"/>
            </a:spcBef>
            <a:spcAft>
              <a:spcPts val="1000"/>
            </a:spcAft>
            <a:buClrTx/>
            <a:buSzTx/>
            <a:buFontTx/>
            <a:buNone/>
            <a:tabLst/>
            <a:defRPr/>
          </a:pPr>
          <a:r>
            <a:rPr lang="es-CR" sz="1100">
              <a:solidFill>
                <a:sysClr val="windowText" lastClr="000000"/>
              </a:solidFill>
              <a:effectLst/>
              <a:latin typeface="+mn-lt"/>
              <a:ea typeface="Calibri"/>
              <a:cs typeface="Times New Roman"/>
            </a:rPr>
            <a:t>Se deben tomar en cuenta las particularidades de cada programa .</a:t>
          </a:r>
        </a:p>
        <a:p>
          <a:pPr>
            <a:lnSpc>
              <a:spcPct val="200000"/>
            </a:lnSpc>
            <a:spcAft>
              <a:spcPts val="1000"/>
            </a:spcAft>
          </a:pPr>
          <a:r>
            <a:rPr lang="es-CR" sz="1100">
              <a:solidFill>
                <a:sysClr val="windowText" lastClr="000000"/>
              </a:solidFill>
              <a:effectLst/>
              <a:latin typeface="+mn-lt"/>
              <a:ea typeface="Calibri"/>
              <a:cs typeface="Times New Roman"/>
            </a:rPr>
            <a:t>En el caso particular de</a:t>
          </a:r>
          <a:r>
            <a:rPr lang="es-CR" sz="1100" baseline="0">
              <a:solidFill>
                <a:sysClr val="windowText" lastClr="000000"/>
              </a:solidFill>
              <a:effectLst/>
              <a:latin typeface="+mn-lt"/>
              <a:ea typeface="Calibri"/>
              <a:cs typeface="Times New Roman"/>
            </a:rPr>
            <a:t> CEN-CINAI</a:t>
          </a:r>
          <a:r>
            <a:rPr lang="es-CR" sz="1100">
              <a:solidFill>
                <a:sysClr val="windowText" lastClr="000000"/>
              </a:solidFill>
              <a:effectLst/>
              <a:latin typeface="+mn-lt"/>
              <a:ea typeface="Calibri"/>
              <a:cs typeface="Times New Roman"/>
            </a:rPr>
            <a:t>:</a:t>
          </a:r>
        </a:p>
        <a:p>
          <a:pPr>
            <a:lnSpc>
              <a:spcPct val="200000"/>
            </a:lnSpc>
            <a:spcAft>
              <a:spcPts val="1000"/>
            </a:spcAft>
          </a:pPr>
          <a:r>
            <a:rPr lang="es-CR" sz="1100">
              <a:solidFill>
                <a:sysClr val="windowText" lastClr="000000"/>
              </a:solidFill>
              <a:effectLst/>
              <a:latin typeface="+mn-lt"/>
              <a:ea typeface="Calibri"/>
              <a:cs typeface="Times New Roman"/>
            </a:rPr>
            <a:t>Los</a:t>
          </a:r>
          <a:r>
            <a:rPr lang="es-CR" sz="1100" baseline="0">
              <a:solidFill>
                <a:sysClr val="windowText" lastClr="000000"/>
              </a:solidFill>
              <a:effectLst/>
              <a:latin typeface="+mn-lt"/>
              <a:ea typeface="Calibri"/>
              <a:cs typeface="Times New Roman"/>
            </a:rPr>
            <a:t> giros de dinero por parte de Desaf no se hacen siempre con la programación preestablecida (en el caso de leche) sino que se toman en cuenta las existencias en inventario para sólo girar lo necesario. Siempre cubriendo el total de los beneficiarios, utilizando tanto las existencias como las nuevas compras.</a:t>
          </a:r>
        </a:p>
        <a:p>
          <a:pPr>
            <a:lnSpc>
              <a:spcPct val="200000"/>
            </a:lnSpc>
            <a:spcAft>
              <a:spcPts val="1000"/>
            </a:spcAft>
          </a:pPr>
          <a:r>
            <a:rPr lang="es-CR" sz="1100" baseline="0">
              <a:solidFill>
                <a:sysClr val="windowText" lastClr="000000"/>
              </a:solidFill>
              <a:effectLst/>
              <a:latin typeface="+mn-lt"/>
              <a:ea typeface="Calibri"/>
              <a:cs typeface="Times New Roman"/>
            </a:rPr>
            <a:t>Los giros de dinero también están sujetos a los cambios en precios de  mercado de la leche, por lo que el monto cobrado por factura puede diferir del presupuestado. Este cambio en precios puede provocar variaciones en el costo promedio por beneficiario entre períodos.</a:t>
          </a:r>
        </a:p>
        <a:p>
          <a:pPr>
            <a:lnSpc>
              <a:spcPct val="200000"/>
            </a:lnSpc>
            <a:spcAft>
              <a:spcPts val="1000"/>
            </a:spcAft>
          </a:pPr>
          <a:r>
            <a:rPr lang="es-CR" sz="1100" baseline="0">
              <a:solidFill>
                <a:sysClr val="windowText" lastClr="000000"/>
              </a:solidFill>
              <a:effectLst/>
              <a:latin typeface="+mn-lt"/>
              <a:ea typeface="Calibri"/>
              <a:cs typeface="Times New Roman"/>
            </a:rPr>
            <a:t>En enero se pueden estar utilizando saldos de leche del año anterior, por lo que puede haber cobertura sin gasto de dinero del año en ejecución.</a:t>
          </a:r>
        </a:p>
        <a:p>
          <a:pPr>
            <a:lnSpc>
              <a:spcPct val="200000"/>
            </a:lnSpc>
            <a:spcAft>
              <a:spcPts val="1000"/>
            </a:spcAft>
          </a:pPr>
          <a:r>
            <a:rPr lang="es-CR" sz="1100" baseline="0">
              <a:solidFill>
                <a:sysClr val="windowText" lastClr="000000"/>
              </a:solidFill>
              <a:effectLst/>
              <a:latin typeface="+mn-lt"/>
              <a:ea typeface="Calibri"/>
              <a:cs typeface="Times New Roman"/>
            </a:rPr>
            <a:t>Los mismos beneficiarios pueden recibir varios productos (por ejemplo leche y comida) y las mismas personas pueden ser atendidas durante todo el año.</a:t>
          </a:r>
        </a:p>
        <a:p>
          <a:pPr>
            <a:lnSpc>
              <a:spcPct val="200000"/>
            </a:lnSpc>
            <a:spcAft>
              <a:spcPts val="1000"/>
            </a:spcAft>
          </a:pPr>
          <a:endParaRPr lang="es-CR" sz="1100" baseline="0">
            <a:solidFill>
              <a:sysClr val="windowText" lastClr="000000"/>
            </a:solidFill>
            <a:effectLst/>
            <a:latin typeface="+mn-lt"/>
            <a:ea typeface="Calibri"/>
            <a:cs typeface="Times New Roman"/>
          </a:endParaRPr>
        </a:p>
        <a:p>
          <a:pPr>
            <a:lnSpc>
              <a:spcPct val="200000"/>
            </a:lnSpc>
            <a:spcAft>
              <a:spcPts val="1000"/>
            </a:spcAft>
          </a:pPr>
          <a:r>
            <a:rPr lang="es-CR" sz="1100">
              <a:solidFill>
                <a:sysClr val="windowText" lastClr="000000"/>
              </a:solidFill>
              <a:effectLst/>
              <a:latin typeface="+mn-lt"/>
              <a:ea typeface="Calibri"/>
              <a:cs typeface="Times New Roman"/>
            </a:rPr>
            <a:t>Se recomienda observar la fórmula utilizada en Excel cuando existan dudas sobre algún resultado obtenido.</a:t>
          </a:r>
        </a:p>
        <a:p>
          <a:pPr>
            <a:lnSpc>
              <a:spcPct val="200000"/>
            </a:lnSpc>
            <a:spcAft>
              <a:spcPts val="1000"/>
            </a:spcAft>
          </a:pPr>
          <a:endParaRPr lang="es-CR" sz="1100">
            <a:solidFill>
              <a:srgbClr val="1F497D"/>
            </a:solidFill>
            <a:effectLst/>
            <a:latin typeface="+mn-lt"/>
            <a:ea typeface="Calibri"/>
            <a:cs typeface="Times New Roman"/>
          </a:endParaRPr>
        </a:p>
        <a:p>
          <a:pPr>
            <a:lnSpc>
              <a:spcPct val="200000"/>
            </a:lnSpc>
            <a:spcAft>
              <a:spcPts val="1000"/>
            </a:spcAft>
          </a:pPr>
          <a:endParaRPr lang="es-CR" sz="1100">
            <a:solidFill>
              <a:srgbClr val="1F497D"/>
            </a:solidFill>
            <a:effectLst/>
            <a:latin typeface="+mn-lt"/>
            <a:ea typeface="Calibri"/>
            <a:cs typeface="Times New Roman"/>
          </a:endParaRPr>
        </a:p>
        <a:p>
          <a:endParaRPr lang="es-CR" sz="1100"/>
        </a:p>
        <a:p>
          <a:endParaRPr lang="es-CR" sz="1100"/>
        </a:p>
        <a:p>
          <a:endParaRPr lang="es-CR" sz="1100"/>
        </a:p>
        <a:p>
          <a:endParaRPr lang="es-CR"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9"/>
  <sheetViews>
    <sheetView zoomScale="60" zoomScaleNormal="60" workbookViewId="0">
      <pane xSplit="1" ySplit="6" topLeftCell="B64" activePane="bottomRight" state="frozen"/>
      <selection pane="topRight" activeCell="B1" sqref="B1"/>
      <selection pane="bottomLeft" activeCell="A7" sqref="A7"/>
      <selection pane="bottomRight" activeCell="A86" sqref="A86"/>
    </sheetView>
  </sheetViews>
  <sheetFormatPr baseColWidth="10" defaultColWidth="11.42578125" defaultRowHeight="15" x14ac:dyDescent="0.25"/>
  <cols>
    <col min="1" max="1" width="50.85546875" customWidth="1"/>
    <col min="2" max="2" width="26.7109375" customWidth="1"/>
    <col min="3" max="3" width="16" customWidth="1"/>
    <col min="4" max="6" width="15.5703125" customWidth="1"/>
    <col min="7" max="7" width="16.140625" customWidth="1"/>
    <col min="8" max="10" width="14.5703125" customWidth="1"/>
    <col min="11" max="11" width="15.42578125" customWidth="1"/>
    <col min="12" max="12" width="16.42578125" customWidth="1"/>
    <col min="13" max="13" width="23.7109375" bestFit="1" customWidth="1"/>
    <col min="14" max="14" width="20.85546875" customWidth="1"/>
    <col min="15" max="15" width="15.28515625" customWidth="1"/>
    <col min="16" max="16" width="23.7109375" customWidth="1"/>
    <col min="17" max="17" width="29" customWidth="1"/>
  </cols>
  <sheetData>
    <row r="1" spans="1:17" x14ac:dyDescent="0.25">
      <c r="I1" s="38"/>
      <c r="J1" s="38"/>
    </row>
    <row r="2" spans="1:17" ht="15.75" x14ac:dyDescent="0.25">
      <c r="A2" s="98" t="s">
        <v>90</v>
      </c>
      <c r="B2" s="98"/>
      <c r="C2" s="98"/>
      <c r="D2" s="98"/>
      <c r="E2" s="98"/>
      <c r="F2" s="98"/>
      <c r="G2" s="98"/>
      <c r="H2" s="98"/>
      <c r="I2" s="98"/>
      <c r="J2" s="98"/>
      <c r="K2" s="98"/>
      <c r="L2" s="98"/>
      <c r="M2" s="98"/>
      <c r="N2" s="98"/>
      <c r="O2" s="98"/>
      <c r="P2" s="98"/>
      <c r="Q2" s="98"/>
    </row>
    <row r="4" spans="1:17" x14ac:dyDescent="0.25">
      <c r="A4" s="95" t="s">
        <v>0</v>
      </c>
      <c r="B4" s="56" t="s">
        <v>1</v>
      </c>
      <c r="C4" s="99" t="s">
        <v>2</v>
      </c>
      <c r="D4" s="99"/>
      <c r="E4" s="99"/>
      <c r="F4" s="99"/>
      <c r="G4" s="99"/>
      <c r="H4" s="99"/>
      <c r="I4" s="99"/>
      <c r="J4" s="99"/>
      <c r="K4" s="99"/>
      <c r="L4" s="99"/>
      <c r="M4" s="99"/>
      <c r="N4" s="99"/>
      <c r="O4" s="99"/>
      <c r="P4" s="99"/>
      <c r="Q4" s="99"/>
    </row>
    <row r="5" spans="1:17" ht="15.75" thickBot="1" x14ac:dyDescent="0.3">
      <c r="A5" s="96"/>
      <c r="B5" s="57" t="s">
        <v>3</v>
      </c>
      <c r="C5" s="57" t="s">
        <v>56</v>
      </c>
      <c r="D5" s="97" t="s">
        <v>4</v>
      </c>
      <c r="E5" s="97"/>
      <c r="F5" s="57" t="s">
        <v>57</v>
      </c>
      <c r="G5" s="97" t="s">
        <v>52</v>
      </c>
      <c r="H5" s="97"/>
      <c r="I5" s="97"/>
      <c r="J5" s="97"/>
      <c r="K5" s="1" t="s">
        <v>5</v>
      </c>
      <c r="L5" s="20" t="s">
        <v>51</v>
      </c>
      <c r="M5" s="20" t="s">
        <v>138</v>
      </c>
      <c r="N5" s="20" t="s">
        <v>87</v>
      </c>
      <c r="O5" s="20" t="s">
        <v>88</v>
      </c>
      <c r="P5" s="20" t="s">
        <v>139</v>
      </c>
      <c r="Q5" s="20" t="s">
        <v>140</v>
      </c>
    </row>
    <row r="6" spans="1:17" ht="15.75" thickTop="1" x14ac:dyDescent="0.25">
      <c r="B6" s="36" t="s">
        <v>1</v>
      </c>
      <c r="C6" s="36" t="s">
        <v>59</v>
      </c>
      <c r="D6" s="36" t="s">
        <v>48</v>
      </c>
      <c r="E6" s="36" t="s">
        <v>49</v>
      </c>
      <c r="F6" s="36" t="s">
        <v>60</v>
      </c>
      <c r="G6" s="36">
        <v>1600</v>
      </c>
      <c r="H6" s="36">
        <v>640</v>
      </c>
      <c r="I6" s="47">
        <v>320</v>
      </c>
      <c r="J6" s="47">
        <v>800</v>
      </c>
      <c r="K6" s="36" t="s">
        <v>5</v>
      </c>
      <c r="L6" t="s">
        <v>61</v>
      </c>
      <c r="M6" t="s">
        <v>138</v>
      </c>
      <c r="N6" t="s">
        <v>87</v>
      </c>
      <c r="O6" s="33" t="s">
        <v>88</v>
      </c>
      <c r="P6" s="33" t="s">
        <v>139</v>
      </c>
      <c r="Q6" s="33" t="s">
        <v>140</v>
      </c>
    </row>
    <row r="7" spans="1:17" x14ac:dyDescent="0.25">
      <c r="A7" s="2" t="s">
        <v>6</v>
      </c>
      <c r="I7" s="32"/>
      <c r="J7" s="32"/>
    </row>
    <row r="8" spans="1:17" x14ac:dyDescent="0.25">
      <c r="I8" s="32"/>
      <c r="J8" s="32"/>
    </row>
    <row r="9" spans="1:17" x14ac:dyDescent="0.25">
      <c r="A9" t="s">
        <v>7</v>
      </c>
      <c r="I9" s="32"/>
      <c r="J9" s="32"/>
    </row>
    <row r="10" spans="1:17" x14ac:dyDescent="0.25">
      <c r="A10" s="3" t="s">
        <v>62</v>
      </c>
      <c r="B10" s="4">
        <f>+D10+G10</f>
        <v>112826.33333333333</v>
      </c>
      <c r="C10" s="4">
        <f>D10+E10</f>
        <v>22718.333333333332</v>
      </c>
      <c r="D10" s="4">
        <v>19889</v>
      </c>
      <c r="E10" s="4">
        <v>2829.3333333333335</v>
      </c>
      <c r="F10" s="65">
        <f>SUM(G10:I10)</f>
        <v>111589.99999999999</v>
      </c>
      <c r="G10" s="65">
        <v>92937.333333333328</v>
      </c>
      <c r="H10" s="65">
        <v>2997.3333333333335</v>
      </c>
      <c r="I10" s="65">
        <v>15655.333333333334</v>
      </c>
      <c r="J10" s="73">
        <v>21561.333333333332</v>
      </c>
      <c r="K10" s="4">
        <v>6584.666666666667</v>
      </c>
      <c r="L10" s="5">
        <v>664.66666666666663</v>
      </c>
      <c r="M10" s="73">
        <v>0</v>
      </c>
      <c r="N10" s="5">
        <v>0</v>
      </c>
      <c r="O10" s="5">
        <v>0</v>
      </c>
      <c r="P10" s="5">
        <v>0</v>
      </c>
      <c r="Q10" s="5">
        <v>0</v>
      </c>
    </row>
    <row r="11" spans="1:17" x14ac:dyDescent="0.25">
      <c r="A11" s="26" t="s">
        <v>37</v>
      </c>
      <c r="B11" s="4">
        <f t="shared" ref="B11:B16" si="0">+D11+G11</f>
        <v>93928</v>
      </c>
      <c r="C11" s="4">
        <f t="shared" ref="C11:C16" si="1">D11+E11</f>
        <v>17610.666666666668</v>
      </c>
      <c r="D11" s="4">
        <v>14781.333333333334</v>
      </c>
      <c r="E11" s="4">
        <v>2829.3333333333335</v>
      </c>
      <c r="F11" s="4">
        <f>SUM(G11:I11)</f>
        <v>97799.333333333328</v>
      </c>
      <c r="G11" s="4">
        <v>79146.666666666672</v>
      </c>
      <c r="H11" s="4">
        <v>2997.3333333333335</v>
      </c>
      <c r="I11" s="4">
        <v>15655.333333333334</v>
      </c>
      <c r="J11" s="5">
        <v>21561.333333333332</v>
      </c>
      <c r="K11" s="4">
        <v>6584.666666666667</v>
      </c>
      <c r="L11" s="5">
        <v>664.66666666666663</v>
      </c>
      <c r="M11" s="73">
        <v>0</v>
      </c>
      <c r="N11" s="5">
        <v>0</v>
      </c>
      <c r="O11" s="5">
        <v>0</v>
      </c>
      <c r="P11" s="5">
        <v>0</v>
      </c>
      <c r="Q11" s="5">
        <v>0</v>
      </c>
    </row>
    <row r="12" spans="1:17" x14ac:dyDescent="0.25">
      <c r="A12" s="3" t="s">
        <v>91</v>
      </c>
      <c r="B12" s="4">
        <f t="shared" si="0"/>
        <v>129174.33333333333</v>
      </c>
      <c r="C12" s="4">
        <f t="shared" si="1"/>
        <v>40058</v>
      </c>
      <c r="D12" s="8">
        <v>33953</v>
      </c>
      <c r="E12" s="4">
        <v>6105</v>
      </c>
      <c r="F12" s="4">
        <f>SUM(G12:I12)</f>
        <v>129174.33333333333</v>
      </c>
      <c r="G12" s="4">
        <v>95221.333333333328</v>
      </c>
      <c r="H12" s="4">
        <v>5318.333333333333</v>
      </c>
      <c r="I12" s="5">
        <v>28634.666666666668</v>
      </c>
      <c r="J12" s="5">
        <v>31031</v>
      </c>
      <c r="K12" s="4">
        <v>8970</v>
      </c>
      <c r="L12" s="5">
        <v>1197</v>
      </c>
      <c r="M12" s="73">
        <v>0</v>
      </c>
      <c r="N12" s="5">
        <v>0</v>
      </c>
      <c r="O12" s="5">
        <v>0</v>
      </c>
      <c r="P12" s="5">
        <v>0</v>
      </c>
      <c r="Q12" s="5">
        <v>0</v>
      </c>
    </row>
    <row r="13" spans="1:17" x14ac:dyDescent="0.25">
      <c r="A13" s="26" t="s">
        <v>37</v>
      </c>
      <c r="B13" s="4">
        <f t="shared" si="0"/>
        <v>120739.33333333333</v>
      </c>
      <c r="C13" s="4">
        <f t="shared" si="1"/>
        <v>31623</v>
      </c>
      <c r="D13" s="8">
        <v>25518</v>
      </c>
      <c r="E13" s="4">
        <v>6105</v>
      </c>
      <c r="F13" s="4">
        <f>SUM(G13:I13)</f>
        <v>129174.33333333333</v>
      </c>
      <c r="G13" s="4">
        <v>95221.333333333328</v>
      </c>
      <c r="H13" s="4">
        <v>5318.333333333333</v>
      </c>
      <c r="I13" s="5">
        <v>28634.666666666668</v>
      </c>
      <c r="J13" s="5">
        <v>31031</v>
      </c>
      <c r="K13" s="4">
        <v>8970</v>
      </c>
      <c r="L13" s="5">
        <v>1197</v>
      </c>
      <c r="M13" s="73">
        <v>0</v>
      </c>
      <c r="N13" s="5">
        <v>0</v>
      </c>
      <c r="O13" s="5">
        <v>0</v>
      </c>
      <c r="P13" s="5">
        <v>0</v>
      </c>
      <c r="Q13" s="5">
        <v>0</v>
      </c>
    </row>
    <row r="14" spans="1:17" ht="20.25" customHeight="1" x14ac:dyDescent="0.25">
      <c r="A14" s="3" t="s">
        <v>92</v>
      </c>
      <c r="B14" s="4">
        <f t="shared" si="0"/>
        <v>111853</v>
      </c>
      <c r="C14" s="4">
        <f t="shared" si="1"/>
        <v>22239.333333333336</v>
      </c>
      <c r="D14" s="5">
        <v>19401.666666666668</v>
      </c>
      <c r="E14" s="4">
        <v>2837.6666666666665</v>
      </c>
      <c r="F14" s="4">
        <f t="shared" ref="F14:F15" si="2">SUM(G14:I14)</f>
        <v>110398.33333333333</v>
      </c>
      <c r="G14" s="4">
        <v>92451.333333333328</v>
      </c>
      <c r="H14" s="4">
        <v>2851.6666666666665</v>
      </c>
      <c r="I14" s="5">
        <v>15095.333333333334</v>
      </c>
      <c r="J14" s="5">
        <v>22643</v>
      </c>
      <c r="K14" s="4">
        <v>5659.666666666667</v>
      </c>
      <c r="L14" s="5">
        <v>1307</v>
      </c>
      <c r="M14" s="73">
        <v>0</v>
      </c>
      <c r="N14" s="5">
        <v>0</v>
      </c>
      <c r="O14" s="5">
        <v>0</v>
      </c>
      <c r="P14" s="5">
        <v>0</v>
      </c>
      <c r="Q14" s="5">
        <v>0</v>
      </c>
    </row>
    <row r="15" spans="1:17" x14ac:dyDescent="0.25">
      <c r="A15" s="26" t="s">
        <v>37</v>
      </c>
      <c r="B15" s="4">
        <f t="shared" si="0"/>
        <v>93883</v>
      </c>
      <c r="C15" s="4">
        <f t="shared" si="1"/>
        <v>17021</v>
      </c>
      <c r="D15" s="4">
        <v>14183.333333333334</v>
      </c>
      <c r="E15" s="4">
        <v>2837.6666666666665</v>
      </c>
      <c r="F15" s="4">
        <f t="shared" si="2"/>
        <v>97646.666666666672</v>
      </c>
      <c r="G15" s="4">
        <v>79699.666666666672</v>
      </c>
      <c r="H15" s="4">
        <v>2851.6666666666665</v>
      </c>
      <c r="I15" s="5">
        <v>15095.333333333334</v>
      </c>
      <c r="J15" s="5">
        <v>22643</v>
      </c>
      <c r="K15" s="4">
        <v>5659.666666666667</v>
      </c>
      <c r="L15" s="5">
        <v>1307</v>
      </c>
      <c r="M15" s="73">
        <v>0</v>
      </c>
      <c r="N15" s="5">
        <v>0</v>
      </c>
      <c r="O15" s="5">
        <v>0</v>
      </c>
      <c r="P15" s="5">
        <v>0</v>
      </c>
      <c r="Q15" s="5">
        <v>0</v>
      </c>
    </row>
    <row r="16" spans="1:17" x14ac:dyDescent="0.25">
      <c r="A16" s="3" t="s">
        <v>93</v>
      </c>
      <c r="B16" s="4">
        <f t="shared" si="0"/>
        <v>135046.41666666666</v>
      </c>
      <c r="C16" s="4">
        <f t="shared" si="1"/>
        <v>41601.666666666664</v>
      </c>
      <c r="D16" s="4">
        <v>35496.666666666664</v>
      </c>
      <c r="E16" s="4">
        <v>6105</v>
      </c>
      <c r="F16" s="4">
        <f>SUM(G16:I16)</f>
        <v>135046.41666666666</v>
      </c>
      <c r="G16" s="4">
        <v>99549.75</v>
      </c>
      <c r="H16" s="4">
        <v>5560.25</v>
      </c>
      <c r="I16" s="5">
        <v>29936.416666666668</v>
      </c>
      <c r="J16" s="5">
        <v>32441.5</v>
      </c>
      <c r="K16" s="4">
        <v>8970</v>
      </c>
      <c r="L16" s="5">
        <v>1795</v>
      </c>
      <c r="M16" s="73">
        <v>20000</v>
      </c>
      <c r="N16" s="5">
        <v>0</v>
      </c>
      <c r="O16" s="5">
        <v>0</v>
      </c>
      <c r="P16" s="4">
        <v>0</v>
      </c>
      <c r="Q16" s="4">
        <v>0</v>
      </c>
    </row>
    <row r="17" spans="1:17" x14ac:dyDescent="0.25">
      <c r="I17" s="5"/>
      <c r="J17" s="5"/>
      <c r="Q17" s="77"/>
    </row>
    <row r="18" spans="1:17" x14ac:dyDescent="0.25">
      <c r="A18" s="6" t="s">
        <v>8</v>
      </c>
      <c r="I18" s="5"/>
      <c r="J18" s="5"/>
      <c r="M18" s="41"/>
    </row>
    <row r="19" spans="1:17" x14ac:dyDescent="0.25">
      <c r="A19" s="3" t="s">
        <v>62</v>
      </c>
      <c r="B19" s="4">
        <f>C19+F19+K19+L19+M19+N19</f>
        <v>2128775858</v>
      </c>
      <c r="C19" s="40">
        <v>1100750448</v>
      </c>
      <c r="D19" s="40"/>
      <c r="E19" s="40"/>
      <c r="F19" s="40">
        <v>744359364</v>
      </c>
      <c r="G19" s="40"/>
      <c r="H19" s="40"/>
      <c r="I19" s="40"/>
      <c r="J19" s="40"/>
      <c r="K19" s="4">
        <v>241667289</v>
      </c>
      <c r="L19" s="4">
        <v>41998757</v>
      </c>
      <c r="M19" s="65">
        <v>0</v>
      </c>
      <c r="N19" s="5">
        <v>0</v>
      </c>
      <c r="O19" s="5">
        <v>0</v>
      </c>
      <c r="P19" s="5">
        <v>0</v>
      </c>
      <c r="Q19" s="4">
        <v>0</v>
      </c>
    </row>
    <row r="20" spans="1:17" x14ac:dyDescent="0.25">
      <c r="A20" s="61" t="s">
        <v>91</v>
      </c>
      <c r="B20" s="4">
        <f>C20+F20+K20+L20+M20+N20</f>
        <v>4782249021.8800001</v>
      </c>
      <c r="C20" s="4">
        <f>+D20+E20</f>
        <v>1593773275</v>
      </c>
      <c r="D20" s="40">
        <v>1580128600</v>
      </c>
      <c r="E20" s="40">
        <v>13644675</v>
      </c>
      <c r="F20" s="40">
        <v>1861975142.8800004</v>
      </c>
      <c r="G20" s="40"/>
      <c r="H20" s="40"/>
      <c r="I20" s="40"/>
      <c r="J20" s="40"/>
      <c r="K20" s="4">
        <v>835663140</v>
      </c>
      <c r="L20" s="5">
        <v>490837464</v>
      </c>
      <c r="M20" s="65">
        <v>0</v>
      </c>
      <c r="N20" s="5">
        <v>0</v>
      </c>
      <c r="O20" s="5">
        <v>0</v>
      </c>
      <c r="P20" s="5">
        <v>0</v>
      </c>
      <c r="Q20" s="4">
        <v>0</v>
      </c>
    </row>
    <row r="21" spans="1:17" x14ac:dyDescent="0.25">
      <c r="A21" s="3" t="s">
        <v>92</v>
      </c>
      <c r="B21" s="4">
        <f>C21+F21+K21+L21+M21+N21</f>
        <v>1265603566</v>
      </c>
      <c r="C21" s="40">
        <v>1183770267</v>
      </c>
      <c r="D21" s="40"/>
      <c r="E21" s="40"/>
      <c r="F21" s="40">
        <v>0</v>
      </c>
      <c r="G21" s="40"/>
      <c r="H21" s="40"/>
      <c r="I21" s="40"/>
      <c r="J21" s="40"/>
      <c r="K21" s="40">
        <v>0</v>
      </c>
      <c r="L21" s="4">
        <v>81833299</v>
      </c>
      <c r="M21" s="65">
        <v>0</v>
      </c>
      <c r="N21" s="5">
        <v>0</v>
      </c>
      <c r="O21" s="5">
        <v>0</v>
      </c>
      <c r="P21" s="5">
        <v>0</v>
      </c>
      <c r="Q21" s="4">
        <v>0</v>
      </c>
    </row>
    <row r="22" spans="1:17" x14ac:dyDescent="0.25">
      <c r="A22" s="3" t="s">
        <v>93</v>
      </c>
      <c r="B22" s="4">
        <f>C22+F22+K22+L22+M22+N22</f>
        <v>20552988127.360001</v>
      </c>
      <c r="C22" s="4">
        <f>+D22+E22</f>
        <v>6662458000</v>
      </c>
      <c r="D22" s="40">
        <v>6607879300</v>
      </c>
      <c r="E22" s="40">
        <v>54578700</v>
      </c>
      <c r="F22" s="40">
        <v>7786459015.3600025</v>
      </c>
      <c r="G22" s="40"/>
      <c r="H22" s="40"/>
      <c r="I22" s="40"/>
      <c r="J22" s="40"/>
      <c r="K22" s="4">
        <v>3342652560</v>
      </c>
      <c r="L22" s="5">
        <v>2699606052</v>
      </c>
      <c r="M22" s="65">
        <v>31812500</v>
      </c>
      <c r="N22" s="71">
        <v>30000000</v>
      </c>
      <c r="O22" s="71">
        <v>0</v>
      </c>
      <c r="P22" s="71">
        <v>0</v>
      </c>
      <c r="Q22" s="4">
        <v>0</v>
      </c>
    </row>
    <row r="23" spans="1:17" x14ac:dyDescent="0.25">
      <c r="A23" s="3" t="s">
        <v>94</v>
      </c>
      <c r="B23" s="4">
        <f>C23+F23+K23+L23+M23+N23</f>
        <v>1265603566</v>
      </c>
      <c r="C23" s="4">
        <f>C21</f>
        <v>1183770267</v>
      </c>
      <c r="D23" s="40"/>
      <c r="E23" s="40"/>
      <c r="F23" s="40">
        <f>F21</f>
        <v>0</v>
      </c>
      <c r="G23" s="40"/>
      <c r="H23" s="40"/>
      <c r="I23" s="40"/>
      <c r="J23" s="40"/>
      <c r="K23" s="4">
        <f>K21</f>
        <v>0</v>
      </c>
      <c r="L23" s="4">
        <f>L21</f>
        <v>81833299</v>
      </c>
      <c r="M23" s="65">
        <f>M21</f>
        <v>0</v>
      </c>
      <c r="N23" s="65">
        <f t="shared" ref="N23:P23" si="3">N21</f>
        <v>0</v>
      </c>
      <c r="O23" s="65">
        <f t="shared" si="3"/>
        <v>0</v>
      </c>
      <c r="P23" s="65">
        <f t="shared" si="3"/>
        <v>0</v>
      </c>
      <c r="Q23" s="4">
        <v>0</v>
      </c>
    </row>
    <row r="24" spans="1:17" x14ac:dyDescent="0.25">
      <c r="B24" s="4"/>
      <c r="C24" s="4"/>
      <c r="D24" s="4"/>
      <c r="E24" s="4"/>
      <c r="F24" s="4"/>
      <c r="G24" s="4"/>
      <c r="H24" s="4"/>
      <c r="I24" s="5"/>
      <c r="J24" s="5"/>
      <c r="K24" s="4"/>
    </row>
    <row r="25" spans="1:17" x14ac:dyDescent="0.25">
      <c r="A25" s="7" t="s">
        <v>9</v>
      </c>
      <c r="B25" s="8"/>
      <c r="C25" s="8"/>
      <c r="D25" s="8"/>
      <c r="E25" s="8"/>
      <c r="F25" s="8"/>
      <c r="G25" s="8"/>
      <c r="H25" s="8"/>
      <c r="I25" s="8"/>
      <c r="J25" s="8"/>
      <c r="K25" s="8"/>
      <c r="L25" s="8"/>
    </row>
    <row r="26" spans="1:17" x14ac:dyDescent="0.25">
      <c r="A26" s="9" t="s">
        <v>91</v>
      </c>
      <c r="B26" s="8">
        <f>B20</f>
        <v>4782249021.8800001</v>
      </c>
      <c r="C26" s="8"/>
      <c r="D26" s="8"/>
      <c r="E26" s="8"/>
      <c r="F26" s="8"/>
      <c r="G26" s="8"/>
      <c r="H26" s="8"/>
      <c r="I26" s="8"/>
      <c r="J26" s="8"/>
      <c r="K26" s="8"/>
      <c r="L26" s="8"/>
    </row>
    <row r="27" spans="1:17" x14ac:dyDescent="0.25">
      <c r="A27" s="9" t="s">
        <v>92</v>
      </c>
      <c r="B27" s="8">
        <v>2084610739</v>
      </c>
      <c r="C27" s="8"/>
      <c r="D27" s="53"/>
      <c r="E27" s="8"/>
      <c r="F27" s="8"/>
      <c r="G27" s="8"/>
      <c r="H27" s="8"/>
      <c r="I27" s="8"/>
      <c r="J27" s="8"/>
      <c r="K27" s="8"/>
      <c r="L27" s="8"/>
    </row>
    <row r="28" spans="1:17" x14ac:dyDescent="0.25">
      <c r="I28" s="32"/>
      <c r="J28" s="32"/>
    </row>
    <row r="29" spans="1:17" x14ac:dyDescent="0.25">
      <c r="A29" t="s">
        <v>10</v>
      </c>
      <c r="I29" s="32"/>
      <c r="J29" s="32"/>
    </row>
    <row r="30" spans="1:17" x14ac:dyDescent="0.25">
      <c r="A30" s="10" t="s">
        <v>63</v>
      </c>
      <c r="B30" s="11">
        <v>0.96</v>
      </c>
      <c r="C30" s="11">
        <v>0.96</v>
      </c>
      <c r="D30" s="11">
        <v>0.96</v>
      </c>
      <c r="E30" s="11">
        <v>0.96</v>
      </c>
      <c r="F30" s="11">
        <v>0.96</v>
      </c>
      <c r="G30" s="11">
        <v>0.96</v>
      </c>
      <c r="H30" s="11">
        <v>0.96</v>
      </c>
      <c r="I30" s="11">
        <v>0.96</v>
      </c>
      <c r="J30" s="11">
        <v>0.96</v>
      </c>
      <c r="K30" s="11">
        <v>0.96</v>
      </c>
      <c r="L30" s="11">
        <v>0.96</v>
      </c>
      <c r="M30" s="11">
        <v>0.96</v>
      </c>
      <c r="N30" s="11">
        <v>0.96</v>
      </c>
      <c r="O30" s="11">
        <v>0.96</v>
      </c>
      <c r="P30" s="11">
        <v>0.96</v>
      </c>
      <c r="Q30" s="11">
        <v>0.96</v>
      </c>
    </row>
    <row r="31" spans="1:17" x14ac:dyDescent="0.25">
      <c r="A31" s="10" t="s">
        <v>95</v>
      </c>
      <c r="B31" s="11">
        <v>1</v>
      </c>
      <c r="C31" s="11">
        <v>1</v>
      </c>
      <c r="D31" s="11">
        <v>1</v>
      </c>
      <c r="E31" s="11">
        <v>1</v>
      </c>
      <c r="F31" s="11">
        <v>1</v>
      </c>
      <c r="G31" s="11">
        <v>1</v>
      </c>
      <c r="H31" s="11">
        <v>1</v>
      </c>
      <c r="I31" s="11">
        <v>1</v>
      </c>
      <c r="J31" s="11">
        <v>1</v>
      </c>
      <c r="K31" s="11">
        <v>1</v>
      </c>
      <c r="L31" s="11">
        <v>1</v>
      </c>
      <c r="M31" s="11">
        <v>1</v>
      </c>
      <c r="N31" s="11">
        <v>1</v>
      </c>
      <c r="O31" s="11">
        <v>1</v>
      </c>
      <c r="P31" s="11">
        <v>1</v>
      </c>
      <c r="Q31" s="11">
        <v>1</v>
      </c>
    </row>
    <row r="32" spans="1:17" x14ac:dyDescent="0.25">
      <c r="A32" s="3" t="s">
        <v>11</v>
      </c>
      <c r="B32" s="4">
        <v>126642</v>
      </c>
      <c r="C32" s="4">
        <v>126642</v>
      </c>
      <c r="D32" s="4">
        <v>126642</v>
      </c>
      <c r="E32" s="4">
        <v>126642</v>
      </c>
      <c r="F32" s="4">
        <v>126642</v>
      </c>
      <c r="G32" s="4">
        <v>126642</v>
      </c>
      <c r="H32" s="4">
        <v>126642</v>
      </c>
      <c r="I32" s="4">
        <v>126642</v>
      </c>
      <c r="J32" s="4">
        <v>126642</v>
      </c>
      <c r="K32" s="4">
        <v>126642</v>
      </c>
      <c r="L32" s="4">
        <v>126642</v>
      </c>
      <c r="M32" s="4">
        <v>126642</v>
      </c>
      <c r="N32" s="4">
        <v>126642</v>
      </c>
      <c r="O32" s="4">
        <v>126642</v>
      </c>
      <c r="P32" s="4">
        <v>126642</v>
      </c>
      <c r="Q32" s="4">
        <v>126642</v>
      </c>
    </row>
    <row r="33" spans="1:17" x14ac:dyDescent="0.25">
      <c r="E33" s="33"/>
      <c r="F33" s="33"/>
      <c r="I33" s="32"/>
      <c r="J33" s="32"/>
    </row>
    <row r="34" spans="1:17" x14ac:dyDescent="0.25">
      <c r="A34" s="12" t="s">
        <v>12</v>
      </c>
      <c r="B34" s="13"/>
      <c r="C34" s="13"/>
      <c r="D34" s="51"/>
      <c r="E34" s="51"/>
      <c r="F34" s="51"/>
      <c r="G34" s="94"/>
      <c r="H34" s="94"/>
      <c r="I34" s="94"/>
      <c r="J34" s="94"/>
      <c r="K34" s="13"/>
      <c r="L34" s="13"/>
      <c r="M34" s="13"/>
      <c r="N34" s="13"/>
    </row>
    <row r="35" spans="1:17" x14ac:dyDescent="0.25">
      <c r="A35" s="13" t="s">
        <v>64</v>
      </c>
      <c r="B35" s="14">
        <f>B19/B30</f>
        <v>2217474852.0833335</v>
      </c>
      <c r="C35" s="50">
        <f>C19/C30</f>
        <v>1146615050</v>
      </c>
      <c r="D35" s="50"/>
      <c r="E35" s="50"/>
      <c r="F35" s="50">
        <f>F19/F30</f>
        <v>775374337.5</v>
      </c>
      <c r="G35" s="50"/>
      <c r="H35" s="50"/>
      <c r="I35" s="50"/>
      <c r="J35" s="50"/>
      <c r="K35" s="14">
        <f t="shared" ref="K35" si="4">K19/K30</f>
        <v>251736759.375</v>
      </c>
      <c r="L35" s="14">
        <f t="shared" ref="L35:Q35" si="5">L19/L30</f>
        <v>43748705.208333336</v>
      </c>
      <c r="M35" s="14">
        <f t="shared" si="5"/>
        <v>0</v>
      </c>
      <c r="N35" s="14">
        <f t="shared" si="5"/>
        <v>0</v>
      </c>
      <c r="O35" s="14">
        <f t="shared" si="5"/>
        <v>0</v>
      </c>
      <c r="P35" s="14">
        <f t="shared" si="5"/>
        <v>0</v>
      </c>
      <c r="Q35" s="14">
        <f t="shared" si="5"/>
        <v>0</v>
      </c>
    </row>
    <row r="36" spans="1:17" x14ac:dyDescent="0.25">
      <c r="A36" s="13" t="s">
        <v>96</v>
      </c>
      <c r="B36" s="14">
        <f>B21/B31</f>
        <v>1265603566</v>
      </c>
      <c r="C36" s="50">
        <f>C21/C31</f>
        <v>1183770267</v>
      </c>
      <c r="D36" s="50"/>
      <c r="E36" s="50"/>
      <c r="F36" s="50">
        <f>F21/F31</f>
        <v>0</v>
      </c>
      <c r="G36" s="50"/>
      <c r="H36" s="50"/>
      <c r="I36" s="50"/>
      <c r="J36" s="50"/>
      <c r="K36" s="14">
        <f>K21/K31</f>
        <v>0</v>
      </c>
      <c r="L36" s="14">
        <f>L21/L31</f>
        <v>81833299</v>
      </c>
      <c r="M36" s="14">
        <f t="shared" ref="M36:Q36" si="6">M21/M31</f>
        <v>0</v>
      </c>
      <c r="N36" s="14">
        <f t="shared" si="6"/>
        <v>0</v>
      </c>
      <c r="O36" s="14">
        <f t="shared" si="6"/>
        <v>0</v>
      </c>
      <c r="P36" s="14">
        <f t="shared" si="6"/>
        <v>0</v>
      </c>
      <c r="Q36" s="14">
        <f t="shared" si="6"/>
        <v>0</v>
      </c>
    </row>
    <row r="37" spans="1:17" x14ac:dyDescent="0.25">
      <c r="A37" s="13" t="s">
        <v>65</v>
      </c>
      <c r="B37" s="14">
        <f>B35/B10</f>
        <v>19653.876773005122</v>
      </c>
      <c r="C37" s="50">
        <f>C35/C10</f>
        <v>50470.914092876534</v>
      </c>
      <c r="D37" s="50"/>
      <c r="E37" s="50"/>
      <c r="F37" s="50">
        <f>F35/F10</f>
        <v>6948.4213415180584</v>
      </c>
      <c r="G37" s="50"/>
      <c r="H37" s="50"/>
      <c r="I37" s="50"/>
      <c r="J37" s="50"/>
      <c r="K37" s="14">
        <f>K35/K10</f>
        <v>38230.752157790826</v>
      </c>
      <c r="L37" s="14">
        <f>L35/L10</f>
        <v>65820.519370611844</v>
      </c>
      <c r="M37" s="14" t="e">
        <f t="shared" ref="M37:Q37" si="7">M35/M10</f>
        <v>#DIV/0!</v>
      </c>
      <c r="N37" s="14" t="e">
        <f t="shared" si="7"/>
        <v>#DIV/0!</v>
      </c>
      <c r="O37" s="14" t="e">
        <f t="shared" si="7"/>
        <v>#DIV/0!</v>
      </c>
      <c r="P37" s="14" t="e">
        <f t="shared" si="7"/>
        <v>#DIV/0!</v>
      </c>
      <c r="Q37" s="14" t="e">
        <f t="shared" si="7"/>
        <v>#DIV/0!</v>
      </c>
    </row>
    <row r="38" spans="1:17" x14ac:dyDescent="0.25">
      <c r="A38" s="13" t="s">
        <v>97</v>
      </c>
      <c r="B38" s="14">
        <f>B36/B14</f>
        <v>11314.882622728044</v>
      </c>
      <c r="C38" s="50">
        <f>C36/C14</f>
        <v>53228.675934530409</v>
      </c>
      <c r="D38" s="50"/>
      <c r="E38" s="50"/>
      <c r="F38" s="50">
        <f>F36/F14</f>
        <v>0</v>
      </c>
      <c r="G38" s="50"/>
      <c r="H38" s="50"/>
      <c r="I38" s="50"/>
      <c r="J38" s="50"/>
      <c r="K38" s="34">
        <f>K36/K14</f>
        <v>0</v>
      </c>
      <c r="L38" s="34">
        <f>L36/L14</f>
        <v>62611.552410099466</v>
      </c>
      <c r="M38" s="34" t="e">
        <f t="shared" ref="M38:Q38" si="8">M36/M14</f>
        <v>#DIV/0!</v>
      </c>
      <c r="N38" s="34" t="e">
        <f t="shared" si="8"/>
        <v>#DIV/0!</v>
      </c>
      <c r="O38" s="34" t="e">
        <f t="shared" si="8"/>
        <v>#DIV/0!</v>
      </c>
      <c r="P38" s="34" t="e">
        <f t="shared" si="8"/>
        <v>#DIV/0!</v>
      </c>
      <c r="Q38" s="34" t="e">
        <f t="shared" si="8"/>
        <v>#DIV/0!</v>
      </c>
    </row>
    <row r="39" spans="1:17" x14ac:dyDescent="0.25">
      <c r="I39" s="32"/>
      <c r="J39" s="32"/>
    </row>
    <row r="40" spans="1:17" x14ac:dyDescent="0.25">
      <c r="A40" s="2" t="s">
        <v>13</v>
      </c>
      <c r="I40" s="32"/>
      <c r="J40" s="32"/>
    </row>
    <row r="41" spans="1:17" x14ac:dyDescent="0.25">
      <c r="I41" s="32"/>
      <c r="J41" s="32"/>
    </row>
    <row r="42" spans="1:17" x14ac:dyDescent="0.25">
      <c r="A42" t="s">
        <v>14</v>
      </c>
      <c r="I42" s="32"/>
      <c r="J42" s="32"/>
    </row>
    <row r="43" spans="1:17" x14ac:dyDescent="0.25">
      <c r="A43" t="s">
        <v>15</v>
      </c>
      <c r="B43" s="17">
        <f>(B13/B32)*100</f>
        <v>95.339092349562804</v>
      </c>
      <c r="C43" s="17">
        <f t="shared" ref="C43:Q43" si="9">(C13/C32)*100</f>
        <v>24.970388970483725</v>
      </c>
      <c r="D43" s="17">
        <f t="shared" si="9"/>
        <v>20.14971336523428</v>
      </c>
      <c r="E43" s="17">
        <f t="shared" si="9"/>
        <v>4.8206756052494439</v>
      </c>
      <c r="F43" s="17">
        <f t="shared" si="9"/>
        <v>101.99959992209008</v>
      </c>
      <c r="G43" s="17">
        <f t="shared" si="9"/>
        <v>75.189378984328528</v>
      </c>
      <c r="H43" s="17">
        <f t="shared" si="9"/>
        <v>4.1995020082858234</v>
      </c>
      <c r="I43" s="17">
        <f t="shared" si="9"/>
        <v>22.610718929475741</v>
      </c>
      <c r="J43" s="17">
        <f>(J13/J32)*100</f>
        <v>24.502929517853477</v>
      </c>
      <c r="K43" s="17">
        <f t="shared" si="9"/>
        <v>7.0829582602927932</v>
      </c>
      <c r="L43" s="17">
        <f t="shared" si="9"/>
        <v>0.94518406215947315</v>
      </c>
      <c r="M43" s="17">
        <f t="shared" si="9"/>
        <v>0</v>
      </c>
      <c r="N43" s="17">
        <f t="shared" si="9"/>
        <v>0</v>
      </c>
      <c r="O43" s="17">
        <f t="shared" si="9"/>
        <v>0</v>
      </c>
      <c r="P43" s="17">
        <f t="shared" si="9"/>
        <v>0</v>
      </c>
      <c r="Q43" s="17">
        <f t="shared" si="9"/>
        <v>0</v>
      </c>
    </row>
    <row r="44" spans="1:17" x14ac:dyDescent="0.25">
      <c r="A44" t="s">
        <v>16</v>
      </c>
      <c r="B44" s="17">
        <f>(B15/B32)*100</f>
        <v>74.132594242036603</v>
      </c>
      <c r="C44" s="17">
        <f t="shared" ref="C44:Q44" si="10">(C15/C32)*100</f>
        <v>13.440248890573429</v>
      </c>
      <c r="D44" s="17">
        <f t="shared" si="10"/>
        <v>11.199549385933052</v>
      </c>
      <c r="E44" s="17">
        <f t="shared" si="10"/>
        <v>2.2406995046403773</v>
      </c>
      <c r="F44" s="17">
        <f t="shared" si="10"/>
        <v>77.104488768865522</v>
      </c>
      <c r="G44" s="17">
        <f t="shared" si="10"/>
        <v>62.933044856103557</v>
      </c>
      <c r="H44" s="17">
        <f t="shared" si="10"/>
        <v>2.2517542889931197</v>
      </c>
      <c r="I44" s="17">
        <f t="shared" si="10"/>
        <v>11.919689623768839</v>
      </c>
      <c r="J44" s="17">
        <f t="shared" si="10"/>
        <v>17.879534435653259</v>
      </c>
      <c r="K44" s="17">
        <f t="shared" si="10"/>
        <v>4.4690281791717332</v>
      </c>
      <c r="L44" s="17">
        <f t="shared" si="10"/>
        <v>1.0320430820738775</v>
      </c>
      <c r="M44" s="17">
        <f t="shared" si="10"/>
        <v>0</v>
      </c>
      <c r="N44" s="17">
        <f t="shared" si="10"/>
        <v>0</v>
      </c>
      <c r="O44" s="17">
        <f t="shared" si="10"/>
        <v>0</v>
      </c>
      <c r="P44" s="17">
        <f t="shared" si="10"/>
        <v>0</v>
      </c>
      <c r="Q44" s="17">
        <f t="shared" si="10"/>
        <v>0</v>
      </c>
    </row>
    <row r="45" spans="1:17" x14ac:dyDescent="0.25">
      <c r="I45" s="32"/>
      <c r="J45" s="32"/>
    </row>
    <row r="46" spans="1:17" x14ac:dyDescent="0.25">
      <c r="A46" t="s">
        <v>17</v>
      </c>
      <c r="I46" s="32"/>
      <c r="J46" s="32"/>
    </row>
    <row r="47" spans="1:17" x14ac:dyDescent="0.25">
      <c r="A47" t="s">
        <v>18</v>
      </c>
      <c r="B47" s="15">
        <f>B14/B12*100</f>
        <v>86.590731388846592</v>
      </c>
      <c r="C47" s="15">
        <f t="shared" ref="C47:Q47" si="11">C14/C12*100</f>
        <v>55.517832476242788</v>
      </c>
      <c r="D47" s="15">
        <f t="shared" si="11"/>
        <v>57.142716892959875</v>
      </c>
      <c r="E47" s="15">
        <f t="shared" si="11"/>
        <v>46.481026481026475</v>
      </c>
      <c r="F47" s="15">
        <f t="shared" si="11"/>
        <v>85.464604681528584</v>
      </c>
      <c r="G47" s="15">
        <f t="shared" si="11"/>
        <v>97.090988013890438</v>
      </c>
      <c r="H47" s="15">
        <f t="shared" si="11"/>
        <v>53.619554998433095</v>
      </c>
      <c r="I47" s="15">
        <f t="shared" si="11"/>
        <v>52.716986403427079</v>
      </c>
      <c r="J47" s="15">
        <f t="shared" si="11"/>
        <v>72.968966517353621</v>
      </c>
      <c r="K47" s="15">
        <f t="shared" si="11"/>
        <v>63.095503530286145</v>
      </c>
      <c r="L47" s="15">
        <f t="shared" si="11"/>
        <v>109.18964076858815</v>
      </c>
      <c r="M47" s="15" t="e">
        <f t="shared" si="11"/>
        <v>#DIV/0!</v>
      </c>
      <c r="N47" s="15" t="e">
        <f t="shared" si="11"/>
        <v>#DIV/0!</v>
      </c>
      <c r="O47" s="15" t="e">
        <f t="shared" si="11"/>
        <v>#DIV/0!</v>
      </c>
      <c r="P47" s="15" t="e">
        <f t="shared" si="11"/>
        <v>#DIV/0!</v>
      </c>
      <c r="Q47" s="15" t="e">
        <f t="shared" si="11"/>
        <v>#DIV/0!</v>
      </c>
    </row>
    <row r="48" spans="1:17" x14ac:dyDescent="0.25">
      <c r="A48" t="s">
        <v>19</v>
      </c>
      <c r="B48" s="15">
        <f>B21/B20*100</f>
        <v>26.464610274570465</v>
      </c>
      <c r="C48" s="15">
        <f>C21/C20*100</f>
        <v>74.274696756977548</v>
      </c>
      <c r="D48" s="15"/>
      <c r="E48" s="15"/>
      <c r="F48" s="58">
        <f>F21/F20*100</f>
        <v>0</v>
      </c>
      <c r="G48" s="58"/>
      <c r="H48" s="58"/>
      <c r="I48" s="58"/>
      <c r="J48" s="58"/>
      <c r="K48" s="15">
        <f>K21/K20*100</f>
        <v>0</v>
      </c>
      <c r="L48" s="15">
        <f>L21/L20*100</f>
        <v>16.672178674609075</v>
      </c>
      <c r="M48" s="15" t="e">
        <f t="shared" ref="M48:Q48" si="12">M21/M20*100</f>
        <v>#DIV/0!</v>
      </c>
      <c r="N48" s="15" t="e">
        <f t="shared" si="12"/>
        <v>#DIV/0!</v>
      </c>
      <c r="O48" s="15" t="e">
        <f t="shared" si="12"/>
        <v>#DIV/0!</v>
      </c>
      <c r="P48" s="15" t="e">
        <f t="shared" si="12"/>
        <v>#DIV/0!</v>
      </c>
      <c r="Q48" s="15" t="e">
        <f t="shared" si="12"/>
        <v>#DIV/0!</v>
      </c>
    </row>
    <row r="49" spans="1:17" x14ac:dyDescent="0.25">
      <c r="A49" s="13" t="s">
        <v>20</v>
      </c>
      <c r="B49" s="16">
        <f>AVERAGE(B47:B48)</f>
        <v>56.527670831708527</v>
      </c>
      <c r="C49" s="16">
        <f t="shared" ref="C49:K49" si="13">AVERAGE(C47:C48)</f>
        <v>64.896264616610168</v>
      </c>
      <c r="D49" s="16"/>
      <c r="E49" s="16"/>
      <c r="F49" s="59">
        <f>AVERAGE(F47:F48)</f>
        <v>42.732302340764292</v>
      </c>
      <c r="G49" s="59"/>
      <c r="H49" s="59"/>
      <c r="I49" s="59"/>
      <c r="J49" s="59"/>
      <c r="K49" s="16">
        <f t="shared" si="13"/>
        <v>31.547751765143072</v>
      </c>
      <c r="L49" s="16">
        <f t="shared" ref="L49:Q49" si="14">AVERAGE(L47:L48)</f>
        <v>62.93090972159861</v>
      </c>
      <c r="M49" s="16" t="e">
        <f t="shared" si="14"/>
        <v>#DIV/0!</v>
      </c>
      <c r="N49" s="16" t="e">
        <f t="shared" si="14"/>
        <v>#DIV/0!</v>
      </c>
      <c r="O49" s="16" t="e">
        <f t="shared" si="14"/>
        <v>#DIV/0!</v>
      </c>
      <c r="P49" s="16" t="e">
        <f t="shared" si="14"/>
        <v>#DIV/0!</v>
      </c>
      <c r="Q49" s="16" t="e">
        <f t="shared" si="14"/>
        <v>#DIV/0!</v>
      </c>
    </row>
    <row r="50" spans="1:17" x14ac:dyDescent="0.25">
      <c r="B50" s="15"/>
      <c r="C50" s="15"/>
      <c r="D50" s="15"/>
      <c r="E50" s="15"/>
      <c r="F50" s="15"/>
      <c r="G50" s="15"/>
      <c r="H50" s="15"/>
      <c r="I50" s="15"/>
      <c r="J50" s="15"/>
      <c r="K50" s="15"/>
      <c r="L50" s="15"/>
    </row>
    <row r="51" spans="1:17" x14ac:dyDescent="0.25">
      <c r="A51" t="s">
        <v>21</v>
      </c>
    </row>
    <row r="52" spans="1:17" x14ac:dyDescent="0.25">
      <c r="A52" t="s">
        <v>22</v>
      </c>
      <c r="B52" s="15">
        <f>((B14/B16)*100)</f>
        <v>82.825596384453007</v>
      </c>
      <c r="C52" s="15">
        <f t="shared" ref="C52:Q52" si="15">((C14/C16)*100)</f>
        <v>53.457794158887872</v>
      </c>
      <c r="D52" s="15">
        <f t="shared" si="15"/>
        <v>54.6577143393746</v>
      </c>
      <c r="E52" s="15">
        <f t="shared" si="15"/>
        <v>46.481026481026475</v>
      </c>
      <c r="F52" s="15">
        <f t="shared" si="15"/>
        <v>81.748435877294042</v>
      </c>
      <c r="G52" s="15">
        <f t="shared" si="15"/>
        <v>92.869478158743064</v>
      </c>
      <c r="H52" s="15">
        <f t="shared" si="15"/>
        <v>51.286662769959378</v>
      </c>
      <c r="I52" s="15">
        <f t="shared" si="15"/>
        <v>50.424650022130237</v>
      </c>
      <c r="J52" s="15">
        <f t="shared" si="15"/>
        <v>69.796402755729545</v>
      </c>
      <c r="K52" s="15">
        <f t="shared" si="15"/>
        <v>63.095503530286145</v>
      </c>
      <c r="L52" s="15">
        <f t="shared" si="15"/>
        <v>72.813370473537603</v>
      </c>
      <c r="M52" s="15">
        <f t="shared" si="15"/>
        <v>0</v>
      </c>
      <c r="N52" s="15" t="e">
        <f t="shared" si="15"/>
        <v>#DIV/0!</v>
      </c>
      <c r="O52" s="15" t="e">
        <f t="shared" si="15"/>
        <v>#DIV/0!</v>
      </c>
      <c r="P52" s="15" t="e">
        <f t="shared" si="15"/>
        <v>#DIV/0!</v>
      </c>
      <c r="Q52" s="15" t="e">
        <f t="shared" si="15"/>
        <v>#DIV/0!</v>
      </c>
    </row>
    <row r="53" spans="1:17" x14ac:dyDescent="0.25">
      <c r="A53" t="s">
        <v>23</v>
      </c>
      <c r="B53" s="15">
        <f>B21/B22*100</f>
        <v>6.1577594370097311</v>
      </c>
      <c r="C53" s="15">
        <f>C21/C22*100</f>
        <v>17.767770798705225</v>
      </c>
      <c r="D53" s="15"/>
      <c r="E53" s="15"/>
      <c r="F53" s="15">
        <f>F21/F22*100</f>
        <v>0</v>
      </c>
      <c r="G53" s="15"/>
      <c r="H53" s="15"/>
      <c r="I53" s="15"/>
      <c r="J53" s="15"/>
      <c r="K53" s="15">
        <f t="shared" ref="K53" si="16">K21/K22*100</f>
        <v>0</v>
      </c>
      <c r="L53" s="15">
        <f>L21/L22*100</f>
        <v>3.0313052135652865</v>
      </c>
      <c r="M53" s="15">
        <f t="shared" ref="M53:Q53" si="17">M21/M22*100</f>
        <v>0</v>
      </c>
      <c r="N53" s="15">
        <f t="shared" si="17"/>
        <v>0</v>
      </c>
      <c r="O53" s="15" t="e">
        <f t="shared" si="17"/>
        <v>#DIV/0!</v>
      </c>
      <c r="P53" s="15" t="e">
        <f t="shared" si="17"/>
        <v>#DIV/0!</v>
      </c>
      <c r="Q53" s="15" t="e">
        <f t="shared" si="17"/>
        <v>#DIV/0!</v>
      </c>
    </row>
    <row r="54" spans="1:17" x14ac:dyDescent="0.25">
      <c r="A54" t="s">
        <v>24</v>
      </c>
      <c r="B54" s="15">
        <f>(B52+B53)/2</f>
        <v>44.491677910731369</v>
      </c>
      <c r="C54" s="15">
        <f t="shared" ref="C54:K54" si="18">(C52+C53)/2</f>
        <v>35.612782478796547</v>
      </c>
      <c r="D54" s="15"/>
      <c r="E54" s="15"/>
      <c r="F54" s="15">
        <f t="shared" ref="F54" si="19">(F52+F53)/2</f>
        <v>40.874217938647021</v>
      </c>
      <c r="G54" s="15"/>
      <c r="H54" s="15"/>
      <c r="I54" s="15"/>
      <c r="J54" s="15"/>
      <c r="K54" s="15">
        <f t="shared" si="18"/>
        <v>31.547751765143072</v>
      </c>
      <c r="L54" s="15">
        <f>(L52+L53)/2</f>
        <v>37.922337843551446</v>
      </c>
      <c r="M54" s="15">
        <f t="shared" ref="M54:Q54" si="20">(M52+M53)/2</f>
        <v>0</v>
      </c>
      <c r="N54" s="15" t="e">
        <f t="shared" si="20"/>
        <v>#DIV/0!</v>
      </c>
      <c r="O54" s="15" t="e">
        <f t="shared" si="20"/>
        <v>#DIV/0!</v>
      </c>
      <c r="P54" s="15" t="e">
        <f t="shared" si="20"/>
        <v>#DIV/0!</v>
      </c>
      <c r="Q54" s="15" t="e">
        <f t="shared" si="20"/>
        <v>#DIV/0!</v>
      </c>
    </row>
    <row r="55" spans="1:17" x14ac:dyDescent="0.25">
      <c r="B55" s="15"/>
      <c r="C55" s="15"/>
      <c r="D55" s="15"/>
      <c r="E55" s="15"/>
      <c r="F55" s="15"/>
      <c r="G55" s="15"/>
      <c r="H55" s="15"/>
      <c r="I55" s="15"/>
      <c r="J55" s="15"/>
      <c r="K55" s="15"/>
      <c r="L55" s="15"/>
    </row>
    <row r="56" spans="1:17" x14ac:dyDescent="0.25">
      <c r="A56" t="s">
        <v>40</v>
      </c>
    </row>
    <row r="57" spans="1:17" x14ac:dyDescent="0.25">
      <c r="A57" t="s">
        <v>25</v>
      </c>
      <c r="B57" s="15">
        <f>B23/B21*100</f>
        <v>100</v>
      </c>
      <c r="C57" s="15"/>
      <c r="D57" s="15"/>
      <c r="E57" s="15"/>
      <c r="F57" s="15"/>
      <c r="G57" s="15"/>
      <c r="H57" s="15"/>
      <c r="I57" s="15"/>
      <c r="J57" s="15"/>
      <c r="K57" s="15"/>
      <c r="L57" s="15"/>
    </row>
    <row r="59" spans="1:17" x14ac:dyDescent="0.25">
      <c r="A59" t="s">
        <v>26</v>
      </c>
    </row>
    <row r="60" spans="1:17" x14ac:dyDescent="0.25">
      <c r="A60" t="s">
        <v>27</v>
      </c>
      <c r="B60" s="15">
        <f>((B14/B10)-1)*100</f>
        <v>-0.86268276613911121</v>
      </c>
      <c r="C60" s="15">
        <f t="shared" ref="C60:Q60" si="21">((C14/C10)-1)*100</f>
        <v>-2.1084293155307576</v>
      </c>
      <c r="D60" s="15">
        <f t="shared" si="21"/>
        <v>-2.4502656409740697</v>
      </c>
      <c r="E60" s="15">
        <f t="shared" si="21"/>
        <v>0.29453345900092298</v>
      </c>
      <c r="F60" s="15">
        <f t="shared" si="21"/>
        <v>-1.0678973623681864</v>
      </c>
      <c r="G60" s="15">
        <f t="shared" si="21"/>
        <v>-0.52293301579559026</v>
      </c>
      <c r="H60" s="15">
        <f t="shared" si="21"/>
        <v>-4.8598754448398669</v>
      </c>
      <c r="I60" s="15">
        <f t="shared" si="21"/>
        <v>-3.5770557424519844</v>
      </c>
      <c r="J60" s="15">
        <f t="shared" si="21"/>
        <v>5.0166965555624277</v>
      </c>
      <c r="K60" s="15">
        <f t="shared" si="21"/>
        <v>-14.047787789814725</v>
      </c>
      <c r="L60" s="15">
        <f t="shared" si="21"/>
        <v>96.639919759277831</v>
      </c>
      <c r="M60" s="15" t="e">
        <f t="shared" si="21"/>
        <v>#DIV/0!</v>
      </c>
      <c r="N60" s="15" t="e">
        <f t="shared" si="21"/>
        <v>#DIV/0!</v>
      </c>
      <c r="O60" s="15" t="e">
        <f t="shared" si="21"/>
        <v>#DIV/0!</v>
      </c>
      <c r="P60" s="15" t="e">
        <f t="shared" si="21"/>
        <v>#DIV/0!</v>
      </c>
      <c r="Q60" s="15" t="e">
        <f t="shared" si="21"/>
        <v>#DIV/0!</v>
      </c>
    </row>
    <row r="61" spans="1:17" x14ac:dyDescent="0.25">
      <c r="A61" t="s">
        <v>28</v>
      </c>
      <c r="B61" s="15">
        <f>((B36/B35)-1)*100</f>
        <v>-42.925911208825816</v>
      </c>
      <c r="C61" s="15">
        <f t="shared" ref="C61:Q61" si="22">((C36/C35)-1)*100</f>
        <v>3.24042641861364</v>
      </c>
      <c r="D61" s="15"/>
      <c r="E61" s="15"/>
      <c r="F61" s="15">
        <f t="shared" si="22"/>
        <v>-100</v>
      </c>
      <c r="G61" s="15"/>
      <c r="H61" s="15"/>
      <c r="I61" s="15"/>
      <c r="J61" s="15"/>
      <c r="K61" s="15">
        <f t="shared" si="22"/>
        <v>-100</v>
      </c>
      <c r="L61" s="15">
        <f t="shared" si="22"/>
        <v>87.053076451762593</v>
      </c>
      <c r="M61" s="15" t="e">
        <f t="shared" si="22"/>
        <v>#DIV/0!</v>
      </c>
      <c r="N61" s="15" t="e">
        <f t="shared" si="22"/>
        <v>#DIV/0!</v>
      </c>
      <c r="O61" s="15" t="e">
        <f t="shared" si="22"/>
        <v>#DIV/0!</v>
      </c>
      <c r="P61" s="15" t="e">
        <f t="shared" si="22"/>
        <v>#DIV/0!</v>
      </c>
      <c r="Q61" s="15" t="e">
        <f t="shared" si="22"/>
        <v>#DIV/0!</v>
      </c>
    </row>
    <row r="62" spans="1:17" x14ac:dyDescent="0.25">
      <c r="A62" s="13" t="s">
        <v>29</v>
      </c>
      <c r="B62" s="16">
        <f>((B38/B37)-1)*100</f>
        <v>-42.429258342205564</v>
      </c>
      <c r="C62" s="16">
        <f t="shared" ref="C62:Q62" si="23">((C38/C37)-1)*100</f>
        <v>5.464061610968729</v>
      </c>
      <c r="D62" s="16"/>
      <c r="E62" s="16"/>
      <c r="F62" s="16">
        <f t="shared" si="23"/>
        <v>-100</v>
      </c>
      <c r="G62" s="16"/>
      <c r="H62" s="16"/>
      <c r="I62" s="16"/>
      <c r="J62" s="16"/>
      <c r="K62" s="16">
        <f t="shared" si="23"/>
        <v>-100</v>
      </c>
      <c r="L62" s="16">
        <f t="shared" si="23"/>
        <v>-4.8753291392974791</v>
      </c>
      <c r="M62" s="16" t="e">
        <f t="shared" si="23"/>
        <v>#DIV/0!</v>
      </c>
      <c r="N62" s="16" t="e">
        <f t="shared" si="23"/>
        <v>#DIV/0!</v>
      </c>
      <c r="O62" s="16" t="e">
        <f t="shared" si="23"/>
        <v>#DIV/0!</v>
      </c>
      <c r="P62" s="16" t="e">
        <f t="shared" si="23"/>
        <v>#DIV/0!</v>
      </c>
      <c r="Q62" s="16" t="e">
        <f t="shared" si="23"/>
        <v>#DIV/0!</v>
      </c>
    </row>
    <row r="63" spans="1:17" x14ac:dyDescent="0.25">
      <c r="B63" s="17"/>
      <c r="C63" s="17"/>
      <c r="D63" s="17"/>
      <c r="E63" s="17"/>
      <c r="F63" s="17"/>
      <c r="G63" s="17"/>
      <c r="H63" s="17"/>
      <c r="I63" s="17"/>
      <c r="J63" s="17"/>
      <c r="K63" s="17"/>
      <c r="L63" s="17"/>
    </row>
    <row r="64" spans="1:17" x14ac:dyDescent="0.25">
      <c r="A64" t="s">
        <v>30</v>
      </c>
    </row>
    <row r="65" spans="1:17" x14ac:dyDescent="0.25">
      <c r="A65" t="s">
        <v>44</v>
      </c>
      <c r="B65" s="4">
        <f>B20/(B12*3)</f>
        <v>12340.555326728994</v>
      </c>
      <c r="C65" s="4">
        <f>C20/(C12*3)</f>
        <v>13262.213748398157</v>
      </c>
      <c r="D65" s="4"/>
      <c r="E65" s="4"/>
      <c r="F65" s="4">
        <f t="shared" ref="F65" si="24">F20/(F12*3)</f>
        <v>4804.8119540775651</v>
      </c>
      <c r="G65" s="4"/>
      <c r="H65" s="40"/>
      <c r="I65" s="40"/>
      <c r="J65" s="40"/>
      <c r="K65" s="4">
        <f>K20/(K12*3)</f>
        <v>31054</v>
      </c>
      <c r="L65" s="4">
        <f>L20/(L12*3)</f>
        <v>136685.45363408522</v>
      </c>
      <c r="M65" s="4" t="e">
        <f t="shared" ref="M65:Q65" si="25">M20/(M12*3)</f>
        <v>#DIV/0!</v>
      </c>
      <c r="N65" s="4" t="e">
        <f t="shared" si="25"/>
        <v>#DIV/0!</v>
      </c>
      <c r="O65" s="4" t="e">
        <f t="shared" si="25"/>
        <v>#DIV/0!</v>
      </c>
      <c r="P65" s="4" t="e">
        <f t="shared" si="25"/>
        <v>#DIV/0!</v>
      </c>
      <c r="Q65" s="4" t="e">
        <f t="shared" si="25"/>
        <v>#DIV/0!</v>
      </c>
    </row>
    <row r="66" spans="1:17" x14ac:dyDescent="0.25">
      <c r="A66" t="s">
        <v>45</v>
      </c>
      <c r="B66" s="4">
        <f>B21/(B14*3)</f>
        <v>3771.6275409093482</v>
      </c>
      <c r="C66" s="4">
        <f>C21/(C14*3)</f>
        <v>17742.891978176805</v>
      </c>
      <c r="D66" s="4"/>
      <c r="E66" s="44"/>
      <c r="F66" s="4">
        <f>F21/(F14*3)</f>
        <v>0</v>
      </c>
      <c r="G66" s="40"/>
      <c r="H66" s="40"/>
      <c r="I66" s="40"/>
      <c r="J66" s="40"/>
      <c r="K66" s="4">
        <f>K21/(K14*3)</f>
        <v>0</v>
      </c>
      <c r="L66" s="4">
        <f>L21/(L14*3)</f>
        <v>20870.517470033155</v>
      </c>
      <c r="M66" s="4" t="e">
        <f t="shared" ref="M66:Q66" si="26">M21/(M14*3)</f>
        <v>#DIV/0!</v>
      </c>
      <c r="N66" s="4" t="e">
        <f t="shared" si="26"/>
        <v>#DIV/0!</v>
      </c>
      <c r="O66" s="4" t="e">
        <f t="shared" si="26"/>
        <v>#DIV/0!</v>
      </c>
      <c r="P66" s="4" t="e">
        <f t="shared" si="26"/>
        <v>#DIV/0!</v>
      </c>
      <c r="Q66" s="4" t="e">
        <f t="shared" si="26"/>
        <v>#DIV/0!</v>
      </c>
    </row>
    <row r="67" spans="1:17" x14ac:dyDescent="0.25">
      <c r="A67" s="13" t="s">
        <v>33</v>
      </c>
      <c r="B67" s="16">
        <f>(B65/B66)*B49</f>
        <v>184.9553917568528</v>
      </c>
      <c r="C67" s="16">
        <f>(C65/C66)*C49</f>
        <v>48.507770541391267</v>
      </c>
      <c r="D67" s="16"/>
      <c r="E67" s="16"/>
      <c r="F67" s="16" t="e">
        <f t="shared" ref="F67" si="27">(F65/F66)*F49</f>
        <v>#DIV/0!</v>
      </c>
      <c r="G67" s="59"/>
      <c r="H67" s="59"/>
      <c r="I67" s="59"/>
      <c r="J67" s="59"/>
      <c r="K67" s="16" t="e">
        <f>(K65/K66)*K49</f>
        <v>#DIV/0!</v>
      </c>
      <c r="L67" s="16">
        <f>(L65/L66)*L49</f>
        <v>412.14789979468128</v>
      </c>
      <c r="M67" s="16" t="e">
        <f t="shared" ref="M67:Q67" si="28">(M65/M66)*M49</f>
        <v>#DIV/0!</v>
      </c>
      <c r="N67" s="16" t="e">
        <f t="shared" si="28"/>
        <v>#DIV/0!</v>
      </c>
      <c r="O67" s="16" t="e">
        <f t="shared" si="28"/>
        <v>#DIV/0!</v>
      </c>
      <c r="P67" s="16" t="e">
        <f t="shared" si="28"/>
        <v>#DIV/0!</v>
      </c>
      <c r="Q67" s="16" t="e">
        <f t="shared" si="28"/>
        <v>#DIV/0!</v>
      </c>
    </row>
    <row r="68" spans="1:17" x14ac:dyDescent="0.25">
      <c r="A68" s="17" t="s">
        <v>39</v>
      </c>
      <c r="B68" s="30">
        <f>B20/B12</f>
        <v>37021.665980186983</v>
      </c>
      <c r="C68" s="30">
        <f>C20/C12</f>
        <v>39786.641245194471</v>
      </c>
      <c r="D68" s="30"/>
      <c r="E68" s="30"/>
      <c r="F68" s="30">
        <f t="shared" ref="F68" si="29">F20/F12</f>
        <v>14414.435862232696</v>
      </c>
      <c r="G68" s="60"/>
      <c r="H68" s="60"/>
      <c r="I68" s="60"/>
      <c r="J68" s="60"/>
      <c r="K68" s="30">
        <f t="shared" ref="K68:Q68" si="30">K20/K12</f>
        <v>93162</v>
      </c>
      <c r="L68" s="30">
        <f t="shared" si="30"/>
        <v>410056.36090225563</v>
      </c>
      <c r="M68" s="30" t="e">
        <f t="shared" si="30"/>
        <v>#DIV/0!</v>
      </c>
      <c r="N68" s="30" t="e">
        <f t="shared" si="30"/>
        <v>#DIV/0!</v>
      </c>
      <c r="O68" s="30" t="e">
        <f t="shared" si="30"/>
        <v>#DIV/0!</v>
      </c>
      <c r="P68" s="30" t="e">
        <f t="shared" si="30"/>
        <v>#DIV/0!</v>
      </c>
      <c r="Q68" s="30" t="e">
        <f t="shared" si="30"/>
        <v>#DIV/0!</v>
      </c>
    </row>
    <row r="69" spans="1:17" x14ac:dyDescent="0.25">
      <c r="A69" s="17" t="s">
        <v>38</v>
      </c>
      <c r="B69" s="17">
        <f>B21/B14</f>
        <v>11314.882622728044</v>
      </c>
      <c r="C69" s="17">
        <f>C21/C14</f>
        <v>53228.675934530409</v>
      </c>
      <c r="D69" s="17"/>
      <c r="E69" s="17"/>
      <c r="F69" s="17">
        <f t="shared" ref="F69" si="31">F21/F14</f>
        <v>0</v>
      </c>
      <c r="G69" s="60"/>
      <c r="H69" s="60"/>
      <c r="I69" s="60"/>
      <c r="J69" s="60"/>
      <c r="K69" s="30">
        <f>K21/K14</f>
        <v>0</v>
      </c>
      <c r="L69" s="30">
        <f>L21/L14</f>
        <v>62611.552410099466</v>
      </c>
      <c r="M69" s="30" t="e">
        <f t="shared" ref="M69:Q69" si="32">M21/M14</f>
        <v>#DIV/0!</v>
      </c>
      <c r="N69" s="30" t="e">
        <f t="shared" si="32"/>
        <v>#DIV/0!</v>
      </c>
      <c r="O69" s="30" t="e">
        <f t="shared" si="32"/>
        <v>#DIV/0!</v>
      </c>
      <c r="P69" s="30" t="e">
        <f t="shared" si="32"/>
        <v>#DIV/0!</v>
      </c>
      <c r="Q69" s="30" t="e">
        <f t="shared" si="32"/>
        <v>#DIV/0!</v>
      </c>
    </row>
    <row r="70" spans="1:17" x14ac:dyDescent="0.25">
      <c r="B70" s="15"/>
      <c r="C70" s="15"/>
      <c r="D70" s="15"/>
      <c r="E70" s="15"/>
      <c r="F70" s="15"/>
      <c r="G70" s="15"/>
      <c r="H70" s="15"/>
      <c r="I70" s="17"/>
      <c r="J70" s="17"/>
      <c r="K70" s="15"/>
      <c r="L70" s="15"/>
    </row>
    <row r="71" spans="1:17" x14ac:dyDescent="0.25">
      <c r="A71" t="s">
        <v>34</v>
      </c>
      <c r="B71" s="15"/>
      <c r="C71" s="15"/>
      <c r="D71" s="15"/>
      <c r="E71" s="15"/>
      <c r="F71" s="15"/>
      <c r="G71" s="15"/>
      <c r="H71" s="15"/>
      <c r="I71" s="17"/>
      <c r="J71" s="17"/>
      <c r="K71" s="15"/>
      <c r="L71" s="15"/>
    </row>
    <row r="72" spans="1:17" x14ac:dyDescent="0.25">
      <c r="A72" s="18" t="s">
        <v>35</v>
      </c>
      <c r="B72" s="19">
        <f>(B27/B26)*100</f>
        <v>43.590593661316632</v>
      </c>
      <c r="C72" s="19"/>
      <c r="D72" s="19"/>
      <c r="E72" s="19"/>
      <c r="F72" s="19"/>
      <c r="G72" s="19"/>
      <c r="H72" s="19"/>
      <c r="I72" s="19"/>
      <c r="J72" s="19"/>
      <c r="K72" s="19"/>
      <c r="L72" s="19"/>
    </row>
    <row r="73" spans="1:17" x14ac:dyDescent="0.25">
      <c r="A73" s="18" t="s">
        <v>36</v>
      </c>
      <c r="B73" s="19">
        <f>(B21/B27)*100</f>
        <v>60.711745474702752</v>
      </c>
      <c r="C73" s="19"/>
      <c r="D73" s="19"/>
      <c r="E73" s="19"/>
      <c r="F73" s="19"/>
      <c r="G73" s="19"/>
      <c r="H73" s="19"/>
      <c r="I73" s="19"/>
      <c r="J73" s="19"/>
      <c r="K73" s="19"/>
      <c r="L73" s="19"/>
    </row>
    <row r="74" spans="1:17" ht="15.75" thickBot="1" x14ac:dyDescent="0.3">
      <c r="A74" s="20"/>
      <c r="B74" s="20"/>
      <c r="C74" s="20"/>
      <c r="D74" s="20"/>
      <c r="E74" s="20"/>
      <c r="F74" s="20"/>
      <c r="G74" s="20"/>
      <c r="H74" s="20"/>
      <c r="I74" s="49"/>
      <c r="J74" s="49"/>
      <c r="K74" s="20"/>
      <c r="L74" s="20"/>
      <c r="M74" s="20"/>
      <c r="N74" s="20"/>
      <c r="O74" s="20"/>
      <c r="P74" s="20"/>
      <c r="Q74" s="20"/>
    </row>
    <row r="75" spans="1:17" ht="15.75" thickTop="1" x14ac:dyDescent="0.25">
      <c r="A75" s="33" t="s">
        <v>98</v>
      </c>
    </row>
    <row r="76" spans="1:17" x14ac:dyDescent="0.25">
      <c r="A76" t="s">
        <v>99</v>
      </c>
    </row>
    <row r="77" spans="1:17" x14ac:dyDescent="0.25">
      <c r="A77" t="s">
        <v>100</v>
      </c>
    </row>
    <row r="78" spans="1:17" x14ac:dyDescent="0.25">
      <c r="A78" t="s">
        <v>55</v>
      </c>
    </row>
    <row r="80" spans="1:17" x14ac:dyDescent="0.25">
      <c r="A80" t="s">
        <v>43</v>
      </c>
    </row>
    <row r="81" spans="1:10" x14ac:dyDescent="0.25">
      <c r="A81" t="s">
        <v>53</v>
      </c>
      <c r="B81" s="21"/>
      <c r="C81" s="21"/>
      <c r="D81" s="21"/>
      <c r="E81" s="21"/>
      <c r="F81" s="21"/>
      <c r="G81" s="21"/>
      <c r="H81" s="21"/>
      <c r="I81" s="21"/>
      <c r="J81" s="21"/>
    </row>
    <row r="82" spans="1:10" x14ac:dyDescent="0.25">
      <c r="A82" t="s">
        <v>86</v>
      </c>
    </row>
    <row r="83" spans="1:10" x14ac:dyDescent="0.25">
      <c r="A83" t="s">
        <v>50</v>
      </c>
    </row>
    <row r="84" spans="1:10" x14ac:dyDescent="0.25">
      <c r="A84" t="s">
        <v>54</v>
      </c>
    </row>
    <row r="86" spans="1:10" x14ac:dyDescent="0.25">
      <c r="A86" s="104" t="s">
        <v>141</v>
      </c>
    </row>
    <row r="87" spans="1:10" x14ac:dyDescent="0.25">
      <c r="A87" s="42"/>
    </row>
    <row r="108" spans="27:31" x14ac:dyDescent="0.25">
      <c r="AA108" s="18"/>
      <c r="AB108" s="62"/>
      <c r="AC108" s="62"/>
      <c r="AD108" s="62"/>
      <c r="AE108" s="62"/>
    </row>
    <row r="109" spans="27:31" x14ac:dyDescent="0.25">
      <c r="AA109" s="18"/>
      <c r="AB109" s="62"/>
      <c r="AC109" s="62"/>
      <c r="AD109" s="62"/>
      <c r="AE109" s="62"/>
    </row>
  </sheetData>
  <mergeCells count="6">
    <mergeCell ref="G34:J34"/>
    <mergeCell ref="A4:A5"/>
    <mergeCell ref="D5:E5"/>
    <mergeCell ref="G5:J5"/>
    <mergeCell ref="A2:Q2"/>
    <mergeCell ref="C4:Q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38" sqref="I38"/>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6" sqref="B36"/>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87"/>
  <sheetViews>
    <sheetView topLeftCell="A55" zoomScale="60" zoomScaleNormal="60" workbookViewId="0">
      <pane xSplit="1" topLeftCell="D1" activePane="topRight" state="frozen"/>
      <selection activeCell="E28" sqref="E28"/>
      <selection pane="topRight" activeCell="A86" sqref="A86"/>
    </sheetView>
  </sheetViews>
  <sheetFormatPr baseColWidth="10" defaultColWidth="11.42578125" defaultRowHeight="15" x14ac:dyDescent="0.25"/>
  <cols>
    <col min="1" max="1" width="50.85546875" customWidth="1"/>
    <col min="2" max="3" width="26.85546875" customWidth="1"/>
    <col min="4" max="6" width="16.5703125" customWidth="1"/>
    <col min="7" max="7" width="16.140625" customWidth="1"/>
    <col min="8" max="10" width="17.42578125" customWidth="1"/>
    <col min="11" max="11" width="15.42578125" customWidth="1"/>
    <col min="12" max="12" width="16.42578125" customWidth="1"/>
    <col min="13" max="13" width="23.5703125" customWidth="1"/>
    <col min="14" max="14" width="22.7109375" customWidth="1"/>
    <col min="15" max="15" width="18.28515625" customWidth="1"/>
    <col min="16" max="16" width="23.5703125" customWidth="1"/>
    <col min="17" max="17" width="33.85546875" customWidth="1"/>
  </cols>
  <sheetData>
    <row r="2" spans="1:19" ht="15.75" x14ac:dyDescent="0.25">
      <c r="A2" s="98" t="s">
        <v>101</v>
      </c>
      <c r="B2" s="98"/>
      <c r="C2" s="98"/>
      <c r="D2" s="98"/>
      <c r="E2" s="98"/>
      <c r="F2" s="98"/>
      <c r="G2" s="98"/>
      <c r="H2" s="98"/>
      <c r="I2" s="98"/>
      <c r="J2" s="98"/>
      <c r="K2" s="98"/>
    </row>
    <row r="4" spans="1:19" x14ac:dyDescent="0.25">
      <c r="A4" s="95" t="s">
        <v>0</v>
      </c>
      <c r="B4" s="25" t="s">
        <v>1</v>
      </c>
      <c r="C4" s="100" t="s">
        <v>2</v>
      </c>
      <c r="D4" s="100"/>
      <c r="E4" s="100"/>
      <c r="F4" s="100"/>
      <c r="G4" s="100"/>
      <c r="H4" s="100"/>
      <c r="I4" s="100"/>
      <c r="J4" s="100"/>
      <c r="K4" s="100"/>
      <c r="L4" s="100"/>
      <c r="M4" s="100"/>
      <c r="N4" s="100"/>
      <c r="O4" s="100"/>
      <c r="P4" s="100"/>
      <c r="Q4" s="100"/>
      <c r="R4" s="82"/>
      <c r="S4" s="82"/>
    </row>
    <row r="5" spans="1:19" ht="15.75" thickBot="1" x14ac:dyDescent="0.3">
      <c r="A5" s="96"/>
      <c r="B5" s="1" t="s">
        <v>3</v>
      </c>
      <c r="C5" s="57" t="s">
        <v>56</v>
      </c>
      <c r="D5" s="97" t="s">
        <v>4</v>
      </c>
      <c r="E5" s="97"/>
      <c r="F5" s="57" t="s">
        <v>57</v>
      </c>
      <c r="G5" s="97" t="s">
        <v>52</v>
      </c>
      <c r="H5" s="97"/>
      <c r="I5" s="48"/>
      <c r="J5" s="48"/>
      <c r="K5" s="1" t="s">
        <v>5</v>
      </c>
      <c r="L5" s="20" t="s">
        <v>51</v>
      </c>
      <c r="M5" s="20" t="s">
        <v>138</v>
      </c>
      <c r="N5" s="20" t="s">
        <v>87</v>
      </c>
      <c r="O5" s="20" t="s">
        <v>88</v>
      </c>
      <c r="P5" s="20" t="s">
        <v>139</v>
      </c>
      <c r="Q5" s="20" t="s">
        <v>140</v>
      </c>
    </row>
    <row r="6" spans="1:19" ht="15.75" thickTop="1" x14ac:dyDescent="0.25">
      <c r="B6" s="36" t="s">
        <v>1</v>
      </c>
      <c r="D6" s="36" t="s">
        <v>48</v>
      </c>
      <c r="E6" s="36" t="s">
        <v>49</v>
      </c>
      <c r="F6" s="36"/>
      <c r="G6" s="36">
        <v>1600</v>
      </c>
      <c r="H6" s="36">
        <v>640</v>
      </c>
      <c r="I6" s="47">
        <v>320</v>
      </c>
      <c r="J6" s="47">
        <v>800</v>
      </c>
      <c r="K6" s="36" t="s">
        <v>5</v>
      </c>
      <c r="L6" t="s">
        <v>51</v>
      </c>
      <c r="M6" t="s">
        <v>138</v>
      </c>
      <c r="N6" t="s">
        <v>87</v>
      </c>
      <c r="O6" s="33" t="s">
        <v>88</v>
      </c>
      <c r="P6" s="33" t="s">
        <v>139</v>
      </c>
      <c r="Q6" s="33" t="s">
        <v>140</v>
      </c>
    </row>
    <row r="7" spans="1:19" x14ac:dyDescent="0.25">
      <c r="A7" s="2" t="s">
        <v>6</v>
      </c>
      <c r="I7" s="32"/>
      <c r="J7" s="32"/>
    </row>
    <row r="8" spans="1:19" x14ac:dyDescent="0.25">
      <c r="I8" s="32"/>
      <c r="J8" s="32"/>
    </row>
    <row r="9" spans="1:19" x14ac:dyDescent="0.25">
      <c r="A9" t="s">
        <v>7</v>
      </c>
      <c r="I9" s="32"/>
      <c r="J9" s="32"/>
      <c r="O9" s="72"/>
    </row>
    <row r="10" spans="1:19" x14ac:dyDescent="0.25">
      <c r="A10" s="3" t="s">
        <v>66</v>
      </c>
      <c r="B10" s="24">
        <f>+D10+G10</f>
        <v>127525.66666666666</v>
      </c>
      <c r="C10" s="24">
        <f>+D10+E10</f>
        <v>33496.666666666664</v>
      </c>
      <c r="D10" s="37">
        <v>27159.333333333332</v>
      </c>
      <c r="E10" s="24">
        <v>6337.333333333333</v>
      </c>
      <c r="F10" s="52">
        <f>SUM(G10:I10)</f>
        <v>125830.33333333333</v>
      </c>
      <c r="G10" s="24">
        <v>100366.33333333333</v>
      </c>
      <c r="H10" s="78">
        <v>4412.333333333333</v>
      </c>
      <c r="I10" s="78">
        <v>21051.666666666668</v>
      </c>
      <c r="J10" s="37">
        <v>26145</v>
      </c>
      <c r="K10" s="24">
        <v>9588.6666666666661</v>
      </c>
      <c r="L10" s="24">
        <v>1578.3333333333333</v>
      </c>
      <c r="M10" s="79">
        <v>0</v>
      </c>
      <c r="N10" s="66">
        <v>0</v>
      </c>
      <c r="O10" s="5">
        <v>0</v>
      </c>
      <c r="P10">
        <v>0</v>
      </c>
      <c r="Q10">
        <v>0</v>
      </c>
    </row>
    <row r="11" spans="1:19" x14ac:dyDescent="0.25">
      <c r="A11" s="27" t="s">
        <v>37</v>
      </c>
      <c r="B11" s="24">
        <f t="shared" ref="B11:B15" si="0">+D11+G11</f>
        <v>104142.66666666667</v>
      </c>
      <c r="C11" s="24">
        <f t="shared" ref="C11:C16" si="1">+D11+E11</f>
        <v>26486</v>
      </c>
      <c r="D11" s="24">
        <v>20148.666666666668</v>
      </c>
      <c r="E11" s="24">
        <v>6337.333333333333</v>
      </c>
      <c r="F11" s="24">
        <f>SUM(G11:I11)</f>
        <v>109458</v>
      </c>
      <c r="G11" s="24">
        <v>83994</v>
      </c>
      <c r="H11" s="78">
        <v>4412.333333333333</v>
      </c>
      <c r="I11" s="78">
        <v>21051.666666666668</v>
      </c>
      <c r="J11" s="37">
        <v>26145</v>
      </c>
      <c r="K11" s="24">
        <v>9588.6666666666661</v>
      </c>
      <c r="L11" s="24">
        <v>1578.3333333333333</v>
      </c>
      <c r="M11" s="79">
        <v>0</v>
      </c>
      <c r="N11" s="66">
        <v>0</v>
      </c>
      <c r="O11" s="5">
        <v>0</v>
      </c>
      <c r="P11">
        <v>0</v>
      </c>
      <c r="Q11">
        <v>0</v>
      </c>
    </row>
    <row r="12" spans="1:19" x14ac:dyDescent="0.25">
      <c r="A12" s="3" t="s">
        <v>102</v>
      </c>
      <c r="B12" s="24">
        <f t="shared" si="0"/>
        <v>140918</v>
      </c>
      <c r="C12" s="24">
        <f t="shared" si="1"/>
        <v>43145</v>
      </c>
      <c r="D12" s="35">
        <v>37040</v>
      </c>
      <c r="E12" s="24">
        <v>6105</v>
      </c>
      <c r="F12" s="24">
        <f>SUM(G12:I12)</f>
        <v>140918</v>
      </c>
      <c r="G12" s="24">
        <v>103878</v>
      </c>
      <c r="H12" s="24">
        <v>5802</v>
      </c>
      <c r="I12" s="46">
        <v>31238</v>
      </c>
      <c r="J12" s="46">
        <v>33852</v>
      </c>
      <c r="K12" s="4">
        <v>8970</v>
      </c>
      <c r="L12" s="29">
        <v>1795</v>
      </c>
      <c r="M12" s="93">
        <v>20000</v>
      </c>
      <c r="N12" s="67">
        <v>0</v>
      </c>
      <c r="O12" s="5">
        <v>0</v>
      </c>
      <c r="P12">
        <v>0</v>
      </c>
      <c r="Q12">
        <v>0</v>
      </c>
    </row>
    <row r="13" spans="1:19" x14ac:dyDescent="0.25">
      <c r="A13" s="27" t="s">
        <v>37</v>
      </c>
      <c r="B13" s="24">
        <f t="shared" si="0"/>
        <v>131716</v>
      </c>
      <c r="C13" s="24">
        <f t="shared" si="1"/>
        <v>33943</v>
      </c>
      <c r="D13" s="35">
        <v>27838</v>
      </c>
      <c r="E13" s="24">
        <v>6105</v>
      </c>
      <c r="F13" s="24">
        <f t="shared" ref="F13:F16" si="2">SUM(G13:I13)</f>
        <v>140918</v>
      </c>
      <c r="G13" s="24">
        <v>103878</v>
      </c>
      <c r="H13" s="24">
        <v>5802</v>
      </c>
      <c r="I13" s="46">
        <v>31238</v>
      </c>
      <c r="J13" s="46">
        <v>33852</v>
      </c>
      <c r="K13" s="4">
        <v>8970</v>
      </c>
      <c r="L13" s="29">
        <v>1795</v>
      </c>
      <c r="M13" s="93">
        <v>20000</v>
      </c>
      <c r="N13" s="67">
        <v>0</v>
      </c>
      <c r="O13" s="5">
        <v>0</v>
      </c>
      <c r="P13">
        <v>0</v>
      </c>
      <c r="Q13">
        <v>0</v>
      </c>
    </row>
    <row r="14" spans="1:19" x14ac:dyDescent="0.25">
      <c r="A14" s="3" t="s">
        <v>103</v>
      </c>
      <c r="B14" s="24">
        <f t="shared" si="0"/>
        <v>124711.33333333334</v>
      </c>
      <c r="C14" s="24">
        <f t="shared" si="1"/>
        <v>32660.333333333336</v>
      </c>
      <c r="D14" s="37">
        <v>26185.666666666668</v>
      </c>
      <c r="E14" s="24">
        <v>6474.666666666667</v>
      </c>
      <c r="F14" s="24">
        <f t="shared" si="2"/>
        <v>123252.33333333333</v>
      </c>
      <c r="G14" s="24">
        <v>98525.666666666672</v>
      </c>
      <c r="H14" s="24">
        <v>4104.333333333333</v>
      </c>
      <c r="I14" s="37">
        <v>20622.333333333332</v>
      </c>
      <c r="J14" s="37">
        <v>26219.333333333332</v>
      </c>
      <c r="K14" s="24">
        <v>10156</v>
      </c>
      <c r="L14" s="24">
        <v>2216</v>
      </c>
      <c r="M14" s="80">
        <v>0</v>
      </c>
      <c r="N14" s="67">
        <v>0</v>
      </c>
      <c r="O14" s="5">
        <v>0</v>
      </c>
      <c r="P14" s="70">
        <v>0</v>
      </c>
      <c r="Q14">
        <v>0</v>
      </c>
    </row>
    <row r="15" spans="1:19" x14ac:dyDescent="0.25">
      <c r="A15" s="27" t="s">
        <v>37</v>
      </c>
      <c r="B15" s="24">
        <f t="shared" si="0"/>
        <v>102697.33333333333</v>
      </c>
      <c r="C15" s="24">
        <f t="shared" si="1"/>
        <v>25827</v>
      </c>
      <c r="D15" s="37">
        <v>19352.333333333332</v>
      </c>
      <c r="E15" s="24">
        <v>6474.666666666667</v>
      </c>
      <c r="F15" s="24">
        <f t="shared" si="2"/>
        <v>108071.66666666666</v>
      </c>
      <c r="G15" s="24">
        <v>83345</v>
      </c>
      <c r="H15" s="24">
        <v>4104.333333333333</v>
      </c>
      <c r="I15" s="37">
        <v>20622.333333333332</v>
      </c>
      <c r="J15" s="37">
        <v>26219.333333333332</v>
      </c>
      <c r="K15" s="24">
        <v>10156</v>
      </c>
      <c r="L15" s="24">
        <v>2216</v>
      </c>
      <c r="M15" s="80">
        <v>0</v>
      </c>
      <c r="N15" s="67">
        <v>0</v>
      </c>
      <c r="O15" s="5">
        <v>0</v>
      </c>
      <c r="P15">
        <v>0</v>
      </c>
      <c r="Q15">
        <v>0</v>
      </c>
    </row>
    <row r="16" spans="1:19" x14ac:dyDescent="0.25">
      <c r="A16" s="3" t="s">
        <v>93</v>
      </c>
      <c r="B16" s="24">
        <f>+D16+G16</f>
        <v>135046.41666666666</v>
      </c>
      <c r="C16" s="24">
        <f t="shared" si="1"/>
        <v>41601.666666666664</v>
      </c>
      <c r="D16" s="4">
        <v>35496.666666666664</v>
      </c>
      <c r="E16" s="4">
        <v>6105</v>
      </c>
      <c r="F16" s="24">
        <f t="shared" si="2"/>
        <v>135046.41666666666</v>
      </c>
      <c r="G16" s="4">
        <v>99549.75</v>
      </c>
      <c r="H16" s="4">
        <v>5560.25</v>
      </c>
      <c r="I16" s="5">
        <v>29936.416666666668</v>
      </c>
      <c r="J16" s="5">
        <v>32441.5</v>
      </c>
      <c r="K16" s="4">
        <v>8970</v>
      </c>
      <c r="L16" s="5">
        <v>1795</v>
      </c>
      <c r="M16" s="93">
        <v>20000</v>
      </c>
      <c r="N16" s="67">
        <v>0</v>
      </c>
      <c r="O16" s="5">
        <v>0</v>
      </c>
      <c r="P16" s="5">
        <v>0</v>
      </c>
      <c r="Q16" s="5">
        <v>0</v>
      </c>
    </row>
    <row r="17" spans="1:17" x14ac:dyDescent="0.25">
      <c r="B17" s="22"/>
      <c r="C17" s="22"/>
      <c r="D17" s="22"/>
      <c r="E17" s="22"/>
      <c r="F17" s="22"/>
      <c r="G17" s="22"/>
      <c r="H17" s="22"/>
      <c r="I17" s="46"/>
      <c r="J17" s="46"/>
      <c r="K17" s="22"/>
    </row>
    <row r="18" spans="1:17" x14ac:dyDescent="0.25">
      <c r="A18" s="6" t="s">
        <v>8</v>
      </c>
      <c r="B18" s="24"/>
      <c r="C18" s="24"/>
      <c r="D18" s="22"/>
      <c r="G18" s="22"/>
      <c r="H18" s="22"/>
      <c r="I18" s="37"/>
      <c r="J18" s="37"/>
      <c r="K18" s="22"/>
    </row>
    <row r="19" spans="1:17" x14ac:dyDescent="0.25">
      <c r="A19" s="3" t="s">
        <v>66</v>
      </c>
      <c r="B19" s="24">
        <f>C19+F19+K19+L19+M19+N19</f>
        <v>3873602255.3699999</v>
      </c>
      <c r="C19" s="40">
        <v>1121935132</v>
      </c>
      <c r="D19" s="40"/>
      <c r="E19" s="40"/>
      <c r="F19" s="40">
        <v>1766329534.2</v>
      </c>
      <c r="G19" s="40"/>
      <c r="H19" s="40"/>
      <c r="I19" s="40"/>
      <c r="J19" s="40"/>
      <c r="K19" s="24">
        <v>822029647.17000008</v>
      </c>
      <c r="L19" s="4">
        <v>163307942</v>
      </c>
      <c r="M19" s="68">
        <v>0</v>
      </c>
      <c r="N19" s="67">
        <v>0</v>
      </c>
      <c r="O19" s="70">
        <v>0</v>
      </c>
      <c r="P19" s="70">
        <v>0</v>
      </c>
      <c r="Q19">
        <v>0</v>
      </c>
    </row>
    <row r="20" spans="1:17" x14ac:dyDescent="0.25">
      <c r="A20" s="61" t="s">
        <v>102</v>
      </c>
      <c r="B20" s="24">
        <f t="shared" ref="B20:B22" si="3">C20+F20+K20+L20+M20+N20</f>
        <v>5402421288.9200001</v>
      </c>
      <c r="C20" s="40">
        <f>+D20+E20</f>
        <v>1737439275</v>
      </c>
      <c r="D20" s="40">
        <v>1723794600</v>
      </c>
      <c r="E20" s="40">
        <v>13644675</v>
      </c>
      <c r="F20" s="40">
        <v>2031250177.9200003</v>
      </c>
      <c r="G20" s="40"/>
      <c r="H20" s="40"/>
      <c r="I20" s="40"/>
      <c r="J20" s="40"/>
      <c r="K20" s="24">
        <v>835663140</v>
      </c>
      <c r="L20" s="5">
        <v>736256196</v>
      </c>
      <c r="M20" s="73">
        <v>31812500</v>
      </c>
      <c r="N20" s="71">
        <v>30000000</v>
      </c>
      <c r="O20" s="70">
        <v>0</v>
      </c>
      <c r="P20" s="70">
        <v>0</v>
      </c>
      <c r="Q20" s="70">
        <v>0</v>
      </c>
    </row>
    <row r="21" spans="1:17" x14ac:dyDescent="0.25">
      <c r="A21" s="3" t="s">
        <v>103</v>
      </c>
      <c r="B21" s="52">
        <f t="shared" si="3"/>
        <v>3648062981.48</v>
      </c>
      <c r="C21" s="40">
        <v>1050981740</v>
      </c>
      <c r="D21" s="40"/>
      <c r="E21" s="40"/>
      <c r="F21" s="40">
        <v>2097891120</v>
      </c>
      <c r="G21" s="40"/>
      <c r="H21" s="40"/>
      <c r="I21" s="40"/>
      <c r="J21" s="40"/>
      <c r="K21" s="24">
        <v>274129467.48000002</v>
      </c>
      <c r="L21" s="4">
        <v>224090484</v>
      </c>
      <c r="M21" s="73">
        <v>970170</v>
      </c>
      <c r="N21" s="67">
        <v>0</v>
      </c>
      <c r="O21" s="70">
        <v>0</v>
      </c>
      <c r="P21" s="70">
        <v>0</v>
      </c>
      <c r="Q21" s="70">
        <v>0</v>
      </c>
    </row>
    <row r="22" spans="1:17" x14ac:dyDescent="0.25">
      <c r="A22" s="3" t="s">
        <v>93</v>
      </c>
      <c r="B22" s="24">
        <f t="shared" si="3"/>
        <v>20552988127.360001</v>
      </c>
      <c r="C22" s="24">
        <f>+D22+E22</f>
        <v>6662458000</v>
      </c>
      <c r="D22" s="40">
        <v>6607879300</v>
      </c>
      <c r="E22" s="40">
        <v>54578700</v>
      </c>
      <c r="F22" s="40">
        <v>7786459015.3600025</v>
      </c>
      <c r="G22" s="40"/>
      <c r="H22" s="40"/>
      <c r="I22" s="40"/>
      <c r="J22" s="40"/>
      <c r="K22" s="4">
        <v>3342652560</v>
      </c>
      <c r="L22" s="5">
        <v>2699606052</v>
      </c>
      <c r="M22" s="73">
        <v>31812500</v>
      </c>
      <c r="N22" s="71">
        <v>30000000</v>
      </c>
      <c r="O22" s="71">
        <v>0</v>
      </c>
      <c r="P22" s="71">
        <v>0</v>
      </c>
      <c r="Q22">
        <v>0</v>
      </c>
    </row>
    <row r="23" spans="1:17" x14ac:dyDescent="0.25">
      <c r="A23" s="3" t="s">
        <v>104</v>
      </c>
      <c r="B23" s="52">
        <f>C23+F23+K23+L23+N23+M23</f>
        <v>3648062981.48</v>
      </c>
      <c r="C23" s="4">
        <f>C21</f>
        <v>1050981740</v>
      </c>
      <c r="D23" s="40"/>
      <c r="E23" s="40"/>
      <c r="F23" s="40">
        <f>F21</f>
        <v>2097891120</v>
      </c>
      <c r="G23" s="40"/>
      <c r="H23" s="40"/>
      <c r="I23" s="40"/>
      <c r="J23" s="40"/>
      <c r="K23" s="4">
        <f>K21</f>
        <v>274129467.48000002</v>
      </c>
      <c r="L23" s="4">
        <f>L21</f>
        <v>224090484</v>
      </c>
      <c r="M23" s="4">
        <f t="shared" ref="M23:P23" si="4">M21</f>
        <v>970170</v>
      </c>
      <c r="N23" s="4">
        <f t="shared" si="4"/>
        <v>0</v>
      </c>
      <c r="O23" s="4">
        <f t="shared" si="4"/>
        <v>0</v>
      </c>
      <c r="P23" s="4">
        <f t="shared" si="4"/>
        <v>0</v>
      </c>
      <c r="Q23">
        <v>0</v>
      </c>
    </row>
    <row r="24" spans="1:17" x14ac:dyDescent="0.25">
      <c r="B24" s="22"/>
      <c r="C24" s="22"/>
      <c r="D24" s="22"/>
      <c r="E24" s="22"/>
      <c r="F24" s="22"/>
      <c r="G24" s="22"/>
      <c r="H24" s="22"/>
      <c r="I24" s="45"/>
      <c r="J24" s="45"/>
      <c r="K24" s="22"/>
      <c r="O24" s="72"/>
    </row>
    <row r="25" spans="1:17" x14ac:dyDescent="0.25">
      <c r="A25" s="7" t="s">
        <v>9</v>
      </c>
      <c r="B25" s="23"/>
      <c r="C25" s="23"/>
      <c r="D25" s="23"/>
      <c r="E25" s="23"/>
      <c r="F25" s="23"/>
      <c r="G25" s="23"/>
      <c r="H25" s="23"/>
      <c r="I25" s="23"/>
      <c r="J25" s="23"/>
      <c r="K25" s="23"/>
      <c r="L25" s="23"/>
    </row>
    <row r="26" spans="1:17" x14ac:dyDescent="0.25">
      <c r="A26" s="9" t="s">
        <v>102</v>
      </c>
      <c r="B26" s="35">
        <f>B20</f>
        <v>5402421288.9200001</v>
      </c>
      <c r="C26" s="35"/>
      <c r="D26" s="23"/>
      <c r="E26" s="23"/>
      <c r="F26" s="23"/>
      <c r="G26" s="23"/>
      <c r="H26" s="23"/>
      <c r="I26" s="23"/>
      <c r="J26" s="23"/>
      <c r="K26" s="23"/>
      <c r="L26" s="23"/>
    </row>
    <row r="27" spans="1:17" x14ac:dyDescent="0.25">
      <c r="A27" s="9" t="s">
        <v>103</v>
      </c>
      <c r="B27" s="35">
        <v>4945462567.21</v>
      </c>
      <c r="C27" s="35"/>
      <c r="D27" s="23"/>
      <c r="E27" s="23"/>
      <c r="F27" s="23"/>
      <c r="G27" s="23"/>
      <c r="H27" s="23"/>
      <c r="I27" s="23"/>
      <c r="J27" s="23"/>
      <c r="K27" s="23"/>
      <c r="L27" s="23"/>
    </row>
    <row r="28" spans="1:17" x14ac:dyDescent="0.25">
      <c r="I28" s="32"/>
      <c r="J28" s="32"/>
    </row>
    <row r="29" spans="1:17" x14ac:dyDescent="0.25">
      <c r="A29" t="s">
        <v>10</v>
      </c>
      <c r="I29" s="32"/>
      <c r="J29" s="32"/>
    </row>
    <row r="30" spans="1:17" ht="14.25" customHeight="1" x14ac:dyDescent="0.25">
      <c r="A30" s="10" t="s">
        <v>67</v>
      </c>
      <c r="B30" s="11">
        <v>0.99</v>
      </c>
      <c r="C30" s="11">
        <v>0.99</v>
      </c>
      <c r="D30" s="11">
        <v>0.99</v>
      </c>
      <c r="E30" s="11">
        <v>0.99</v>
      </c>
      <c r="F30" s="11">
        <v>0.99</v>
      </c>
      <c r="G30" s="11">
        <v>0.99</v>
      </c>
      <c r="H30" s="11">
        <v>0.99</v>
      </c>
      <c r="I30" s="11">
        <v>0.99</v>
      </c>
      <c r="J30" s="11">
        <v>0.99</v>
      </c>
      <c r="K30" s="11">
        <v>0.99</v>
      </c>
      <c r="L30" s="11">
        <v>0.99</v>
      </c>
      <c r="M30" s="11">
        <v>0.99</v>
      </c>
      <c r="N30" s="11">
        <v>0.99</v>
      </c>
      <c r="O30" s="11">
        <v>0.99</v>
      </c>
      <c r="P30" s="11">
        <v>0.99</v>
      </c>
      <c r="Q30" s="11">
        <v>0.99</v>
      </c>
    </row>
    <row r="31" spans="1:17" x14ac:dyDescent="0.25">
      <c r="A31" s="10" t="s">
        <v>105</v>
      </c>
      <c r="B31" s="11">
        <v>1</v>
      </c>
      <c r="C31" s="11">
        <v>1</v>
      </c>
      <c r="D31" s="11">
        <v>1</v>
      </c>
      <c r="E31" s="11">
        <v>1</v>
      </c>
      <c r="F31" s="11">
        <v>1</v>
      </c>
      <c r="G31" s="11">
        <v>1</v>
      </c>
      <c r="H31" s="11">
        <v>1</v>
      </c>
      <c r="I31" s="11">
        <v>1</v>
      </c>
      <c r="J31" s="11">
        <v>1</v>
      </c>
      <c r="K31" s="11">
        <v>1</v>
      </c>
      <c r="L31" s="11">
        <v>1</v>
      </c>
      <c r="M31" s="11">
        <v>1</v>
      </c>
      <c r="N31" s="11">
        <v>1</v>
      </c>
      <c r="O31" s="11">
        <v>1</v>
      </c>
      <c r="P31" s="11">
        <v>1</v>
      </c>
      <c r="Q31" s="11">
        <v>1</v>
      </c>
    </row>
    <row r="32" spans="1:17" x14ac:dyDescent="0.25">
      <c r="A32" s="3" t="s">
        <v>11</v>
      </c>
      <c r="B32" s="4">
        <v>126642</v>
      </c>
      <c r="C32" s="4">
        <v>126642</v>
      </c>
      <c r="D32" s="4">
        <v>126642</v>
      </c>
      <c r="E32" s="4">
        <v>126642</v>
      </c>
      <c r="F32" s="4">
        <v>126642</v>
      </c>
      <c r="G32" s="4">
        <v>126642</v>
      </c>
      <c r="H32" s="4">
        <v>126642</v>
      </c>
      <c r="I32" s="4">
        <v>126642</v>
      </c>
      <c r="J32" s="4">
        <v>126642</v>
      </c>
      <c r="K32" s="4">
        <v>126642</v>
      </c>
      <c r="L32" s="4">
        <v>126642</v>
      </c>
      <c r="M32" s="4">
        <v>126642</v>
      </c>
      <c r="N32" s="4">
        <v>126642</v>
      </c>
      <c r="O32" s="4">
        <v>126642</v>
      </c>
      <c r="P32" s="4">
        <v>126642</v>
      </c>
      <c r="Q32">
        <v>126642</v>
      </c>
    </row>
    <row r="33" spans="1:17" x14ac:dyDescent="0.25">
      <c r="I33" s="32"/>
      <c r="J33" s="32"/>
    </row>
    <row r="34" spans="1:17" x14ac:dyDescent="0.25">
      <c r="A34" s="12" t="s">
        <v>12</v>
      </c>
      <c r="B34" s="13"/>
      <c r="C34" s="13"/>
      <c r="D34" s="51"/>
      <c r="E34" s="51"/>
      <c r="F34" s="51"/>
      <c r="G34" s="94"/>
      <c r="H34" s="94"/>
      <c r="I34" s="94"/>
      <c r="J34" s="94"/>
      <c r="K34" s="13"/>
      <c r="L34" s="13"/>
      <c r="M34" s="13"/>
      <c r="N34" s="13"/>
    </row>
    <row r="35" spans="1:17" x14ac:dyDescent="0.25">
      <c r="A35" s="13" t="s">
        <v>68</v>
      </c>
      <c r="B35" s="14">
        <f>B19/B30</f>
        <v>3912729550.878788</v>
      </c>
      <c r="C35" s="50">
        <f>C19/C30</f>
        <v>1133267810.1010101</v>
      </c>
      <c r="D35" s="50"/>
      <c r="E35" s="50"/>
      <c r="F35" s="50">
        <f>F19/F30</f>
        <v>1784171246.6666667</v>
      </c>
      <c r="G35" s="50"/>
      <c r="H35" s="50"/>
      <c r="I35" s="50"/>
      <c r="J35" s="50"/>
      <c r="K35" s="14">
        <f t="shared" ref="K35:Q35" si="5">K19/K30</f>
        <v>830332976.939394</v>
      </c>
      <c r="L35" s="14">
        <f t="shared" si="5"/>
        <v>164957517.17171717</v>
      </c>
      <c r="M35" s="14">
        <f t="shared" si="5"/>
        <v>0</v>
      </c>
      <c r="N35" s="14">
        <f t="shared" si="5"/>
        <v>0</v>
      </c>
      <c r="O35" s="14">
        <f t="shared" si="5"/>
        <v>0</v>
      </c>
      <c r="P35" s="14">
        <f t="shared" si="5"/>
        <v>0</v>
      </c>
      <c r="Q35" s="14">
        <f t="shared" si="5"/>
        <v>0</v>
      </c>
    </row>
    <row r="36" spans="1:17" x14ac:dyDescent="0.25">
      <c r="A36" s="13" t="s">
        <v>106</v>
      </c>
      <c r="B36" s="14">
        <f>B21/B31</f>
        <v>3648062981.48</v>
      </c>
      <c r="C36" s="50">
        <f>C21/C31</f>
        <v>1050981740</v>
      </c>
      <c r="D36" s="50"/>
      <c r="E36" s="50"/>
      <c r="F36" s="50">
        <f>F21/F31</f>
        <v>2097891120</v>
      </c>
      <c r="G36" s="50"/>
      <c r="H36" s="50"/>
      <c r="I36" s="50"/>
      <c r="J36" s="50"/>
      <c r="K36" s="14">
        <f>K21/K31</f>
        <v>274129467.48000002</v>
      </c>
      <c r="L36" s="14">
        <f>L21/L31</f>
        <v>224090484</v>
      </c>
      <c r="M36" s="14">
        <f t="shared" ref="M36:Q36" si="6">M21/M31</f>
        <v>970170</v>
      </c>
      <c r="N36" s="14">
        <f t="shared" si="6"/>
        <v>0</v>
      </c>
      <c r="O36" s="14">
        <f t="shared" si="6"/>
        <v>0</v>
      </c>
      <c r="P36" s="14">
        <f t="shared" si="6"/>
        <v>0</v>
      </c>
      <c r="Q36" s="14">
        <f t="shared" si="6"/>
        <v>0</v>
      </c>
    </row>
    <row r="37" spans="1:17" x14ac:dyDescent="0.25">
      <c r="A37" s="13" t="s">
        <v>69</v>
      </c>
      <c r="B37" s="14">
        <f>B35/B10</f>
        <v>30681.898422112059</v>
      </c>
      <c r="C37" s="50">
        <f>C35/C10</f>
        <v>33832.256247417958</v>
      </c>
      <c r="D37" s="50"/>
      <c r="E37" s="50"/>
      <c r="F37" s="50">
        <f>F35/F10</f>
        <v>14179.182391103364</v>
      </c>
      <c r="G37" s="50"/>
      <c r="H37" s="50"/>
      <c r="I37" s="50"/>
      <c r="J37" s="50"/>
      <c r="K37" s="14">
        <f>K35/K10</f>
        <v>86595.248933399926</v>
      </c>
      <c r="L37" s="14">
        <f>L35/L10</f>
        <v>104513.73844036991</v>
      </c>
      <c r="M37" s="14" t="e">
        <f t="shared" ref="M37:Q37" si="7">M35/M10</f>
        <v>#DIV/0!</v>
      </c>
      <c r="N37" s="14" t="e">
        <f t="shared" si="7"/>
        <v>#DIV/0!</v>
      </c>
      <c r="O37" s="14" t="e">
        <f t="shared" si="7"/>
        <v>#DIV/0!</v>
      </c>
      <c r="P37" s="14" t="e">
        <f t="shared" si="7"/>
        <v>#DIV/0!</v>
      </c>
      <c r="Q37" s="14" t="e">
        <f t="shared" si="7"/>
        <v>#DIV/0!</v>
      </c>
    </row>
    <row r="38" spans="1:17" x14ac:dyDescent="0.25">
      <c r="A38" s="13" t="s">
        <v>107</v>
      </c>
      <c r="B38" s="14">
        <f>B36/B14</f>
        <v>29252.056601217744</v>
      </c>
      <c r="C38" s="50">
        <f>C36/C14</f>
        <v>32179.149222808501</v>
      </c>
      <c r="D38" s="50"/>
      <c r="E38" s="50"/>
      <c r="F38" s="50">
        <f>F36/F14</f>
        <v>17021.106726850339</v>
      </c>
      <c r="G38" s="50"/>
      <c r="H38" s="50"/>
      <c r="I38" s="50"/>
      <c r="J38" s="50"/>
      <c r="K38" s="34">
        <f>K36/K14</f>
        <v>26991.873521071291</v>
      </c>
      <c r="L38" s="34">
        <f>L36/L14</f>
        <v>101123.86462093864</v>
      </c>
      <c r="M38" s="34" t="e">
        <f t="shared" ref="M38:Q38" si="8">M36/M14</f>
        <v>#DIV/0!</v>
      </c>
      <c r="N38" s="34" t="e">
        <f t="shared" si="8"/>
        <v>#DIV/0!</v>
      </c>
      <c r="O38" s="34" t="e">
        <f t="shared" si="8"/>
        <v>#DIV/0!</v>
      </c>
      <c r="P38" s="34" t="e">
        <f t="shared" si="8"/>
        <v>#DIV/0!</v>
      </c>
      <c r="Q38" s="34" t="e">
        <f t="shared" si="8"/>
        <v>#DIV/0!</v>
      </c>
    </row>
    <row r="39" spans="1:17" x14ac:dyDescent="0.25">
      <c r="I39" s="32"/>
      <c r="J39" s="32"/>
    </row>
    <row r="40" spans="1:17" x14ac:dyDescent="0.25">
      <c r="A40" s="2" t="s">
        <v>13</v>
      </c>
      <c r="I40" s="32"/>
      <c r="J40" s="32"/>
    </row>
    <row r="41" spans="1:17" x14ac:dyDescent="0.25">
      <c r="I41" s="32"/>
      <c r="J41" s="32"/>
    </row>
    <row r="42" spans="1:17" x14ac:dyDescent="0.25">
      <c r="A42" t="s">
        <v>14</v>
      </c>
      <c r="I42" s="32"/>
      <c r="J42" s="32"/>
    </row>
    <row r="43" spans="1:17" x14ac:dyDescent="0.25">
      <c r="A43" t="s">
        <v>15</v>
      </c>
      <c r="B43" s="17">
        <f>(B13/B32)*100</f>
        <v>104.00656970041535</v>
      </c>
      <c r="C43" s="17">
        <f t="shared" ref="C43:Q43" si="9">(C13/C32)*100</f>
        <v>26.802324663223892</v>
      </c>
      <c r="D43" s="17">
        <f t="shared" si="9"/>
        <v>21.981649057974447</v>
      </c>
      <c r="E43" s="17">
        <f t="shared" si="9"/>
        <v>4.8206756052494439</v>
      </c>
      <c r="F43" s="17">
        <f t="shared" si="9"/>
        <v>111.27272152998215</v>
      </c>
      <c r="G43" s="17">
        <f t="shared" si="9"/>
        <v>82.024920642440904</v>
      </c>
      <c r="H43" s="17">
        <f t="shared" si="9"/>
        <v>4.5814184867579471</v>
      </c>
      <c r="I43" s="17">
        <f t="shared" si="9"/>
        <v>24.666382400783309</v>
      </c>
      <c r="J43" s="17">
        <f t="shared" si="9"/>
        <v>26.730468564931066</v>
      </c>
      <c r="K43" s="17">
        <f t="shared" si="9"/>
        <v>7.0829582602927932</v>
      </c>
      <c r="L43" s="17">
        <f t="shared" si="9"/>
        <v>1.4173812795123262</v>
      </c>
      <c r="M43" s="17">
        <f t="shared" si="9"/>
        <v>15.792549075346251</v>
      </c>
      <c r="N43" s="17">
        <f t="shared" si="9"/>
        <v>0</v>
      </c>
      <c r="O43" s="17">
        <f t="shared" si="9"/>
        <v>0</v>
      </c>
      <c r="P43" s="17">
        <f t="shared" si="9"/>
        <v>0</v>
      </c>
      <c r="Q43" s="17">
        <f t="shared" si="9"/>
        <v>0</v>
      </c>
    </row>
    <row r="44" spans="1:17" x14ac:dyDescent="0.25">
      <c r="A44" t="s">
        <v>16</v>
      </c>
      <c r="B44" s="17">
        <f>(B15/B32)*100</f>
        <v>81.092633828692954</v>
      </c>
      <c r="C44" s="17">
        <f t="shared" ref="C44:Q44" si="10">(C15/C32)*100</f>
        <v>20.393708248448384</v>
      </c>
      <c r="D44" s="17">
        <f t="shared" si="10"/>
        <v>15.281133694456289</v>
      </c>
      <c r="E44" s="17">
        <f t="shared" si="10"/>
        <v>5.1125745539920935</v>
      </c>
      <c r="F44" s="17">
        <f t="shared" si="10"/>
        <v>85.336354974389735</v>
      </c>
      <c r="G44" s="17">
        <f t="shared" si="10"/>
        <v>65.811500134236667</v>
      </c>
      <c r="H44" s="17">
        <f t="shared" si="10"/>
        <v>3.2408942794123061</v>
      </c>
      <c r="I44" s="17">
        <f t="shared" si="10"/>
        <v>16.283960560740777</v>
      </c>
      <c r="J44" s="17">
        <f t="shared" si="10"/>
        <v>20.703505419476421</v>
      </c>
      <c r="K44" s="17">
        <f t="shared" si="10"/>
        <v>8.019456420460827</v>
      </c>
      <c r="L44" s="17">
        <f t="shared" si="10"/>
        <v>1.7498144375483649</v>
      </c>
      <c r="M44" s="17">
        <f t="shared" si="10"/>
        <v>0</v>
      </c>
      <c r="N44" s="17">
        <f t="shared" si="10"/>
        <v>0</v>
      </c>
      <c r="O44" s="17">
        <f t="shared" si="10"/>
        <v>0</v>
      </c>
      <c r="P44" s="17">
        <f t="shared" si="10"/>
        <v>0</v>
      </c>
      <c r="Q44" s="17">
        <f t="shared" si="10"/>
        <v>0</v>
      </c>
    </row>
    <row r="45" spans="1:17" x14ac:dyDescent="0.25">
      <c r="I45" s="32"/>
      <c r="J45" s="32"/>
    </row>
    <row r="46" spans="1:17" x14ac:dyDescent="0.25">
      <c r="A46" t="s">
        <v>17</v>
      </c>
      <c r="I46" s="32"/>
      <c r="J46" s="32"/>
    </row>
    <row r="47" spans="1:17" x14ac:dyDescent="0.25">
      <c r="A47" t="s">
        <v>18</v>
      </c>
      <c r="B47" s="15">
        <f>B14/B12*100</f>
        <v>88.49922176963436</v>
      </c>
      <c r="C47" s="15">
        <f t="shared" ref="C47:Q47" si="11">C14/C12*100</f>
        <v>75.698999497817439</v>
      </c>
      <c r="D47" s="15">
        <f t="shared" si="11"/>
        <v>70.69564434845212</v>
      </c>
      <c r="E47" s="15">
        <f t="shared" si="11"/>
        <v>106.05514605514605</v>
      </c>
      <c r="F47" s="15">
        <f t="shared" si="11"/>
        <v>87.463867875880524</v>
      </c>
      <c r="G47" s="15">
        <f t="shared" si="11"/>
        <v>94.847481340290216</v>
      </c>
      <c r="H47" s="15">
        <f t="shared" si="11"/>
        <v>70.73997472136044</v>
      </c>
      <c r="I47" s="15">
        <f t="shared" si="11"/>
        <v>66.016817124442454</v>
      </c>
      <c r="J47" s="15">
        <f t="shared" si="11"/>
        <v>77.452833904446805</v>
      </c>
      <c r="K47" s="15">
        <f t="shared" si="11"/>
        <v>113.22185061315496</v>
      </c>
      <c r="L47" s="15">
        <f t="shared" si="11"/>
        <v>123.45403899721448</v>
      </c>
      <c r="M47" s="15">
        <f t="shared" si="11"/>
        <v>0</v>
      </c>
      <c r="N47" s="15" t="e">
        <f t="shared" si="11"/>
        <v>#DIV/0!</v>
      </c>
      <c r="O47" s="15" t="e">
        <f t="shared" si="11"/>
        <v>#DIV/0!</v>
      </c>
      <c r="P47" s="15" t="e">
        <f t="shared" si="11"/>
        <v>#DIV/0!</v>
      </c>
      <c r="Q47" s="15" t="e">
        <f t="shared" si="11"/>
        <v>#DIV/0!</v>
      </c>
    </row>
    <row r="48" spans="1:17" x14ac:dyDescent="0.25">
      <c r="A48" t="s">
        <v>19</v>
      </c>
      <c r="B48" s="15">
        <f>B21/B20*100</f>
        <v>67.52644391065779</v>
      </c>
      <c r="C48" s="15">
        <f>C21/C20*100</f>
        <v>60.49027181108243</v>
      </c>
      <c r="D48" s="15"/>
      <c r="E48" s="15"/>
      <c r="F48" s="58">
        <f>F21/F20*100</f>
        <v>103.28078455349305</v>
      </c>
      <c r="G48" s="58"/>
      <c r="H48" s="58"/>
      <c r="I48" s="58"/>
      <c r="J48" s="58"/>
      <c r="K48" s="15">
        <f>K21/K20*100</f>
        <v>32.803824215580455</v>
      </c>
      <c r="L48" s="15">
        <f>L21/L20*100</f>
        <v>30.436481922659432</v>
      </c>
      <c r="M48" s="15">
        <f t="shared" ref="M48:Q48" si="12">M21/M20*100</f>
        <v>3.0496502946954815</v>
      </c>
      <c r="N48" s="15">
        <f t="shared" si="12"/>
        <v>0</v>
      </c>
      <c r="O48" s="15" t="e">
        <f t="shared" si="12"/>
        <v>#DIV/0!</v>
      </c>
      <c r="P48" s="15" t="e">
        <f t="shared" si="12"/>
        <v>#DIV/0!</v>
      </c>
      <c r="Q48" s="15" t="e">
        <f t="shared" si="12"/>
        <v>#DIV/0!</v>
      </c>
    </row>
    <row r="49" spans="1:17" x14ac:dyDescent="0.25">
      <c r="A49" s="13" t="s">
        <v>20</v>
      </c>
      <c r="B49" s="16">
        <f>AVERAGE(B47:B48)</f>
        <v>78.012832840146075</v>
      </c>
      <c r="C49" s="16">
        <f t="shared" ref="C49:Q49" si="13">AVERAGE(C47:C48)</f>
        <v>68.094635654449931</v>
      </c>
      <c r="D49" s="16"/>
      <c r="E49" s="16"/>
      <c r="F49" s="59">
        <f>AVERAGE(F47:F48)</f>
        <v>95.37232621468678</v>
      </c>
      <c r="G49" s="59"/>
      <c r="H49" s="59"/>
      <c r="I49" s="59"/>
      <c r="J49" s="59"/>
      <c r="K49" s="16">
        <f t="shared" si="13"/>
        <v>73.012837414367709</v>
      </c>
      <c r="L49" s="16">
        <f t="shared" si="13"/>
        <v>76.945260459936961</v>
      </c>
      <c r="M49" s="16">
        <f t="shared" si="13"/>
        <v>1.5248251473477408</v>
      </c>
      <c r="N49" s="16" t="e">
        <f t="shared" si="13"/>
        <v>#DIV/0!</v>
      </c>
      <c r="O49" s="16" t="e">
        <f t="shared" si="13"/>
        <v>#DIV/0!</v>
      </c>
      <c r="P49" s="16" t="e">
        <f t="shared" si="13"/>
        <v>#DIV/0!</v>
      </c>
      <c r="Q49" s="16" t="e">
        <f t="shared" si="13"/>
        <v>#DIV/0!</v>
      </c>
    </row>
    <row r="50" spans="1:17" x14ac:dyDescent="0.25">
      <c r="B50" s="15"/>
      <c r="C50" s="15"/>
      <c r="D50" s="15"/>
      <c r="E50" s="15"/>
      <c r="F50" s="15"/>
      <c r="G50" s="15"/>
      <c r="H50" s="15"/>
      <c r="I50" s="15"/>
      <c r="J50" s="15"/>
      <c r="K50" s="15"/>
      <c r="L50" s="15"/>
    </row>
    <row r="51" spans="1:17" x14ac:dyDescent="0.25">
      <c r="A51" t="s">
        <v>21</v>
      </c>
    </row>
    <row r="52" spans="1:17" x14ac:dyDescent="0.25">
      <c r="A52" t="s">
        <v>22</v>
      </c>
      <c r="B52" s="15">
        <f>((B14/B16)*100)</f>
        <v>92.347014020488032</v>
      </c>
      <c r="C52" s="15">
        <f t="shared" ref="C52:Q52" si="14">((C14/C16)*100)</f>
        <v>78.507271343295542</v>
      </c>
      <c r="D52" s="15">
        <f t="shared" si="14"/>
        <v>73.769368015776138</v>
      </c>
      <c r="E52" s="15">
        <f t="shared" si="14"/>
        <v>106.05514605514605</v>
      </c>
      <c r="F52" s="15">
        <f t="shared" si="14"/>
        <v>91.266644740049259</v>
      </c>
      <c r="G52" s="15">
        <f t="shared" si="14"/>
        <v>98.971284876824569</v>
      </c>
      <c r="H52" s="15">
        <f t="shared" si="14"/>
        <v>73.815625796202198</v>
      </c>
      <c r="I52" s="15">
        <f t="shared" si="14"/>
        <v>68.887113521157346</v>
      </c>
      <c r="J52" s="15">
        <f t="shared" si="14"/>
        <v>80.820348422031458</v>
      </c>
      <c r="K52" s="15">
        <f t="shared" si="14"/>
        <v>113.22185061315496</v>
      </c>
      <c r="L52" s="15">
        <f t="shared" si="14"/>
        <v>123.45403899721448</v>
      </c>
      <c r="M52" s="15">
        <f t="shared" si="14"/>
        <v>0</v>
      </c>
      <c r="N52" s="15" t="e">
        <f t="shared" si="14"/>
        <v>#DIV/0!</v>
      </c>
      <c r="O52" s="15" t="e">
        <f t="shared" si="14"/>
        <v>#DIV/0!</v>
      </c>
      <c r="P52" s="15" t="e">
        <f t="shared" si="14"/>
        <v>#DIV/0!</v>
      </c>
      <c r="Q52" s="15" t="e">
        <f t="shared" si="14"/>
        <v>#DIV/0!</v>
      </c>
    </row>
    <row r="53" spans="1:17" x14ac:dyDescent="0.25">
      <c r="A53" t="s">
        <v>23</v>
      </c>
      <c r="B53" s="15">
        <f>B21/B22*100</f>
        <v>17.749550376199181</v>
      </c>
      <c r="C53" s="15">
        <f>C21/C22*100</f>
        <v>15.774684658424864</v>
      </c>
      <c r="D53" s="15"/>
      <c r="E53" s="15"/>
      <c r="F53" s="15">
        <f>F21/F22*100</f>
        <v>26.942813361780793</v>
      </c>
      <c r="G53" s="15"/>
      <c r="H53" s="15"/>
      <c r="I53" s="15"/>
      <c r="J53" s="15"/>
      <c r="K53" s="15">
        <f t="shared" ref="K53:Q53" si="15">K21/K22*100</f>
        <v>8.2009560538951138</v>
      </c>
      <c r="L53" s="15">
        <f t="shared" si="15"/>
        <v>8.3008587061798451</v>
      </c>
      <c r="M53" s="15">
        <f t="shared" si="15"/>
        <v>3.0496502946954815</v>
      </c>
      <c r="N53" s="15">
        <f t="shared" si="15"/>
        <v>0</v>
      </c>
      <c r="O53" s="15" t="e">
        <f t="shared" si="15"/>
        <v>#DIV/0!</v>
      </c>
      <c r="P53" s="15" t="e">
        <f t="shared" si="15"/>
        <v>#DIV/0!</v>
      </c>
      <c r="Q53" s="15" t="e">
        <f t="shared" si="15"/>
        <v>#DIV/0!</v>
      </c>
    </row>
    <row r="54" spans="1:17" x14ac:dyDescent="0.25">
      <c r="A54" t="s">
        <v>24</v>
      </c>
      <c r="B54" s="15">
        <f>(B52+B53)/2</f>
        <v>55.048282198343607</v>
      </c>
      <c r="C54" s="15">
        <f t="shared" ref="C54:Q54" si="16">(C52+C53)/2</f>
        <v>47.140978000860201</v>
      </c>
      <c r="D54" s="15"/>
      <c r="E54" s="15"/>
      <c r="F54" s="15">
        <f t="shared" ref="F54" si="17">(F52+F53)/2</f>
        <v>59.104729050915026</v>
      </c>
      <c r="G54" s="15"/>
      <c r="H54" s="15"/>
      <c r="I54" s="15"/>
      <c r="J54" s="15"/>
      <c r="K54" s="15">
        <f t="shared" si="16"/>
        <v>60.711403333525034</v>
      </c>
      <c r="L54" s="15">
        <f t="shared" si="16"/>
        <v>65.877448851697167</v>
      </c>
      <c r="M54" s="15">
        <f t="shared" si="16"/>
        <v>1.5248251473477408</v>
      </c>
      <c r="N54" s="15" t="e">
        <f t="shared" si="16"/>
        <v>#DIV/0!</v>
      </c>
      <c r="O54" s="15" t="e">
        <f t="shared" si="16"/>
        <v>#DIV/0!</v>
      </c>
      <c r="P54" s="15" t="e">
        <f t="shared" si="16"/>
        <v>#DIV/0!</v>
      </c>
      <c r="Q54" s="15" t="e">
        <f t="shared" si="16"/>
        <v>#DIV/0!</v>
      </c>
    </row>
    <row r="55" spans="1:17" x14ac:dyDescent="0.25">
      <c r="B55" s="15"/>
      <c r="C55" s="15"/>
      <c r="D55" s="15"/>
      <c r="E55" s="15"/>
      <c r="F55" s="15"/>
      <c r="G55" s="15"/>
      <c r="H55" s="15"/>
      <c r="I55" s="15"/>
      <c r="J55" s="15"/>
      <c r="K55" s="15"/>
      <c r="L55" s="15"/>
    </row>
    <row r="56" spans="1:17" x14ac:dyDescent="0.25">
      <c r="A56" t="s">
        <v>40</v>
      </c>
    </row>
    <row r="57" spans="1:17" x14ac:dyDescent="0.25">
      <c r="A57" t="s">
        <v>25</v>
      </c>
      <c r="B57" s="15">
        <f>B23/B21*100</f>
        <v>100</v>
      </c>
      <c r="C57" s="15"/>
      <c r="D57" s="15"/>
      <c r="E57" s="15"/>
      <c r="F57" s="15"/>
      <c r="G57" s="15"/>
      <c r="H57" s="15"/>
      <c r="I57" s="15"/>
      <c r="J57" s="15"/>
      <c r="K57" s="15"/>
      <c r="L57" s="15"/>
    </row>
    <row r="59" spans="1:17" x14ac:dyDescent="0.25">
      <c r="A59" t="s">
        <v>26</v>
      </c>
    </row>
    <row r="60" spans="1:17" x14ac:dyDescent="0.25">
      <c r="A60" t="s">
        <v>27</v>
      </c>
      <c r="B60" s="15">
        <f>((B14/B10)-1)*100</f>
        <v>-2.2068760014323785</v>
      </c>
      <c r="C60" s="15">
        <f t="shared" ref="C60:Q60" si="18">((C14/C10)-1)*100</f>
        <v>-2.4967658473479815</v>
      </c>
      <c r="D60" s="15">
        <f t="shared" si="18"/>
        <v>-3.5850168143547911</v>
      </c>
      <c r="E60" s="15">
        <f t="shared" si="18"/>
        <v>2.1670523879655068</v>
      </c>
      <c r="F60" s="15">
        <f t="shared" si="18"/>
        <v>-2.0487905671923268</v>
      </c>
      <c r="G60" s="15">
        <f t="shared" si="18"/>
        <v>-1.8339483027177028</v>
      </c>
      <c r="H60" s="15">
        <f t="shared" si="18"/>
        <v>-6.9804336329984178</v>
      </c>
      <c r="I60" s="15">
        <f t="shared" si="18"/>
        <v>-2.0394268070620059</v>
      </c>
      <c r="J60" s="15">
        <f t="shared" si="18"/>
        <v>0.28431185057691266</v>
      </c>
      <c r="K60" s="15">
        <f t="shared" si="18"/>
        <v>5.9167072238058838</v>
      </c>
      <c r="L60" s="15">
        <f t="shared" si="18"/>
        <v>40.401267159450917</v>
      </c>
      <c r="M60" s="15" t="e">
        <f t="shared" si="18"/>
        <v>#DIV/0!</v>
      </c>
      <c r="N60" s="15" t="e">
        <f t="shared" si="18"/>
        <v>#DIV/0!</v>
      </c>
      <c r="O60" s="15" t="e">
        <f t="shared" si="18"/>
        <v>#DIV/0!</v>
      </c>
      <c r="P60" s="15" t="e">
        <f t="shared" si="18"/>
        <v>#DIV/0!</v>
      </c>
      <c r="Q60" s="15" t="e">
        <f t="shared" si="18"/>
        <v>#DIV/0!</v>
      </c>
    </row>
    <row r="61" spans="1:17" x14ac:dyDescent="0.25">
      <c r="A61" t="s">
        <v>28</v>
      </c>
      <c r="B61" s="15">
        <f>((B36/B35)-1)*100</f>
        <v>-6.7642438854314531</v>
      </c>
      <c r="C61" s="15">
        <f t="shared" ref="C61:Q61" si="19">((C36/C35)-1)*100</f>
        <v>-7.2609553865008998</v>
      </c>
      <c r="D61" s="15"/>
      <c r="E61" s="15"/>
      <c r="F61" s="15">
        <f t="shared" si="19"/>
        <v>17.583506847756357</v>
      </c>
      <c r="G61" s="15"/>
      <c r="H61" s="15"/>
      <c r="I61" s="15"/>
      <c r="J61" s="15"/>
      <c r="K61" s="15">
        <f t="shared" si="19"/>
        <v>-66.985597935608823</v>
      </c>
      <c r="L61" s="15">
        <f t="shared" si="19"/>
        <v>35.84739140243407</v>
      </c>
      <c r="M61" s="15" t="e">
        <f t="shared" si="19"/>
        <v>#DIV/0!</v>
      </c>
      <c r="N61" s="15" t="e">
        <f t="shared" si="19"/>
        <v>#DIV/0!</v>
      </c>
      <c r="O61" s="15" t="e">
        <f t="shared" si="19"/>
        <v>#DIV/0!</v>
      </c>
      <c r="P61" s="15" t="e">
        <f t="shared" si="19"/>
        <v>#DIV/0!</v>
      </c>
      <c r="Q61" s="15" t="e">
        <f t="shared" si="19"/>
        <v>#DIV/0!</v>
      </c>
    </row>
    <row r="62" spans="1:17" x14ac:dyDescent="0.25">
      <c r="A62" s="13" t="s">
        <v>29</v>
      </c>
      <c r="B62" s="16">
        <f>((B38/B37)-1)*100</f>
        <v>-4.6602130064541392</v>
      </c>
      <c r="C62" s="16">
        <f t="shared" ref="C62:Q62" si="20">((C38/C37)-1)*100</f>
        <v>-4.8861861665983941</v>
      </c>
      <c r="D62" s="16"/>
      <c r="E62" s="16"/>
      <c r="F62" s="16">
        <f t="shared" si="20"/>
        <v>20.042935180311396</v>
      </c>
      <c r="G62" s="16"/>
      <c r="H62" s="16"/>
      <c r="I62" s="16"/>
      <c r="J62" s="16"/>
      <c r="K62" s="16">
        <f t="shared" si="20"/>
        <v>-68.829844762233279</v>
      </c>
      <c r="L62" s="16">
        <f t="shared" si="20"/>
        <v>-3.2434719779594889</v>
      </c>
      <c r="M62" s="16" t="e">
        <f t="shared" si="20"/>
        <v>#DIV/0!</v>
      </c>
      <c r="N62" s="16" t="e">
        <f t="shared" si="20"/>
        <v>#DIV/0!</v>
      </c>
      <c r="O62" s="16" t="e">
        <f t="shared" si="20"/>
        <v>#DIV/0!</v>
      </c>
      <c r="P62" s="16" t="e">
        <f t="shared" si="20"/>
        <v>#DIV/0!</v>
      </c>
      <c r="Q62" s="16" t="e">
        <f t="shared" si="20"/>
        <v>#DIV/0!</v>
      </c>
    </row>
    <row r="63" spans="1:17" x14ac:dyDescent="0.25">
      <c r="B63" s="17"/>
      <c r="C63" s="17"/>
      <c r="D63" s="17"/>
      <c r="E63" s="17"/>
      <c r="F63" s="17"/>
      <c r="G63" s="17"/>
      <c r="H63" s="17"/>
      <c r="I63" s="17"/>
      <c r="J63" s="17"/>
      <c r="K63" s="17"/>
      <c r="L63" s="17"/>
    </row>
    <row r="64" spans="1:17" x14ac:dyDescent="0.25">
      <c r="A64" t="s">
        <v>30</v>
      </c>
    </row>
    <row r="65" spans="1:17" x14ac:dyDescent="0.25">
      <c r="A65" t="s">
        <v>46</v>
      </c>
      <c r="B65" s="4">
        <f>B20/(B12*3)</f>
        <v>12779.113358880106</v>
      </c>
      <c r="C65" s="4">
        <f>C20/(C12*3)</f>
        <v>13423.257040213235</v>
      </c>
      <c r="D65" s="4"/>
      <c r="E65" s="4"/>
      <c r="F65" s="4">
        <f t="shared" ref="F65" si="21">F20/(F12*3)</f>
        <v>4804.8041601498753</v>
      </c>
      <c r="G65" s="4"/>
      <c r="H65" s="40"/>
      <c r="I65" s="40"/>
      <c r="J65" s="40"/>
      <c r="K65" s="4">
        <f>K20/(K12*3)</f>
        <v>31054</v>
      </c>
      <c r="L65" s="4">
        <f>L20/(L12*3)</f>
        <v>136723.52757660169</v>
      </c>
      <c r="M65" s="4">
        <f t="shared" ref="M65:Q65" si="22">M20/(M12*3)</f>
        <v>530.20833333333337</v>
      </c>
      <c r="N65" s="4" t="e">
        <f t="shared" si="22"/>
        <v>#DIV/0!</v>
      </c>
      <c r="O65" s="4" t="e">
        <f t="shared" si="22"/>
        <v>#DIV/0!</v>
      </c>
      <c r="P65" s="4" t="e">
        <f t="shared" si="22"/>
        <v>#DIV/0!</v>
      </c>
      <c r="Q65" s="4" t="e">
        <f t="shared" si="22"/>
        <v>#DIV/0!</v>
      </c>
    </row>
    <row r="66" spans="1:17" x14ac:dyDescent="0.25">
      <c r="A66" t="s">
        <v>47</v>
      </c>
      <c r="B66" s="4">
        <f>B21/(B14*3)</f>
        <v>9750.6855337392481</v>
      </c>
      <c r="C66" s="4">
        <f>C21/(C14*3)</f>
        <v>10726.383074269501</v>
      </c>
      <c r="D66" s="4"/>
      <c r="E66" s="44"/>
      <c r="F66" s="4">
        <f>F21/(F14*3)</f>
        <v>5673.7022422834452</v>
      </c>
      <c r="G66" s="40"/>
      <c r="H66" s="40"/>
      <c r="I66" s="40"/>
      <c r="J66" s="40"/>
      <c r="K66" s="4">
        <f>K21/(K14*3)</f>
        <v>8997.2911736904298</v>
      </c>
      <c r="L66" s="4">
        <f>L21/(L14*3)</f>
        <v>33707.954873646209</v>
      </c>
      <c r="M66" s="4" t="e">
        <f t="shared" ref="M66:Q66" si="23">M21/(M14*3)</f>
        <v>#DIV/0!</v>
      </c>
      <c r="N66" s="4" t="e">
        <f t="shared" si="23"/>
        <v>#DIV/0!</v>
      </c>
      <c r="O66" s="4" t="e">
        <f t="shared" si="23"/>
        <v>#DIV/0!</v>
      </c>
      <c r="P66" s="4" t="e">
        <f t="shared" si="23"/>
        <v>#DIV/0!</v>
      </c>
      <c r="Q66" s="4" t="e">
        <f t="shared" si="23"/>
        <v>#DIV/0!</v>
      </c>
    </row>
    <row r="67" spans="1:17" x14ac:dyDescent="0.25">
      <c r="A67" s="13" t="s">
        <v>33</v>
      </c>
      <c r="B67" s="16">
        <f>(B65/B66)*B49</f>
        <v>102.24253780536814</v>
      </c>
      <c r="C67" s="16">
        <f>(C65/C66)*C49</f>
        <v>85.215285629876675</v>
      </c>
      <c r="D67" s="16"/>
      <c r="E67" s="16"/>
      <c r="F67" s="16">
        <f t="shared" ref="F67" si="24">(F65/F66)*F49</f>
        <v>80.76654892891807</v>
      </c>
      <c r="G67" s="59"/>
      <c r="H67" s="59"/>
      <c r="I67" s="59"/>
      <c r="J67" s="59"/>
      <c r="K67" s="16">
        <f>(K65/K66)*K49</f>
        <v>252.00258714487919</v>
      </c>
      <c r="L67" s="16">
        <f>(L65/L66)*L49</f>
        <v>312.09925015676311</v>
      </c>
      <c r="M67" s="16" t="e">
        <f t="shared" ref="M67:Q67" si="25">(M65/M66)*M49</f>
        <v>#DIV/0!</v>
      </c>
      <c r="N67" s="16" t="e">
        <f t="shared" si="25"/>
        <v>#DIV/0!</v>
      </c>
      <c r="O67" s="16" t="e">
        <f t="shared" si="25"/>
        <v>#DIV/0!</v>
      </c>
      <c r="P67" s="16" t="e">
        <f t="shared" si="25"/>
        <v>#DIV/0!</v>
      </c>
      <c r="Q67" s="16" t="e">
        <f t="shared" si="25"/>
        <v>#DIV/0!</v>
      </c>
    </row>
    <row r="68" spans="1:17" x14ac:dyDescent="0.25">
      <c r="A68" t="s">
        <v>39</v>
      </c>
      <c r="B68" s="30">
        <f>B20/B12</f>
        <v>38337.340076640314</v>
      </c>
      <c r="C68" s="30">
        <f>C20/C12</f>
        <v>40269.7711206397</v>
      </c>
      <c r="D68" s="30"/>
      <c r="E68" s="30"/>
      <c r="F68" s="30">
        <f t="shared" ref="F68" si="26">F20/F12</f>
        <v>14414.412480449626</v>
      </c>
      <c r="G68" s="60"/>
      <c r="H68" s="60"/>
      <c r="I68" s="60"/>
      <c r="J68" s="60"/>
      <c r="K68" s="30">
        <f t="shared" ref="K68:Q68" si="27">K20/K12</f>
        <v>93162</v>
      </c>
      <c r="L68" s="30">
        <f t="shared" si="27"/>
        <v>410170.58272980503</v>
      </c>
      <c r="M68" s="30">
        <f t="shared" si="27"/>
        <v>1590.625</v>
      </c>
      <c r="N68" s="30" t="e">
        <f t="shared" si="27"/>
        <v>#DIV/0!</v>
      </c>
      <c r="O68" s="30" t="e">
        <f t="shared" si="27"/>
        <v>#DIV/0!</v>
      </c>
      <c r="P68" s="30" t="e">
        <f t="shared" si="27"/>
        <v>#DIV/0!</v>
      </c>
      <c r="Q68" s="30" t="e">
        <f t="shared" si="27"/>
        <v>#DIV/0!</v>
      </c>
    </row>
    <row r="69" spans="1:17" x14ac:dyDescent="0.25">
      <c r="A69" t="s">
        <v>38</v>
      </c>
      <c r="B69" s="17">
        <f>B21/B14</f>
        <v>29252.056601217744</v>
      </c>
      <c r="C69" s="17">
        <f>C21/C14</f>
        <v>32179.149222808501</v>
      </c>
      <c r="D69" s="17"/>
      <c r="E69" s="17"/>
      <c r="F69" s="17">
        <f t="shared" ref="F69" si="28">F21/F14</f>
        <v>17021.106726850339</v>
      </c>
      <c r="G69" s="60"/>
      <c r="H69" s="60"/>
      <c r="I69" s="60"/>
      <c r="J69" s="60"/>
      <c r="K69" s="30">
        <f>K21/K14</f>
        <v>26991.873521071291</v>
      </c>
      <c r="L69" s="30">
        <f>L21/L14</f>
        <v>101123.86462093864</v>
      </c>
      <c r="M69" s="30" t="e">
        <f t="shared" ref="M69:Q69" si="29">M21/M14</f>
        <v>#DIV/0!</v>
      </c>
      <c r="N69" s="30" t="e">
        <f t="shared" si="29"/>
        <v>#DIV/0!</v>
      </c>
      <c r="O69" s="30" t="e">
        <f t="shared" si="29"/>
        <v>#DIV/0!</v>
      </c>
      <c r="P69" s="30" t="e">
        <f t="shared" si="29"/>
        <v>#DIV/0!</v>
      </c>
      <c r="Q69" s="30" t="e">
        <f t="shared" si="29"/>
        <v>#DIV/0!</v>
      </c>
    </row>
    <row r="70" spans="1:17" x14ac:dyDescent="0.25">
      <c r="B70" s="15"/>
      <c r="C70" s="15"/>
      <c r="D70" s="15"/>
      <c r="E70" s="15"/>
      <c r="F70" s="15"/>
      <c r="G70" s="15"/>
      <c r="H70" s="15"/>
      <c r="I70" s="17"/>
      <c r="J70" s="17"/>
      <c r="K70" s="15"/>
      <c r="L70" s="15"/>
    </row>
    <row r="71" spans="1:17" x14ac:dyDescent="0.25">
      <c r="A71" t="s">
        <v>34</v>
      </c>
      <c r="B71" s="15"/>
      <c r="C71" s="15"/>
      <c r="D71" s="15"/>
      <c r="E71" s="15"/>
      <c r="F71" s="15"/>
      <c r="G71" s="15"/>
      <c r="H71" s="15"/>
      <c r="I71" s="17"/>
      <c r="J71" s="17"/>
      <c r="K71" s="15"/>
      <c r="L71" s="15"/>
    </row>
    <row r="72" spans="1:17" x14ac:dyDescent="0.25">
      <c r="A72" s="18" t="s">
        <v>35</v>
      </c>
      <c r="B72" s="19">
        <f>(B27/B26)*100</f>
        <v>91.54159408768821</v>
      </c>
      <c r="C72" s="19"/>
      <c r="D72" s="19"/>
      <c r="E72" s="19"/>
      <c r="F72" s="19"/>
      <c r="G72" s="19"/>
      <c r="H72" s="19"/>
      <c r="I72" s="19"/>
      <c r="J72" s="19"/>
      <c r="K72" s="19"/>
      <c r="L72" s="19"/>
    </row>
    <row r="73" spans="1:17" x14ac:dyDescent="0.25">
      <c r="A73" s="18" t="s">
        <v>36</v>
      </c>
      <c r="B73" s="19">
        <f>(B21/B27)*100</f>
        <v>73.765859753298415</v>
      </c>
      <c r="C73" s="19"/>
      <c r="D73" s="19"/>
      <c r="E73" s="19"/>
      <c r="F73" s="19"/>
      <c r="G73" s="19"/>
      <c r="H73" s="19"/>
      <c r="I73" s="19"/>
      <c r="J73" s="19"/>
      <c r="K73" s="19"/>
      <c r="L73" s="19"/>
    </row>
    <row r="74" spans="1:17" ht="15.75" thickBot="1" x14ac:dyDescent="0.3">
      <c r="A74" s="20"/>
      <c r="B74" s="20"/>
      <c r="C74" s="20"/>
      <c r="D74" s="20"/>
      <c r="E74" s="20"/>
      <c r="F74" s="20"/>
      <c r="G74" s="20"/>
      <c r="H74" s="20"/>
      <c r="I74" s="49"/>
      <c r="J74" s="49"/>
      <c r="K74" s="20"/>
      <c r="L74" s="20"/>
      <c r="M74" s="20"/>
      <c r="N74" s="20"/>
      <c r="O74" s="20"/>
      <c r="P74" s="20"/>
      <c r="Q74" s="20"/>
    </row>
    <row r="75" spans="1:17" ht="15.75" thickTop="1" x14ac:dyDescent="0.25">
      <c r="A75" s="33" t="s">
        <v>98</v>
      </c>
    </row>
    <row r="76" spans="1:17" x14ac:dyDescent="0.25">
      <c r="A76" t="s">
        <v>99</v>
      </c>
    </row>
    <row r="77" spans="1:17" x14ac:dyDescent="0.25">
      <c r="A77" t="s">
        <v>100</v>
      </c>
    </row>
    <row r="78" spans="1:17" x14ac:dyDescent="0.25">
      <c r="A78" t="s">
        <v>55</v>
      </c>
      <c r="B78" s="21"/>
      <c r="C78" s="21"/>
      <c r="D78" s="21"/>
      <c r="E78" s="21"/>
      <c r="F78" s="21"/>
      <c r="G78" s="21"/>
      <c r="H78" s="21"/>
      <c r="I78" s="21"/>
      <c r="J78" s="21"/>
    </row>
    <row r="80" spans="1:17" x14ac:dyDescent="0.25">
      <c r="A80" t="s">
        <v>43</v>
      </c>
    </row>
    <row r="81" spans="1:1" x14ac:dyDescent="0.25">
      <c r="A81" t="s">
        <v>53</v>
      </c>
    </row>
    <row r="82" spans="1:1" x14ac:dyDescent="0.25">
      <c r="A82" t="s">
        <v>86</v>
      </c>
    </row>
    <row r="83" spans="1:1" x14ac:dyDescent="0.25">
      <c r="A83" t="s">
        <v>50</v>
      </c>
    </row>
    <row r="84" spans="1:1" x14ac:dyDescent="0.25">
      <c r="A84" t="s">
        <v>54</v>
      </c>
    </row>
    <row r="86" spans="1:1" x14ac:dyDescent="0.25">
      <c r="A86" s="104" t="s">
        <v>142</v>
      </c>
    </row>
    <row r="87" spans="1:1" x14ac:dyDescent="0.25">
      <c r="A87" s="42"/>
    </row>
  </sheetData>
  <mergeCells count="6">
    <mergeCell ref="G34:J34"/>
    <mergeCell ref="A2:K2"/>
    <mergeCell ref="A4:A5"/>
    <mergeCell ref="D5:E5"/>
    <mergeCell ref="G5:H5"/>
    <mergeCell ref="C4:Q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87"/>
  <sheetViews>
    <sheetView topLeftCell="A82" zoomScale="80" zoomScaleNormal="80" workbookViewId="0">
      <pane xSplit="1" topLeftCell="H1" activePane="topRight" state="frozen"/>
      <selection activeCell="E28" sqref="E28"/>
      <selection pane="topRight" activeCell="A86" sqref="A86"/>
    </sheetView>
  </sheetViews>
  <sheetFormatPr baseColWidth="10" defaultColWidth="11.42578125" defaultRowHeight="15" x14ac:dyDescent="0.25"/>
  <cols>
    <col min="1" max="1" width="50.85546875" customWidth="1"/>
    <col min="2" max="3" width="26.7109375" customWidth="1"/>
    <col min="4" max="6" width="16.5703125" customWidth="1"/>
    <col min="7" max="7" width="16.140625" customWidth="1"/>
    <col min="8" max="10" width="17.42578125" customWidth="1"/>
    <col min="11" max="11" width="17.28515625" customWidth="1"/>
    <col min="12" max="12" width="16.42578125" customWidth="1"/>
    <col min="13" max="13" width="18.7109375" customWidth="1"/>
    <col min="14" max="14" width="23.28515625" customWidth="1"/>
    <col min="15" max="15" width="14.85546875" customWidth="1"/>
    <col min="16" max="16" width="23.42578125" customWidth="1"/>
    <col min="17" max="17" width="29.85546875" customWidth="1"/>
  </cols>
  <sheetData>
    <row r="2" spans="1:17" ht="15.75" x14ac:dyDescent="0.25">
      <c r="A2" s="98" t="s">
        <v>108</v>
      </c>
      <c r="B2" s="98"/>
      <c r="C2" s="98"/>
      <c r="D2" s="98"/>
      <c r="E2" s="98"/>
      <c r="F2" s="98"/>
      <c r="G2" s="98"/>
      <c r="H2" s="98"/>
      <c r="I2" s="98"/>
      <c r="J2" s="98"/>
      <c r="K2" s="98"/>
    </row>
    <row r="4" spans="1:17" x14ac:dyDescent="0.25">
      <c r="A4" s="95" t="s">
        <v>0</v>
      </c>
      <c r="B4" s="25" t="s">
        <v>1</v>
      </c>
      <c r="C4" s="25"/>
      <c r="D4" s="101" t="s">
        <v>2</v>
      </c>
      <c r="E4" s="101"/>
      <c r="F4" s="101"/>
      <c r="G4" s="101"/>
      <c r="H4" s="101"/>
      <c r="I4" s="101"/>
      <c r="J4" s="101"/>
      <c r="K4" s="101"/>
      <c r="L4" s="101"/>
      <c r="M4" s="101"/>
      <c r="N4" s="101"/>
      <c r="O4" s="83"/>
      <c r="P4" s="83"/>
    </row>
    <row r="5" spans="1:17" ht="15.75" thickBot="1" x14ac:dyDescent="0.3">
      <c r="A5" s="96"/>
      <c r="B5" s="1" t="s">
        <v>3</v>
      </c>
      <c r="C5" s="57" t="s">
        <v>56</v>
      </c>
      <c r="D5" s="97" t="s">
        <v>4</v>
      </c>
      <c r="E5" s="97"/>
      <c r="F5" s="57" t="s">
        <v>57</v>
      </c>
      <c r="G5" s="97" t="s">
        <v>52</v>
      </c>
      <c r="H5" s="97"/>
      <c r="I5" s="48"/>
      <c r="J5" s="48"/>
      <c r="K5" s="1" t="s">
        <v>5</v>
      </c>
      <c r="L5" s="20" t="s">
        <v>51</v>
      </c>
      <c r="M5" s="20" t="s">
        <v>138</v>
      </c>
      <c r="N5" s="20" t="s">
        <v>87</v>
      </c>
      <c r="O5" s="20" t="s">
        <v>88</v>
      </c>
      <c r="P5" s="20" t="s">
        <v>139</v>
      </c>
      <c r="Q5" s="20" t="s">
        <v>140</v>
      </c>
    </row>
    <row r="6" spans="1:17" ht="15.75" thickTop="1" x14ac:dyDescent="0.25">
      <c r="B6" s="36" t="s">
        <v>1</v>
      </c>
      <c r="D6" s="36" t="s">
        <v>48</v>
      </c>
      <c r="E6" s="36" t="s">
        <v>49</v>
      </c>
      <c r="F6" s="36"/>
      <c r="G6" s="36">
        <v>1600</v>
      </c>
      <c r="H6" s="36">
        <v>640</v>
      </c>
      <c r="I6" s="47">
        <v>320</v>
      </c>
      <c r="J6" s="47">
        <v>800</v>
      </c>
      <c r="K6" s="36" t="s">
        <v>5</v>
      </c>
      <c r="M6" t="s">
        <v>138</v>
      </c>
      <c r="N6" t="s">
        <v>87</v>
      </c>
      <c r="O6" s="33" t="s">
        <v>88</v>
      </c>
      <c r="P6" s="33" t="s">
        <v>139</v>
      </c>
      <c r="Q6" s="33" t="s">
        <v>140</v>
      </c>
    </row>
    <row r="7" spans="1:17" x14ac:dyDescent="0.25">
      <c r="A7" s="2" t="s">
        <v>6</v>
      </c>
      <c r="I7" s="32"/>
      <c r="J7" s="32"/>
    </row>
    <row r="8" spans="1:17" x14ac:dyDescent="0.25">
      <c r="I8" s="32"/>
      <c r="J8" s="32"/>
    </row>
    <row r="9" spans="1:17" x14ac:dyDescent="0.25">
      <c r="A9" t="s">
        <v>7</v>
      </c>
      <c r="I9" s="32"/>
      <c r="J9" s="32"/>
      <c r="O9" s="72"/>
    </row>
    <row r="10" spans="1:17" x14ac:dyDescent="0.25">
      <c r="A10" s="3" t="s">
        <v>70</v>
      </c>
      <c r="B10" s="24">
        <f>+D10+G10</f>
        <v>127923</v>
      </c>
      <c r="C10" s="24">
        <f>+D10+E10</f>
        <v>33566.666666666672</v>
      </c>
      <c r="D10" s="37">
        <v>26457.666666666668</v>
      </c>
      <c r="E10" s="37">
        <v>7109</v>
      </c>
      <c r="F10" s="81">
        <f>SUM(G10:I10)</f>
        <v>126210.33333333333</v>
      </c>
      <c r="G10" s="37">
        <v>101465.33333333333</v>
      </c>
      <c r="H10" s="78">
        <v>4044</v>
      </c>
      <c r="I10" s="78">
        <v>20701</v>
      </c>
      <c r="J10" s="37">
        <v>26700</v>
      </c>
      <c r="K10" s="24">
        <v>9131.3333333333339</v>
      </c>
      <c r="L10" s="24">
        <v>1758</v>
      </c>
      <c r="M10" s="79">
        <v>0</v>
      </c>
      <c r="N10" s="66">
        <v>0</v>
      </c>
      <c r="O10" s="5">
        <v>0</v>
      </c>
      <c r="P10">
        <v>0</v>
      </c>
      <c r="Q10">
        <v>0</v>
      </c>
    </row>
    <row r="11" spans="1:17" x14ac:dyDescent="0.25">
      <c r="A11" s="27" t="s">
        <v>37</v>
      </c>
      <c r="B11" s="24">
        <f>+D11+G11</f>
        <v>103437</v>
      </c>
      <c r="C11" s="24">
        <f t="shared" ref="C11:C16" si="0">+D11+E11</f>
        <v>26369</v>
      </c>
      <c r="D11" s="37">
        <v>19260</v>
      </c>
      <c r="E11" s="37">
        <v>7109</v>
      </c>
      <c r="F11" s="37">
        <f>SUM(G11:I11)</f>
        <v>108922</v>
      </c>
      <c r="G11" s="37">
        <v>84177</v>
      </c>
      <c r="H11" s="63">
        <v>4044</v>
      </c>
      <c r="I11" s="63">
        <v>20701</v>
      </c>
      <c r="J11" s="37">
        <v>26700</v>
      </c>
      <c r="K11" s="24">
        <v>9131.3333333333339</v>
      </c>
      <c r="L11" s="24">
        <v>1758</v>
      </c>
      <c r="M11" s="79">
        <v>0</v>
      </c>
      <c r="N11" s="66">
        <v>0</v>
      </c>
      <c r="O11" s="5">
        <v>0</v>
      </c>
      <c r="P11">
        <v>0</v>
      </c>
      <c r="Q11">
        <v>0</v>
      </c>
    </row>
    <row r="12" spans="1:17" x14ac:dyDescent="0.25">
      <c r="A12" s="3" t="s">
        <v>109</v>
      </c>
      <c r="B12" s="24">
        <f>+D12+G12</f>
        <v>130317.66666666667</v>
      </c>
      <c r="C12" s="24">
        <f t="shared" si="0"/>
        <v>41201</v>
      </c>
      <c r="D12" s="35">
        <v>35096</v>
      </c>
      <c r="E12" s="24">
        <v>6105</v>
      </c>
      <c r="F12" s="24">
        <f>SUM(G12:I12)</f>
        <v>129175.33333333334</v>
      </c>
      <c r="G12" s="24">
        <v>95221.666666666672</v>
      </c>
      <c r="H12" s="24">
        <v>5318.666666666667</v>
      </c>
      <c r="I12" s="37">
        <v>28635</v>
      </c>
      <c r="J12" s="37">
        <v>31031</v>
      </c>
      <c r="K12" s="4">
        <v>8970</v>
      </c>
      <c r="L12" s="29">
        <v>1795</v>
      </c>
      <c r="M12" s="79">
        <v>0</v>
      </c>
      <c r="N12" s="66">
        <v>0</v>
      </c>
      <c r="O12" s="5">
        <v>0</v>
      </c>
      <c r="P12">
        <v>0</v>
      </c>
      <c r="Q12">
        <v>0</v>
      </c>
    </row>
    <row r="13" spans="1:17" x14ac:dyDescent="0.25">
      <c r="A13" s="27" t="s">
        <v>37</v>
      </c>
      <c r="B13" s="24">
        <f>+D13+G13</f>
        <v>121394.66666666667</v>
      </c>
      <c r="C13" s="24">
        <f t="shared" si="0"/>
        <v>32278</v>
      </c>
      <c r="D13" s="35">
        <v>26173</v>
      </c>
      <c r="E13" s="24">
        <v>6105</v>
      </c>
      <c r="F13" s="24">
        <f t="shared" ref="F13:F16" si="1">SUM(G13:I13)</f>
        <v>129175.33333333334</v>
      </c>
      <c r="G13" s="24">
        <v>95221.666666666672</v>
      </c>
      <c r="H13" s="24">
        <v>5318.666666666667</v>
      </c>
      <c r="I13" s="37">
        <v>28635</v>
      </c>
      <c r="J13" s="37">
        <v>31031</v>
      </c>
      <c r="K13" s="4">
        <v>8970</v>
      </c>
      <c r="L13" s="29">
        <v>1795</v>
      </c>
      <c r="M13" s="79">
        <v>0</v>
      </c>
      <c r="N13" s="66">
        <v>0</v>
      </c>
      <c r="O13" s="5">
        <v>0</v>
      </c>
      <c r="P13">
        <v>0</v>
      </c>
      <c r="Q13">
        <v>0</v>
      </c>
    </row>
    <row r="14" spans="1:17" x14ac:dyDescent="0.25">
      <c r="A14" s="3" t="s">
        <v>110</v>
      </c>
      <c r="B14" s="24">
        <f t="shared" ref="B14:B15" si="2">+D14+G14</f>
        <v>126097</v>
      </c>
      <c r="C14" s="24">
        <f t="shared" si="0"/>
        <v>30998.666666666668</v>
      </c>
      <c r="D14" s="37">
        <v>24909.666666666668</v>
      </c>
      <c r="E14" s="37">
        <v>6089</v>
      </c>
      <c r="F14" s="24">
        <f t="shared" si="1"/>
        <v>124601</v>
      </c>
      <c r="G14" s="37">
        <v>101187.33333333333</v>
      </c>
      <c r="H14" s="37">
        <v>3608.6666666666665</v>
      </c>
      <c r="I14" s="37">
        <v>19805</v>
      </c>
      <c r="J14" s="37">
        <v>26174</v>
      </c>
      <c r="K14" s="24">
        <v>5071</v>
      </c>
      <c r="L14" s="24">
        <v>2426</v>
      </c>
      <c r="M14" s="79">
        <v>0</v>
      </c>
      <c r="N14" s="66">
        <v>0</v>
      </c>
      <c r="O14" s="5">
        <v>0</v>
      </c>
      <c r="P14" s="70">
        <v>0</v>
      </c>
      <c r="Q14">
        <v>0</v>
      </c>
    </row>
    <row r="15" spans="1:17" x14ac:dyDescent="0.25">
      <c r="A15" s="27" t="s">
        <v>37</v>
      </c>
      <c r="B15" s="24">
        <f t="shared" si="2"/>
        <v>102832.33333333334</v>
      </c>
      <c r="C15" s="24">
        <f t="shared" si="0"/>
        <v>24343.666666666668</v>
      </c>
      <c r="D15" s="37">
        <v>18254.666666666668</v>
      </c>
      <c r="E15" s="37">
        <v>6089</v>
      </c>
      <c r="F15" s="24">
        <f t="shared" si="1"/>
        <v>107991.33333333334</v>
      </c>
      <c r="G15" s="37">
        <v>84577.666666666672</v>
      </c>
      <c r="H15" s="37">
        <v>3608.6666666666665</v>
      </c>
      <c r="I15" s="37">
        <v>19805</v>
      </c>
      <c r="J15" s="37">
        <v>26174</v>
      </c>
      <c r="K15" s="24">
        <v>5071</v>
      </c>
      <c r="L15" s="24">
        <v>2426</v>
      </c>
      <c r="M15" s="79">
        <v>0</v>
      </c>
      <c r="N15" s="66">
        <v>0</v>
      </c>
      <c r="O15" s="5">
        <v>0</v>
      </c>
      <c r="P15">
        <v>0</v>
      </c>
      <c r="Q15">
        <v>0</v>
      </c>
    </row>
    <row r="16" spans="1:17" x14ac:dyDescent="0.25">
      <c r="A16" s="3" t="s">
        <v>93</v>
      </c>
      <c r="B16" s="24">
        <f>+D16+G16</f>
        <v>135643.5</v>
      </c>
      <c r="C16" s="24">
        <f t="shared" si="0"/>
        <v>42198.75</v>
      </c>
      <c r="D16" s="4">
        <v>36093.75</v>
      </c>
      <c r="E16" s="4">
        <v>6105</v>
      </c>
      <c r="F16" s="24">
        <f t="shared" si="1"/>
        <v>135046.41666666666</v>
      </c>
      <c r="G16" s="4">
        <v>99549.75</v>
      </c>
      <c r="H16" s="4">
        <v>5560.25</v>
      </c>
      <c r="I16" s="5">
        <v>29936.416666666668</v>
      </c>
      <c r="J16" s="5">
        <v>32441.5</v>
      </c>
      <c r="K16" s="4">
        <v>8970</v>
      </c>
      <c r="L16" s="29">
        <v>1795</v>
      </c>
      <c r="M16" s="93">
        <v>20000</v>
      </c>
      <c r="N16" s="66">
        <v>0</v>
      </c>
      <c r="O16" s="70">
        <v>0</v>
      </c>
      <c r="P16">
        <v>0</v>
      </c>
      <c r="Q16">
        <v>0</v>
      </c>
    </row>
    <row r="17" spans="1:17" x14ac:dyDescent="0.25">
      <c r="B17" s="22"/>
      <c r="C17" s="22"/>
      <c r="D17" s="22"/>
      <c r="E17" s="22"/>
      <c r="F17" s="22"/>
      <c r="G17" s="22"/>
      <c r="H17" s="22"/>
      <c r="I17" s="37"/>
      <c r="J17" s="37"/>
      <c r="K17" s="22"/>
      <c r="L17" s="29"/>
    </row>
    <row r="18" spans="1:17" x14ac:dyDescent="0.25">
      <c r="A18" s="6" t="s">
        <v>8</v>
      </c>
      <c r="B18" s="22"/>
      <c r="C18" s="22"/>
      <c r="D18" s="22"/>
      <c r="E18" s="22"/>
      <c r="F18" s="22"/>
      <c r="G18" s="22"/>
      <c r="H18" s="22"/>
      <c r="I18" s="37"/>
      <c r="J18" s="37"/>
      <c r="K18" s="22"/>
    </row>
    <row r="19" spans="1:17" x14ac:dyDescent="0.25">
      <c r="A19" s="3" t="s">
        <v>70</v>
      </c>
      <c r="B19" s="22">
        <f>C19+F19+K19+L19+M19+N19+O19+P19+Q19</f>
        <v>3587693044.8400002</v>
      </c>
      <c r="C19" s="40">
        <v>1131521024</v>
      </c>
      <c r="D19" s="40"/>
      <c r="E19" s="40"/>
      <c r="F19" s="40">
        <v>1820162460</v>
      </c>
      <c r="G19" s="40"/>
      <c r="H19" s="40"/>
      <c r="I19" s="40"/>
      <c r="J19" s="40"/>
      <c r="K19" s="24">
        <v>453362988.84000003</v>
      </c>
      <c r="L19" s="5">
        <v>182646572</v>
      </c>
      <c r="M19" s="63">
        <v>0</v>
      </c>
      <c r="N19" s="66">
        <v>0</v>
      </c>
      <c r="O19" s="70">
        <v>0</v>
      </c>
      <c r="P19" s="70">
        <v>0</v>
      </c>
      <c r="Q19">
        <v>0</v>
      </c>
    </row>
    <row r="20" spans="1:17" x14ac:dyDescent="0.25">
      <c r="A20" s="61" t="s">
        <v>109</v>
      </c>
      <c r="B20" s="22">
        <f>C20+F20+K20+L20+M20+N20+O20+P20+Q20</f>
        <v>5358197727.6500006</v>
      </c>
      <c r="C20" s="22">
        <f>+D20+E20</f>
        <v>1638857848</v>
      </c>
      <c r="D20" s="40">
        <v>1625213173</v>
      </c>
      <c r="E20" s="40">
        <v>13644675</v>
      </c>
      <c r="F20" s="40">
        <v>1861983516.6400001</v>
      </c>
      <c r="G20" s="40"/>
      <c r="H20" s="40"/>
      <c r="I20" s="40"/>
      <c r="J20" s="40"/>
      <c r="K20" s="4">
        <v>790611467.00999999</v>
      </c>
      <c r="L20" s="5">
        <v>736256196</v>
      </c>
      <c r="M20" s="63">
        <v>0</v>
      </c>
      <c r="N20" s="66">
        <v>0</v>
      </c>
      <c r="O20" s="63">
        <v>330000000</v>
      </c>
      <c r="P20" s="63">
        <v>488700</v>
      </c>
      <c r="Q20">
        <v>0</v>
      </c>
    </row>
    <row r="21" spans="1:17" x14ac:dyDescent="0.25">
      <c r="A21" s="3" t="s">
        <v>110</v>
      </c>
      <c r="B21" s="74">
        <f>C21+F21+K21+L21+M21+N21+O21+P21+Q21</f>
        <v>5015449214.5599995</v>
      </c>
      <c r="C21" s="40">
        <v>1207011946</v>
      </c>
      <c r="D21" s="40"/>
      <c r="E21" s="40"/>
      <c r="F21" s="40">
        <v>2356221420</v>
      </c>
      <c r="G21" s="40"/>
      <c r="H21" s="40"/>
      <c r="I21" s="40"/>
      <c r="J21" s="40"/>
      <c r="K21" s="24">
        <v>1160540932.5599999</v>
      </c>
      <c r="L21" s="5">
        <v>283282636</v>
      </c>
      <c r="M21" s="63">
        <v>7826980</v>
      </c>
      <c r="N21" s="63">
        <v>565300</v>
      </c>
      <c r="O21" s="70">
        <v>0</v>
      </c>
      <c r="P21" s="70">
        <v>0</v>
      </c>
      <c r="Q21">
        <v>0</v>
      </c>
    </row>
    <row r="22" spans="1:17" x14ac:dyDescent="0.25">
      <c r="A22" s="3" t="s">
        <v>93</v>
      </c>
      <c r="B22" s="22">
        <f>C22+F22+K22+L22+M22+N22+O22+P22+Q22</f>
        <v>20883476827.360001</v>
      </c>
      <c r="C22" s="22">
        <f>+D22+E22</f>
        <v>6752561345.999999</v>
      </c>
      <c r="D22" s="40">
        <v>6697982645.999999</v>
      </c>
      <c r="E22" s="40">
        <v>54578700</v>
      </c>
      <c r="F22" s="40">
        <v>7786459015.3600025</v>
      </c>
      <c r="G22" s="40"/>
      <c r="H22" s="40"/>
      <c r="I22" s="40"/>
      <c r="J22" s="40"/>
      <c r="K22" s="4">
        <v>3252549214</v>
      </c>
      <c r="L22" s="5">
        <v>2699606052</v>
      </c>
      <c r="M22" s="63">
        <v>31812500</v>
      </c>
      <c r="N22" s="63">
        <v>30000000</v>
      </c>
      <c r="O22" s="71">
        <v>330000000</v>
      </c>
      <c r="P22" s="63">
        <v>488700</v>
      </c>
      <c r="Q22" s="71">
        <v>0</v>
      </c>
    </row>
    <row r="23" spans="1:17" x14ac:dyDescent="0.25">
      <c r="A23" s="3" t="s">
        <v>111</v>
      </c>
      <c r="B23" s="84">
        <f>C23+F23+K23+L23+N23+M23</f>
        <v>5015449214.5599995</v>
      </c>
      <c r="C23" s="4">
        <f>C21</f>
        <v>1207011946</v>
      </c>
      <c r="D23" s="40"/>
      <c r="E23" s="40"/>
      <c r="F23" s="40">
        <f>F21</f>
        <v>2356221420</v>
      </c>
      <c r="G23" s="40"/>
      <c r="H23" s="40"/>
      <c r="I23" s="40"/>
      <c r="J23" s="40"/>
      <c r="K23" s="4">
        <f>K21</f>
        <v>1160540932.5599999</v>
      </c>
      <c r="L23" s="4">
        <f>L21</f>
        <v>283282636</v>
      </c>
      <c r="M23" s="4">
        <f t="shared" ref="M23:Q23" si="3">M21</f>
        <v>7826980</v>
      </c>
      <c r="N23" s="4">
        <f t="shared" si="3"/>
        <v>565300</v>
      </c>
      <c r="O23" s="4">
        <f t="shared" si="3"/>
        <v>0</v>
      </c>
      <c r="P23" s="4">
        <f t="shared" si="3"/>
        <v>0</v>
      </c>
      <c r="Q23" s="4">
        <f t="shared" si="3"/>
        <v>0</v>
      </c>
    </row>
    <row r="24" spans="1:17" x14ac:dyDescent="0.25">
      <c r="B24" s="22"/>
      <c r="C24" s="22"/>
      <c r="D24" s="22"/>
      <c r="E24" s="22"/>
      <c r="F24" s="22"/>
      <c r="G24" s="22"/>
      <c r="H24" s="22"/>
      <c r="I24" s="45"/>
      <c r="J24" s="45"/>
      <c r="K24" s="22"/>
      <c r="N24" s="22"/>
      <c r="O24" s="72"/>
    </row>
    <row r="25" spans="1:17" x14ac:dyDescent="0.25">
      <c r="A25" s="7" t="s">
        <v>9</v>
      </c>
      <c r="B25" s="23"/>
      <c r="C25" s="23"/>
      <c r="D25" s="23"/>
      <c r="E25" s="23"/>
      <c r="F25" s="23"/>
      <c r="G25" s="23"/>
      <c r="H25" s="23"/>
      <c r="I25" s="23"/>
      <c r="J25" s="23"/>
      <c r="K25" s="23"/>
      <c r="L25" s="23"/>
    </row>
    <row r="26" spans="1:17" x14ac:dyDescent="0.25">
      <c r="A26" s="9" t="s">
        <v>109</v>
      </c>
      <c r="B26" s="23">
        <f>B20</f>
        <v>5358197727.6500006</v>
      </c>
      <c r="C26" s="23"/>
      <c r="D26" s="23"/>
      <c r="E26" s="23"/>
      <c r="F26" s="23"/>
      <c r="G26" s="23"/>
      <c r="H26" s="23"/>
      <c r="I26" s="23"/>
      <c r="J26" s="23"/>
      <c r="K26" s="23"/>
      <c r="L26" s="23"/>
    </row>
    <row r="27" spans="1:17" x14ac:dyDescent="0.25">
      <c r="A27" s="9" t="s">
        <v>110</v>
      </c>
      <c r="B27" s="23">
        <v>4396060222.0299997</v>
      </c>
      <c r="C27" s="23"/>
      <c r="D27" s="23"/>
      <c r="E27" s="23"/>
      <c r="F27" s="23"/>
      <c r="G27" s="23"/>
      <c r="H27" s="23"/>
      <c r="I27" s="23"/>
      <c r="J27" s="23"/>
      <c r="K27" s="23"/>
      <c r="L27" s="23"/>
    </row>
    <row r="28" spans="1:17" x14ac:dyDescent="0.25">
      <c r="I28" s="32"/>
      <c r="J28" s="32"/>
    </row>
    <row r="29" spans="1:17" x14ac:dyDescent="0.25">
      <c r="A29" t="s">
        <v>10</v>
      </c>
      <c r="I29" s="32"/>
      <c r="J29" s="32"/>
    </row>
    <row r="30" spans="1:17" x14ac:dyDescent="0.25">
      <c r="A30" s="10" t="s">
        <v>71</v>
      </c>
      <c r="B30" s="11">
        <v>1</v>
      </c>
      <c r="C30" s="11">
        <v>1</v>
      </c>
      <c r="D30" s="11">
        <v>1</v>
      </c>
      <c r="E30" s="11">
        <v>1</v>
      </c>
      <c r="F30" s="11">
        <v>1</v>
      </c>
      <c r="G30" s="11">
        <v>1</v>
      </c>
      <c r="H30" s="11">
        <v>1</v>
      </c>
      <c r="I30" s="11">
        <v>1</v>
      </c>
      <c r="J30" s="11">
        <v>1</v>
      </c>
      <c r="K30" s="11">
        <v>1</v>
      </c>
      <c r="L30" s="11">
        <v>1</v>
      </c>
      <c r="M30" s="11">
        <v>1</v>
      </c>
      <c r="N30" s="11">
        <v>1</v>
      </c>
      <c r="O30" s="11">
        <v>1</v>
      </c>
      <c r="P30" s="11">
        <v>1</v>
      </c>
      <c r="Q30" s="11">
        <v>1</v>
      </c>
    </row>
    <row r="31" spans="1:17" x14ac:dyDescent="0.25">
      <c r="A31" s="10" t="s">
        <v>112</v>
      </c>
      <c r="B31">
        <v>0.99</v>
      </c>
      <c r="C31">
        <v>0.99</v>
      </c>
      <c r="D31">
        <v>0.99</v>
      </c>
      <c r="E31">
        <v>0.99</v>
      </c>
      <c r="F31">
        <v>0.99</v>
      </c>
      <c r="G31">
        <v>0.99</v>
      </c>
      <c r="H31">
        <v>0.99</v>
      </c>
      <c r="I31">
        <v>0.99</v>
      </c>
      <c r="J31">
        <v>0.99</v>
      </c>
      <c r="K31">
        <v>0.99</v>
      </c>
      <c r="L31">
        <v>0.99</v>
      </c>
      <c r="M31">
        <v>0.99</v>
      </c>
      <c r="N31">
        <v>0.99</v>
      </c>
      <c r="O31">
        <v>0.99</v>
      </c>
      <c r="P31">
        <v>0.99</v>
      </c>
      <c r="Q31">
        <v>0.99</v>
      </c>
    </row>
    <row r="32" spans="1:17" x14ac:dyDescent="0.25">
      <c r="A32" s="3" t="s">
        <v>11</v>
      </c>
      <c r="B32" s="4">
        <v>126642</v>
      </c>
      <c r="C32" s="4">
        <v>126642</v>
      </c>
      <c r="D32" s="4">
        <v>126642</v>
      </c>
      <c r="E32" s="4">
        <v>126642</v>
      </c>
      <c r="F32" s="4">
        <v>126642</v>
      </c>
      <c r="G32" s="4">
        <v>126642</v>
      </c>
      <c r="H32" s="4">
        <v>126642</v>
      </c>
      <c r="I32" s="4">
        <v>126642</v>
      </c>
      <c r="J32" s="4">
        <v>126642</v>
      </c>
      <c r="K32" s="4">
        <v>126642</v>
      </c>
      <c r="L32" s="4">
        <v>126642</v>
      </c>
      <c r="M32" s="4">
        <v>126642</v>
      </c>
      <c r="N32" s="4">
        <v>126642</v>
      </c>
      <c r="O32" s="4">
        <v>126642</v>
      </c>
      <c r="P32" s="4">
        <v>126642</v>
      </c>
      <c r="Q32" s="4">
        <v>126642</v>
      </c>
    </row>
    <row r="33" spans="1:17" x14ac:dyDescent="0.25">
      <c r="I33" s="32"/>
      <c r="J33" s="32"/>
    </row>
    <row r="34" spans="1:17" x14ac:dyDescent="0.25">
      <c r="A34" s="12" t="s">
        <v>12</v>
      </c>
      <c r="B34" s="13"/>
      <c r="C34" s="13"/>
      <c r="D34" s="51"/>
      <c r="E34" s="51"/>
      <c r="F34" s="51"/>
      <c r="G34" s="94"/>
      <c r="H34" s="94"/>
      <c r="I34" s="94"/>
      <c r="J34" s="94"/>
      <c r="K34" s="13"/>
      <c r="L34" s="13"/>
      <c r="M34" s="13"/>
      <c r="N34" s="13"/>
    </row>
    <row r="35" spans="1:17" x14ac:dyDescent="0.25">
      <c r="A35" s="13" t="s">
        <v>72</v>
      </c>
      <c r="B35" s="14">
        <f>B19/B30</f>
        <v>3587693044.8400002</v>
      </c>
      <c r="C35" s="50">
        <f>C19/C30</f>
        <v>1131521024</v>
      </c>
      <c r="D35" s="50"/>
      <c r="E35" s="50"/>
      <c r="F35" s="50">
        <f>F19/F30</f>
        <v>1820162460</v>
      </c>
      <c r="G35" s="50"/>
      <c r="H35" s="50"/>
      <c r="I35" s="50"/>
      <c r="J35" s="50"/>
      <c r="K35" s="14">
        <f>K19/K30</f>
        <v>453362988.84000003</v>
      </c>
      <c r="L35" s="14">
        <f>L19/L30</f>
        <v>182646572</v>
      </c>
      <c r="M35" s="14">
        <f t="shared" ref="M35:Q35" si="4">M19/M30</f>
        <v>0</v>
      </c>
      <c r="N35" s="14">
        <f t="shared" si="4"/>
        <v>0</v>
      </c>
      <c r="O35" s="14">
        <f t="shared" si="4"/>
        <v>0</v>
      </c>
      <c r="P35" s="14">
        <f t="shared" si="4"/>
        <v>0</v>
      </c>
      <c r="Q35" s="14">
        <f t="shared" si="4"/>
        <v>0</v>
      </c>
    </row>
    <row r="36" spans="1:17" x14ac:dyDescent="0.25">
      <c r="A36" s="13" t="s">
        <v>113</v>
      </c>
      <c r="B36" s="14">
        <f>B21/B31</f>
        <v>5066110317.7373734</v>
      </c>
      <c r="C36" s="50">
        <f>C21/C31</f>
        <v>1219203985.8585858</v>
      </c>
      <c r="D36" s="50"/>
      <c r="E36" s="50"/>
      <c r="F36" s="50">
        <f>F21/F31</f>
        <v>2380021636.3636365</v>
      </c>
      <c r="G36" s="50"/>
      <c r="H36" s="50"/>
      <c r="I36" s="50"/>
      <c r="J36" s="50"/>
      <c r="K36" s="14">
        <f>K21/K31</f>
        <v>1172263568.2424242</v>
      </c>
      <c r="L36" s="14">
        <f>L21/L31</f>
        <v>286144076.76767677</v>
      </c>
      <c r="M36" s="14">
        <f t="shared" ref="M36:Q36" si="5">M21/M31</f>
        <v>7906040.4040404037</v>
      </c>
      <c r="N36" s="14">
        <f t="shared" si="5"/>
        <v>571010.10101010103</v>
      </c>
      <c r="O36" s="14">
        <f t="shared" si="5"/>
        <v>0</v>
      </c>
      <c r="P36" s="14">
        <f t="shared" si="5"/>
        <v>0</v>
      </c>
      <c r="Q36" s="14">
        <f t="shared" si="5"/>
        <v>0</v>
      </c>
    </row>
    <row r="37" spans="1:17" x14ac:dyDescent="0.25">
      <c r="A37" s="13" t="s">
        <v>73</v>
      </c>
      <c r="B37" s="14">
        <f>B35/B10</f>
        <v>28045.723168155844</v>
      </c>
      <c r="C37" s="50">
        <f>C35/C10</f>
        <v>33709.663078450838</v>
      </c>
      <c r="D37" s="50"/>
      <c r="E37" s="50"/>
      <c r="F37" s="50">
        <f>F35/F10</f>
        <v>14421.659557722427</v>
      </c>
      <c r="G37" s="50"/>
      <c r="H37" s="50"/>
      <c r="I37" s="50"/>
      <c r="J37" s="50"/>
      <c r="K37" s="14">
        <f>K35/K10</f>
        <v>49649.155527487768</v>
      </c>
      <c r="L37" s="14">
        <f>L35/L10</f>
        <v>103894.52332195677</v>
      </c>
      <c r="M37" s="14" t="e">
        <f t="shared" ref="M37:Q37" si="6">M35/M10</f>
        <v>#DIV/0!</v>
      </c>
      <c r="N37" s="14" t="e">
        <f t="shared" si="6"/>
        <v>#DIV/0!</v>
      </c>
      <c r="O37" s="14" t="e">
        <f t="shared" si="6"/>
        <v>#DIV/0!</v>
      </c>
      <c r="P37" s="14" t="e">
        <f t="shared" si="6"/>
        <v>#DIV/0!</v>
      </c>
      <c r="Q37" s="14" t="e">
        <f t="shared" si="6"/>
        <v>#DIV/0!</v>
      </c>
    </row>
    <row r="38" spans="1:17" x14ac:dyDescent="0.25">
      <c r="A38" s="13" t="s">
        <v>114</v>
      </c>
      <c r="B38" s="14">
        <f>B36/B14</f>
        <v>40176.295373699402</v>
      </c>
      <c r="C38" s="50">
        <f>C36/C14</f>
        <v>39330.852483717121</v>
      </c>
      <c r="D38" s="50"/>
      <c r="E38" s="50"/>
      <c r="F38" s="50">
        <f>F36/F14</f>
        <v>19101.143942373146</v>
      </c>
      <c r="G38" s="50"/>
      <c r="H38" s="50"/>
      <c r="I38" s="50"/>
      <c r="J38" s="50"/>
      <c r="K38" s="34">
        <f>K36/K14</f>
        <v>231170.09825328816</v>
      </c>
      <c r="L38" s="34">
        <f>L36/L14</f>
        <v>117948.91870060873</v>
      </c>
      <c r="M38" s="34" t="e">
        <f t="shared" ref="M38:Q38" si="7">M36/M14</f>
        <v>#DIV/0!</v>
      </c>
      <c r="N38" s="34" t="e">
        <f t="shared" si="7"/>
        <v>#DIV/0!</v>
      </c>
      <c r="O38" s="34" t="e">
        <f t="shared" si="7"/>
        <v>#DIV/0!</v>
      </c>
      <c r="P38" s="34" t="e">
        <f t="shared" si="7"/>
        <v>#DIV/0!</v>
      </c>
      <c r="Q38" s="34" t="e">
        <f t="shared" si="7"/>
        <v>#DIV/0!</v>
      </c>
    </row>
    <row r="39" spans="1:17" x14ac:dyDescent="0.25">
      <c r="I39" s="32"/>
      <c r="J39" s="32"/>
    </row>
    <row r="40" spans="1:17" x14ac:dyDescent="0.25">
      <c r="A40" s="2" t="s">
        <v>13</v>
      </c>
      <c r="I40" s="32"/>
      <c r="J40" s="32"/>
    </row>
    <row r="41" spans="1:17" x14ac:dyDescent="0.25">
      <c r="I41" s="32"/>
      <c r="J41" s="32"/>
    </row>
    <row r="42" spans="1:17" x14ac:dyDescent="0.25">
      <c r="A42" t="s">
        <v>14</v>
      </c>
      <c r="I42" s="32"/>
      <c r="J42" s="32"/>
    </row>
    <row r="43" spans="1:17" x14ac:dyDescent="0.25">
      <c r="A43" t="s">
        <v>15</v>
      </c>
      <c r="B43" s="17">
        <f>(B13/B32)*100</f>
        <v>95.856561540931665</v>
      </c>
      <c r="C43" s="17">
        <f t="shared" ref="C43:Q43" si="8">(C13/C32)*100</f>
        <v>25.487594952701315</v>
      </c>
      <c r="D43" s="17">
        <f t="shared" si="8"/>
        <v>20.666919347451874</v>
      </c>
      <c r="E43" s="17">
        <f t="shared" si="8"/>
        <v>4.8206756052494439</v>
      </c>
      <c r="F43" s="17">
        <f t="shared" si="8"/>
        <v>102.00038954954387</v>
      </c>
      <c r="G43" s="17">
        <f t="shared" si="8"/>
        <v>75.189642193479784</v>
      </c>
      <c r="H43" s="17">
        <f t="shared" si="8"/>
        <v>4.1997652174370801</v>
      </c>
      <c r="I43" s="17">
        <f t="shared" si="8"/>
        <v>22.610982138626994</v>
      </c>
      <c r="J43" s="17">
        <f t="shared" si="8"/>
        <v>24.502929517853477</v>
      </c>
      <c r="K43" s="17">
        <f t="shared" si="8"/>
        <v>7.0829582602927932</v>
      </c>
      <c r="L43" s="17">
        <f t="shared" si="8"/>
        <v>1.4173812795123262</v>
      </c>
      <c r="M43" s="17">
        <f t="shared" si="8"/>
        <v>0</v>
      </c>
      <c r="N43" s="17">
        <f t="shared" si="8"/>
        <v>0</v>
      </c>
      <c r="O43" s="17">
        <f t="shared" si="8"/>
        <v>0</v>
      </c>
      <c r="P43" s="17">
        <f t="shared" si="8"/>
        <v>0</v>
      </c>
      <c r="Q43" s="17">
        <f t="shared" si="8"/>
        <v>0</v>
      </c>
    </row>
    <row r="44" spans="1:17" x14ac:dyDescent="0.25">
      <c r="A44" t="s">
        <v>16</v>
      </c>
      <c r="B44" s="17">
        <f>(B15/B32)*100</f>
        <v>81.19923353495156</v>
      </c>
      <c r="C44" s="17">
        <f t="shared" ref="C44:Q44" si="9">(C15/C32)*100</f>
        <v>19.222427525360203</v>
      </c>
      <c r="D44" s="17">
        <f t="shared" si="9"/>
        <v>14.414385959371037</v>
      </c>
      <c r="E44" s="17">
        <f t="shared" si="9"/>
        <v>4.808041565989166</v>
      </c>
      <c r="F44" s="17">
        <f t="shared" si="9"/>
        <v>85.272921568937122</v>
      </c>
      <c r="G44" s="17">
        <f t="shared" si="9"/>
        <v>66.784847575580514</v>
      </c>
      <c r="H44" s="17">
        <f t="shared" si="9"/>
        <v>2.8495022714949751</v>
      </c>
      <c r="I44" s="17">
        <f t="shared" si="9"/>
        <v>15.638571721861624</v>
      </c>
      <c r="J44" s="17">
        <f t="shared" si="9"/>
        <v>20.66770897490564</v>
      </c>
      <c r="K44" s="17">
        <f t="shared" si="9"/>
        <v>4.0042008180540423</v>
      </c>
      <c r="L44" s="17">
        <f t="shared" si="9"/>
        <v>1.9156362028395004</v>
      </c>
      <c r="M44" s="17">
        <f t="shared" si="9"/>
        <v>0</v>
      </c>
      <c r="N44" s="17">
        <f t="shared" si="9"/>
        <v>0</v>
      </c>
      <c r="O44" s="17">
        <f t="shared" si="9"/>
        <v>0</v>
      </c>
      <c r="P44" s="17">
        <f t="shared" si="9"/>
        <v>0</v>
      </c>
      <c r="Q44" s="17">
        <f t="shared" si="9"/>
        <v>0</v>
      </c>
    </row>
    <row r="45" spans="1:17" x14ac:dyDescent="0.25">
      <c r="I45" s="32"/>
      <c r="J45" s="32"/>
    </row>
    <row r="46" spans="1:17" x14ac:dyDescent="0.25">
      <c r="A46" t="s">
        <v>17</v>
      </c>
      <c r="I46" s="32"/>
      <c r="J46" s="32"/>
    </row>
    <row r="47" spans="1:17" x14ac:dyDescent="0.25">
      <c r="A47" t="s">
        <v>18</v>
      </c>
      <c r="B47" s="15">
        <f>B14/B12*100</f>
        <v>96.761247515686023</v>
      </c>
      <c r="C47" s="15">
        <f t="shared" ref="C47:Q47" si="10">C14/C12*100</f>
        <v>75.237656043947155</v>
      </c>
      <c r="D47" s="15">
        <f t="shared" si="10"/>
        <v>70.975799711268138</v>
      </c>
      <c r="E47" s="15">
        <f t="shared" si="10"/>
        <v>99.737919737919739</v>
      </c>
      <c r="F47" s="15">
        <f t="shared" si="10"/>
        <v>96.458818247033733</v>
      </c>
      <c r="G47" s="15">
        <f t="shared" si="10"/>
        <v>106.26503071779881</v>
      </c>
      <c r="H47" s="15">
        <f t="shared" si="10"/>
        <v>67.849084983705183</v>
      </c>
      <c r="I47" s="15">
        <f t="shared" si="10"/>
        <v>69.163610965601535</v>
      </c>
      <c r="J47" s="15">
        <f t="shared" si="10"/>
        <v>84.34791015436177</v>
      </c>
      <c r="K47" s="15">
        <f t="shared" si="10"/>
        <v>56.532887402452623</v>
      </c>
      <c r="L47" s="15">
        <f t="shared" si="10"/>
        <v>135.15320334261838</v>
      </c>
      <c r="M47" s="15" t="e">
        <f t="shared" si="10"/>
        <v>#DIV/0!</v>
      </c>
      <c r="N47" s="15" t="e">
        <f t="shared" si="10"/>
        <v>#DIV/0!</v>
      </c>
      <c r="O47" s="15" t="e">
        <f t="shared" si="10"/>
        <v>#DIV/0!</v>
      </c>
      <c r="P47" s="15" t="e">
        <f t="shared" si="10"/>
        <v>#DIV/0!</v>
      </c>
      <c r="Q47" s="15" t="e">
        <f t="shared" si="10"/>
        <v>#DIV/0!</v>
      </c>
    </row>
    <row r="48" spans="1:17" x14ac:dyDescent="0.25">
      <c r="A48" t="s">
        <v>19</v>
      </c>
      <c r="B48" s="15">
        <f>B21/B20*100</f>
        <v>93.603287326981047</v>
      </c>
      <c r="C48" s="15">
        <f>C21/C20*100</f>
        <v>73.64958147364591</v>
      </c>
      <c r="D48" s="15"/>
      <c r="E48" s="15"/>
      <c r="F48" s="58">
        <f>F21/F20*100</f>
        <v>126.54362398716965</v>
      </c>
      <c r="G48" s="58"/>
      <c r="H48" s="58"/>
      <c r="I48" s="58"/>
      <c r="J48" s="58"/>
      <c r="K48" s="15">
        <f>K21/K20*100</f>
        <v>146.79029852033767</v>
      </c>
      <c r="L48" s="15">
        <f>L21/L20*100</f>
        <v>38.476095350917767</v>
      </c>
      <c r="M48" s="15" t="e">
        <f t="shared" ref="M48:Q48" si="11">M21/M20*100</f>
        <v>#DIV/0!</v>
      </c>
      <c r="N48" s="15" t="e">
        <f t="shared" si="11"/>
        <v>#DIV/0!</v>
      </c>
      <c r="O48" s="15">
        <f t="shared" si="11"/>
        <v>0</v>
      </c>
      <c r="P48" s="15">
        <f t="shared" si="11"/>
        <v>0</v>
      </c>
      <c r="Q48" s="15" t="e">
        <f t="shared" si="11"/>
        <v>#DIV/0!</v>
      </c>
    </row>
    <row r="49" spans="1:17" x14ac:dyDescent="0.25">
      <c r="A49" s="13" t="s">
        <v>20</v>
      </c>
      <c r="B49" s="16">
        <f>AVERAGE(B47:B48)</f>
        <v>95.182267421333535</v>
      </c>
      <c r="C49" s="16">
        <f t="shared" ref="C49:Q49" si="12">AVERAGE(C47:C48)</f>
        <v>74.443618758796532</v>
      </c>
      <c r="D49" s="16"/>
      <c r="E49" s="16"/>
      <c r="F49" s="59">
        <f>AVERAGE(F47:F48)</f>
        <v>111.50122111710169</v>
      </c>
      <c r="G49" s="59"/>
      <c r="H49" s="59"/>
      <c r="I49" s="59"/>
      <c r="J49" s="59"/>
      <c r="K49" s="16">
        <f t="shared" si="12"/>
        <v>101.66159296139514</v>
      </c>
      <c r="L49" s="16">
        <f t="shared" si="12"/>
        <v>86.814649346768078</v>
      </c>
      <c r="M49" s="16" t="e">
        <f t="shared" si="12"/>
        <v>#DIV/0!</v>
      </c>
      <c r="N49" s="16" t="e">
        <f t="shared" si="12"/>
        <v>#DIV/0!</v>
      </c>
      <c r="O49" s="16" t="e">
        <f t="shared" si="12"/>
        <v>#DIV/0!</v>
      </c>
      <c r="P49" s="16" t="e">
        <f t="shared" si="12"/>
        <v>#DIV/0!</v>
      </c>
      <c r="Q49" s="16" t="e">
        <f t="shared" si="12"/>
        <v>#DIV/0!</v>
      </c>
    </row>
    <row r="50" spans="1:17" x14ac:dyDescent="0.25">
      <c r="B50" s="15"/>
      <c r="C50" s="15"/>
      <c r="D50" s="15"/>
      <c r="E50" s="15"/>
      <c r="F50" s="15"/>
      <c r="G50" s="15"/>
      <c r="H50" s="15"/>
      <c r="I50" s="15"/>
      <c r="J50" s="15"/>
      <c r="K50" s="15"/>
      <c r="L50" s="15"/>
    </row>
    <row r="51" spans="1:17" x14ac:dyDescent="0.25">
      <c r="A51" t="s">
        <v>21</v>
      </c>
    </row>
    <row r="52" spans="1:17" x14ac:dyDescent="0.25">
      <c r="A52" t="s">
        <v>22</v>
      </c>
      <c r="B52" s="15">
        <f>((B14/B16)*100)</f>
        <v>92.96206600389992</v>
      </c>
      <c r="C52" s="15">
        <f t="shared" ref="C52:Q52" si="13">((C14/C16)*100)</f>
        <v>73.458731992456336</v>
      </c>
      <c r="D52" s="15">
        <f t="shared" si="13"/>
        <v>69.013795093795096</v>
      </c>
      <c r="E52" s="15">
        <f t="shared" si="13"/>
        <v>99.737919737919739</v>
      </c>
      <c r="F52" s="15">
        <f t="shared" si="13"/>
        <v>92.265313716209931</v>
      </c>
      <c r="G52" s="15">
        <f t="shared" si="13"/>
        <v>101.6449899003597</v>
      </c>
      <c r="H52" s="15">
        <f t="shared" si="13"/>
        <v>64.901158521049709</v>
      </c>
      <c r="I52" s="15">
        <f t="shared" si="13"/>
        <v>66.156882503751007</v>
      </c>
      <c r="J52" s="15">
        <f t="shared" si="13"/>
        <v>80.680609712867778</v>
      </c>
      <c r="K52" s="15">
        <f t="shared" si="13"/>
        <v>56.532887402452623</v>
      </c>
      <c r="L52" s="15">
        <f t="shared" si="13"/>
        <v>135.15320334261838</v>
      </c>
      <c r="M52" s="15">
        <f t="shared" si="13"/>
        <v>0</v>
      </c>
      <c r="N52" s="15" t="e">
        <f t="shared" si="13"/>
        <v>#DIV/0!</v>
      </c>
      <c r="O52" s="15" t="e">
        <f t="shared" si="13"/>
        <v>#DIV/0!</v>
      </c>
      <c r="P52" s="15" t="e">
        <f t="shared" si="13"/>
        <v>#DIV/0!</v>
      </c>
      <c r="Q52" s="15" t="e">
        <f t="shared" si="13"/>
        <v>#DIV/0!</v>
      </c>
    </row>
    <row r="53" spans="1:17" x14ac:dyDescent="0.25">
      <c r="A53" t="s">
        <v>23</v>
      </c>
      <c r="B53" s="15">
        <f>B21/B22*100</f>
        <v>24.016351568380248</v>
      </c>
      <c r="C53" s="15">
        <f>C21/C22*100</f>
        <v>17.874875682765847</v>
      </c>
      <c r="D53" s="15"/>
      <c r="E53" s="15"/>
      <c r="F53" s="15">
        <f>F21/F22*100</f>
        <v>30.260499867166661</v>
      </c>
      <c r="G53" s="15"/>
      <c r="H53" s="15"/>
      <c r="I53" s="15"/>
      <c r="J53" s="15"/>
      <c r="K53" s="15">
        <f t="shared" ref="K53:Q53" si="14">K21/K22*100</f>
        <v>35.680964566644064</v>
      </c>
      <c r="L53" s="15">
        <f t="shared" si="14"/>
        <v>10.4934805502503</v>
      </c>
      <c r="M53" s="15">
        <f t="shared" si="14"/>
        <v>24.603473477406681</v>
      </c>
      <c r="N53" s="15">
        <f t="shared" si="14"/>
        <v>1.8843333333333334</v>
      </c>
      <c r="O53" s="15">
        <f t="shared" si="14"/>
        <v>0</v>
      </c>
      <c r="P53" s="15">
        <f t="shared" si="14"/>
        <v>0</v>
      </c>
      <c r="Q53" s="15" t="e">
        <f t="shared" si="14"/>
        <v>#DIV/0!</v>
      </c>
    </row>
    <row r="54" spans="1:17" x14ac:dyDescent="0.25">
      <c r="A54" t="s">
        <v>24</v>
      </c>
      <c r="B54" s="15">
        <f>(B52+B53)/2</f>
        <v>58.489208786140082</v>
      </c>
      <c r="C54" s="15">
        <f t="shared" ref="C54:Q54" si="15">(C52+C53)/2</f>
        <v>45.666803837611091</v>
      </c>
      <c r="D54" s="15"/>
      <c r="E54" s="15"/>
      <c r="F54" s="15">
        <f t="shared" ref="F54" si="16">(F52+F53)/2</f>
        <v>61.262906791688295</v>
      </c>
      <c r="G54" s="15"/>
      <c r="H54" s="15"/>
      <c r="I54" s="15"/>
      <c r="J54" s="15"/>
      <c r="K54" s="15">
        <f t="shared" si="15"/>
        <v>46.10692598454834</v>
      </c>
      <c r="L54" s="15">
        <f t="shared" si="15"/>
        <v>72.82334194643434</v>
      </c>
      <c r="M54" s="15">
        <f t="shared" si="15"/>
        <v>12.30173673870334</v>
      </c>
      <c r="N54" s="15" t="e">
        <f t="shared" si="15"/>
        <v>#DIV/0!</v>
      </c>
      <c r="O54" s="15" t="e">
        <f t="shared" si="15"/>
        <v>#DIV/0!</v>
      </c>
      <c r="P54" s="15" t="e">
        <f t="shared" si="15"/>
        <v>#DIV/0!</v>
      </c>
      <c r="Q54" s="15" t="e">
        <f t="shared" si="15"/>
        <v>#DIV/0!</v>
      </c>
    </row>
    <row r="55" spans="1:17" x14ac:dyDescent="0.25">
      <c r="B55" s="15"/>
      <c r="C55" s="15"/>
      <c r="D55" s="15"/>
      <c r="E55" s="15"/>
      <c r="F55" s="15"/>
      <c r="G55" s="15"/>
      <c r="H55" s="15"/>
      <c r="I55" s="15"/>
      <c r="J55" s="15"/>
      <c r="K55" s="15"/>
      <c r="L55" s="15"/>
    </row>
    <row r="56" spans="1:17" x14ac:dyDescent="0.25">
      <c r="A56" t="s">
        <v>40</v>
      </c>
    </row>
    <row r="57" spans="1:17" x14ac:dyDescent="0.25">
      <c r="A57" t="s">
        <v>25</v>
      </c>
      <c r="B57" s="15">
        <f>B23/B21*100</f>
        <v>100</v>
      </c>
      <c r="C57" s="15"/>
      <c r="D57" s="15"/>
      <c r="E57" s="15"/>
      <c r="F57" s="15"/>
      <c r="G57" s="15"/>
      <c r="H57" s="15"/>
      <c r="I57" s="15"/>
      <c r="J57" s="15"/>
      <c r="K57" s="15"/>
      <c r="L57" s="15"/>
    </row>
    <row r="59" spans="1:17" x14ac:dyDescent="0.25">
      <c r="A59" t="s">
        <v>26</v>
      </c>
    </row>
    <row r="60" spans="1:17" x14ac:dyDescent="0.25">
      <c r="A60" t="s">
        <v>27</v>
      </c>
      <c r="B60" s="15">
        <f>((B14/B10)-1)*100</f>
        <v>-1.4274211830554329</v>
      </c>
      <c r="C60" s="15">
        <f t="shared" ref="C60:Q60" si="17">((C14/C10)-1)*100</f>
        <v>-7.6504468718967322</v>
      </c>
      <c r="D60" s="15">
        <f t="shared" si="17"/>
        <v>-5.8508560845627606</v>
      </c>
      <c r="E60" s="15">
        <f t="shared" si="17"/>
        <v>-14.348009565339714</v>
      </c>
      <c r="F60" s="15">
        <f t="shared" si="17"/>
        <v>-1.2751201037421667</v>
      </c>
      <c r="G60" s="15">
        <f t="shared" si="17"/>
        <v>-0.27398520348493882</v>
      </c>
      <c r="H60" s="15">
        <f t="shared" si="17"/>
        <v>-10.764919221892521</v>
      </c>
      <c r="I60" s="15">
        <f t="shared" si="17"/>
        <v>-4.3282933191633237</v>
      </c>
      <c r="J60" s="15">
        <f t="shared" si="17"/>
        <v>-1.9700374531835152</v>
      </c>
      <c r="K60" s="15">
        <f t="shared" si="17"/>
        <v>-44.465941447032201</v>
      </c>
      <c r="L60" s="15">
        <f t="shared" si="17"/>
        <v>37.997724687144483</v>
      </c>
      <c r="M60" s="15" t="e">
        <f t="shared" si="17"/>
        <v>#DIV/0!</v>
      </c>
      <c r="N60" s="15" t="e">
        <f t="shared" si="17"/>
        <v>#DIV/0!</v>
      </c>
      <c r="O60" s="15" t="e">
        <f t="shared" si="17"/>
        <v>#DIV/0!</v>
      </c>
      <c r="P60" s="15" t="e">
        <f t="shared" si="17"/>
        <v>#DIV/0!</v>
      </c>
      <c r="Q60" s="15" t="e">
        <f t="shared" si="17"/>
        <v>#DIV/0!</v>
      </c>
    </row>
    <row r="61" spans="1:17" x14ac:dyDescent="0.25">
      <c r="A61" t="s">
        <v>28</v>
      </c>
      <c r="B61" s="15">
        <f>((B36/B35)-1)*100</f>
        <v>41.208020151660051</v>
      </c>
      <c r="C61" s="15">
        <f t="shared" ref="C61:Q61" si="18">((C36/C35)-1)*100</f>
        <v>7.7491235247773682</v>
      </c>
      <c r="D61" s="15"/>
      <c r="E61" s="15"/>
      <c r="F61" s="15">
        <f t="shared" si="18"/>
        <v>30.758747566062674</v>
      </c>
      <c r="G61" s="15"/>
      <c r="H61" s="15"/>
      <c r="I61" s="15"/>
      <c r="J61" s="15"/>
      <c r="K61" s="15">
        <f t="shared" si="18"/>
        <v>158.57063701689532</v>
      </c>
      <c r="L61" s="15">
        <f t="shared" si="18"/>
        <v>56.665451551796323</v>
      </c>
      <c r="M61" s="15" t="e">
        <f t="shared" si="18"/>
        <v>#DIV/0!</v>
      </c>
      <c r="N61" s="15" t="e">
        <f t="shared" si="18"/>
        <v>#DIV/0!</v>
      </c>
      <c r="O61" s="15" t="e">
        <f t="shared" si="18"/>
        <v>#DIV/0!</v>
      </c>
      <c r="P61" s="15" t="e">
        <f t="shared" si="18"/>
        <v>#DIV/0!</v>
      </c>
      <c r="Q61" s="15" t="e">
        <f t="shared" si="18"/>
        <v>#DIV/0!</v>
      </c>
    </row>
    <row r="62" spans="1:17" x14ac:dyDescent="0.25">
      <c r="A62" s="13" t="s">
        <v>29</v>
      </c>
      <c r="B62" s="16">
        <f>((B38/B37)-1)*100</f>
        <v>43.252841557378915</v>
      </c>
      <c r="C62" s="16">
        <f t="shared" ref="C62:Q62" si="19">((C38/C37)-1)*100</f>
        <v>16.675305808261463</v>
      </c>
      <c r="D62" s="16"/>
      <c r="E62" s="16"/>
      <c r="F62" s="16">
        <f t="shared" si="19"/>
        <v>32.447613715475462</v>
      </c>
      <c r="G62" s="16"/>
      <c r="H62" s="16"/>
      <c r="I62" s="16"/>
      <c r="J62" s="16"/>
      <c r="K62" s="16">
        <f t="shared" si="19"/>
        <v>365.60731153887025</v>
      </c>
      <c r="L62" s="16">
        <f t="shared" si="19"/>
        <v>13.527561347097251</v>
      </c>
      <c r="M62" s="16" t="e">
        <f t="shared" si="19"/>
        <v>#DIV/0!</v>
      </c>
      <c r="N62" s="16" t="e">
        <f t="shared" si="19"/>
        <v>#DIV/0!</v>
      </c>
      <c r="O62" s="16" t="e">
        <f t="shared" si="19"/>
        <v>#DIV/0!</v>
      </c>
      <c r="P62" s="16" t="e">
        <f t="shared" si="19"/>
        <v>#DIV/0!</v>
      </c>
      <c r="Q62" s="16" t="e">
        <f t="shared" si="19"/>
        <v>#DIV/0!</v>
      </c>
    </row>
    <row r="63" spans="1:17" x14ac:dyDescent="0.25">
      <c r="B63" s="17"/>
      <c r="C63" s="17"/>
      <c r="D63" s="17"/>
      <c r="E63" s="17"/>
      <c r="F63" s="17"/>
      <c r="G63" s="17"/>
      <c r="H63" s="17"/>
      <c r="I63" s="17"/>
      <c r="J63" s="17"/>
      <c r="K63" s="17"/>
      <c r="L63" s="17"/>
    </row>
    <row r="64" spans="1:17" x14ac:dyDescent="0.25">
      <c r="A64" t="s">
        <v>30</v>
      </c>
    </row>
    <row r="65" spans="1:17" x14ac:dyDescent="0.25">
      <c r="A65" t="s">
        <v>46</v>
      </c>
      <c r="B65" s="4">
        <f>B20/(B12*3)</f>
        <v>13705.477967044633</v>
      </c>
      <c r="C65" s="4">
        <f>C20/(C12*3)</f>
        <v>13259.045880763411</v>
      </c>
      <c r="D65" s="4"/>
      <c r="E65" s="4"/>
      <c r="F65" s="4">
        <f t="shared" ref="F65" si="20">F20/(F12*3)</f>
        <v>4804.7963662825205</v>
      </c>
      <c r="G65" s="4"/>
      <c r="H65" s="40"/>
      <c r="I65" s="40"/>
      <c r="J65" s="40"/>
      <c r="K65" s="4">
        <f>K20/(K12*3)</f>
        <v>29379.838982162764</v>
      </c>
      <c r="L65" s="4">
        <f>L20/(L12*3)</f>
        <v>136723.52757660169</v>
      </c>
      <c r="M65" s="4" t="e">
        <f t="shared" ref="M65:Q65" si="21">M20/(M12*3)</f>
        <v>#DIV/0!</v>
      </c>
      <c r="N65" s="4" t="e">
        <f t="shared" si="21"/>
        <v>#DIV/0!</v>
      </c>
      <c r="O65" s="4" t="e">
        <f t="shared" si="21"/>
        <v>#DIV/0!</v>
      </c>
      <c r="P65" s="4" t="e">
        <f t="shared" si="21"/>
        <v>#DIV/0!</v>
      </c>
      <c r="Q65" s="4" t="e">
        <f t="shared" si="21"/>
        <v>#DIV/0!</v>
      </c>
    </row>
    <row r="66" spans="1:17" x14ac:dyDescent="0.25">
      <c r="A66" t="s">
        <v>47</v>
      </c>
      <c r="B66" s="4">
        <f>B21/(B14*3)</f>
        <v>13258.177473320802</v>
      </c>
      <c r="C66" s="4">
        <f>C21/(C14*3)</f>
        <v>12979.18131962665</v>
      </c>
      <c r="D66" s="4"/>
      <c r="E66" s="44"/>
      <c r="F66" s="4">
        <f>F21/(F14*3)</f>
        <v>6303.3775009831379</v>
      </c>
      <c r="G66" s="40"/>
      <c r="H66" s="40"/>
      <c r="I66" s="40"/>
      <c r="J66" s="40"/>
      <c r="K66" s="4">
        <f>K21/(K14*3)</f>
        <v>76286.132423585092</v>
      </c>
      <c r="L66" s="4">
        <f>L21/(L14*3)</f>
        <v>38923.143171200878</v>
      </c>
      <c r="M66" s="4" t="e">
        <f t="shared" ref="M66:Q66" si="22">M21/(M14*3)</f>
        <v>#DIV/0!</v>
      </c>
      <c r="N66" s="4" t="e">
        <f t="shared" si="22"/>
        <v>#DIV/0!</v>
      </c>
      <c r="O66" s="4" t="e">
        <f t="shared" si="22"/>
        <v>#DIV/0!</v>
      </c>
      <c r="P66" s="4" t="e">
        <f t="shared" si="22"/>
        <v>#DIV/0!</v>
      </c>
      <c r="Q66" s="4" t="e">
        <f t="shared" si="22"/>
        <v>#DIV/0!</v>
      </c>
    </row>
    <row r="67" spans="1:17" x14ac:dyDescent="0.25">
      <c r="A67" s="13" t="s">
        <v>33</v>
      </c>
      <c r="B67" s="16">
        <f>(B65/B66)*B49</f>
        <v>98.393498776245579</v>
      </c>
      <c r="C67" s="16">
        <f>(C65/C66)*C49</f>
        <v>76.048814817030063</v>
      </c>
      <c r="D67" s="16"/>
      <c r="E67" s="16"/>
      <c r="F67" s="16">
        <f t="shared" ref="F67" si="23">(F65/F66)*F49</f>
        <v>84.992634817755174</v>
      </c>
      <c r="G67" s="59"/>
      <c r="H67" s="59"/>
      <c r="I67" s="59"/>
      <c r="J67" s="59"/>
      <c r="K67" s="16">
        <f>(K65/K66)*K49</f>
        <v>39.152610533346987</v>
      </c>
      <c r="L67" s="16">
        <f>(L65/L66)*L49</f>
        <v>304.94980972652121</v>
      </c>
      <c r="M67" s="16" t="e">
        <f t="shared" ref="M67:Q67" si="24">(M65/M66)*M49</f>
        <v>#DIV/0!</v>
      </c>
      <c r="N67" s="16" t="e">
        <f t="shared" si="24"/>
        <v>#DIV/0!</v>
      </c>
      <c r="O67" s="16" t="e">
        <f t="shared" si="24"/>
        <v>#DIV/0!</v>
      </c>
      <c r="P67" s="16" t="e">
        <f t="shared" si="24"/>
        <v>#DIV/0!</v>
      </c>
      <c r="Q67" s="16" t="e">
        <f t="shared" si="24"/>
        <v>#DIV/0!</v>
      </c>
    </row>
    <row r="68" spans="1:17" x14ac:dyDescent="0.25">
      <c r="A68" t="s">
        <v>39</v>
      </c>
      <c r="B68" s="30">
        <f>B20/B12</f>
        <v>41116.433901133896</v>
      </c>
      <c r="C68" s="30">
        <f>C20/C12</f>
        <v>39777.137642290232</v>
      </c>
      <c r="D68" s="30"/>
      <c r="E68" s="30"/>
      <c r="F68" s="30">
        <f t="shared" ref="F68" si="25">F20/F12</f>
        <v>14414.389098847561</v>
      </c>
      <c r="G68" s="60"/>
      <c r="H68" s="60"/>
      <c r="I68" s="60"/>
      <c r="J68" s="60"/>
      <c r="K68" s="30">
        <f t="shared" ref="K68:Q68" si="26">K20/K12</f>
        <v>88139.516946488293</v>
      </c>
      <c r="L68" s="30">
        <f t="shared" si="26"/>
        <v>410170.58272980503</v>
      </c>
      <c r="M68" s="30" t="e">
        <f t="shared" si="26"/>
        <v>#DIV/0!</v>
      </c>
      <c r="N68" s="30" t="e">
        <f t="shared" si="26"/>
        <v>#DIV/0!</v>
      </c>
      <c r="O68" s="30" t="e">
        <f t="shared" si="26"/>
        <v>#DIV/0!</v>
      </c>
      <c r="P68" s="30" t="e">
        <f t="shared" si="26"/>
        <v>#DIV/0!</v>
      </c>
      <c r="Q68" s="30" t="e">
        <f t="shared" si="26"/>
        <v>#DIV/0!</v>
      </c>
    </row>
    <row r="69" spans="1:17" x14ac:dyDescent="0.25">
      <c r="A69" t="s">
        <v>38</v>
      </c>
      <c r="B69" s="17">
        <f>B21/B14</f>
        <v>39774.532419962408</v>
      </c>
      <c r="C69" s="17">
        <f>C21/C14</f>
        <v>38937.543958879949</v>
      </c>
      <c r="D69" s="17"/>
      <c r="E69" s="17"/>
      <c r="F69" s="17">
        <f t="shared" ref="F69" si="27">F21/F14</f>
        <v>18910.132502949415</v>
      </c>
      <c r="G69" s="60"/>
      <c r="H69" s="60"/>
      <c r="I69" s="60"/>
      <c r="J69" s="60"/>
      <c r="K69" s="30">
        <f>K21/K14</f>
        <v>228858.39727075526</v>
      </c>
      <c r="L69" s="30">
        <f>L21/L14</f>
        <v>116769.42951360263</v>
      </c>
      <c r="M69" s="30" t="e">
        <f t="shared" ref="M69:Q69" si="28">M21/M14</f>
        <v>#DIV/0!</v>
      </c>
      <c r="N69" s="30" t="e">
        <f t="shared" si="28"/>
        <v>#DIV/0!</v>
      </c>
      <c r="O69" s="30" t="e">
        <f t="shared" si="28"/>
        <v>#DIV/0!</v>
      </c>
      <c r="P69" s="30" t="e">
        <f t="shared" si="28"/>
        <v>#DIV/0!</v>
      </c>
      <c r="Q69" s="30" t="e">
        <f t="shared" si="28"/>
        <v>#DIV/0!</v>
      </c>
    </row>
    <row r="70" spans="1:17" x14ac:dyDescent="0.25">
      <c r="B70" s="15"/>
      <c r="C70" s="15"/>
      <c r="D70" s="15"/>
      <c r="E70" s="15"/>
      <c r="F70" s="15"/>
      <c r="G70" s="15"/>
      <c r="H70" s="15"/>
      <c r="I70" s="17"/>
      <c r="J70" s="17"/>
      <c r="K70" s="15"/>
      <c r="L70" s="15"/>
    </row>
    <row r="71" spans="1:17" x14ac:dyDescent="0.25">
      <c r="A71" t="s">
        <v>34</v>
      </c>
      <c r="B71" s="15"/>
      <c r="C71" s="15"/>
      <c r="D71" s="15"/>
      <c r="E71" s="15"/>
      <c r="F71" s="15"/>
      <c r="G71" s="15"/>
      <c r="H71" s="15"/>
      <c r="I71" s="17"/>
      <c r="J71" s="17"/>
      <c r="K71" s="15"/>
      <c r="L71" s="15"/>
    </row>
    <row r="72" spans="1:17" x14ac:dyDescent="0.25">
      <c r="A72" s="18" t="s">
        <v>35</v>
      </c>
      <c r="B72" s="19">
        <f>(B27/B26)*100</f>
        <v>82.043635667734577</v>
      </c>
      <c r="C72" s="19"/>
      <c r="D72" s="19"/>
      <c r="E72" s="19"/>
      <c r="F72" s="19"/>
      <c r="G72" s="19"/>
      <c r="H72" s="19"/>
      <c r="I72" s="19"/>
      <c r="J72" s="19"/>
      <c r="K72" s="19"/>
      <c r="L72" s="19"/>
    </row>
    <row r="73" spans="1:17" x14ac:dyDescent="0.25">
      <c r="A73" s="18" t="s">
        <v>36</v>
      </c>
      <c r="B73" s="19">
        <f>(B21/B27)*100</f>
        <v>114.08963847733598</v>
      </c>
      <c r="C73" s="19"/>
      <c r="D73" s="19"/>
      <c r="E73" s="19"/>
      <c r="F73" s="19"/>
      <c r="G73" s="19"/>
      <c r="H73" s="19"/>
      <c r="I73" s="19"/>
      <c r="J73" s="19"/>
      <c r="K73" s="19"/>
      <c r="L73" s="19"/>
    </row>
    <row r="74" spans="1:17" ht="15.75" thickBot="1" x14ac:dyDescent="0.3">
      <c r="A74" s="20"/>
      <c r="B74" s="20"/>
      <c r="C74" s="20"/>
      <c r="D74" s="20"/>
      <c r="E74" s="20"/>
      <c r="F74" s="20"/>
      <c r="G74" s="20"/>
      <c r="H74" s="20"/>
      <c r="I74" s="49"/>
      <c r="J74" s="49"/>
      <c r="K74" s="20"/>
      <c r="L74" s="20"/>
      <c r="M74" s="20"/>
      <c r="N74" s="20"/>
      <c r="O74" s="20"/>
      <c r="P74" s="20"/>
      <c r="Q74" s="20"/>
    </row>
    <row r="75" spans="1:17" ht="15.75" thickTop="1" x14ac:dyDescent="0.25">
      <c r="A75" s="33" t="s">
        <v>98</v>
      </c>
    </row>
    <row r="76" spans="1:17" x14ac:dyDescent="0.25">
      <c r="A76" t="s">
        <v>99</v>
      </c>
    </row>
    <row r="77" spans="1:17" x14ac:dyDescent="0.25">
      <c r="A77" t="s">
        <v>100</v>
      </c>
    </row>
    <row r="78" spans="1:17" x14ac:dyDescent="0.25">
      <c r="A78" t="s">
        <v>55</v>
      </c>
      <c r="B78" s="21"/>
      <c r="C78" s="21"/>
      <c r="D78" s="21"/>
      <c r="E78" s="21"/>
      <c r="F78" s="21"/>
      <c r="G78" s="21"/>
      <c r="H78" s="21"/>
      <c r="I78" s="21"/>
      <c r="J78" s="21"/>
    </row>
    <row r="80" spans="1:17" x14ac:dyDescent="0.25">
      <c r="A80" t="s">
        <v>43</v>
      </c>
    </row>
    <row r="81" spans="1:1" x14ac:dyDescent="0.25">
      <c r="A81" t="s">
        <v>53</v>
      </c>
    </row>
    <row r="82" spans="1:1" x14ac:dyDescent="0.25">
      <c r="A82" t="s">
        <v>86</v>
      </c>
    </row>
    <row r="83" spans="1:1" x14ac:dyDescent="0.25">
      <c r="A83" t="s">
        <v>50</v>
      </c>
    </row>
    <row r="84" spans="1:1" x14ac:dyDescent="0.25">
      <c r="A84" t="s">
        <v>54</v>
      </c>
    </row>
    <row r="86" spans="1:1" x14ac:dyDescent="0.25">
      <c r="A86" s="104" t="s">
        <v>143</v>
      </c>
    </row>
    <row r="87" spans="1:1" x14ac:dyDescent="0.25">
      <c r="A87" s="42"/>
    </row>
  </sheetData>
  <mergeCells count="6">
    <mergeCell ref="G34:J34"/>
    <mergeCell ref="A2:K2"/>
    <mergeCell ref="A4:A5"/>
    <mergeCell ref="G5:H5"/>
    <mergeCell ref="D5:E5"/>
    <mergeCell ref="D4:N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88"/>
  <sheetViews>
    <sheetView topLeftCell="A58" zoomScale="60" zoomScaleNormal="60" workbookViewId="0">
      <selection activeCell="A87" sqref="A87"/>
    </sheetView>
  </sheetViews>
  <sheetFormatPr baseColWidth="10" defaultColWidth="11.42578125" defaultRowHeight="15" x14ac:dyDescent="0.25"/>
  <cols>
    <col min="1" max="1" width="50.85546875" customWidth="1"/>
    <col min="2" max="3" width="26.7109375" customWidth="1"/>
    <col min="4" max="6" width="15.5703125" customWidth="1"/>
    <col min="7" max="7" width="16.140625" customWidth="1"/>
    <col min="8" max="10" width="14.5703125" customWidth="1"/>
    <col min="11" max="11" width="15.42578125" customWidth="1"/>
    <col min="12" max="12" width="16.42578125" customWidth="1"/>
    <col min="13" max="13" width="18.140625" customWidth="1"/>
    <col min="14" max="14" width="22.7109375" customWidth="1"/>
    <col min="15" max="15" width="23.85546875" customWidth="1"/>
    <col min="16" max="16" width="22.7109375" customWidth="1"/>
    <col min="17" max="17" width="30.42578125" customWidth="1"/>
  </cols>
  <sheetData>
    <row r="2" spans="1:17" ht="15.75" x14ac:dyDescent="0.25">
      <c r="A2" s="98" t="s">
        <v>115</v>
      </c>
      <c r="B2" s="98"/>
      <c r="C2" s="98"/>
      <c r="D2" s="98"/>
      <c r="E2" s="98"/>
      <c r="F2" s="98"/>
      <c r="G2" s="98"/>
      <c r="H2" s="98"/>
      <c r="I2" s="98"/>
      <c r="J2" s="98"/>
      <c r="K2" s="98"/>
    </row>
    <row r="4" spans="1:17" x14ac:dyDescent="0.25">
      <c r="A4" s="95" t="s">
        <v>0</v>
      </c>
      <c r="B4" s="25" t="s">
        <v>1</v>
      </c>
      <c r="C4" s="25"/>
      <c r="D4" s="101" t="s">
        <v>2</v>
      </c>
      <c r="E4" s="101"/>
      <c r="F4" s="101"/>
      <c r="G4" s="101"/>
      <c r="H4" s="101"/>
      <c r="I4" s="101"/>
      <c r="J4" s="101"/>
      <c r="K4" s="101"/>
      <c r="L4" s="101"/>
      <c r="M4" s="101"/>
      <c r="N4" s="101"/>
      <c r="O4" s="101"/>
      <c r="P4" s="101"/>
    </row>
    <row r="5" spans="1:17" ht="15.75" thickBot="1" x14ac:dyDescent="0.3">
      <c r="A5" s="96"/>
      <c r="B5" s="1" t="s">
        <v>3</v>
      </c>
      <c r="C5" s="57" t="s">
        <v>56</v>
      </c>
      <c r="D5" s="97" t="s">
        <v>4</v>
      </c>
      <c r="E5" s="97"/>
      <c r="F5" s="57" t="s">
        <v>57</v>
      </c>
      <c r="G5" s="97" t="s">
        <v>52</v>
      </c>
      <c r="H5" s="97"/>
      <c r="I5" s="48"/>
      <c r="J5" s="48"/>
      <c r="K5" s="1" t="s">
        <v>5</v>
      </c>
      <c r="L5" s="20" t="s">
        <v>51</v>
      </c>
      <c r="M5" s="20" t="s">
        <v>138</v>
      </c>
      <c r="N5" s="20" t="s">
        <v>87</v>
      </c>
      <c r="O5" s="20" t="s">
        <v>88</v>
      </c>
      <c r="P5" s="20" t="s">
        <v>139</v>
      </c>
      <c r="Q5" s="20" t="s">
        <v>140</v>
      </c>
    </row>
    <row r="6" spans="1:17" ht="15.75" thickTop="1" x14ac:dyDescent="0.25">
      <c r="B6" s="36" t="s">
        <v>1</v>
      </c>
      <c r="D6" s="36" t="s">
        <v>48</v>
      </c>
      <c r="E6" s="36" t="s">
        <v>49</v>
      </c>
      <c r="F6" s="36"/>
      <c r="G6" s="36">
        <v>1600</v>
      </c>
      <c r="H6" s="36">
        <v>640</v>
      </c>
      <c r="I6" s="47">
        <v>320</v>
      </c>
      <c r="J6" s="47">
        <v>800</v>
      </c>
      <c r="K6" s="36" t="s">
        <v>5</v>
      </c>
      <c r="M6" t="s">
        <v>138</v>
      </c>
      <c r="N6" t="s">
        <v>87</v>
      </c>
      <c r="O6" s="33" t="s">
        <v>88</v>
      </c>
      <c r="P6" s="33" t="s">
        <v>139</v>
      </c>
      <c r="Q6" s="33" t="s">
        <v>140</v>
      </c>
    </row>
    <row r="7" spans="1:17" x14ac:dyDescent="0.25">
      <c r="A7" s="2" t="s">
        <v>6</v>
      </c>
      <c r="I7" s="32"/>
      <c r="J7" s="32"/>
    </row>
    <row r="8" spans="1:17" x14ac:dyDescent="0.25">
      <c r="I8" s="32"/>
      <c r="J8" s="32"/>
    </row>
    <row r="9" spans="1:17" x14ac:dyDescent="0.25">
      <c r="A9" t="s">
        <v>7</v>
      </c>
      <c r="I9" s="32"/>
      <c r="J9" s="32"/>
      <c r="Q9" s="72"/>
    </row>
    <row r="10" spans="1:17" x14ac:dyDescent="0.25">
      <c r="A10" s="3" t="s">
        <v>74</v>
      </c>
      <c r="B10" s="4">
        <f>+D10+G10</f>
        <v>126466</v>
      </c>
      <c r="C10" s="4">
        <f>+D10+E10</f>
        <v>32483</v>
      </c>
      <c r="D10" s="5">
        <v>25999.666666666668</v>
      </c>
      <c r="E10" s="4">
        <v>6483.333333333333</v>
      </c>
      <c r="F10" s="65">
        <f>SUM(G10:I10)</f>
        <v>124835.66666666667</v>
      </c>
      <c r="G10" s="4">
        <v>100466.33333333333</v>
      </c>
      <c r="H10" s="78">
        <v>4091.6666666666665</v>
      </c>
      <c r="I10" s="78">
        <v>20277.666666666668</v>
      </c>
      <c r="J10" s="37">
        <v>26568.666666666668</v>
      </c>
      <c r="K10" s="4">
        <v>9263</v>
      </c>
      <c r="L10" s="5">
        <v>1844</v>
      </c>
      <c r="M10" s="69">
        <v>0</v>
      </c>
      <c r="N10">
        <v>0</v>
      </c>
      <c r="O10" s="69">
        <v>0</v>
      </c>
      <c r="P10">
        <v>0</v>
      </c>
      <c r="Q10" s="38">
        <v>0</v>
      </c>
    </row>
    <row r="11" spans="1:17" x14ac:dyDescent="0.25">
      <c r="A11" s="26" t="s">
        <v>37</v>
      </c>
      <c r="B11" s="4">
        <f t="shared" ref="B11:B16" si="0">+D11+G11</f>
        <v>101981.66666666667</v>
      </c>
      <c r="C11" s="4">
        <f t="shared" ref="C11:C16" si="1">+D11+E11</f>
        <v>25550</v>
      </c>
      <c r="D11" s="4">
        <v>19066.666666666668</v>
      </c>
      <c r="E11" s="4">
        <v>6483.333333333333</v>
      </c>
      <c r="F11" s="4">
        <f>SUM(G11:I11)</f>
        <v>107284.33333333334</v>
      </c>
      <c r="G11" s="4">
        <v>82915</v>
      </c>
      <c r="H11" s="78">
        <v>4091.6666666666665</v>
      </c>
      <c r="I11" s="78">
        <v>20277.666666666668</v>
      </c>
      <c r="J11" s="37">
        <v>26568.666666666668</v>
      </c>
      <c r="K11" s="4">
        <v>9263</v>
      </c>
      <c r="L11" s="5">
        <v>1844</v>
      </c>
      <c r="M11" s="69">
        <v>0</v>
      </c>
      <c r="N11">
        <v>0</v>
      </c>
      <c r="O11" s="69">
        <v>0</v>
      </c>
      <c r="P11">
        <v>0</v>
      </c>
      <c r="Q11">
        <v>0</v>
      </c>
    </row>
    <row r="12" spans="1:17" x14ac:dyDescent="0.25">
      <c r="A12" s="3" t="s">
        <v>116</v>
      </c>
      <c r="B12" s="4">
        <f t="shared" si="0"/>
        <v>142164</v>
      </c>
      <c r="C12" s="4">
        <f t="shared" si="1"/>
        <v>44391</v>
      </c>
      <c r="D12" s="8">
        <v>38286</v>
      </c>
      <c r="E12" s="24">
        <v>6105</v>
      </c>
      <c r="F12" s="24">
        <f>SUM(G12:I12)</f>
        <v>140918</v>
      </c>
      <c r="G12" s="24">
        <v>103878</v>
      </c>
      <c r="H12" s="24">
        <v>5802</v>
      </c>
      <c r="I12" s="5">
        <v>31238</v>
      </c>
      <c r="J12" s="5">
        <v>33852</v>
      </c>
      <c r="K12" s="4">
        <v>8970</v>
      </c>
      <c r="L12" s="29">
        <v>1795</v>
      </c>
      <c r="M12" s="69">
        <v>0</v>
      </c>
      <c r="N12">
        <v>0</v>
      </c>
      <c r="O12" s="69">
        <v>0</v>
      </c>
      <c r="P12" s="4">
        <v>0</v>
      </c>
      <c r="Q12">
        <v>0</v>
      </c>
    </row>
    <row r="13" spans="1:17" x14ac:dyDescent="0.25">
      <c r="A13" s="26" t="s">
        <v>37</v>
      </c>
      <c r="B13" s="4">
        <f>+D13+G13</f>
        <v>132430</v>
      </c>
      <c r="C13" s="4">
        <f t="shared" si="1"/>
        <v>34657</v>
      </c>
      <c r="D13" s="8">
        <v>28552</v>
      </c>
      <c r="E13" s="24">
        <v>6105</v>
      </c>
      <c r="F13" s="24">
        <f t="shared" ref="F13:F16" si="2">SUM(G13:I13)</f>
        <v>140918</v>
      </c>
      <c r="G13" s="24">
        <v>103878</v>
      </c>
      <c r="H13" s="24">
        <v>5802</v>
      </c>
      <c r="I13" s="5">
        <v>31238</v>
      </c>
      <c r="J13" s="5">
        <v>33852</v>
      </c>
      <c r="K13" s="4">
        <v>8970</v>
      </c>
      <c r="L13" s="29">
        <v>1795</v>
      </c>
      <c r="M13" s="69">
        <v>0</v>
      </c>
      <c r="N13">
        <v>0</v>
      </c>
      <c r="O13" s="69">
        <v>0</v>
      </c>
      <c r="P13" s="4">
        <v>0</v>
      </c>
      <c r="Q13">
        <v>0</v>
      </c>
    </row>
    <row r="14" spans="1:17" x14ac:dyDescent="0.25">
      <c r="A14" s="3" t="s">
        <v>117</v>
      </c>
      <c r="B14" s="4">
        <f t="shared" si="0"/>
        <v>126180.33333333333</v>
      </c>
      <c r="C14" s="4">
        <f t="shared" si="1"/>
        <v>31217.666666666668</v>
      </c>
      <c r="D14" s="5">
        <v>25107</v>
      </c>
      <c r="E14" s="4">
        <v>6110.666666666667</v>
      </c>
      <c r="F14" s="24">
        <f t="shared" si="2"/>
        <v>124636.33333333333</v>
      </c>
      <c r="G14" s="4">
        <v>101073.33333333333</v>
      </c>
      <c r="H14" s="4">
        <v>3848.6666666666665</v>
      </c>
      <c r="I14" s="37">
        <v>19714.333333333332</v>
      </c>
      <c r="J14" s="37">
        <v>26368.666666666668</v>
      </c>
      <c r="K14" s="4">
        <v>8891.3333333333339</v>
      </c>
      <c r="L14" s="5">
        <v>2578</v>
      </c>
      <c r="M14" s="69">
        <v>0</v>
      </c>
      <c r="N14">
        <v>0</v>
      </c>
      <c r="O14" s="69">
        <v>0</v>
      </c>
      <c r="P14">
        <v>0</v>
      </c>
      <c r="Q14">
        <v>0</v>
      </c>
    </row>
    <row r="15" spans="1:17" x14ac:dyDescent="0.25">
      <c r="A15" s="26" t="s">
        <v>37</v>
      </c>
      <c r="B15" s="4">
        <f t="shared" si="0"/>
        <v>102609</v>
      </c>
      <c r="C15" s="4">
        <f t="shared" si="1"/>
        <v>24629.333333333336</v>
      </c>
      <c r="D15" s="5">
        <v>18518.666666666668</v>
      </c>
      <c r="E15" s="4">
        <v>6110.666666666667</v>
      </c>
      <c r="F15" s="24">
        <f t="shared" si="2"/>
        <v>107653.33333333333</v>
      </c>
      <c r="G15" s="4">
        <v>84090.333333333328</v>
      </c>
      <c r="H15" s="4">
        <v>3848.6666666666665</v>
      </c>
      <c r="I15" s="37">
        <v>19714.333333333332</v>
      </c>
      <c r="J15" s="37">
        <v>26368.666666666668</v>
      </c>
      <c r="K15" s="4">
        <v>8891.3333333333339</v>
      </c>
      <c r="L15" s="5">
        <v>2578</v>
      </c>
      <c r="M15" s="69">
        <v>0</v>
      </c>
      <c r="N15">
        <v>0</v>
      </c>
      <c r="O15" s="69">
        <v>0</v>
      </c>
      <c r="P15">
        <v>0</v>
      </c>
      <c r="Q15">
        <v>0</v>
      </c>
    </row>
    <row r="16" spans="1:17" x14ac:dyDescent="0.25">
      <c r="A16" s="3" t="s">
        <v>93</v>
      </c>
      <c r="B16" s="4">
        <f t="shared" si="0"/>
        <v>135643.5</v>
      </c>
      <c r="C16" s="4">
        <f t="shared" si="1"/>
        <v>42198.75</v>
      </c>
      <c r="D16" s="4">
        <v>36093.75</v>
      </c>
      <c r="E16" s="24">
        <v>6105</v>
      </c>
      <c r="F16" s="24">
        <f t="shared" si="2"/>
        <v>135046.41666666666</v>
      </c>
      <c r="G16" s="73">
        <v>99549.75</v>
      </c>
      <c r="H16" s="4">
        <v>5560.25</v>
      </c>
      <c r="I16" s="5">
        <v>29936.416666666668</v>
      </c>
      <c r="J16" s="5">
        <v>32441.5</v>
      </c>
      <c r="K16" s="4">
        <v>8970</v>
      </c>
      <c r="L16" s="5">
        <v>1795</v>
      </c>
      <c r="M16" s="5">
        <v>20000</v>
      </c>
      <c r="N16" s="5">
        <v>0</v>
      </c>
      <c r="O16" s="73">
        <v>0</v>
      </c>
      <c r="P16" s="4">
        <v>0</v>
      </c>
      <c r="Q16" s="4">
        <v>0</v>
      </c>
    </row>
    <row r="17" spans="1:17" x14ac:dyDescent="0.25">
      <c r="G17" s="38"/>
      <c r="I17" s="5"/>
      <c r="J17" s="5"/>
    </row>
    <row r="18" spans="1:17" x14ac:dyDescent="0.25">
      <c r="A18" s="6" t="s">
        <v>8</v>
      </c>
      <c r="I18" s="37"/>
      <c r="J18" s="37"/>
    </row>
    <row r="19" spans="1:17" x14ac:dyDescent="0.25">
      <c r="A19" s="3" t="s">
        <v>74</v>
      </c>
      <c r="B19" s="4">
        <f>C19+F19+K19+L19+M19+N19+O19</f>
        <v>5399110455.2200003</v>
      </c>
      <c r="C19" s="44">
        <v>1259613671</v>
      </c>
      <c r="D19" s="44"/>
      <c r="E19" s="44"/>
      <c r="F19" s="44">
        <v>2439060720</v>
      </c>
      <c r="G19" s="44"/>
      <c r="H19" s="44"/>
      <c r="I19" s="44"/>
      <c r="J19" s="44"/>
      <c r="K19" s="5">
        <v>1290302203.22</v>
      </c>
      <c r="L19" s="5">
        <v>163225786</v>
      </c>
      <c r="M19" s="5">
        <v>246908075</v>
      </c>
      <c r="N19" s="5">
        <v>0</v>
      </c>
      <c r="O19" s="5">
        <v>0</v>
      </c>
      <c r="P19" s="5">
        <v>0</v>
      </c>
      <c r="Q19" s="5">
        <v>0</v>
      </c>
    </row>
    <row r="20" spans="1:17" x14ac:dyDescent="0.25">
      <c r="A20" s="61" t="s">
        <v>116</v>
      </c>
      <c r="B20" s="4">
        <f t="shared" ref="B20" si="3">C20+F20+K20+L20+M20+N20+O20</f>
        <v>5340608788.9099998</v>
      </c>
      <c r="C20" s="4">
        <f>+D20+E20</f>
        <v>1782490948</v>
      </c>
      <c r="D20" s="40">
        <v>1768846273</v>
      </c>
      <c r="E20" s="40">
        <v>13644675</v>
      </c>
      <c r="F20" s="76">
        <v>2031250177.9200003</v>
      </c>
      <c r="G20" s="44"/>
      <c r="H20" s="44"/>
      <c r="I20" s="44"/>
      <c r="J20" s="44"/>
      <c r="K20" s="4">
        <v>790611466.99000001</v>
      </c>
      <c r="L20" s="5">
        <v>736256196</v>
      </c>
      <c r="M20">
        <v>0</v>
      </c>
      <c r="N20" s="5">
        <v>0</v>
      </c>
      <c r="O20" s="5">
        <v>0</v>
      </c>
      <c r="P20" s="5">
        <v>0</v>
      </c>
      <c r="Q20" s="5">
        <v>376132600</v>
      </c>
    </row>
    <row r="21" spans="1:17" x14ac:dyDescent="0.25">
      <c r="A21" s="3" t="s">
        <v>117</v>
      </c>
      <c r="B21" s="4">
        <f>C21+F21+K21+L21+M21+N21+O21+P21+Q21</f>
        <v>6005709172.6200008</v>
      </c>
      <c r="C21" s="44">
        <v>1338991167</v>
      </c>
      <c r="D21" s="44"/>
      <c r="E21" s="44"/>
      <c r="F21" s="44">
        <v>2922596900</v>
      </c>
      <c r="G21" s="44"/>
      <c r="H21" s="44"/>
      <c r="I21" s="44"/>
      <c r="J21" s="44"/>
      <c r="K21" s="5">
        <v>1018338502.39</v>
      </c>
      <c r="L21" s="5">
        <v>323944742</v>
      </c>
      <c r="M21" s="4">
        <v>22499980</v>
      </c>
      <c r="N21" s="5">
        <v>0</v>
      </c>
      <c r="O21" s="5">
        <v>285410855.60000002</v>
      </c>
      <c r="P21" s="5">
        <v>0</v>
      </c>
      <c r="Q21" s="5">
        <v>93927025.629999995</v>
      </c>
    </row>
    <row r="22" spans="1:17" x14ac:dyDescent="0.25">
      <c r="A22" s="3" t="s">
        <v>93</v>
      </c>
      <c r="B22" s="4">
        <f>C22+F22+K22+L22+M22+N22+O22+Q22+P22</f>
        <v>21259609427.360001</v>
      </c>
      <c r="C22" s="4">
        <f>+D22+E22</f>
        <v>6752561345.999999</v>
      </c>
      <c r="D22" s="40">
        <v>6697982645.999999</v>
      </c>
      <c r="E22" s="40">
        <v>54578700</v>
      </c>
      <c r="F22" s="40">
        <v>7786459015.3600025</v>
      </c>
      <c r="G22" s="40"/>
      <c r="H22" s="40"/>
      <c r="I22" s="40"/>
      <c r="J22" s="40"/>
      <c r="K22" s="4">
        <v>3252549214</v>
      </c>
      <c r="L22" s="5">
        <v>2699606052</v>
      </c>
      <c r="M22" s="4">
        <v>31812500</v>
      </c>
      <c r="N22" s="5">
        <v>30000000</v>
      </c>
      <c r="O22" s="5">
        <v>330000000</v>
      </c>
      <c r="P22" s="5">
        <v>488700</v>
      </c>
      <c r="Q22" s="5">
        <v>376132600</v>
      </c>
    </row>
    <row r="23" spans="1:17" x14ac:dyDescent="0.25">
      <c r="A23" s="3" t="s">
        <v>118</v>
      </c>
      <c r="B23" s="65">
        <f>C23+F23+K23+L23+N23+O23+P23+Q23+M23</f>
        <v>6005709172.6200008</v>
      </c>
      <c r="C23" s="4">
        <f>C21</f>
        <v>1338991167</v>
      </c>
      <c r="D23" s="40"/>
      <c r="E23" s="40"/>
      <c r="F23" s="40">
        <f>F21</f>
        <v>2922596900</v>
      </c>
      <c r="G23" s="40"/>
      <c r="H23" s="40"/>
      <c r="I23" s="40"/>
      <c r="J23" s="40"/>
      <c r="K23" s="4">
        <f t="shared" ref="K23:Q23" si="4">K21</f>
        <v>1018338502.39</v>
      </c>
      <c r="L23" s="4">
        <f t="shared" si="4"/>
        <v>323944742</v>
      </c>
      <c r="M23" s="65">
        <f t="shared" si="4"/>
        <v>22499980</v>
      </c>
      <c r="N23" s="65">
        <f t="shared" si="4"/>
        <v>0</v>
      </c>
      <c r="O23" s="65">
        <f t="shared" si="4"/>
        <v>285410855.60000002</v>
      </c>
      <c r="P23" s="65">
        <f t="shared" si="4"/>
        <v>0</v>
      </c>
      <c r="Q23" s="65">
        <f t="shared" si="4"/>
        <v>93927025.629999995</v>
      </c>
    </row>
    <row r="24" spans="1:17" x14ac:dyDescent="0.25">
      <c r="B24" s="4"/>
      <c r="C24" s="4"/>
      <c r="D24" s="4"/>
      <c r="E24" s="4"/>
      <c r="F24" s="4"/>
      <c r="G24" s="4"/>
      <c r="H24" s="4"/>
      <c r="I24" s="5"/>
      <c r="J24" s="5"/>
      <c r="K24" s="4"/>
      <c r="O24" s="24"/>
    </row>
    <row r="25" spans="1:17" x14ac:dyDescent="0.25">
      <c r="A25" s="7" t="s">
        <v>9</v>
      </c>
      <c r="B25" s="8"/>
      <c r="C25" s="8"/>
      <c r="D25" s="8"/>
      <c r="E25" s="8"/>
      <c r="F25" s="8"/>
      <c r="G25" s="8"/>
      <c r="H25" s="8"/>
      <c r="I25" s="8"/>
      <c r="J25" s="8"/>
      <c r="K25" s="8"/>
      <c r="L25" s="8"/>
    </row>
    <row r="26" spans="1:17" x14ac:dyDescent="0.25">
      <c r="A26" s="9" t="s">
        <v>116</v>
      </c>
      <c r="B26" s="8">
        <f>B20</f>
        <v>5340608788.9099998</v>
      </c>
      <c r="C26" s="8"/>
      <c r="D26" s="8"/>
      <c r="E26" s="8"/>
      <c r="F26" s="8"/>
      <c r="G26" s="8"/>
      <c r="H26" s="8"/>
      <c r="I26" s="8"/>
      <c r="J26" s="8"/>
      <c r="K26" s="8"/>
      <c r="L26" s="8"/>
    </row>
    <row r="27" spans="1:17" x14ac:dyDescent="0.25">
      <c r="A27" s="9" t="s">
        <v>117</v>
      </c>
      <c r="B27" s="31">
        <v>4938675921.3400002</v>
      </c>
      <c r="C27" s="31"/>
      <c r="D27" s="28"/>
      <c r="E27" s="28"/>
      <c r="F27" s="28"/>
      <c r="G27" s="8"/>
      <c r="H27" s="8"/>
      <c r="I27" s="8"/>
      <c r="J27" s="8"/>
      <c r="K27" s="8"/>
      <c r="L27" s="8"/>
    </row>
    <row r="28" spans="1:17" x14ac:dyDescent="0.25">
      <c r="D28" s="29"/>
      <c r="I28" s="32"/>
      <c r="J28" s="32"/>
    </row>
    <row r="29" spans="1:17" x14ac:dyDescent="0.25">
      <c r="A29" t="s">
        <v>10</v>
      </c>
      <c r="I29" s="32"/>
      <c r="J29" s="32"/>
    </row>
    <row r="30" spans="1:17" x14ac:dyDescent="0.25">
      <c r="A30" s="10" t="s">
        <v>75</v>
      </c>
      <c r="B30" s="11">
        <v>0.99</v>
      </c>
      <c r="C30" s="11">
        <v>0.99</v>
      </c>
      <c r="D30" s="11">
        <v>0.99</v>
      </c>
      <c r="E30" s="11">
        <v>0.99</v>
      </c>
      <c r="F30" s="11">
        <v>0.99</v>
      </c>
      <c r="G30" s="11">
        <v>0.99</v>
      </c>
      <c r="H30" s="11">
        <v>0.99</v>
      </c>
      <c r="I30" s="11">
        <v>0.99</v>
      </c>
      <c r="J30" s="11">
        <v>0.99</v>
      </c>
      <c r="K30" s="11">
        <v>0.99</v>
      </c>
      <c r="L30" s="11">
        <v>0.99</v>
      </c>
      <c r="M30" s="11">
        <v>0.99</v>
      </c>
      <c r="N30" s="11">
        <v>0.99</v>
      </c>
      <c r="O30" s="11">
        <v>0.99</v>
      </c>
      <c r="P30" s="11">
        <v>0.99</v>
      </c>
      <c r="Q30" s="11">
        <v>0.99</v>
      </c>
    </row>
    <row r="31" spans="1:17" x14ac:dyDescent="0.25">
      <c r="A31" s="10" t="s">
        <v>119</v>
      </c>
      <c r="B31">
        <v>0.99</v>
      </c>
      <c r="C31">
        <v>0.99</v>
      </c>
      <c r="D31">
        <v>0.99</v>
      </c>
      <c r="E31">
        <v>0.99</v>
      </c>
      <c r="F31">
        <v>0.99</v>
      </c>
      <c r="G31">
        <v>0.99</v>
      </c>
      <c r="H31">
        <v>0.99</v>
      </c>
      <c r="I31">
        <v>0.99</v>
      </c>
      <c r="J31">
        <v>0.99</v>
      </c>
      <c r="K31">
        <v>0.99</v>
      </c>
      <c r="L31">
        <v>0.99</v>
      </c>
      <c r="M31">
        <v>0.99</v>
      </c>
      <c r="N31">
        <v>0.99</v>
      </c>
      <c r="O31">
        <v>0.99</v>
      </c>
      <c r="P31">
        <v>0.99</v>
      </c>
      <c r="Q31">
        <v>0.99</v>
      </c>
    </row>
    <row r="32" spans="1:17" x14ac:dyDescent="0.25">
      <c r="A32" s="3" t="s">
        <v>11</v>
      </c>
      <c r="B32" s="4">
        <v>126642</v>
      </c>
      <c r="C32" s="4">
        <v>126642</v>
      </c>
      <c r="D32" s="4">
        <v>126642</v>
      </c>
      <c r="E32" s="4">
        <v>126642</v>
      </c>
      <c r="F32" s="4">
        <v>126642</v>
      </c>
      <c r="G32" s="4">
        <v>126642</v>
      </c>
      <c r="H32" s="4">
        <v>126642</v>
      </c>
      <c r="I32" s="4">
        <v>126642</v>
      </c>
      <c r="J32" s="4">
        <v>126642</v>
      </c>
      <c r="K32" s="4">
        <v>126642</v>
      </c>
      <c r="L32" s="4">
        <v>126642</v>
      </c>
      <c r="M32" s="4">
        <v>126642</v>
      </c>
      <c r="N32" s="4">
        <v>126642</v>
      </c>
      <c r="O32" s="4">
        <v>126642</v>
      </c>
      <c r="P32" s="4">
        <v>126642</v>
      </c>
      <c r="Q32" s="4">
        <v>126642</v>
      </c>
    </row>
    <row r="33" spans="1:17" x14ac:dyDescent="0.25">
      <c r="I33" s="32"/>
      <c r="J33" s="32"/>
    </row>
    <row r="34" spans="1:17" x14ac:dyDescent="0.25">
      <c r="A34" s="12" t="s">
        <v>12</v>
      </c>
      <c r="B34" s="13"/>
      <c r="C34" s="13"/>
      <c r="D34" s="51"/>
      <c r="E34" s="51"/>
      <c r="F34" s="51"/>
      <c r="G34" s="94"/>
      <c r="H34" s="94"/>
      <c r="I34" s="94"/>
      <c r="J34" s="94"/>
      <c r="K34" s="13"/>
      <c r="L34" s="13"/>
      <c r="M34" s="13"/>
      <c r="N34" s="13"/>
      <c r="O34" s="13"/>
      <c r="P34" s="13"/>
      <c r="Q34" s="13"/>
    </row>
    <row r="35" spans="1:17" x14ac:dyDescent="0.25">
      <c r="A35" s="13" t="s">
        <v>76</v>
      </c>
      <c r="B35" s="14">
        <f>B19/B30</f>
        <v>5453646924.4646463</v>
      </c>
      <c r="C35" s="50">
        <f>C19/C30</f>
        <v>1272337041.4141414</v>
      </c>
      <c r="D35" s="50"/>
      <c r="E35" s="50"/>
      <c r="F35" s="50">
        <f>F19/F30</f>
        <v>2463697696.969697</v>
      </c>
      <c r="G35" s="50"/>
      <c r="H35" s="50"/>
      <c r="I35" s="50"/>
      <c r="J35" s="50"/>
      <c r="K35" s="14">
        <f>K19/K30</f>
        <v>1303335558.8080809</v>
      </c>
      <c r="L35" s="14">
        <f>L19/L30</f>
        <v>164874531.3131313</v>
      </c>
      <c r="M35" s="14">
        <f t="shared" ref="M35:Q35" si="5">M19/M30</f>
        <v>249402095.95959595</v>
      </c>
      <c r="N35" s="14">
        <f t="shared" si="5"/>
        <v>0</v>
      </c>
      <c r="O35" s="14">
        <f t="shared" si="5"/>
        <v>0</v>
      </c>
      <c r="P35" s="14">
        <f t="shared" si="5"/>
        <v>0</v>
      </c>
      <c r="Q35" s="14">
        <f t="shared" si="5"/>
        <v>0</v>
      </c>
    </row>
    <row r="36" spans="1:17" x14ac:dyDescent="0.25">
      <c r="A36" s="13" t="s">
        <v>120</v>
      </c>
      <c r="B36" s="14">
        <f>B21/B31</f>
        <v>6066372901.6363649</v>
      </c>
      <c r="C36" s="50">
        <f>C21/C31</f>
        <v>1352516330.3030303</v>
      </c>
      <c r="D36" s="50"/>
      <c r="E36" s="50"/>
      <c r="F36" s="50">
        <f>F21/F31</f>
        <v>2952118080.8080807</v>
      </c>
      <c r="G36" s="50"/>
      <c r="H36" s="50"/>
      <c r="I36" s="50"/>
      <c r="J36" s="50"/>
      <c r="K36" s="14">
        <f>K21/K31</f>
        <v>1028624749.8888888</v>
      </c>
      <c r="L36" s="14">
        <f>L21/L31</f>
        <v>327216911.1111111</v>
      </c>
      <c r="M36" s="14">
        <f t="shared" ref="M36:Q36" si="6">M21/M31</f>
        <v>22727252.525252525</v>
      </c>
      <c r="N36" s="14">
        <f t="shared" si="6"/>
        <v>0</v>
      </c>
      <c r="O36" s="14">
        <f t="shared" si="6"/>
        <v>288293793.53535354</v>
      </c>
      <c r="P36" s="14">
        <f t="shared" si="6"/>
        <v>0</v>
      </c>
      <c r="Q36" s="14">
        <f t="shared" si="6"/>
        <v>94875783.464646459</v>
      </c>
    </row>
    <row r="37" spans="1:17" x14ac:dyDescent="0.25">
      <c r="A37" s="13" t="s">
        <v>77</v>
      </c>
      <c r="B37" s="14">
        <f>B35/B10</f>
        <v>43123.423880447284</v>
      </c>
      <c r="C37" s="50">
        <f>C35/C10</f>
        <v>39169.320611216375</v>
      </c>
      <c r="D37" s="50"/>
      <c r="E37" s="50"/>
      <c r="F37" s="50">
        <f>F35/F10</f>
        <v>19735.527215536935</v>
      </c>
      <c r="G37" s="50"/>
      <c r="H37" s="50"/>
      <c r="I37" s="50"/>
      <c r="J37" s="50"/>
      <c r="K37" s="14">
        <f>K35/K10</f>
        <v>140703.39617921633</v>
      </c>
      <c r="L37" s="14">
        <f>L35/L10</f>
        <v>89411.351037489861</v>
      </c>
      <c r="M37" s="14" t="e">
        <f t="shared" ref="M37:Q37" si="7">M35/M10</f>
        <v>#DIV/0!</v>
      </c>
      <c r="N37" s="14" t="e">
        <f t="shared" si="7"/>
        <v>#DIV/0!</v>
      </c>
      <c r="O37" s="14" t="e">
        <f t="shared" si="7"/>
        <v>#DIV/0!</v>
      </c>
      <c r="P37" s="14" t="e">
        <f t="shared" si="7"/>
        <v>#DIV/0!</v>
      </c>
      <c r="Q37" s="14" t="e">
        <f t="shared" si="7"/>
        <v>#DIV/0!</v>
      </c>
    </row>
    <row r="38" spans="1:17" x14ac:dyDescent="0.25">
      <c r="A38" s="13" t="s">
        <v>121</v>
      </c>
      <c r="B38" s="14">
        <f>B36/B14</f>
        <v>48077.008051727804</v>
      </c>
      <c r="C38" s="50">
        <f>C36/C14</f>
        <v>43325.349865023978</v>
      </c>
      <c r="D38" s="50"/>
      <c r="E38" s="50"/>
      <c r="F38" s="50">
        <f>F36/F14</f>
        <v>23685.854693051631</v>
      </c>
      <c r="G38" s="50"/>
      <c r="H38" s="50"/>
      <c r="I38" s="50"/>
      <c r="J38" s="50"/>
      <c r="K38" s="34">
        <f>K36/K14</f>
        <v>115688.47003324084</v>
      </c>
      <c r="L38" s="34">
        <f>L36/L14</f>
        <v>126926.65287475218</v>
      </c>
      <c r="M38" s="34" t="e">
        <f t="shared" ref="M38:Q38" si="8">M36/M14</f>
        <v>#DIV/0!</v>
      </c>
      <c r="N38" s="34" t="e">
        <f t="shared" si="8"/>
        <v>#DIV/0!</v>
      </c>
      <c r="O38" s="34" t="e">
        <f t="shared" si="8"/>
        <v>#DIV/0!</v>
      </c>
      <c r="P38" s="34" t="e">
        <f t="shared" si="8"/>
        <v>#DIV/0!</v>
      </c>
      <c r="Q38" s="34" t="e">
        <f t="shared" si="8"/>
        <v>#DIV/0!</v>
      </c>
    </row>
    <row r="39" spans="1:17" x14ac:dyDescent="0.25">
      <c r="I39" s="32"/>
      <c r="J39" s="32"/>
    </row>
    <row r="40" spans="1:17" x14ac:dyDescent="0.25">
      <c r="A40" s="2" t="s">
        <v>13</v>
      </c>
      <c r="I40" s="32"/>
      <c r="J40" s="32"/>
    </row>
    <row r="41" spans="1:17" x14ac:dyDescent="0.25">
      <c r="I41" s="32"/>
      <c r="J41" s="32"/>
    </row>
    <row r="42" spans="1:17" x14ac:dyDescent="0.25">
      <c r="A42" t="s">
        <v>14</v>
      </c>
      <c r="I42" s="32"/>
      <c r="J42" s="32"/>
    </row>
    <row r="43" spans="1:17" x14ac:dyDescent="0.25">
      <c r="A43" t="s">
        <v>15</v>
      </c>
      <c r="B43" s="17">
        <f>(B13/B32)*100</f>
        <v>104.5703637024052</v>
      </c>
      <c r="C43" s="17">
        <f t="shared" ref="C43:Q43" si="9">(C13/C32)*100</f>
        <v>27.366118665213751</v>
      </c>
      <c r="D43" s="17">
        <f t="shared" si="9"/>
        <v>22.54544305996431</v>
      </c>
      <c r="E43" s="17">
        <f t="shared" si="9"/>
        <v>4.8206756052494439</v>
      </c>
      <c r="F43" s="17">
        <f t="shared" si="9"/>
        <v>111.27272152998215</v>
      </c>
      <c r="G43" s="17">
        <f t="shared" si="9"/>
        <v>82.024920642440904</v>
      </c>
      <c r="H43" s="17">
        <f t="shared" si="9"/>
        <v>4.5814184867579471</v>
      </c>
      <c r="I43" s="17">
        <f t="shared" si="9"/>
        <v>24.666382400783309</v>
      </c>
      <c r="J43" s="17">
        <f t="shared" si="9"/>
        <v>26.730468564931066</v>
      </c>
      <c r="K43" s="17">
        <f t="shared" si="9"/>
        <v>7.0829582602927932</v>
      </c>
      <c r="L43" s="17">
        <f t="shared" si="9"/>
        <v>1.4173812795123262</v>
      </c>
      <c r="M43" s="17">
        <f t="shared" si="9"/>
        <v>0</v>
      </c>
      <c r="N43" s="17">
        <f t="shared" si="9"/>
        <v>0</v>
      </c>
      <c r="O43" s="17">
        <f t="shared" si="9"/>
        <v>0</v>
      </c>
      <c r="P43" s="17">
        <f t="shared" si="9"/>
        <v>0</v>
      </c>
      <c r="Q43" s="17">
        <f t="shared" si="9"/>
        <v>0</v>
      </c>
    </row>
    <row r="44" spans="1:17" x14ac:dyDescent="0.25">
      <c r="A44" t="s">
        <v>16</v>
      </c>
      <c r="B44" s="17">
        <f>(B15/B32)*100</f>
        <v>81.02288340361018</v>
      </c>
      <c r="C44" s="17">
        <f t="shared" ref="C44:Q44" si="10">(C15/C32)*100</f>
        <v>19.447997767986401</v>
      </c>
      <c r="D44" s="17">
        <f t="shared" si="10"/>
        <v>14.622847607165607</v>
      </c>
      <c r="E44" s="17">
        <f t="shared" si="10"/>
        <v>4.8251501608207921</v>
      </c>
      <c r="F44" s="17">
        <f t="shared" si="10"/>
        <v>85.006027489563749</v>
      </c>
      <c r="G44" s="17">
        <f t="shared" si="10"/>
        <v>66.40003579644457</v>
      </c>
      <c r="H44" s="17">
        <f t="shared" si="10"/>
        <v>3.0390128603991302</v>
      </c>
      <c r="I44" s="17">
        <f t="shared" si="10"/>
        <v>15.566978832720055</v>
      </c>
      <c r="J44" s="17">
        <f t="shared" si="10"/>
        <v>20.821423119239011</v>
      </c>
      <c r="K44" s="17">
        <f t="shared" si="10"/>
        <v>7.0208409005964327</v>
      </c>
      <c r="L44" s="17">
        <f t="shared" si="10"/>
        <v>2.0356595758121316</v>
      </c>
      <c r="M44" s="17">
        <f t="shared" si="10"/>
        <v>0</v>
      </c>
      <c r="N44" s="17">
        <f t="shared" si="10"/>
        <v>0</v>
      </c>
      <c r="O44" s="17">
        <f t="shared" si="10"/>
        <v>0</v>
      </c>
      <c r="P44" s="17">
        <f t="shared" si="10"/>
        <v>0</v>
      </c>
      <c r="Q44" s="17">
        <f t="shared" si="10"/>
        <v>0</v>
      </c>
    </row>
    <row r="45" spans="1:17" x14ac:dyDescent="0.25">
      <c r="I45" s="32"/>
      <c r="J45" s="32"/>
    </row>
    <row r="46" spans="1:17" x14ac:dyDescent="0.25">
      <c r="A46" t="s">
        <v>17</v>
      </c>
      <c r="I46" s="32"/>
      <c r="J46" s="32"/>
    </row>
    <row r="47" spans="1:17" x14ac:dyDescent="0.25">
      <c r="A47" t="s">
        <v>18</v>
      </c>
      <c r="B47" s="15">
        <f>B14/B12*100</f>
        <v>88.756881723455535</v>
      </c>
      <c r="C47" s="15">
        <f t="shared" ref="C47:Q47" si="11">C14/C12*100</f>
        <v>70.324314988774006</v>
      </c>
      <c r="D47" s="15">
        <f t="shared" si="11"/>
        <v>65.577495690330665</v>
      </c>
      <c r="E47" s="15">
        <f t="shared" si="11"/>
        <v>100.09282009282011</v>
      </c>
      <c r="F47" s="15">
        <f t="shared" si="11"/>
        <v>88.445999328214512</v>
      </c>
      <c r="G47" s="15">
        <f t="shared" si="11"/>
        <v>97.300037864931284</v>
      </c>
      <c r="H47" s="15">
        <f t="shared" si="11"/>
        <v>66.333448236240372</v>
      </c>
      <c r="I47" s="15">
        <f t="shared" si="11"/>
        <v>63.110100945429707</v>
      </c>
      <c r="J47" s="15">
        <f t="shared" si="11"/>
        <v>77.893969829453695</v>
      </c>
      <c r="K47" s="15">
        <f t="shared" si="11"/>
        <v>99.12300260126348</v>
      </c>
      <c r="L47" s="15">
        <f t="shared" si="11"/>
        <v>143.62116991643455</v>
      </c>
      <c r="M47" s="15" t="e">
        <f t="shared" si="11"/>
        <v>#DIV/0!</v>
      </c>
      <c r="N47" s="15" t="e">
        <f t="shared" si="11"/>
        <v>#DIV/0!</v>
      </c>
      <c r="O47" s="15" t="e">
        <f t="shared" si="11"/>
        <v>#DIV/0!</v>
      </c>
      <c r="P47" s="15" t="e">
        <f t="shared" si="11"/>
        <v>#DIV/0!</v>
      </c>
      <c r="Q47" s="15" t="e">
        <f t="shared" si="11"/>
        <v>#DIV/0!</v>
      </c>
    </row>
    <row r="48" spans="1:17" x14ac:dyDescent="0.25">
      <c r="A48" t="s">
        <v>19</v>
      </c>
      <c r="B48" s="15">
        <f>B21/B20*100</f>
        <v>112.45364358256515</v>
      </c>
      <c r="C48" s="15">
        <f>C21/C20*100</f>
        <v>75.119100520672049</v>
      </c>
      <c r="D48" s="15"/>
      <c r="E48" s="15"/>
      <c r="F48" s="58">
        <f>F21/F20*100</f>
        <v>143.88168093566586</v>
      </c>
      <c r="G48" s="58"/>
      <c r="H48" s="58"/>
      <c r="I48" s="58"/>
      <c r="J48" s="58"/>
      <c r="K48" s="15">
        <f>K21/K20*100</f>
        <v>128.80391252950045</v>
      </c>
      <c r="L48" s="15">
        <f>L21/L20*100</f>
        <v>43.998915562267129</v>
      </c>
      <c r="M48" s="15" t="e">
        <f t="shared" ref="M48:Q48" si="12">M21/M20*100</f>
        <v>#DIV/0!</v>
      </c>
      <c r="N48" s="15" t="e">
        <f t="shared" si="12"/>
        <v>#DIV/0!</v>
      </c>
      <c r="O48" s="15" t="e">
        <f t="shared" si="12"/>
        <v>#DIV/0!</v>
      </c>
      <c r="P48" s="15" t="e">
        <f t="shared" si="12"/>
        <v>#DIV/0!</v>
      </c>
      <c r="Q48" s="15">
        <f t="shared" si="12"/>
        <v>24.971785383665228</v>
      </c>
    </row>
    <row r="49" spans="1:17" x14ac:dyDescent="0.25">
      <c r="A49" s="13" t="s">
        <v>20</v>
      </c>
      <c r="B49" s="16">
        <f>AVERAGE(B47:B48)</f>
        <v>100.60526265301034</v>
      </c>
      <c r="C49" s="16">
        <f t="shared" ref="C49:Q49" si="13">AVERAGE(C47:C48)</f>
        <v>72.721707754723028</v>
      </c>
      <c r="D49" s="16"/>
      <c r="E49" s="16"/>
      <c r="F49" s="59">
        <f>AVERAGE(F47:F48)</f>
        <v>116.16384013194019</v>
      </c>
      <c r="G49" s="59"/>
      <c r="H49" s="59"/>
      <c r="I49" s="59"/>
      <c r="J49" s="59"/>
      <c r="K49" s="16">
        <f t="shared" si="13"/>
        <v>113.96345756538196</v>
      </c>
      <c r="L49" s="16">
        <f t="shared" si="13"/>
        <v>93.810042739350848</v>
      </c>
      <c r="M49" s="16" t="e">
        <f t="shared" si="13"/>
        <v>#DIV/0!</v>
      </c>
      <c r="N49" s="16" t="e">
        <f t="shared" si="13"/>
        <v>#DIV/0!</v>
      </c>
      <c r="O49" s="16" t="e">
        <f t="shared" si="13"/>
        <v>#DIV/0!</v>
      </c>
      <c r="P49" s="16" t="e">
        <f t="shared" si="13"/>
        <v>#DIV/0!</v>
      </c>
      <c r="Q49" s="16" t="e">
        <f t="shared" si="13"/>
        <v>#DIV/0!</v>
      </c>
    </row>
    <row r="50" spans="1:17" x14ac:dyDescent="0.25">
      <c r="B50" s="15"/>
      <c r="C50" s="15"/>
      <c r="D50" s="15"/>
      <c r="E50" s="15"/>
      <c r="F50" s="15"/>
      <c r="G50" s="15"/>
      <c r="H50" s="15"/>
      <c r="I50" s="15"/>
      <c r="J50" s="15"/>
      <c r="K50" s="15"/>
      <c r="L50" s="15"/>
    </row>
    <row r="51" spans="1:17" x14ac:dyDescent="0.25">
      <c r="A51" t="s">
        <v>21</v>
      </c>
    </row>
    <row r="52" spans="1:17" x14ac:dyDescent="0.25">
      <c r="A52" t="s">
        <v>22</v>
      </c>
      <c r="B52" s="15">
        <f>((B14/B16)*100)</f>
        <v>93.023501556162529</v>
      </c>
      <c r="C52" s="15">
        <f t="shared" ref="C52:Q52" si="14">((C14/C16)*100)</f>
        <v>73.977704710842545</v>
      </c>
      <c r="D52" s="15">
        <f t="shared" si="14"/>
        <v>69.560519480519474</v>
      </c>
      <c r="E52" s="15">
        <f t="shared" si="14"/>
        <v>100.09282009282011</v>
      </c>
      <c r="F52" s="15">
        <f t="shared" si="14"/>
        <v>92.291477559876029</v>
      </c>
      <c r="G52" s="15">
        <f t="shared" si="14"/>
        <v>101.53047429384134</v>
      </c>
      <c r="H52" s="15">
        <f t="shared" si="14"/>
        <v>69.217511203033439</v>
      </c>
      <c r="I52" s="15">
        <f t="shared" si="14"/>
        <v>65.854018377839694</v>
      </c>
      <c r="J52" s="15">
        <f t="shared" si="14"/>
        <v>81.280664169864735</v>
      </c>
      <c r="K52" s="15">
        <f t="shared" si="14"/>
        <v>99.12300260126348</v>
      </c>
      <c r="L52" s="15">
        <f t="shared" si="14"/>
        <v>143.62116991643455</v>
      </c>
      <c r="M52" s="15">
        <f t="shared" si="14"/>
        <v>0</v>
      </c>
      <c r="N52" s="15">
        <f>((N14/M16)*100)</f>
        <v>0</v>
      </c>
      <c r="O52" s="15" t="e">
        <f t="shared" si="14"/>
        <v>#DIV/0!</v>
      </c>
      <c r="P52" s="15" t="e">
        <f t="shared" si="14"/>
        <v>#DIV/0!</v>
      </c>
      <c r="Q52" s="15" t="e">
        <f t="shared" si="14"/>
        <v>#DIV/0!</v>
      </c>
    </row>
    <row r="53" spans="1:17" x14ac:dyDescent="0.25">
      <c r="A53" t="s">
        <v>23</v>
      </c>
      <c r="B53" s="15">
        <f>B21/B22*100</f>
        <v>28.249386204108568</v>
      </c>
      <c r="C53" s="15">
        <f>C21/C22*100</f>
        <v>19.82938174701923</v>
      </c>
      <c r="D53" s="15"/>
      <c r="E53" s="15"/>
      <c r="F53" s="15">
        <f>F21/F22*100</f>
        <v>37.534351548434572</v>
      </c>
      <c r="G53" s="15"/>
      <c r="H53" s="15"/>
      <c r="I53" s="15"/>
      <c r="J53" s="15"/>
      <c r="K53" s="15">
        <f t="shared" ref="K53:Q53" si="15">K21/K22*100</f>
        <v>31.30893448150605</v>
      </c>
      <c r="L53" s="15">
        <f t="shared" si="15"/>
        <v>11.999704244254673</v>
      </c>
      <c r="M53" s="15">
        <f t="shared" si="15"/>
        <v>70.726852652259325</v>
      </c>
      <c r="N53" s="15">
        <f t="shared" si="15"/>
        <v>0</v>
      </c>
      <c r="O53" s="15">
        <f t="shared" si="15"/>
        <v>86.488138060606062</v>
      </c>
      <c r="P53" s="15">
        <f t="shared" si="15"/>
        <v>0</v>
      </c>
      <c r="Q53" s="15">
        <f t="shared" si="15"/>
        <v>24.971785383665228</v>
      </c>
    </row>
    <row r="54" spans="1:17" x14ac:dyDescent="0.25">
      <c r="A54" t="s">
        <v>24</v>
      </c>
      <c r="B54" s="15">
        <f>(B52+B53)/2</f>
        <v>60.636443880135545</v>
      </c>
      <c r="C54" s="15">
        <f t="shared" ref="C54:Q54" si="16">(C52+C53)/2</f>
        <v>46.903543228930886</v>
      </c>
      <c r="D54" s="15"/>
      <c r="E54" s="15"/>
      <c r="F54" s="15">
        <f t="shared" ref="F54" si="17">(F52+F53)/2</f>
        <v>64.912914554155293</v>
      </c>
      <c r="G54" s="15"/>
      <c r="H54" s="15"/>
      <c r="I54" s="15"/>
      <c r="J54" s="15"/>
      <c r="K54" s="15">
        <f t="shared" si="16"/>
        <v>65.215968541384768</v>
      </c>
      <c r="L54" s="15">
        <f t="shared" si="16"/>
        <v>77.810437080344613</v>
      </c>
      <c r="M54" s="15">
        <f t="shared" si="16"/>
        <v>35.363426326129662</v>
      </c>
      <c r="N54" s="15">
        <f t="shared" si="16"/>
        <v>0</v>
      </c>
      <c r="O54" s="15" t="e">
        <f t="shared" si="16"/>
        <v>#DIV/0!</v>
      </c>
      <c r="P54" s="15" t="e">
        <f t="shared" si="16"/>
        <v>#DIV/0!</v>
      </c>
      <c r="Q54" s="15" t="e">
        <f t="shared" si="16"/>
        <v>#DIV/0!</v>
      </c>
    </row>
    <row r="55" spans="1:17" x14ac:dyDescent="0.25">
      <c r="B55" s="15"/>
      <c r="C55" s="15"/>
      <c r="D55" s="15"/>
      <c r="E55" s="15"/>
      <c r="F55" s="15"/>
      <c r="G55" s="15"/>
      <c r="H55" s="15"/>
      <c r="I55" s="15"/>
      <c r="J55" s="15"/>
      <c r="K55" s="15"/>
      <c r="L55" s="15"/>
    </row>
    <row r="56" spans="1:17" x14ac:dyDescent="0.25">
      <c r="A56" t="s">
        <v>40</v>
      </c>
    </row>
    <row r="57" spans="1:17" x14ac:dyDescent="0.25">
      <c r="A57" t="s">
        <v>25</v>
      </c>
      <c r="B57" s="15">
        <f>B23/B21*100</f>
        <v>100</v>
      </c>
      <c r="C57" s="15"/>
      <c r="D57" s="15"/>
      <c r="E57" s="15"/>
      <c r="F57" s="15"/>
      <c r="G57" s="15"/>
      <c r="H57" s="15"/>
      <c r="I57" s="15"/>
      <c r="J57" s="15"/>
      <c r="K57" s="15"/>
      <c r="L57" s="15"/>
    </row>
    <row r="59" spans="1:17" x14ac:dyDescent="0.25">
      <c r="A59" t="s">
        <v>26</v>
      </c>
    </row>
    <row r="60" spans="1:17" x14ac:dyDescent="0.25">
      <c r="A60" t="s">
        <v>27</v>
      </c>
      <c r="B60" s="15">
        <f>((B14/B10)-1)*100</f>
        <v>-0.22588416385959098</v>
      </c>
      <c r="C60" s="15">
        <f t="shared" ref="C60:Q60" si="18">((C14/C10)-1)*100</f>
        <v>-3.8953709119642022</v>
      </c>
      <c r="D60" s="15">
        <f t="shared" si="18"/>
        <v>-3.4333773509916843</v>
      </c>
      <c r="E60" s="15">
        <f t="shared" si="18"/>
        <v>-5.7480719794344441</v>
      </c>
      <c r="F60" s="15">
        <f t="shared" si="18"/>
        <v>-0.15967658815456698</v>
      </c>
      <c r="G60" s="15">
        <f t="shared" si="18"/>
        <v>0.6041824956287245</v>
      </c>
      <c r="H60" s="15">
        <f t="shared" si="18"/>
        <v>-5.9389002036659866</v>
      </c>
      <c r="I60" s="15">
        <f t="shared" si="18"/>
        <v>-2.7780974142324166</v>
      </c>
      <c r="J60" s="15">
        <f t="shared" si="18"/>
        <v>-0.75276641658093002</v>
      </c>
      <c r="K60" s="15">
        <f t="shared" si="18"/>
        <v>-4.0123789988844472</v>
      </c>
      <c r="L60" s="15">
        <f t="shared" si="18"/>
        <v>39.804772234273322</v>
      </c>
      <c r="M60" s="15" t="e">
        <f t="shared" si="18"/>
        <v>#DIV/0!</v>
      </c>
      <c r="N60" s="15" t="e">
        <f t="shared" si="18"/>
        <v>#DIV/0!</v>
      </c>
      <c r="O60" s="15" t="e">
        <f t="shared" si="18"/>
        <v>#DIV/0!</v>
      </c>
      <c r="P60" s="15" t="e">
        <f t="shared" si="18"/>
        <v>#DIV/0!</v>
      </c>
      <c r="Q60" s="15" t="e">
        <f t="shared" si="18"/>
        <v>#DIV/0!</v>
      </c>
    </row>
    <row r="61" spans="1:17" x14ac:dyDescent="0.25">
      <c r="A61" t="s">
        <v>28</v>
      </c>
      <c r="B61" s="15">
        <f>((B36/B35)-1)*100</f>
        <v>11.235160355230844</v>
      </c>
      <c r="C61" s="15">
        <f t="shared" ref="C61:Q61" si="19">((C36/C35)-1)*100</f>
        <v>6.3017334463338015</v>
      </c>
      <c r="D61" s="15"/>
      <c r="E61" s="15"/>
      <c r="F61" s="15">
        <f t="shared" si="19"/>
        <v>19.824688087305997</v>
      </c>
      <c r="G61" s="15"/>
      <c r="H61" s="15"/>
      <c r="I61" s="15"/>
      <c r="J61" s="15"/>
      <c r="K61" s="15">
        <f t="shared" si="19"/>
        <v>-21.077519681149425</v>
      </c>
      <c r="L61" s="15">
        <f t="shared" si="19"/>
        <v>98.464194866857625</v>
      </c>
      <c r="M61" s="15">
        <f t="shared" si="19"/>
        <v>-90.887304921072342</v>
      </c>
      <c r="N61" s="15" t="e">
        <f t="shared" si="19"/>
        <v>#DIV/0!</v>
      </c>
      <c r="O61" s="15" t="e">
        <f t="shared" si="19"/>
        <v>#DIV/0!</v>
      </c>
      <c r="P61" s="15" t="e">
        <f t="shared" si="19"/>
        <v>#DIV/0!</v>
      </c>
      <c r="Q61" s="15" t="e">
        <f t="shared" si="19"/>
        <v>#DIV/0!</v>
      </c>
    </row>
    <row r="62" spans="1:17" x14ac:dyDescent="0.25">
      <c r="A62" s="13" t="s">
        <v>29</v>
      </c>
      <c r="B62" s="16">
        <f>((B38/B37)-1)*100</f>
        <v>11.486991814503256</v>
      </c>
      <c r="C62" s="16">
        <f t="shared" ref="C62:Q62" si="20">((C38/C37)-1)*100</f>
        <v>10.610419555292205</v>
      </c>
      <c r="D62" s="16"/>
      <c r="E62" s="16"/>
      <c r="F62" s="16">
        <f t="shared" si="20"/>
        <v>20.016326061990242</v>
      </c>
      <c r="G62" s="16"/>
      <c r="H62" s="16"/>
      <c r="I62" s="16"/>
      <c r="J62" s="16"/>
      <c r="K62" s="16">
        <f t="shared" si="20"/>
        <v>-17.778480708534961</v>
      </c>
      <c r="L62" s="16">
        <f t="shared" si="20"/>
        <v>41.958097492042469</v>
      </c>
      <c r="M62" s="16" t="e">
        <f t="shared" si="20"/>
        <v>#DIV/0!</v>
      </c>
      <c r="N62" s="16" t="e">
        <f t="shared" si="20"/>
        <v>#DIV/0!</v>
      </c>
      <c r="O62" s="16" t="e">
        <f t="shared" si="20"/>
        <v>#DIV/0!</v>
      </c>
      <c r="P62" s="16" t="e">
        <f t="shared" si="20"/>
        <v>#DIV/0!</v>
      </c>
      <c r="Q62" s="16" t="e">
        <f t="shared" si="20"/>
        <v>#DIV/0!</v>
      </c>
    </row>
    <row r="63" spans="1:17" x14ac:dyDescent="0.25">
      <c r="B63" s="17"/>
      <c r="C63" s="17"/>
      <c r="D63" s="17"/>
      <c r="E63" s="17"/>
      <c r="F63" s="17"/>
      <c r="G63" s="17"/>
      <c r="H63" s="17"/>
      <c r="I63" s="17"/>
      <c r="J63" s="17"/>
      <c r="K63" s="17"/>
      <c r="L63" s="17"/>
    </row>
    <row r="64" spans="1:17" x14ac:dyDescent="0.25">
      <c r="A64" t="s">
        <v>30</v>
      </c>
    </row>
    <row r="65" spans="1:17" x14ac:dyDescent="0.25">
      <c r="A65" t="s">
        <v>46</v>
      </c>
      <c r="B65" s="4">
        <f>B20/(B12*3)</f>
        <v>12522.178115673916</v>
      </c>
      <c r="C65" s="4">
        <f>C20/(C12*3)</f>
        <v>13384.777304708912</v>
      </c>
      <c r="D65" s="4"/>
      <c r="E65" s="4"/>
      <c r="F65" s="4">
        <f t="shared" ref="F65" si="21">F20/(F12*3)</f>
        <v>4804.8041601498753</v>
      </c>
      <c r="G65" s="4"/>
      <c r="H65" s="40"/>
      <c r="I65" s="40"/>
      <c r="J65" s="40"/>
      <c r="K65" s="4">
        <f>K20/(K12*3)</f>
        <v>29379.838981419547</v>
      </c>
      <c r="L65" s="4">
        <f>L20/(L12*3)</f>
        <v>136723.52757660169</v>
      </c>
      <c r="M65" s="4" t="e">
        <f t="shared" ref="M65:Q65" si="22">M20/(M12*3)</f>
        <v>#DIV/0!</v>
      </c>
      <c r="N65" s="4" t="e">
        <f t="shared" si="22"/>
        <v>#DIV/0!</v>
      </c>
      <c r="O65" s="4" t="e">
        <f t="shared" si="22"/>
        <v>#DIV/0!</v>
      </c>
      <c r="P65" s="4" t="e">
        <f t="shared" si="22"/>
        <v>#DIV/0!</v>
      </c>
      <c r="Q65" s="4" t="e">
        <f t="shared" si="22"/>
        <v>#DIV/0!</v>
      </c>
    </row>
    <row r="66" spans="1:17" x14ac:dyDescent="0.25">
      <c r="A66" t="s">
        <v>47</v>
      </c>
      <c r="B66" s="4">
        <f>B21/(B14*3)</f>
        <v>15865.412657070174</v>
      </c>
      <c r="C66" s="4">
        <f>C21/(C14*3)</f>
        <v>14297.365455457913</v>
      </c>
      <c r="D66" s="4"/>
      <c r="E66" s="44"/>
      <c r="F66" s="4">
        <f>F21/(F14*3)</f>
        <v>7816.3320487070387</v>
      </c>
      <c r="G66" s="40"/>
      <c r="H66" s="40"/>
      <c r="I66" s="40"/>
      <c r="J66" s="40"/>
      <c r="K66" s="4">
        <f>K21/(K14*3)</f>
        <v>38177.195110969486</v>
      </c>
      <c r="L66" s="4">
        <f>L21/(L14*3)</f>
        <v>41885.795448668221</v>
      </c>
      <c r="M66" s="4" t="e">
        <f t="shared" ref="M66:Q66" si="23">M21/(M14*3)</f>
        <v>#DIV/0!</v>
      </c>
      <c r="N66" s="4" t="e">
        <f t="shared" si="23"/>
        <v>#DIV/0!</v>
      </c>
      <c r="O66" s="4" t="e">
        <f t="shared" si="23"/>
        <v>#DIV/0!</v>
      </c>
      <c r="P66" s="4" t="e">
        <f t="shared" si="23"/>
        <v>#DIV/0!</v>
      </c>
      <c r="Q66" s="4" t="e">
        <f t="shared" si="23"/>
        <v>#DIV/0!</v>
      </c>
    </row>
    <row r="67" spans="1:17" x14ac:dyDescent="0.25">
      <c r="A67" s="13" t="s">
        <v>33</v>
      </c>
      <c r="B67" s="16">
        <f>(B65/B66)*B49</f>
        <v>79.405247474212004</v>
      </c>
      <c r="C67" s="16">
        <f>(C65/C66)*C49</f>
        <v>68.079945675831937</v>
      </c>
      <c r="D67" s="16"/>
      <c r="E67" s="16"/>
      <c r="F67" s="16">
        <f t="shared" ref="F67" si="24">(F65/F66)*F49</f>
        <v>71.407470773616694</v>
      </c>
      <c r="G67" s="59"/>
      <c r="H67" s="59"/>
      <c r="I67" s="59"/>
      <c r="J67" s="59"/>
      <c r="K67" s="16">
        <f>(K65/K66)*K49</f>
        <v>87.702305612145722</v>
      </c>
      <c r="L67" s="16">
        <f>(L65/L66)*L49</f>
        <v>306.21454906244662</v>
      </c>
      <c r="M67" s="16" t="e">
        <f t="shared" ref="M67:Q67" si="25">(M65/M66)*M49</f>
        <v>#DIV/0!</v>
      </c>
      <c r="N67" s="16" t="e">
        <f t="shared" si="25"/>
        <v>#DIV/0!</v>
      </c>
      <c r="O67" s="16" t="e">
        <f t="shared" si="25"/>
        <v>#DIV/0!</v>
      </c>
      <c r="P67" s="16" t="e">
        <f t="shared" si="25"/>
        <v>#DIV/0!</v>
      </c>
      <c r="Q67" s="16" t="e">
        <f t="shared" si="25"/>
        <v>#DIV/0!</v>
      </c>
    </row>
    <row r="68" spans="1:17" x14ac:dyDescent="0.25">
      <c r="A68" t="s">
        <v>39</v>
      </c>
      <c r="B68" s="30">
        <f>B20/B12</f>
        <v>37566.534347021749</v>
      </c>
      <c r="C68" s="30">
        <f>C20/C12</f>
        <v>40154.331914126735</v>
      </c>
      <c r="D68" s="30"/>
      <c r="E68" s="30"/>
      <c r="F68" s="30">
        <f t="shared" ref="F68" si="26">F20/F12</f>
        <v>14414.412480449626</v>
      </c>
      <c r="G68" s="60"/>
      <c r="H68" s="60"/>
      <c r="I68" s="60"/>
      <c r="J68" s="60"/>
      <c r="K68" s="30">
        <f t="shared" ref="K68:Q68" si="27">K20/K12</f>
        <v>88139.516944258634</v>
      </c>
      <c r="L68" s="30">
        <f t="shared" si="27"/>
        <v>410170.58272980503</v>
      </c>
      <c r="M68" s="30" t="e">
        <f t="shared" si="27"/>
        <v>#DIV/0!</v>
      </c>
      <c r="N68" s="30" t="e">
        <f t="shared" si="27"/>
        <v>#DIV/0!</v>
      </c>
      <c r="O68" s="30" t="e">
        <f t="shared" si="27"/>
        <v>#DIV/0!</v>
      </c>
      <c r="P68" s="30" t="e">
        <f t="shared" si="27"/>
        <v>#DIV/0!</v>
      </c>
      <c r="Q68" s="30" t="e">
        <f t="shared" si="27"/>
        <v>#DIV/0!</v>
      </c>
    </row>
    <row r="69" spans="1:17" x14ac:dyDescent="0.25">
      <c r="A69" t="s">
        <v>38</v>
      </c>
      <c r="B69" s="17">
        <f>B21/B14</f>
        <v>47596.237971210525</v>
      </c>
      <c r="C69" s="17">
        <f>C21/C14</f>
        <v>42892.096366373742</v>
      </c>
      <c r="D69" s="17"/>
      <c r="E69" s="17"/>
      <c r="F69" s="17">
        <f t="shared" ref="F69" si="28">F21/F14</f>
        <v>23448.996146121117</v>
      </c>
      <c r="G69" s="60"/>
      <c r="H69" s="60"/>
      <c r="I69" s="60"/>
      <c r="J69" s="60"/>
      <c r="K69" s="30">
        <f>K21/K14</f>
        <v>114531.58533290843</v>
      </c>
      <c r="L69" s="30">
        <f>L21/L14</f>
        <v>125657.38634600466</v>
      </c>
      <c r="M69" s="30" t="e">
        <f t="shared" ref="M69:Q69" si="29">M21/M14</f>
        <v>#DIV/0!</v>
      </c>
      <c r="N69" s="30" t="e">
        <f t="shared" si="29"/>
        <v>#DIV/0!</v>
      </c>
      <c r="O69" s="30" t="e">
        <f t="shared" si="29"/>
        <v>#DIV/0!</v>
      </c>
      <c r="P69" s="30" t="e">
        <f t="shared" si="29"/>
        <v>#DIV/0!</v>
      </c>
      <c r="Q69" s="30" t="e">
        <f t="shared" si="29"/>
        <v>#DIV/0!</v>
      </c>
    </row>
    <row r="70" spans="1:17" x14ac:dyDescent="0.25">
      <c r="B70" s="15"/>
      <c r="C70" s="15"/>
      <c r="D70" s="15"/>
      <c r="E70" s="15"/>
      <c r="F70" s="15"/>
      <c r="G70" s="15"/>
      <c r="H70" s="15"/>
      <c r="I70" s="17"/>
      <c r="J70" s="17"/>
      <c r="K70" s="15"/>
      <c r="L70" s="15"/>
    </row>
    <row r="71" spans="1:17" x14ac:dyDescent="0.25">
      <c r="A71" t="s">
        <v>34</v>
      </c>
      <c r="B71" s="15"/>
      <c r="C71" s="15"/>
      <c r="D71" s="15"/>
      <c r="E71" s="15"/>
      <c r="F71" s="15"/>
      <c r="G71" s="15"/>
      <c r="H71" s="15"/>
      <c r="I71" s="17"/>
      <c r="J71" s="17"/>
      <c r="K71" s="15"/>
      <c r="L71" s="15"/>
    </row>
    <row r="72" spans="1:17" x14ac:dyDescent="0.25">
      <c r="A72" s="18" t="s">
        <v>35</v>
      </c>
      <c r="B72" s="19">
        <f>(B27/B26)*100</f>
        <v>92.474025275833156</v>
      </c>
      <c r="C72" s="19"/>
      <c r="D72" s="19"/>
      <c r="E72" s="19"/>
      <c r="F72" s="19"/>
      <c r="G72" s="19"/>
      <c r="H72" s="19"/>
      <c r="I72" s="19"/>
      <c r="J72" s="19"/>
      <c r="K72" s="19"/>
      <c r="L72" s="19"/>
    </row>
    <row r="73" spans="1:17" x14ac:dyDescent="0.25">
      <c r="A73" s="18" t="s">
        <v>36</v>
      </c>
      <c r="B73" s="19">
        <f>(B21/B27)*100</f>
        <v>121.60565439553046</v>
      </c>
      <c r="C73" s="19"/>
      <c r="D73" s="19"/>
      <c r="E73" s="19"/>
      <c r="F73" s="19"/>
      <c r="G73" s="19"/>
      <c r="H73" s="19"/>
      <c r="I73" s="19"/>
      <c r="J73" s="19"/>
      <c r="K73" s="19"/>
      <c r="L73" s="19"/>
    </row>
    <row r="74" spans="1:17" ht="15.75" thickBot="1" x14ac:dyDescent="0.3">
      <c r="A74" s="20"/>
      <c r="B74" s="20"/>
      <c r="C74" s="20"/>
      <c r="D74" s="20"/>
      <c r="E74" s="20"/>
      <c r="F74" s="20"/>
      <c r="G74" s="20"/>
      <c r="H74" s="20"/>
      <c r="I74" s="49"/>
      <c r="J74" s="49"/>
      <c r="K74" s="20"/>
      <c r="L74" s="20"/>
      <c r="M74" s="20"/>
      <c r="N74" s="20"/>
      <c r="O74" s="20"/>
      <c r="P74" s="20"/>
      <c r="Q74" s="20"/>
    </row>
    <row r="75" spans="1:17" ht="15.75" thickTop="1" x14ac:dyDescent="0.25">
      <c r="A75" s="33" t="s">
        <v>98</v>
      </c>
    </row>
    <row r="76" spans="1:17" x14ac:dyDescent="0.25">
      <c r="A76" t="s">
        <v>99</v>
      </c>
    </row>
    <row r="77" spans="1:17" x14ac:dyDescent="0.25">
      <c r="A77" t="s">
        <v>100</v>
      </c>
    </row>
    <row r="78" spans="1:17" x14ac:dyDescent="0.25">
      <c r="A78" t="s">
        <v>55</v>
      </c>
      <c r="B78" s="21"/>
      <c r="C78" s="21"/>
      <c r="D78" s="21"/>
      <c r="E78" s="21"/>
      <c r="F78" s="21"/>
      <c r="G78" s="21"/>
      <c r="H78" s="21"/>
      <c r="I78" s="21"/>
      <c r="J78" s="21"/>
    </row>
    <row r="80" spans="1:17" x14ac:dyDescent="0.25">
      <c r="A80" t="s">
        <v>43</v>
      </c>
    </row>
    <row r="81" spans="1:1" x14ac:dyDescent="0.25">
      <c r="A81" t="s">
        <v>53</v>
      </c>
    </row>
    <row r="82" spans="1:1" x14ac:dyDescent="0.25">
      <c r="A82" t="s">
        <v>86</v>
      </c>
    </row>
    <row r="83" spans="1:1" x14ac:dyDescent="0.25">
      <c r="A83" t="s">
        <v>50</v>
      </c>
    </row>
    <row r="84" spans="1:1" x14ac:dyDescent="0.25">
      <c r="A84" t="s">
        <v>54</v>
      </c>
    </row>
    <row r="85" spans="1:1" x14ac:dyDescent="0.25">
      <c r="A85" t="s">
        <v>89</v>
      </c>
    </row>
    <row r="87" spans="1:1" x14ac:dyDescent="0.25">
      <c r="A87" s="105" t="s">
        <v>144</v>
      </c>
    </row>
    <row r="88" spans="1:1" x14ac:dyDescent="0.25">
      <c r="A88" s="42"/>
    </row>
  </sheetData>
  <mergeCells count="6">
    <mergeCell ref="G34:J34"/>
    <mergeCell ref="A2:K2"/>
    <mergeCell ref="A4:A5"/>
    <mergeCell ref="D5:E5"/>
    <mergeCell ref="G5:H5"/>
    <mergeCell ref="D4:P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topLeftCell="A61" zoomScale="70" zoomScaleNormal="70" workbookViewId="0">
      <selection activeCell="A86" sqref="A86"/>
    </sheetView>
  </sheetViews>
  <sheetFormatPr baseColWidth="10" defaultColWidth="11.42578125" defaultRowHeight="15" x14ac:dyDescent="0.25"/>
  <cols>
    <col min="1" max="1" width="55.140625" customWidth="1"/>
    <col min="2" max="3" width="26.7109375" customWidth="1"/>
    <col min="4" max="6" width="16.5703125" customWidth="1"/>
    <col min="7" max="7" width="16.140625" customWidth="1"/>
    <col min="8" max="10" width="17.42578125" customWidth="1"/>
    <col min="11" max="11" width="24.5703125" customWidth="1"/>
    <col min="12" max="12" width="16.42578125" customWidth="1"/>
    <col min="13" max="13" width="18.85546875" customWidth="1"/>
    <col min="14" max="14" width="23.85546875" customWidth="1"/>
    <col min="15" max="15" width="19" customWidth="1"/>
    <col min="16" max="16" width="22.7109375" customWidth="1"/>
    <col min="17" max="17" width="31" customWidth="1"/>
  </cols>
  <sheetData>
    <row r="1" spans="1:17" x14ac:dyDescent="0.25">
      <c r="G1" s="38"/>
      <c r="H1" s="38"/>
      <c r="I1" s="32"/>
      <c r="J1" s="32"/>
    </row>
    <row r="2" spans="1:17" ht="15.75" x14ac:dyDescent="0.25">
      <c r="A2" s="98" t="s">
        <v>122</v>
      </c>
      <c r="B2" s="98"/>
      <c r="C2" s="98"/>
      <c r="D2" s="98"/>
      <c r="E2" s="98"/>
      <c r="F2" s="98"/>
      <c r="G2" s="98"/>
      <c r="H2" s="98"/>
      <c r="I2" s="98"/>
      <c r="J2" s="98"/>
      <c r="K2" s="98"/>
    </row>
    <row r="4" spans="1:17" x14ac:dyDescent="0.25">
      <c r="A4" s="95" t="s">
        <v>0</v>
      </c>
      <c r="B4" s="25" t="s">
        <v>1</v>
      </c>
      <c r="C4" s="25"/>
      <c r="D4" s="99" t="s">
        <v>2</v>
      </c>
      <c r="E4" s="99"/>
      <c r="F4" s="99"/>
      <c r="G4" s="99"/>
      <c r="H4" s="99"/>
      <c r="I4" s="99"/>
      <c r="J4" s="99"/>
      <c r="K4" s="99"/>
      <c r="L4" s="99"/>
    </row>
    <row r="5" spans="1:17" ht="15.75" thickBot="1" x14ac:dyDescent="0.3">
      <c r="A5" s="96"/>
      <c r="B5" s="1" t="s">
        <v>3</v>
      </c>
      <c r="C5" s="57" t="s">
        <v>56</v>
      </c>
      <c r="D5" s="97" t="s">
        <v>4</v>
      </c>
      <c r="E5" s="97"/>
      <c r="F5" s="57" t="s">
        <v>57</v>
      </c>
      <c r="G5" s="97" t="s">
        <v>52</v>
      </c>
      <c r="H5" s="97"/>
      <c r="I5" s="48"/>
      <c r="J5" s="48"/>
      <c r="K5" s="1" t="s">
        <v>5</v>
      </c>
      <c r="L5" s="20" t="s">
        <v>51</v>
      </c>
      <c r="M5" s="20" t="s">
        <v>138</v>
      </c>
      <c r="N5" s="20" t="s">
        <v>87</v>
      </c>
      <c r="O5" s="20" t="s">
        <v>88</v>
      </c>
      <c r="P5" s="20" t="s">
        <v>139</v>
      </c>
      <c r="Q5" s="20" t="s">
        <v>140</v>
      </c>
    </row>
    <row r="6" spans="1:17" ht="15.75" thickTop="1" x14ac:dyDescent="0.25">
      <c r="B6" s="36" t="s">
        <v>1</v>
      </c>
      <c r="D6" s="36" t="s">
        <v>48</v>
      </c>
      <c r="E6" s="36" t="s">
        <v>49</v>
      </c>
      <c r="F6" s="36"/>
      <c r="G6" s="36">
        <v>1600</v>
      </c>
      <c r="H6" s="36">
        <v>640</v>
      </c>
      <c r="I6" s="47">
        <v>320</v>
      </c>
      <c r="J6" s="47">
        <v>800</v>
      </c>
      <c r="K6" s="36" t="s">
        <v>5</v>
      </c>
      <c r="M6" t="s">
        <v>138</v>
      </c>
      <c r="N6" t="s">
        <v>87</v>
      </c>
      <c r="O6" s="33" t="s">
        <v>88</v>
      </c>
      <c r="P6" s="33" t="s">
        <v>139</v>
      </c>
      <c r="Q6" s="33" t="s">
        <v>140</v>
      </c>
    </row>
    <row r="7" spans="1:17" x14ac:dyDescent="0.25">
      <c r="A7" s="2" t="s">
        <v>6</v>
      </c>
      <c r="I7" s="32"/>
      <c r="J7" s="32"/>
    </row>
    <row r="8" spans="1:17" x14ac:dyDescent="0.25">
      <c r="I8" s="32"/>
      <c r="J8" s="32"/>
    </row>
    <row r="9" spans="1:17" x14ac:dyDescent="0.25">
      <c r="A9" t="s">
        <v>7</v>
      </c>
      <c r="I9" s="32"/>
      <c r="J9" s="32"/>
    </row>
    <row r="10" spans="1:17" x14ac:dyDescent="0.25">
      <c r="A10" s="3" t="s">
        <v>78</v>
      </c>
      <c r="B10" s="24">
        <f>+D10+G10</f>
        <v>120176</v>
      </c>
      <c r="C10" s="52">
        <f>D10+E10</f>
        <v>28107.499999999996</v>
      </c>
      <c r="D10" s="24">
        <f>(+'I Trimestre'!D10+'II Trimestre'!D10)/2</f>
        <v>23524.166666666664</v>
      </c>
      <c r="E10" s="24">
        <f>(+'I Trimestre'!E10+'II Trimestre'!E10)/2</f>
        <v>4583.333333333333</v>
      </c>
      <c r="F10" s="24">
        <f>SUM(G10:I10)</f>
        <v>118710.16666666666</v>
      </c>
      <c r="G10" s="24">
        <f>(+'I Trimestre'!G10+'II Trimestre'!G10)/2</f>
        <v>96651.833333333328</v>
      </c>
      <c r="H10" s="64">
        <f>(+'I Trimestre'!H10+'II Trimestre'!H10)/2</f>
        <v>3704.833333333333</v>
      </c>
      <c r="I10" s="64">
        <f>(+'I Trimestre'!I10+'II Trimestre'!I10)/2</f>
        <v>18353.5</v>
      </c>
      <c r="J10" s="37">
        <f>(+'I Trimestre'!J10+'II Trimestre'!J10)/2</f>
        <v>23853.166666666664</v>
      </c>
      <c r="K10" s="24">
        <f>(+'I Trimestre'!K10+'II Trimestre'!K10)/2</f>
        <v>8086.6666666666661</v>
      </c>
      <c r="L10" s="24">
        <f>(+'I Trimestre'!L10+'II Trimestre'!L10)/2</f>
        <v>1121.5</v>
      </c>
      <c r="M10" s="85">
        <f>(+'I Trimestre'!M10+'II Trimestre'!M10)/2</f>
        <v>0</v>
      </c>
      <c r="N10" s="87">
        <f>(+'I Trimestre'!N10+'II Trimestre'!N10)/2</f>
        <v>0</v>
      </c>
      <c r="O10" s="87">
        <f>(+'I Trimestre'!O10+'II Trimestre'!O10)/2</f>
        <v>0</v>
      </c>
      <c r="P10" s="87">
        <f>(+'I Trimestre'!P10+'II Trimestre'!P10)/2</f>
        <v>0</v>
      </c>
      <c r="Q10" s="87">
        <f>(+'I Trimestre'!Q10+'II Trimestre'!Q10)/2</f>
        <v>0</v>
      </c>
    </row>
    <row r="11" spans="1:17" x14ac:dyDescent="0.25">
      <c r="A11" s="27" t="s">
        <v>37</v>
      </c>
      <c r="B11" s="24">
        <f t="shared" ref="B11:B16" si="0">+D11+G11</f>
        <v>99035.333333333343</v>
      </c>
      <c r="C11" s="52">
        <f t="shared" ref="C11:C16" si="1">D11+E11</f>
        <v>22048.333333333332</v>
      </c>
      <c r="D11" s="24">
        <f>(+'I Trimestre'!D11+'II Trimestre'!D11)/2</f>
        <v>17465</v>
      </c>
      <c r="E11" s="24">
        <f>(+'I Trimestre'!E11+'II Trimestre'!E11)/2</f>
        <v>4583.333333333333</v>
      </c>
      <c r="F11" s="24">
        <f>SUM(G11:I11)</f>
        <v>103628.66666666667</v>
      </c>
      <c r="G11" s="24">
        <f>(+'I Trimestre'!G11+'II Trimestre'!G11)/2</f>
        <v>81570.333333333343</v>
      </c>
      <c r="H11" s="64">
        <f>(+'I Trimestre'!H11+'II Trimestre'!H11)/2</f>
        <v>3704.833333333333</v>
      </c>
      <c r="I11" s="64">
        <f>(+'I Trimestre'!I11+'II Trimestre'!I11)/2</f>
        <v>18353.5</v>
      </c>
      <c r="J11" s="37">
        <f>(+'I Trimestre'!J11+'II Trimestre'!J11)/2</f>
        <v>23853.166666666664</v>
      </c>
      <c r="K11" s="24">
        <f>(+'I Trimestre'!K11+'II Trimestre'!K11)/2</f>
        <v>8086.6666666666661</v>
      </c>
      <c r="L11" s="24">
        <f>(+'I Trimestre'!L11+'II Trimestre'!L11)/2</f>
        <v>1121.5</v>
      </c>
      <c r="M11" s="85">
        <f>(+'I Trimestre'!M11+'II Trimestre'!M11)/2</f>
        <v>0</v>
      </c>
      <c r="N11" s="87">
        <f>(+'I Trimestre'!N11+'II Trimestre'!N11)/2</f>
        <v>0</v>
      </c>
      <c r="O11" s="87">
        <f>(+'I Trimestre'!O11+'II Trimestre'!O11)/2</f>
        <v>0</v>
      </c>
      <c r="P11" s="87">
        <f>(+'I Trimestre'!P11+'II Trimestre'!P11)/2</f>
        <v>0</v>
      </c>
      <c r="Q11" s="87">
        <f>(+'I Trimestre'!Q11+'II Trimestre'!Q11)/2</f>
        <v>0</v>
      </c>
    </row>
    <row r="12" spans="1:17" x14ac:dyDescent="0.25">
      <c r="A12" s="3" t="s">
        <v>123</v>
      </c>
      <c r="B12" s="24">
        <f t="shared" si="0"/>
        <v>135046.16666666666</v>
      </c>
      <c r="C12" s="52">
        <f t="shared" si="1"/>
        <v>41601.5</v>
      </c>
      <c r="D12" s="24">
        <f>(+'I Trimestre'!D12+'II Trimestre'!D12)/2</f>
        <v>35496.5</v>
      </c>
      <c r="E12" s="24">
        <f>(+'I Trimestre'!E12+'II Trimestre'!E12)/2</f>
        <v>6105</v>
      </c>
      <c r="F12" s="24">
        <f>SUM(G12:I12)</f>
        <v>135046.16666666666</v>
      </c>
      <c r="G12" s="24">
        <f>(+'I Trimestre'!G12+'II Trimestre'!G12)/2</f>
        <v>99549.666666666657</v>
      </c>
      <c r="H12" s="24">
        <f>(+'I Trimestre'!H12+'II Trimestre'!H12)/2</f>
        <v>5560.1666666666661</v>
      </c>
      <c r="I12" s="37">
        <f>(+'I Trimestre'!I12+'II Trimestre'!I12)/2</f>
        <v>29936.333333333336</v>
      </c>
      <c r="J12" s="37">
        <f>(+'I Trimestre'!J12+'II Trimestre'!J12)/2</f>
        <v>32441.5</v>
      </c>
      <c r="K12" s="24">
        <f>(+'I Trimestre'!K12+'II Trimestre'!K12)/2</f>
        <v>8970</v>
      </c>
      <c r="L12" s="24">
        <f>(+'I Trimestre'!L12+'II Trimestre'!L12)/2</f>
        <v>1496</v>
      </c>
      <c r="M12" s="85">
        <f>(+'I Trimestre'!M12+'II Trimestre'!M12)/2</f>
        <v>10000</v>
      </c>
      <c r="N12" s="87">
        <f>(+'I Trimestre'!N12+'II Trimestre'!N12)/2</f>
        <v>0</v>
      </c>
      <c r="O12" s="87">
        <f>(+'I Trimestre'!O12+'II Trimestre'!O12)/2</f>
        <v>0</v>
      </c>
      <c r="P12" s="87">
        <f>(+'I Trimestre'!P12+'II Trimestre'!P12)/2</f>
        <v>0</v>
      </c>
      <c r="Q12" s="87">
        <f>(+'I Trimestre'!Q12+'II Trimestre'!Q12)/2</f>
        <v>0</v>
      </c>
    </row>
    <row r="13" spans="1:17" x14ac:dyDescent="0.25">
      <c r="A13" s="27" t="s">
        <v>37</v>
      </c>
      <c r="B13" s="24">
        <f t="shared" si="0"/>
        <v>126227.66666666666</v>
      </c>
      <c r="C13" s="52">
        <f t="shared" si="1"/>
        <v>32783</v>
      </c>
      <c r="D13" s="24">
        <f>(+'I Trimestre'!D13+'II Trimestre'!D13)/2</f>
        <v>26678</v>
      </c>
      <c r="E13" s="24">
        <f>(+'I Trimestre'!E13+'II Trimestre'!E13)/2</f>
        <v>6105</v>
      </c>
      <c r="F13" s="24">
        <f t="shared" ref="F13:F16" si="2">SUM(G13:I13)</f>
        <v>135046.16666666666</v>
      </c>
      <c r="G13" s="24">
        <f>(+'I Trimestre'!G13+'II Trimestre'!G13)/2</f>
        <v>99549.666666666657</v>
      </c>
      <c r="H13" s="24">
        <f>(+'I Trimestre'!H13+'II Trimestre'!H13)/2</f>
        <v>5560.1666666666661</v>
      </c>
      <c r="I13" s="37">
        <f>(+'I Trimestre'!I13+'II Trimestre'!I13)/2</f>
        <v>29936.333333333336</v>
      </c>
      <c r="J13" s="37">
        <f>(+'I Trimestre'!J13+'II Trimestre'!J13)/2</f>
        <v>32441.5</v>
      </c>
      <c r="K13" s="24">
        <f>(+'I Trimestre'!K13+'II Trimestre'!K13)/2</f>
        <v>8970</v>
      </c>
      <c r="L13" s="24">
        <f>(+'I Trimestre'!L13+'II Trimestre'!L13)/2</f>
        <v>1496</v>
      </c>
      <c r="M13" s="85">
        <f>(+'I Trimestre'!M13+'II Trimestre'!M13)/2</f>
        <v>10000</v>
      </c>
      <c r="N13" s="87">
        <f>(+'I Trimestre'!N13+'II Trimestre'!N13)/2</f>
        <v>0</v>
      </c>
      <c r="O13" s="87">
        <f>(+'I Trimestre'!O13+'II Trimestre'!O13)/2</f>
        <v>0</v>
      </c>
      <c r="P13" s="87">
        <f>(+'I Trimestre'!P13+'II Trimestre'!P13)/2</f>
        <v>0</v>
      </c>
      <c r="Q13" s="87">
        <f>(+'I Trimestre'!Q13+'II Trimestre'!Q13)/2</f>
        <v>0</v>
      </c>
    </row>
    <row r="14" spans="1:17" x14ac:dyDescent="0.25">
      <c r="A14" s="3" t="s">
        <v>78</v>
      </c>
      <c r="B14" s="24">
        <f t="shared" si="0"/>
        <v>118282.16666666667</v>
      </c>
      <c r="C14" s="52">
        <f t="shared" si="1"/>
        <v>27449.833333333336</v>
      </c>
      <c r="D14" s="24">
        <f>(+'I Trimestre'!D14+'II Trimestre'!D14)/2</f>
        <v>22793.666666666668</v>
      </c>
      <c r="E14" s="24">
        <f>(+'I Trimestre'!E14+'II Trimestre'!E14)/2</f>
        <v>4656.166666666667</v>
      </c>
      <c r="F14" s="24">
        <f t="shared" si="2"/>
        <v>116825.33333333333</v>
      </c>
      <c r="G14" s="24">
        <f>(+'I Trimestre'!G14+'II Trimestre'!G14)/2</f>
        <v>95488.5</v>
      </c>
      <c r="H14" s="24">
        <f>(+'I Trimestre'!H14+'II Trimestre'!H14)/2</f>
        <v>3478</v>
      </c>
      <c r="I14" s="37">
        <f>(+'I Trimestre'!I14+'II Trimestre'!I14)/2</f>
        <v>17858.833333333332</v>
      </c>
      <c r="J14" s="37">
        <f>(+'I Trimestre'!J14+'II Trimestre'!J14)/2</f>
        <v>24431.166666666664</v>
      </c>
      <c r="K14" s="24">
        <f>(+'I Trimestre'!K14+'II Trimestre'!K14)/2</f>
        <v>7907.8333333333339</v>
      </c>
      <c r="L14" s="24">
        <f>(+'I Trimestre'!L14+'II Trimestre'!L14)/2</f>
        <v>1761.5</v>
      </c>
      <c r="M14" s="85">
        <f>(+'I Trimestre'!M14+'II Trimestre'!M14)/2</f>
        <v>0</v>
      </c>
      <c r="N14" s="87">
        <f>(+'I Trimestre'!N14+'II Trimestre'!N14)/2</f>
        <v>0</v>
      </c>
      <c r="O14" s="87">
        <f>(+'I Trimestre'!O14+'II Trimestre'!O14)/2</f>
        <v>0</v>
      </c>
      <c r="P14" s="87">
        <f>(+'I Trimestre'!P14+'II Trimestre'!P14)/2</f>
        <v>0</v>
      </c>
      <c r="Q14" s="87">
        <f>(+'I Trimestre'!Q14+'II Trimestre'!Q14)/2</f>
        <v>0</v>
      </c>
    </row>
    <row r="15" spans="1:17" x14ac:dyDescent="0.25">
      <c r="A15" s="27" t="s">
        <v>37</v>
      </c>
      <c r="B15" s="24">
        <f t="shared" si="0"/>
        <v>98290.166666666672</v>
      </c>
      <c r="C15" s="52">
        <f t="shared" si="1"/>
        <v>21424</v>
      </c>
      <c r="D15" s="24">
        <f>(+'I Trimestre'!D15+'II Trimestre'!D15)/2</f>
        <v>16767.833333333332</v>
      </c>
      <c r="E15" s="24">
        <f>(+'I Trimestre'!E15+'II Trimestre'!E15)/2</f>
        <v>4656.166666666667</v>
      </c>
      <c r="F15" s="24">
        <f t="shared" si="2"/>
        <v>102859.16666666667</v>
      </c>
      <c r="G15" s="24">
        <f>(+'I Trimestre'!G15+'II Trimestre'!G15)/2</f>
        <v>81522.333333333343</v>
      </c>
      <c r="H15" s="24">
        <f>(+'I Trimestre'!H15+'II Trimestre'!H15)/2</f>
        <v>3478</v>
      </c>
      <c r="I15" s="37">
        <f>(+'I Trimestre'!I15+'II Trimestre'!I15)/2</f>
        <v>17858.833333333332</v>
      </c>
      <c r="J15" s="37">
        <f>(+'I Trimestre'!J15+'II Trimestre'!J15)/2</f>
        <v>24431.166666666664</v>
      </c>
      <c r="K15" s="24">
        <f>(+'I Trimestre'!K15+'II Trimestre'!K15)/2</f>
        <v>7907.8333333333339</v>
      </c>
      <c r="L15" s="24">
        <f>(+'I Trimestre'!L15+'II Trimestre'!L15)/2</f>
        <v>1761.5</v>
      </c>
      <c r="M15" s="85">
        <f>(+'I Trimestre'!M15+'II Trimestre'!M15)/2</f>
        <v>0</v>
      </c>
      <c r="N15" s="87">
        <f>(+'I Trimestre'!N15+'II Trimestre'!N15)/2</f>
        <v>0</v>
      </c>
      <c r="O15" s="87">
        <f>(+'I Trimestre'!O15+'II Trimestre'!O15)/2</f>
        <v>0</v>
      </c>
      <c r="P15" s="87">
        <f>(+'I Trimestre'!P15+'II Trimestre'!P15)/2</f>
        <v>0</v>
      </c>
      <c r="Q15" s="87">
        <f>(+'I Trimestre'!Q15+'II Trimestre'!Q15)/2</f>
        <v>0</v>
      </c>
    </row>
    <row r="16" spans="1:17" x14ac:dyDescent="0.25">
      <c r="A16" s="3" t="s">
        <v>93</v>
      </c>
      <c r="B16" s="24">
        <f t="shared" si="0"/>
        <v>135046.41666666666</v>
      </c>
      <c r="C16" s="52">
        <f t="shared" si="1"/>
        <v>41601.666666666664</v>
      </c>
      <c r="D16" s="4">
        <f>+'II Trimestre'!D16</f>
        <v>35496.666666666664</v>
      </c>
      <c r="E16" s="4">
        <f>+'II Trimestre'!E16</f>
        <v>6105</v>
      </c>
      <c r="F16" s="24">
        <f t="shared" si="2"/>
        <v>135046.41666666666</v>
      </c>
      <c r="G16" s="4">
        <f>+'II Trimestre'!G16</f>
        <v>99549.75</v>
      </c>
      <c r="H16" s="4">
        <f>+'II Trimestre'!H16</f>
        <v>5560.25</v>
      </c>
      <c r="I16" s="37">
        <f>'II Trimestre'!I16</f>
        <v>29936.416666666668</v>
      </c>
      <c r="J16" s="37">
        <f>'II Trimestre'!J16</f>
        <v>32441.5</v>
      </c>
      <c r="K16" s="4">
        <f>+'II Trimestre'!K16</f>
        <v>8970</v>
      </c>
      <c r="L16" s="4">
        <f>+'II Trimestre'!L16</f>
        <v>1795</v>
      </c>
      <c r="M16" s="86">
        <f>+'II Trimestre'!M16</f>
        <v>20000</v>
      </c>
      <c r="N16" s="88">
        <f>+'II Trimestre'!N16</f>
        <v>0</v>
      </c>
      <c r="O16" s="88">
        <f>+'II Trimestre'!O16</f>
        <v>0</v>
      </c>
      <c r="P16" s="88">
        <f>+'II Trimestre'!P16</f>
        <v>0</v>
      </c>
      <c r="Q16" s="88">
        <f>+'II Trimestre'!Q16</f>
        <v>0</v>
      </c>
    </row>
    <row r="17" spans="1:17" x14ac:dyDescent="0.25">
      <c r="B17" s="22"/>
      <c r="C17" s="22"/>
      <c r="D17" s="22"/>
      <c r="E17" s="22"/>
      <c r="F17" s="22"/>
      <c r="G17" s="22"/>
      <c r="H17" s="22"/>
      <c r="I17" s="45"/>
      <c r="J17" s="45"/>
      <c r="K17" s="22"/>
    </row>
    <row r="18" spans="1:17" x14ac:dyDescent="0.25">
      <c r="A18" s="6" t="s">
        <v>8</v>
      </c>
      <c r="B18" s="22"/>
      <c r="C18" s="22"/>
      <c r="D18" s="22"/>
      <c r="E18" s="22"/>
      <c r="F18" s="22"/>
      <c r="G18" s="22"/>
      <c r="H18" s="22"/>
      <c r="I18" s="45"/>
      <c r="J18" s="45"/>
      <c r="K18" s="22"/>
    </row>
    <row r="19" spans="1:17" x14ac:dyDescent="0.25">
      <c r="A19" s="3" t="s">
        <v>78</v>
      </c>
      <c r="B19" s="24">
        <f>C19+F19+K19+L19+M19+N19+O19+P19+Q19</f>
        <v>6002378113.3699999</v>
      </c>
      <c r="C19" s="24">
        <f>+'I Trimestre'!C19+'II Trimestre'!C19</f>
        <v>2222685580</v>
      </c>
      <c r="D19" s="40"/>
      <c r="E19" s="40"/>
      <c r="F19" s="54">
        <f>+'I Trimestre'!F19+'II Trimestre'!F19</f>
        <v>2510688898.1999998</v>
      </c>
      <c r="G19" s="40"/>
      <c r="H19" s="40"/>
      <c r="I19" s="40"/>
      <c r="J19" s="40"/>
      <c r="K19" s="24">
        <f>+'I Trimestre'!K19+'II Trimestre'!K19</f>
        <v>1063696936.1700001</v>
      </c>
      <c r="L19" s="24">
        <f>+'I Trimestre'!L19+'II Trimestre'!L19</f>
        <v>205306699</v>
      </c>
      <c r="M19" s="89">
        <f>+'I Trimestre'!M19+'II Trimestre'!M19</f>
        <v>0</v>
      </c>
      <c r="N19" s="89">
        <f>+'I Trimestre'!N19+'II Trimestre'!N19</f>
        <v>0</v>
      </c>
      <c r="O19" s="89">
        <f>+'I Trimestre'!O19+'II Trimestre'!O19</f>
        <v>0</v>
      </c>
      <c r="P19" s="89">
        <f>+'I Trimestre'!P19+'II Trimestre'!P19</f>
        <v>0</v>
      </c>
      <c r="Q19" s="89">
        <f>+'I Trimestre'!Q19+'II Trimestre'!Q19</f>
        <v>0</v>
      </c>
    </row>
    <row r="20" spans="1:17" x14ac:dyDescent="0.25">
      <c r="A20" s="61" t="s">
        <v>123</v>
      </c>
      <c r="B20" s="24">
        <f t="shared" ref="B20:B23" si="3">C20+F20+K20+L20+M20+N20+O20+P20+Q20</f>
        <v>10184670310.800001</v>
      </c>
      <c r="C20" s="24">
        <f>+'I Trimestre'!C20+'II Trimestre'!C20</f>
        <v>3331212550</v>
      </c>
      <c r="D20" s="40"/>
      <c r="E20" s="40"/>
      <c r="F20" s="55">
        <f>+'I Trimestre'!F20+'II Trimestre'!F20</f>
        <v>3893225320.8000007</v>
      </c>
      <c r="G20" s="40"/>
      <c r="H20" s="40"/>
      <c r="I20" s="40"/>
      <c r="J20" s="40"/>
      <c r="K20" s="24">
        <f>+'I Trimestre'!K20+'II Trimestre'!K20</f>
        <v>1671326280</v>
      </c>
      <c r="L20" s="24">
        <f>+'I Trimestre'!L20+'II Trimestre'!L20</f>
        <v>1227093660</v>
      </c>
      <c r="M20" s="89">
        <f>+'I Trimestre'!M20+'II Trimestre'!M20</f>
        <v>31812500</v>
      </c>
      <c r="N20" s="89">
        <f>+'I Trimestre'!N20+'II Trimestre'!N20</f>
        <v>30000000</v>
      </c>
      <c r="O20" s="89">
        <f>+'I Trimestre'!O20+'II Trimestre'!O20</f>
        <v>0</v>
      </c>
      <c r="P20" s="89">
        <f>+'I Trimestre'!P20+'II Trimestre'!P20</f>
        <v>0</v>
      </c>
      <c r="Q20" s="89">
        <f>+'I Trimestre'!Q20+'II Trimestre'!Q20</f>
        <v>0</v>
      </c>
    </row>
    <row r="21" spans="1:17" x14ac:dyDescent="0.25">
      <c r="A21" s="3" t="s">
        <v>124</v>
      </c>
      <c r="B21" s="24">
        <f t="shared" si="3"/>
        <v>4913666547.4799995</v>
      </c>
      <c r="C21" s="24">
        <f>+'I Trimestre'!C21+'II Trimestre'!C21</f>
        <v>2234752007</v>
      </c>
      <c r="D21" s="40"/>
      <c r="E21" s="40"/>
      <c r="F21" s="55">
        <f>+'I Trimestre'!F21+'II Trimestre'!F21</f>
        <v>2097891120</v>
      </c>
      <c r="G21" s="40"/>
      <c r="H21" s="40"/>
      <c r="I21" s="40"/>
      <c r="J21" s="40"/>
      <c r="K21" s="24">
        <f>+'I Trimestre'!K21+'II Trimestre'!K21</f>
        <v>274129467.48000002</v>
      </c>
      <c r="L21" s="24">
        <f>+'I Trimestre'!L21+'II Trimestre'!L21</f>
        <v>305923783</v>
      </c>
      <c r="M21" s="89">
        <f>+'I Trimestre'!M21+'II Trimestre'!M21</f>
        <v>970170</v>
      </c>
      <c r="N21" s="89">
        <f>+'I Trimestre'!N21+'II Trimestre'!N21</f>
        <v>0</v>
      </c>
      <c r="O21" s="89">
        <f>+'I Trimestre'!O21+'II Trimestre'!O21</f>
        <v>0</v>
      </c>
      <c r="P21" s="89">
        <f>+'I Trimestre'!P21+'II Trimestre'!P21</f>
        <v>0</v>
      </c>
      <c r="Q21" s="89">
        <f>+'I Trimestre'!Q21+'II Trimestre'!Q21</f>
        <v>0</v>
      </c>
    </row>
    <row r="22" spans="1:17" x14ac:dyDescent="0.25">
      <c r="A22" s="3" t="s">
        <v>93</v>
      </c>
      <c r="B22" s="24">
        <f t="shared" si="3"/>
        <v>20552988127.360001</v>
      </c>
      <c r="C22" s="24">
        <f>+'II Trimestre'!C22</f>
        <v>6662458000</v>
      </c>
      <c r="D22" s="40"/>
      <c r="E22" s="40"/>
      <c r="F22" s="55">
        <f>+'II Trimestre'!F22</f>
        <v>7786459015.3600025</v>
      </c>
      <c r="G22" s="40"/>
      <c r="H22" s="40"/>
      <c r="I22" s="40"/>
      <c r="J22" s="40"/>
      <c r="K22" s="24">
        <f>+'II Trimestre'!K22</f>
        <v>3342652560</v>
      </c>
      <c r="L22" s="24">
        <f>+'II Trimestre'!L22</f>
        <v>2699606052</v>
      </c>
      <c r="M22" s="89">
        <f>+'II Trimestre'!M22</f>
        <v>31812500</v>
      </c>
      <c r="N22" s="89">
        <f>+'II Trimestre'!N22</f>
        <v>30000000</v>
      </c>
      <c r="O22" s="89">
        <f>+'II Trimestre'!O22</f>
        <v>0</v>
      </c>
      <c r="P22" s="89">
        <f>+'II Trimestre'!P22</f>
        <v>0</v>
      </c>
      <c r="Q22" s="89">
        <f>+'II Trimestre'!Q22</f>
        <v>0</v>
      </c>
    </row>
    <row r="23" spans="1:17" x14ac:dyDescent="0.25">
      <c r="A23" s="3" t="s">
        <v>125</v>
      </c>
      <c r="B23" s="24">
        <f t="shared" si="3"/>
        <v>4913666547.4799995</v>
      </c>
      <c r="C23" s="4">
        <f>C21</f>
        <v>2234752007</v>
      </c>
      <c r="D23" s="40"/>
      <c r="E23" s="40"/>
      <c r="F23" s="40">
        <f>F21</f>
        <v>2097891120</v>
      </c>
      <c r="G23" s="40"/>
      <c r="H23" s="40"/>
      <c r="I23" s="40"/>
      <c r="J23" s="40"/>
      <c r="K23" s="4">
        <f>K21</f>
        <v>274129467.48000002</v>
      </c>
      <c r="L23" s="4">
        <f>L21</f>
        <v>305923783</v>
      </c>
      <c r="M23" s="91">
        <f>M21</f>
        <v>970170</v>
      </c>
      <c r="N23" s="90">
        <f>N21</f>
        <v>0</v>
      </c>
      <c r="O23" s="90">
        <f t="shared" ref="O23:Q23" si="4">O21</f>
        <v>0</v>
      </c>
      <c r="P23" s="90">
        <f t="shared" si="4"/>
        <v>0</v>
      </c>
      <c r="Q23" s="90">
        <f t="shared" si="4"/>
        <v>0</v>
      </c>
    </row>
    <row r="24" spans="1:17" x14ac:dyDescent="0.25">
      <c r="B24" s="22"/>
      <c r="C24" s="22"/>
      <c r="D24" s="22"/>
      <c r="E24" s="22"/>
      <c r="F24" s="22"/>
      <c r="G24" s="22"/>
      <c r="H24" s="22"/>
      <c r="I24" s="45"/>
      <c r="J24" s="45"/>
      <c r="K24" s="22"/>
    </row>
    <row r="25" spans="1:17" x14ac:dyDescent="0.25">
      <c r="A25" s="7" t="s">
        <v>9</v>
      </c>
      <c r="B25" s="23"/>
      <c r="C25" s="23"/>
      <c r="D25" s="23"/>
      <c r="E25" s="23"/>
      <c r="F25" s="23"/>
      <c r="G25" s="23"/>
      <c r="H25" s="23"/>
      <c r="I25" s="23"/>
      <c r="J25" s="23"/>
      <c r="K25" s="23"/>
      <c r="L25" s="23"/>
    </row>
    <row r="26" spans="1:17" x14ac:dyDescent="0.25">
      <c r="A26" s="9" t="s">
        <v>123</v>
      </c>
      <c r="B26" s="23">
        <f>+B20</f>
        <v>10184670310.800001</v>
      </c>
      <c r="C26" s="23"/>
      <c r="D26" s="23"/>
      <c r="E26" s="23"/>
      <c r="F26" s="23"/>
      <c r="G26" s="23"/>
      <c r="H26" s="23"/>
      <c r="I26" s="23"/>
      <c r="J26" s="23"/>
      <c r="K26" s="23"/>
      <c r="L26" s="23"/>
    </row>
    <row r="27" spans="1:17" x14ac:dyDescent="0.25">
      <c r="A27" s="9" t="s">
        <v>124</v>
      </c>
      <c r="B27" s="23">
        <f>+'I Trimestre'!B27+'II Trimestre'!B27</f>
        <v>7030073306.21</v>
      </c>
      <c r="C27" s="23"/>
      <c r="D27" s="23"/>
      <c r="E27" s="23"/>
      <c r="F27" s="23"/>
      <c r="G27" s="23"/>
      <c r="H27" s="23"/>
      <c r="I27" s="23"/>
      <c r="J27" s="23"/>
      <c r="K27" s="23"/>
      <c r="L27" s="23"/>
    </row>
    <row r="28" spans="1:17" x14ac:dyDescent="0.25">
      <c r="I28" s="32"/>
      <c r="J28" s="32"/>
    </row>
    <row r="29" spans="1:17" x14ac:dyDescent="0.25">
      <c r="A29" t="s">
        <v>10</v>
      </c>
      <c r="I29" s="32"/>
      <c r="J29" s="32"/>
    </row>
    <row r="30" spans="1:17" x14ac:dyDescent="0.25">
      <c r="A30" s="10" t="s">
        <v>79</v>
      </c>
      <c r="B30" s="11">
        <v>0.97</v>
      </c>
      <c r="C30" s="11">
        <v>0.97</v>
      </c>
      <c r="D30" s="11">
        <v>0.97</v>
      </c>
      <c r="E30" s="11">
        <v>0.97</v>
      </c>
      <c r="F30" s="11">
        <v>0.97</v>
      </c>
      <c r="G30" s="11">
        <v>0.97</v>
      </c>
      <c r="H30" s="11">
        <v>0.97</v>
      </c>
      <c r="I30" s="11">
        <v>0.97</v>
      </c>
      <c r="J30" s="11">
        <v>0.97</v>
      </c>
      <c r="K30" s="11">
        <v>0.97</v>
      </c>
      <c r="L30" s="11">
        <v>0.97</v>
      </c>
      <c r="M30" s="11">
        <v>0.97</v>
      </c>
      <c r="N30" s="11">
        <v>0.97</v>
      </c>
      <c r="O30" s="11">
        <v>0.97</v>
      </c>
      <c r="P30" s="11">
        <v>0.97</v>
      </c>
      <c r="Q30" s="11">
        <v>0.97</v>
      </c>
    </row>
    <row r="31" spans="1:17" x14ac:dyDescent="0.25">
      <c r="A31" s="10" t="s">
        <v>126</v>
      </c>
      <c r="B31" s="11">
        <v>1</v>
      </c>
      <c r="C31" s="11">
        <v>1</v>
      </c>
      <c r="D31" s="11">
        <v>1</v>
      </c>
      <c r="E31" s="11">
        <v>1</v>
      </c>
      <c r="F31" s="11">
        <v>1</v>
      </c>
      <c r="G31" s="11">
        <v>1</v>
      </c>
      <c r="H31" s="11">
        <v>1</v>
      </c>
      <c r="I31" s="11">
        <v>1</v>
      </c>
      <c r="J31" s="11">
        <v>1</v>
      </c>
      <c r="K31" s="11">
        <v>1</v>
      </c>
      <c r="L31" s="11">
        <v>1</v>
      </c>
      <c r="M31" s="11">
        <v>1</v>
      </c>
      <c r="N31" s="11">
        <v>1</v>
      </c>
      <c r="O31" s="11">
        <v>1</v>
      </c>
      <c r="P31" s="11">
        <v>1</v>
      </c>
      <c r="Q31" s="11">
        <v>1</v>
      </c>
    </row>
    <row r="32" spans="1:17" x14ac:dyDescent="0.25">
      <c r="A32" s="3" t="s">
        <v>11</v>
      </c>
      <c r="B32" s="4">
        <v>126642</v>
      </c>
      <c r="C32" s="4">
        <v>126642</v>
      </c>
      <c r="D32" s="4">
        <v>126642</v>
      </c>
      <c r="E32" s="4">
        <v>126642</v>
      </c>
      <c r="F32" s="4">
        <v>126642</v>
      </c>
      <c r="G32" s="4">
        <v>126642</v>
      </c>
      <c r="H32" s="4">
        <v>126642</v>
      </c>
      <c r="I32" s="4">
        <v>126642</v>
      </c>
      <c r="J32" s="4">
        <v>126642</v>
      </c>
      <c r="K32" s="4">
        <v>126642</v>
      </c>
      <c r="L32" s="4">
        <v>126642</v>
      </c>
      <c r="M32" s="4">
        <v>126642</v>
      </c>
      <c r="N32" s="4">
        <v>126642</v>
      </c>
      <c r="O32" s="4">
        <v>126642</v>
      </c>
      <c r="P32" s="4">
        <v>126642</v>
      </c>
      <c r="Q32" s="4">
        <v>126642</v>
      </c>
    </row>
    <row r="33" spans="1:18" x14ac:dyDescent="0.25">
      <c r="I33" s="32"/>
      <c r="J33" s="32"/>
    </row>
    <row r="34" spans="1:18" x14ac:dyDescent="0.25">
      <c r="A34" s="12" t="s">
        <v>12</v>
      </c>
      <c r="B34" s="13"/>
      <c r="C34" s="13"/>
      <c r="D34" s="51"/>
      <c r="E34" s="51"/>
      <c r="F34" s="51"/>
      <c r="G34" s="94"/>
      <c r="H34" s="94"/>
      <c r="I34" s="94"/>
      <c r="J34" s="94"/>
      <c r="K34" s="13"/>
      <c r="L34" s="13"/>
      <c r="M34" s="13"/>
      <c r="N34" s="13"/>
      <c r="O34" s="13"/>
      <c r="P34" s="13"/>
      <c r="Q34" s="13"/>
    </row>
    <row r="35" spans="1:18" x14ac:dyDescent="0.25">
      <c r="A35" s="13" t="s">
        <v>80</v>
      </c>
      <c r="B35" s="14">
        <f>B19/B30</f>
        <v>6188018673.5773201</v>
      </c>
      <c r="C35" s="50">
        <f>C19/C30</f>
        <v>2291428432.9896908</v>
      </c>
      <c r="D35" s="50"/>
      <c r="E35" s="50"/>
      <c r="F35" s="50">
        <f>F19/F30</f>
        <v>2588339070.309278</v>
      </c>
      <c r="G35" s="50"/>
      <c r="H35" s="50"/>
      <c r="I35" s="50"/>
      <c r="J35" s="50"/>
      <c r="K35" s="14">
        <f t="shared" ref="K35:Q35" si="5">K19/K30</f>
        <v>1096594779.5567012</v>
      </c>
      <c r="L35" s="14">
        <f t="shared" si="5"/>
        <v>211656390.7216495</v>
      </c>
      <c r="M35" s="14">
        <f t="shared" si="5"/>
        <v>0</v>
      </c>
      <c r="N35" s="14">
        <f t="shared" si="5"/>
        <v>0</v>
      </c>
      <c r="O35" s="14">
        <f t="shared" si="5"/>
        <v>0</v>
      </c>
      <c r="P35" s="14">
        <f t="shared" si="5"/>
        <v>0</v>
      </c>
      <c r="Q35" s="14">
        <f t="shared" si="5"/>
        <v>0</v>
      </c>
    </row>
    <row r="36" spans="1:18" x14ac:dyDescent="0.25">
      <c r="A36" s="13" t="s">
        <v>127</v>
      </c>
      <c r="B36" s="14">
        <f>B21/B31</f>
        <v>4913666547.4799995</v>
      </c>
      <c r="C36" s="50">
        <f>C21/C31</f>
        <v>2234752007</v>
      </c>
      <c r="D36" s="50"/>
      <c r="E36" s="50"/>
      <c r="F36" s="50">
        <f>F21/F31</f>
        <v>2097891120</v>
      </c>
      <c r="G36" s="50"/>
      <c r="H36" s="50"/>
      <c r="I36" s="50"/>
      <c r="J36" s="50"/>
      <c r="K36" s="14">
        <f>K21/K31</f>
        <v>274129467.48000002</v>
      </c>
      <c r="L36" s="14">
        <f>L21/L31</f>
        <v>305923783</v>
      </c>
      <c r="M36" s="14">
        <f t="shared" ref="M36:Q36" si="6">M21/M31</f>
        <v>970170</v>
      </c>
      <c r="N36" s="14">
        <f t="shared" si="6"/>
        <v>0</v>
      </c>
      <c r="O36" s="14">
        <f t="shared" si="6"/>
        <v>0</v>
      </c>
      <c r="P36" s="14">
        <f t="shared" si="6"/>
        <v>0</v>
      </c>
      <c r="Q36" s="14">
        <f t="shared" si="6"/>
        <v>0</v>
      </c>
    </row>
    <row r="37" spans="1:18" x14ac:dyDescent="0.25">
      <c r="A37" s="13" t="s">
        <v>81</v>
      </c>
      <c r="B37" s="14">
        <f>B35/B10</f>
        <v>51491.301703978497</v>
      </c>
      <c r="C37" s="50">
        <f>C35/C10</f>
        <v>81523.736831439688</v>
      </c>
      <c r="D37" s="50"/>
      <c r="E37" s="50"/>
      <c r="F37" s="50">
        <f>F35/F10</f>
        <v>21803.853393426944</v>
      </c>
      <c r="G37" s="50"/>
      <c r="H37" s="50"/>
      <c r="I37" s="50"/>
      <c r="J37" s="50"/>
      <c r="K37" s="14">
        <f>K35/K10</f>
        <v>135605.29013479405</v>
      </c>
      <c r="L37" s="14">
        <f>L35/L10</f>
        <v>188726.16203446232</v>
      </c>
      <c r="M37" s="14" t="e">
        <f t="shared" ref="M37:Q37" si="7">M35/M10</f>
        <v>#DIV/0!</v>
      </c>
      <c r="N37" s="14" t="e">
        <f t="shared" si="7"/>
        <v>#DIV/0!</v>
      </c>
      <c r="O37" s="14" t="e">
        <f t="shared" si="7"/>
        <v>#DIV/0!</v>
      </c>
      <c r="P37" s="14" t="e">
        <f t="shared" si="7"/>
        <v>#DIV/0!</v>
      </c>
      <c r="Q37" s="14" t="e">
        <f t="shared" si="7"/>
        <v>#DIV/0!</v>
      </c>
    </row>
    <row r="38" spans="1:18" x14ac:dyDescent="0.25">
      <c r="A38" s="13" t="s">
        <v>128</v>
      </c>
      <c r="B38" s="14">
        <f>B36/B14</f>
        <v>41541.905140504408</v>
      </c>
      <c r="C38" s="50">
        <f>C36/C14</f>
        <v>81412.224980115236</v>
      </c>
      <c r="D38" s="50"/>
      <c r="E38" s="50"/>
      <c r="F38" s="50">
        <f>F36/F14</f>
        <v>17957.501683424827</v>
      </c>
      <c r="G38" s="50"/>
      <c r="H38" s="50"/>
      <c r="I38" s="50"/>
      <c r="J38" s="50"/>
      <c r="K38" s="34">
        <f>K36/K14</f>
        <v>34665.559569203535</v>
      </c>
      <c r="L38" s="34">
        <f>L36/L14</f>
        <v>173672.31507238149</v>
      </c>
      <c r="M38" s="34" t="e">
        <f t="shared" ref="M38:Q38" si="8">M36/M14</f>
        <v>#DIV/0!</v>
      </c>
      <c r="N38" s="34" t="e">
        <f t="shared" si="8"/>
        <v>#DIV/0!</v>
      </c>
      <c r="O38" s="34" t="e">
        <f t="shared" si="8"/>
        <v>#DIV/0!</v>
      </c>
      <c r="P38" s="34" t="e">
        <f t="shared" si="8"/>
        <v>#DIV/0!</v>
      </c>
      <c r="Q38" s="34" t="e">
        <f t="shared" si="8"/>
        <v>#DIV/0!</v>
      </c>
    </row>
    <row r="39" spans="1:18" x14ac:dyDescent="0.25">
      <c r="I39" s="32"/>
      <c r="J39" s="32"/>
    </row>
    <row r="40" spans="1:18" x14ac:dyDescent="0.25">
      <c r="A40" s="2" t="s">
        <v>13</v>
      </c>
      <c r="I40" s="32"/>
      <c r="J40" s="32"/>
    </row>
    <row r="41" spans="1:18" x14ac:dyDescent="0.25">
      <c r="I41" s="32"/>
      <c r="J41" s="32"/>
    </row>
    <row r="42" spans="1:18" x14ac:dyDescent="0.25">
      <c r="A42" t="s">
        <v>14</v>
      </c>
      <c r="I42" s="32"/>
      <c r="J42" s="32"/>
    </row>
    <row r="43" spans="1:18" x14ac:dyDescent="0.25">
      <c r="A43" t="s">
        <v>15</v>
      </c>
      <c r="B43" s="17">
        <f>(B13/B32)*100</f>
        <v>99.67283102498908</v>
      </c>
      <c r="C43" s="17">
        <f t="shared" ref="C43:Q43" si="9">(C13/C32)*100</f>
        <v>25.886356816853805</v>
      </c>
      <c r="D43" s="17">
        <f t="shared" si="9"/>
        <v>21.065681211604364</v>
      </c>
      <c r="E43" s="17">
        <f t="shared" si="9"/>
        <v>4.8206756052494439</v>
      </c>
      <c r="F43" s="17">
        <f t="shared" si="9"/>
        <v>106.63616072603612</v>
      </c>
      <c r="G43" s="17">
        <f t="shared" si="9"/>
        <v>78.607149813384709</v>
      </c>
      <c r="H43" s="17">
        <f t="shared" si="9"/>
        <v>4.3904602475218848</v>
      </c>
      <c r="I43" s="17">
        <f t="shared" si="9"/>
        <v>23.638550665129525</v>
      </c>
      <c r="J43" s="17">
        <f t="shared" si="9"/>
        <v>25.61669904139227</v>
      </c>
      <c r="K43" s="17">
        <f t="shared" si="9"/>
        <v>7.0829582602927932</v>
      </c>
      <c r="L43" s="17">
        <f t="shared" si="9"/>
        <v>1.1812826708358997</v>
      </c>
      <c r="M43" s="17">
        <f t="shared" si="9"/>
        <v>7.8962745376731256</v>
      </c>
      <c r="N43" s="17">
        <f t="shared" si="9"/>
        <v>0</v>
      </c>
      <c r="O43" s="17">
        <f t="shared" si="9"/>
        <v>0</v>
      </c>
      <c r="P43" s="17">
        <f t="shared" si="9"/>
        <v>0</v>
      </c>
      <c r="Q43" s="17">
        <f t="shared" si="9"/>
        <v>0</v>
      </c>
    </row>
    <row r="44" spans="1:18" x14ac:dyDescent="0.25">
      <c r="A44" t="s">
        <v>16</v>
      </c>
      <c r="B44" s="17">
        <f>(B15/B32)*100</f>
        <v>77.612614035364786</v>
      </c>
      <c r="C44" s="17">
        <f t="shared" ref="C44:Q44" si="10">(C15/C32)*100</f>
        <v>16.916978569510903</v>
      </c>
      <c r="D44" s="17">
        <f t="shared" si="10"/>
        <v>13.24034154019467</v>
      </c>
      <c r="E44" s="17">
        <f t="shared" si="10"/>
        <v>3.6766370293162356</v>
      </c>
      <c r="F44" s="17">
        <f t="shared" si="10"/>
        <v>81.220421871627636</v>
      </c>
      <c r="G44" s="17">
        <f t="shared" si="10"/>
        <v>64.372272495170122</v>
      </c>
      <c r="H44" s="17">
        <f t="shared" si="10"/>
        <v>2.7463242842027129</v>
      </c>
      <c r="I44" s="17">
        <f t="shared" si="10"/>
        <v>14.101825092254808</v>
      </c>
      <c r="J44" s="17">
        <f t="shared" si="10"/>
        <v>19.291519927564842</v>
      </c>
      <c r="K44" s="17">
        <f t="shared" si="10"/>
        <v>6.244242299816281</v>
      </c>
      <c r="L44" s="17">
        <f t="shared" si="10"/>
        <v>1.3909287598111211</v>
      </c>
      <c r="M44" s="17">
        <f t="shared" si="10"/>
        <v>0</v>
      </c>
      <c r="N44" s="17">
        <f t="shared" si="10"/>
        <v>0</v>
      </c>
      <c r="O44" s="17">
        <f t="shared" si="10"/>
        <v>0</v>
      </c>
      <c r="P44" s="17">
        <f t="shared" si="10"/>
        <v>0</v>
      </c>
      <c r="Q44" s="17">
        <f t="shared" si="10"/>
        <v>0</v>
      </c>
    </row>
    <row r="45" spans="1:18" x14ac:dyDescent="0.25">
      <c r="I45" s="32"/>
      <c r="J45" s="32"/>
    </row>
    <row r="46" spans="1:18" x14ac:dyDescent="0.25">
      <c r="A46" t="s">
        <v>17</v>
      </c>
      <c r="I46" s="32"/>
      <c r="J46" s="32"/>
    </row>
    <row r="47" spans="1:18" x14ac:dyDescent="0.25">
      <c r="A47" t="s">
        <v>18</v>
      </c>
      <c r="B47" s="15">
        <f>B14/B12*100</f>
        <v>87.586467343883641</v>
      </c>
      <c r="C47" s="15">
        <f t="shared" ref="C47:Q47" si="11">C14/C12*100</f>
        <v>65.982797094656036</v>
      </c>
      <c r="D47" s="15">
        <f t="shared" si="11"/>
        <v>64.213842679325197</v>
      </c>
      <c r="E47" s="15">
        <f t="shared" si="11"/>
        <v>76.268086268086279</v>
      </c>
      <c r="F47" s="15">
        <f t="shared" si="11"/>
        <v>86.507700453054952</v>
      </c>
      <c r="G47" s="15">
        <f t="shared" si="11"/>
        <v>95.920461813031366</v>
      </c>
      <c r="H47" s="15">
        <f t="shared" si="11"/>
        <v>62.552081772129142</v>
      </c>
      <c r="I47" s="15">
        <f t="shared" si="11"/>
        <v>59.656047834849502</v>
      </c>
      <c r="J47" s="15">
        <f t="shared" si="11"/>
        <v>75.308375588880494</v>
      </c>
      <c r="K47" s="15">
        <f t="shared" si="11"/>
        <v>88.158677071720561</v>
      </c>
      <c r="L47" s="15">
        <f t="shared" si="11"/>
        <v>117.74732620320856</v>
      </c>
      <c r="M47" s="15">
        <f t="shared" si="11"/>
        <v>0</v>
      </c>
      <c r="N47" s="15" t="e">
        <f t="shared" si="11"/>
        <v>#DIV/0!</v>
      </c>
      <c r="O47" s="15" t="e">
        <f t="shared" si="11"/>
        <v>#DIV/0!</v>
      </c>
      <c r="P47" s="15" t="e">
        <f t="shared" si="11"/>
        <v>#DIV/0!</v>
      </c>
      <c r="Q47" s="15" t="e">
        <f t="shared" si="11"/>
        <v>#DIV/0!</v>
      </c>
    </row>
    <row r="48" spans="1:18" x14ac:dyDescent="0.25">
      <c r="A48" t="s">
        <v>19</v>
      </c>
      <c r="B48" s="15">
        <f>B21/B20*100</f>
        <v>48.245710440616449</v>
      </c>
      <c r="C48" s="15">
        <f>C21/C20*100</f>
        <v>67.085242189064161</v>
      </c>
      <c r="D48" s="15"/>
      <c r="E48" s="15"/>
      <c r="F48" s="58">
        <f>F21/F20*100</f>
        <v>53.885684673624645</v>
      </c>
      <c r="G48" s="58"/>
      <c r="H48" s="58"/>
      <c r="I48" s="58"/>
      <c r="J48" s="58"/>
      <c r="K48" s="15">
        <f>K21/K20*100</f>
        <v>16.401912107790228</v>
      </c>
      <c r="L48" s="15">
        <f>L21/L20*100</f>
        <v>24.930760623439291</v>
      </c>
      <c r="M48" s="15">
        <f t="shared" ref="M48:Q48" si="12">M21/M20*100</f>
        <v>3.0496502946954815</v>
      </c>
      <c r="N48" s="15">
        <f t="shared" si="12"/>
        <v>0</v>
      </c>
      <c r="O48" s="15" t="e">
        <f t="shared" si="12"/>
        <v>#DIV/0!</v>
      </c>
      <c r="P48" s="15" t="e">
        <f t="shared" si="12"/>
        <v>#DIV/0!</v>
      </c>
      <c r="Q48" s="15" t="e">
        <f t="shared" si="12"/>
        <v>#DIV/0!</v>
      </c>
      <c r="R48" s="15"/>
    </row>
    <row r="49" spans="1:18" x14ac:dyDescent="0.25">
      <c r="A49" s="13" t="s">
        <v>20</v>
      </c>
      <c r="B49" s="16">
        <f>AVERAGE(B47:B48)</f>
        <v>67.916088892250045</v>
      </c>
      <c r="C49" s="16">
        <f t="shared" ref="C49:Q49" si="13">AVERAGE(C47:C48)</f>
        <v>66.534019641860098</v>
      </c>
      <c r="D49" s="16"/>
      <c r="E49" s="16"/>
      <c r="F49" s="59">
        <f>AVERAGE(F47:F48)</f>
        <v>70.196692563339795</v>
      </c>
      <c r="G49" s="59"/>
      <c r="H49" s="59"/>
      <c r="I49" s="59"/>
      <c r="J49" s="59"/>
      <c r="K49" s="16">
        <f t="shared" si="13"/>
        <v>52.280294589755393</v>
      </c>
      <c r="L49" s="16">
        <f t="shared" si="13"/>
        <v>71.339043413323921</v>
      </c>
      <c r="M49" s="16">
        <f t="shared" si="13"/>
        <v>1.5248251473477408</v>
      </c>
      <c r="N49" s="16" t="e">
        <f t="shared" si="13"/>
        <v>#DIV/0!</v>
      </c>
      <c r="O49" s="16" t="e">
        <f t="shared" si="13"/>
        <v>#DIV/0!</v>
      </c>
      <c r="P49" s="16" t="e">
        <f t="shared" si="13"/>
        <v>#DIV/0!</v>
      </c>
      <c r="Q49" s="16" t="e">
        <f t="shared" si="13"/>
        <v>#DIV/0!</v>
      </c>
    </row>
    <row r="50" spans="1:18" x14ac:dyDescent="0.25">
      <c r="B50" s="15"/>
      <c r="C50" s="15"/>
      <c r="D50" s="15"/>
      <c r="E50" s="15"/>
      <c r="F50" s="15"/>
      <c r="G50" s="15"/>
      <c r="H50" s="15"/>
      <c r="I50" s="15"/>
      <c r="J50" s="15"/>
      <c r="K50" s="15"/>
      <c r="L50" s="15"/>
    </row>
    <row r="51" spans="1:18" x14ac:dyDescent="0.25">
      <c r="A51" t="s">
        <v>21</v>
      </c>
    </row>
    <row r="52" spans="1:18" x14ac:dyDescent="0.25">
      <c r="A52" t="s">
        <v>22</v>
      </c>
      <c r="B52" s="15">
        <f>((B14/B16)*100)</f>
        <v>87.586305202470513</v>
      </c>
      <c r="C52" s="15">
        <f t="shared" ref="C52:Q52" si="14">((C14/C16)*100)</f>
        <v>65.982532751091711</v>
      </c>
      <c r="D52" s="15">
        <f t="shared" si="14"/>
        <v>64.213541177575365</v>
      </c>
      <c r="E52" s="15">
        <f t="shared" si="14"/>
        <v>76.268086268086279</v>
      </c>
      <c r="F52" s="15">
        <f t="shared" si="14"/>
        <v>86.507540308671651</v>
      </c>
      <c r="G52" s="15">
        <f t="shared" si="14"/>
        <v>95.920381517783824</v>
      </c>
      <c r="H52" s="15">
        <f t="shared" si="14"/>
        <v>62.551144283080795</v>
      </c>
      <c r="I52" s="15">
        <f t="shared" si="14"/>
        <v>59.655881771643784</v>
      </c>
      <c r="J52" s="15">
        <f t="shared" si="14"/>
        <v>75.308375588880494</v>
      </c>
      <c r="K52" s="15">
        <f t="shared" si="14"/>
        <v>88.158677071720561</v>
      </c>
      <c r="L52" s="15">
        <f t="shared" si="14"/>
        <v>98.133704735376043</v>
      </c>
      <c r="M52" s="15">
        <f t="shared" si="14"/>
        <v>0</v>
      </c>
      <c r="N52" s="15" t="e">
        <f t="shared" si="14"/>
        <v>#DIV/0!</v>
      </c>
      <c r="O52" s="15" t="e">
        <f t="shared" si="14"/>
        <v>#DIV/0!</v>
      </c>
      <c r="P52" s="15" t="e">
        <f t="shared" si="14"/>
        <v>#DIV/0!</v>
      </c>
      <c r="Q52" s="15" t="e">
        <f t="shared" si="14"/>
        <v>#DIV/0!</v>
      </c>
    </row>
    <row r="53" spans="1:18" x14ac:dyDescent="0.25">
      <c r="A53" t="s">
        <v>23</v>
      </c>
      <c r="B53" s="15">
        <f>B21/B22*100</f>
        <v>23.907309813208911</v>
      </c>
      <c r="C53" s="15">
        <f>C21/C22*100</f>
        <v>33.542455457130089</v>
      </c>
      <c r="D53" s="15"/>
      <c r="E53" s="15"/>
      <c r="F53" s="15">
        <f>F21/F22*100</f>
        <v>26.942813361780793</v>
      </c>
      <c r="G53" s="15"/>
      <c r="H53" s="15"/>
      <c r="I53" s="15"/>
      <c r="J53" s="15"/>
      <c r="K53" s="15">
        <f t="shared" ref="K53:Q53" si="15">K21/K22*100</f>
        <v>8.2009560538951138</v>
      </c>
      <c r="L53" s="15">
        <f t="shared" si="15"/>
        <v>11.332163919745133</v>
      </c>
      <c r="M53" s="15">
        <f t="shared" si="15"/>
        <v>3.0496502946954815</v>
      </c>
      <c r="N53" s="15">
        <f t="shared" si="15"/>
        <v>0</v>
      </c>
      <c r="O53" s="15" t="e">
        <f t="shared" si="15"/>
        <v>#DIV/0!</v>
      </c>
      <c r="P53" s="15" t="e">
        <f t="shared" si="15"/>
        <v>#DIV/0!</v>
      </c>
      <c r="Q53" s="15" t="e">
        <f t="shared" si="15"/>
        <v>#DIV/0!</v>
      </c>
    </row>
    <row r="54" spans="1:18" x14ac:dyDescent="0.25">
      <c r="A54" t="s">
        <v>24</v>
      </c>
      <c r="B54" s="17">
        <f>(B52+B53)/2</f>
        <v>55.746807507839712</v>
      </c>
      <c r="C54" s="15">
        <f t="shared" ref="C54:Q54" si="16">(C52+C53)/2</f>
        <v>49.7624941041109</v>
      </c>
      <c r="D54" s="15"/>
      <c r="E54" s="15"/>
      <c r="F54" s="15">
        <f t="shared" ref="F54" si="17">(F52+F53)/2</f>
        <v>56.725176835226222</v>
      </c>
      <c r="G54" s="15"/>
      <c r="H54" s="15"/>
      <c r="I54" s="15"/>
      <c r="J54" s="15"/>
      <c r="K54" s="15">
        <f t="shared" si="16"/>
        <v>48.179816562807837</v>
      </c>
      <c r="L54" s="15">
        <f t="shared" si="16"/>
        <v>54.732934327560585</v>
      </c>
      <c r="M54" s="15">
        <f t="shared" si="16"/>
        <v>1.5248251473477408</v>
      </c>
      <c r="N54" s="15" t="e">
        <f t="shared" si="16"/>
        <v>#DIV/0!</v>
      </c>
      <c r="O54" s="15" t="e">
        <f t="shared" si="16"/>
        <v>#DIV/0!</v>
      </c>
      <c r="P54" s="15" t="e">
        <f t="shared" si="16"/>
        <v>#DIV/0!</v>
      </c>
      <c r="Q54" s="15" t="e">
        <f t="shared" si="16"/>
        <v>#DIV/0!</v>
      </c>
      <c r="R54" s="15"/>
    </row>
    <row r="55" spans="1:18" x14ac:dyDescent="0.25">
      <c r="B55" s="15"/>
      <c r="C55" s="15"/>
      <c r="D55" s="15"/>
      <c r="E55" s="15"/>
      <c r="F55" s="15"/>
      <c r="G55" s="15"/>
      <c r="H55" s="15"/>
      <c r="I55" s="15"/>
      <c r="J55" s="15"/>
      <c r="K55" s="15"/>
      <c r="L55" s="15"/>
    </row>
    <row r="56" spans="1:18" x14ac:dyDescent="0.25">
      <c r="A56" t="s">
        <v>40</v>
      </c>
    </row>
    <row r="57" spans="1:18" x14ac:dyDescent="0.25">
      <c r="A57" t="s">
        <v>25</v>
      </c>
      <c r="B57" s="15">
        <f>B23/B21*100</f>
        <v>100</v>
      </c>
      <c r="C57" s="15"/>
      <c r="D57" s="15"/>
      <c r="E57" s="15"/>
      <c r="F57" s="15"/>
      <c r="G57" s="15"/>
      <c r="H57" s="15"/>
      <c r="I57" s="15"/>
      <c r="J57" s="15"/>
      <c r="K57" s="15"/>
      <c r="L57" s="15"/>
    </row>
    <row r="59" spans="1:18" x14ac:dyDescent="0.25">
      <c r="A59" t="s">
        <v>26</v>
      </c>
    </row>
    <row r="60" spans="1:18" x14ac:dyDescent="0.25">
      <c r="A60" t="s">
        <v>27</v>
      </c>
      <c r="B60" s="15">
        <f>((B14/B10)-1)*100</f>
        <v>-1.5758831491590075</v>
      </c>
      <c r="C60" s="15">
        <f t="shared" ref="C60:Q60" si="18">((C14/C10)-1)*100</f>
        <v>-2.3398262622668753</v>
      </c>
      <c r="D60" s="15">
        <f t="shared" si="18"/>
        <v>-3.1053172269651652</v>
      </c>
      <c r="E60" s="15">
        <f t="shared" si="18"/>
        <v>1.5890909090909178</v>
      </c>
      <c r="F60" s="15">
        <f t="shared" si="18"/>
        <v>-1.5877606663849297</v>
      </c>
      <c r="G60" s="15">
        <f t="shared" si="18"/>
        <v>-1.2036329712662774</v>
      </c>
      <c r="H60" s="15">
        <f t="shared" si="18"/>
        <v>-6.122632597057887</v>
      </c>
      <c r="I60" s="15">
        <f t="shared" si="18"/>
        <v>-2.6952170793944963</v>
      </c>
      <c r="J60" s="15">
        <f t="shared" si="18"/>
        <v>2.4231583507430932</v>
      </c>
      <c r="K60" s="15">
        <f t="shared" si="18"/>
        <v>-2.2114591920857185</v>
      </c>
      <c r="L60" s="15">
        <f t="shared" si="18"/>
        <v>57.066428889879631</v>
      </c>
      <c r="M60" s="15" t="e">
        <f t="shared" si="18"/>
        <v>#DIV/0!</v>
      </c>
      <c r="N60" s="15" t="e">
        <f t="shared" si="18"/>
        <v>#DIV/0!</v>
      </c>
      <c r="O60" s="15" t="e">
        <f t="shared" si="18"/>
        <v>#DIV/0!</v>
      </c>
      <c r="P60" s="15" t="e">
        <f t="shared" si="18"/>
        <v>#DIV/0!</v>
      </c>
      <c r="Q60" s="15" t="e">
        <f t="shared" si="18"/>
        <v>#DIV/0!</v>
      </c>
    </row>
    <row r="61" spans="1:18" x14ac:dyDescent="0.25">
      <c r="A61" t="s">
        <v>28</v>
      </c>
      <c r="B61" s="15">
        <f>((B36/B35)-1)*100</f>
        <v>-20.593863614839613</v>
      </c>
      <c r="C61" s="15">
        <f t="shared" ref="C61:Q61" si="19">((C36/C35)-1)*100</f>
        <v>-2.473410261203024</v>
      </c>
      <c r="D61" s="15"/>
      <c r="E61" s="15"/>
      <c r="F61" s="15">
        <f t="shared" si="19"/>
        <v>-18.948365611568619</v>
      </c>
      <c r="G61" s="15"/>
      <c r="H61" s="15"/>
      <c r="I61" s="15"/>
      <c r="J61" s="15"/>
      <c r="K61" s="15">
        <f t="shared" si="19"/>
        <v>-75.001753374129962</v>
      </c>
      <c r="L61" s="15">
        <f t="shared" si="19"/>
        <v>44.537938097187933</v>
      </c>
      <c r="M61" s="15" t="e">
        <f t="shared" si="19"/>
        <v>#DIV/0!</v>
      </c>
      <c r="N61" s="15" t="e">
        <f t="shared" si="19"/>
        <v>#DIV/0!</v>
      </c>
      <c r="O61" s="15" t="e">
        <f t="shared" si="19"/>
        <v>#DIV/0!</v>
      </c>
      <c r="P61" s="15" t="e">
        <f t="shared" si="19"/>
        <v>#DIV/0!</v>
      </c>
      <c r="Q61" s="15" t="e">
        <f t="shared" si="19"/>
        <v>#DIV/0!</v>
      </c>
    </row>
    <row r="62" spans="1:18" x14ac:dyDescent="0.25">
      <c r="A62" s="13" t="s">
        <v>29</v>
      </c>
      <c r="B62" s="16">
        <f>((B38/B37)-1)*100</f>
        <v>-19.322480174754141</v>
      </c>
      <c r="C62" s="16">
        <f t="shared" ref="C62:Q62" si="20">((C38/C37)-1)*100</f>
        <v>-0.13678451903526012</v>
      </c>
      <c r="D62" s="16"/>
      <c r="E62" s="16"/>
      <c r="F62" s="16">
        <f t="shared" si="20"/>
        <v>-17.640696993319761</v>
      </c>
      <c r="G62" s="16"/>
      <c r="H62" s="16"/>
      <c r="I62" s="16"/>
      <c r="J62" s="16"/>
      <c r="K62" s="16">
        <f t="shared" si="20"/>
        <v>-74.436425352768055</v>
      </c>
      <c r="L62" s="16">
        <f t="shared" si="20"/>
        <v>-7.9765554493350654</v>
      </c>
      <c r="M62" s="16" t="e">
        <f t="shared" si="20"/>
        <v>#DIV/0!</v>
      </c>
      <c r="N62" s="16" t="e">
        <f t="shared" si="20"/>
        <v>#DIV/0!</v>
      </c>
      <c r="O62" s="16" t="e">
        <f t="shared" si="20"/>
        <v>#DIV/0!</v>
      </c>
      <c r="P62" s="16" t="e">
        <f t="shared" si="20"/>
        <v>#DIV/0!</v>
      </c>
      <c r="Q62" s="16" t="e">
        <f t="shared" si="20"/>
        <v>#DIV/0!</v>
      </c>
    </row>
    <row r="63" spans="1:18" x14ac:dyDescent="0.25">
      <c r="B63" s="17"/>
      <c r="C63" s="17"/>
      <c r="D63" s="17"/>
      <c r="E63" s="17"/>
      <c r="F63" s="17"/>
      <c r="G63" s="17"/>
      <c r="H63" s="17"/>
      <c r="I63" s="17"/>
      <c r="J63" s="17"/>
      <c r="K63" s="17"/>
      <c r="L63" s="17"/>
    </row>
    <row r="64" spans="1:18" x14ac:dyDescent="0.25">
      <c r="A64" t="s">
        <v>30</v>
      </c>
    </row>
    <row r="65" spans="1:17" x14ac:dyDescent="0.25">
      <c r="A65" t="s">
        <v>31</v>
      </c>
      <c r="B65" s="4">
        <f>B20/(B12*6)</f>
        <v>12569.368636651418</v>
      </c>
      <c r="C65" s="4">
        <f>C20/(C12*6)</f>
        <v>13345.722910632228</v>
      </c>
      <c r="D65" s="4"/>
      <c r="E65" s="4"/>
      <c r="F65" s="4">
        <f>F20/(F12*6)</f>
        <v>4804.8078876729815</v>
      </c>
      <c r="G65" s="4"/>
      <c r="H65" s="40"/>
      <c r="I65" s="40"/>
      <c r="J65" s="40"/>
      <c r="K65" s="4">
        <f>K20/(K12*6)</f>
        <v>31054</v>
      </c>
      <c r="L65" s="4">
        <f>L20/(L12*6)</f>
        <v>136708.29545454544</v>
      </c>
      <c r="M65" s="4">
        <f t="shared" ref="M65:Q65" si="21">M20/(M12*6)</f>
        <v>530.20833333333337</v>
      </c>
      <c r="N65" s="4" t="e">
        <f t="shared" si="21"/>
        <v>#DIV/0!</v>
      </c>
      <c r="O65" s="4" t="e">
        <f t="shared" si="21"/>
        <v>#DIV/0!</v>
      </c>
      <c r="P65" s="4" t="e">
        <f t="shared" si="21"/>
        <v>#DIV/0!</v>
      </c>
      <c r="Q65" s="4" t="e">
        <f t="shared" si="21"/>
        <v>#DIV/0!</v>
      </c>
    </row>
    <row r="66" spans="1:17" x14ac:dyDescent="0.25">
      <c r="A66" t="s">
        <v>32</v>
      </c>
      <c r="B66" s="4">
        <f>B21/(B14*6)</f>
        <v>6923.6508567507353</v>
      </c>
      <c r="C66" s="4">
        <f>C21/(C14*6)</f>
        <v>13568.70416335254</v>
      </c>
      <c r="D66" s="4"/>
      <c r="E66" s="44"/>
      <c r="F66" s="4">
        <f>F21/(F14*6)</f>
        <v>2992.9169472374715</v>
      </c>
      <c r="G66" s="40"/>
      <c r="H66" s="40"/>
      <c r="I66" s="40"/>
      <c r="J66" s="40"/>
      <c r="K66" s="4">
        <f>K21/(K14*6)</f>
        <v>5777.5932615339225</v>
      </c>
      <c r="L66" s="4">
        <f>L21/(L14*6)</f>
        <v>28945.385845396915</v>
      </c>
      <c r="M66" s="4" t="e">
        <f t="shared" ref="M66:Q66" si="22">M21/(M14*6)</f>
        <v>#DIV/0!</v>
      </c>
      <c r="N66" s="4" t="e">
        <f t="shared" si="22"/>
        <v>#DIV/0!</v>
      </c>
      <c r="O66" s="4" t="e">
        <f t="shared" si="22"/>
        <v>#DIV/0!</v>
      </c>
      <c r="P66" s="4" t="e">
        <f t="shared" si="22"/>
        <v>#DIV/0!</v>
      </c>
      <c r="Q66" s="4" t="e">
        <f t="shared" si="22"/>
        <v>#DIV/0!</v>
      </c>
    </row>
    <row r="67" spans="1:17" x14ac:dyDescent="0.25">
      <c r="A67" s="13" t="s">
        <v>33</v>
      </c>
      <c r="B67" s="16">
        <f>(B65/B66)*B49</f>
        <v>123.29656351951007</v>
      </c>
      <c r="C67" s="16">
        <f>(C65/C66)*C49</f>
        <v>65.440633061266084</v>
      </c>
      <c r="D67" s="16"/>
      <c r="E67" s="16"/>
      <c r="F67" s="16">
        <f t="shared" ref="F67" si="23">(F65/F66)*F49</f>
        <v>112.69327818408351</v>
      </c>
      <c r="G67" s="59"/>
      <c r="H67" s="59"/>
      <c r="I67" s="59"/>
      <c r="J67" s="59"/>
      <c r="K67" s="16">
        <f>(K65/K66)*K49</f>
        <v>281.00148187988395</v>
      </c>
      <c r="L67" s="16">
        <f>(L65/L66)*L49</f>
        <v>336.93242427252909</v>
      </c>
      <c r="M67" s="16" t="e">
        <f t="shared" ref="M67:Q67" si="24">(M65/M66)*M49</f>
        <v>#DIV/0!</v>
      </c>
      <c r="N67" s="16" t="e">
        <f t="shared" si="24"/>
        <v>#DIV/0!</v>
      </c>
      <c r="O67" s="16" t="e">
        <f t="shared" si="24"/>
        <v>#DIV/0!</v>
      </c>
      <c r="P67" s="16" t="e">
        <f t="shared" si="24"/>
        <v>#DIV/0!</v>
      </c>
      <c r="Q67" s="16" t="e">
        <f t="shared" si="24"/>
        <v>#DIV/0!</v>
      </c>
    </row>
    <row r="68" spans="1:17" x14ac:dyDescent="0.25">
      <c r="A68" t="s">
        <v>41</v>
      </c>
      <c r="B68" s="30">
        <f>B20/B12</f>
        <v>75416.211819908509</v>
      </c>
      <c r="C68" s="30">
        <f>C20/C12</f>
        <v>80074.337463793374</v>
      </c>
      <c r="D68" s="30"/>
      <c r="E68" s="30"/>
      <c r="F68" s="30">
        <f t="shared" ref="F68" si="25">F20/F12</f>
        <v>28828.847326037892</v>
      </c>
      <c r="G68" s="60"/>
      <c r="H68" s="60"/>
      <c r="I68" s="60"/>
      <c r="J68" s="60"/>
      <c r="K68" s="30">
        <f t="shared" ref="K68:Q68" si="26">K20/K12</f>
        <v>186324</v>
      </c>
      <c r="L68" s="30">
        <f t="shared" si="26"/>
        <v>820249.77272727271</v>
      </c>
      <c r="M68" s="30">
        <f t="shared" si="26"/>
        <v>3181.25</v>
      </c>
      <c r="N68" s="30" t="e">
        <f t="shared" si="26"/>
        <v>#DIV/0!</v>
      </c>
      <c r="O68" s="30" t="e">
        <f t="shared" si="26"/>
        <v>#DIV/0!</v>
      </c>
      <c r="P68" s="30" t="e">
        <f t="shared" si="26"/>
        <v>#DIV/0!</v>
      </c>
      <c r="Q68" s="30" t="e">
        <f t="shared" si="26"/>
        <v>#DIV/0!</v>
      </c>
    </row>
    <row r="69" spans="1:17" x14ac:dyDescent="0.25">
      <c r="A69" t="s">
        <v>42</v>
      </c>
      <c r="B69" s="17">
        <f>B21/B14</f>
        <v>41541.905140504408</v>
      </c>
      <c r="C69" s="17">
        <f>C21/C14</f>
        <v>81412.224980115236</v>
      </c>
      <c r="D69" s="17"/>
      <c r="E69" s="17"/>
      <c r="F69" s="17">
        <f t="shared" ref="F69" si="27">F21/F14</f>
        <v>17957.501683424827</v>
      </c>
      <c r="G69" s="60"/>
      <c r="H69" s="60"/>
      <c r="I69" s="60"/>
      <c r="J69" s="60"/>
      <c r="K69" s="30">
        <f>K21/K14</f>
        <v>34665.559569203535</v>
      </c>
      <c r="L69" s="30">
        <f>L21/L14</f>
        <v>173672.31507238149</v>
      </c>
      <c r="M69" s="30" t="e">
        <f t="shared" ref="M69:Q69" si="28">M21/M14</f>
        <v>#DIV/0!</v>
      </c>
      <c r="N69" s="30" t="e">
        <f t="shared" si="28"/>
        <v>#DIV/0!</v>
      </c>
      <c r="O69" s="30" t="e">
        <f t="shared" si="28"/>
        <v>#DIV/0!</v>
      </c>
      <c r="P69" s="30" t="e">
        <f t="shared" si="28"/>
        <v>#DIV/0!</v>
      </c>
      <c r="Q69" s="30" t="e">
        <f t="shared" si="28"/>
        <v>#DIV/0!</v>
      </c>
    </row>
    <row r="70" spans="1:17" x14ac:dyDescent="0.25">
      <c r="B70" s="15"/>
      <c r="C70" s="15"/>
      <c r="D70" s="15"/>
      <c r="E70" s="15"/>
      <c r="F70" s="15"/>
      <c r="G70" s="15"/>
      <c r="H70" s="15"/>
      <c r="I70" s="17"/>
      <c r="J70" s="17"/>
      <c r="K70" s="15"/>
      <c r="L70" s="15"/>
    </row>
    <row r="71" spans="1:17" x14ac:dyDescent="0.25">
      <c r="A71" t="s">
        <v>34</v>
      </c>
      <c r="B71" s="15"/>
      <c r="C71" s="15"/>
      <c r="D71" s="15"/>
      <c r="E71" s="15"/>
      <c r="F71" s="15"/>
      <c r="G71" s="15"/>
      <c r="H71" s="15"/>
      <c r="I71" s="17"/>
      <c r="J71" s="17"/>
      <c r="K71" s="15"/>
      <c r="L71" s="15"/>
    </row>
    <row r="72" spans="1:17" x14ac:dyDescent="0.25">
      <c r="A72" s="18" t="s">
        <v>35</v>
      </c>
      <c r="B72" s="19">
        <f>(B27/B26)*100</f>
        <v>69.026027271154661</v>
      </c>
      <c r="C72" s="19"/>
      <c r="D72" s="19"/>
      <c r="E72" s="19"/>
      <c r="F72" s="19"/>
      <c r="G72" s="19"/>
      <c r="H72" s="19"/>
      <c r="I72" s="19"/>
      <c r="J72" s="19"/>
      <c r="K72" s="19"/>
      <c r="L72" s="19"/>
    </row>
    <row r="73" spans="1:17" x14ac:dyDescent="0.25">
      <c r="A73" s="18" t="s">
        <v>36</v>
      </c>
      <c r="B73" s="19">
        <f>(B21/B27)*100</f>
        <v>69.894954625004019</v>
      </c>
      <c r="C73" s="19"/>
      <c r="D73" s="19"/>
      <c r="E73" s="19"/>
      <c r="F73" s="19"/>
      <c r="G73" s="19"/>
      <c r="H73" s="19"/>
      <c r="I73" s="19"/>
      <c r="J73" s="19"/>
      <c r="K73" s="19"/>
      <c r="L73" s="19"/>
    </row>
    <row r="74" spans="1:17" ht="15.75" thickBot="1" x14ac:dyDescent="0.3">
      <c r="A74" s="20"/>
      <c r="B74" s="20"/>
      <c r="C74" s="20"/>
      <c r="D74" s="20"/>
      <c r="E74" s="20"/>
      <c r="F74" s="20"/>
      <c r="G74" s="20"/>
      <c r="H74" s="20"/>
      <c r="I74" s="49"/>
      <c r="J74" s="49"/>
      <c r="K74" s="20"/>
      <c r="L74" s="20"/>
      <c r="M74" s="20"/>
      <c r="N74" s="20"/>
      <c r="O74" s="20"/>
      <c r="P74" s="20"/>
      <c r="Q74" s="20"/>
    </row>
    <row r="75" spans="1:17" ht="15.75" thickTop="1" x14ac:dyDescent="0.25">
      <c r="A75" s="33" t="s">
        <v>98</v>
      </c>
    </row>
    <row r="76" spans="1:17" x14ac:dyDescent="0.25">
      <c r="A76" t="s">
        <v>99</v>
      </c>
    </row>
    <row r="77" spans="1:17" x14ac:dyDescent="0.25">
      <c r="A77" t="s">
        <v>100</v>
      </c>
    </row>
    <row r="78" spans="1:17" x14ac:dyDescent="0.25">
      <c r="A78" t="s">
        <v>55</v>
      </c>
      <c r="B78" s="21"/>
      <c r="C78" s="21"/>
      <c r="D78" s="21"/>
      <c r="E78" s="21"/>
      <c r="F78" s="21"/>
      <c r="G78" s="21"/>
      <c r="H78" s="21"/>
      <c r="I78" s="21"/>
      <c r="J78" s="21"/>
    </row>
    <row r="80" spans="1:17" x14ac:dyDescent="0.25">
      <c r="A80" t="s">
        <v>43</v>
      </c>
    </row>
    <row r="81" spans="1:1" x14ac:dyDescent="0.25">
      <c r="A81" t="s">
        <v>53</v>
      </c>
    </row>
    <row r="82" spans="1:1" x14ac:dyDescent="0.25">
      <c r="A82" t="s">
        <v>86</v>
      </c>
    </row>
    <row r="83" spans="1:1" x14ac:dyDescent="0.25">
      <c r="A83" t="s">
        <v>50</v>
      </c>
    </row>
    <row r="84" spans="1:1" x14ac:dyDescent="0.25">
      <c r="A84" t="s">
        <v>54</v>
      </c>
    </row>
    <row r="86" spans="1:1" x14ac:dyDescent="0.25">
      <c r="A86" s="104" t="s">
        <v>142</v>
      </c>
    </row>
    <row r="87" spans="1:1" x14ac:dyDescent="0.25">
      <c r="A87" s="42"/>
    </row>
  </sheetData>
  <mergeCells count="6">
    <mergeCell ref="G34:J34"/>
    <mergeCell ref="A2:K2"/>
    <mergeCell ref="A4:A5"/>
    <mergeCell ref="D5:E5"/>
    <mergeCell ref="G5:H5"/>
    <mergeCell ref="D4:L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87"/>
  <sheetViews>
    <sheetView topLeftCell="A58" zoomScale="70" zoomScaleNormal="70" workbookViewId="0">
      <selection activeCell="A86" sqref="A86"/>
    </sheetView>
  </sheetViews>
  <sheetFormatPr baseColWidth="10" defaultColWidth="11.42578125" defaultRowHeight="15" x14ac:dyDescent="0.25"/>
  <cols>
    <col min="1" max="1" width="55.140625" customWidth="1"/>
    <col min="2" max="3" width="26.7109375" customWidth="1"/>
    <col min="4" max="6" width="16.5703125" customWidth="1"/>
    <col min="7" max="7" width="16.140625" customWidth="1"/>
    <col min="8" max="10" width="17.42578125" customWidth="1"/>
    <col min="11" max="11" width="16.7109375" bestFit="1" customWidth="1"/>
    <col min="12" max="12" width="16.42578125" customWidth="1"/>
    <col min="13" max="13" width="16.7109375" customWidth="1"/>
    <col min="14" max="14" width="22.85546875" customWidth="1"/>
    <col min="15" max="15" width="20" customWidth="1"/>
    <col min="16" max="16" width="22" customWidth="1"/>
    <col min="17" max="17" width="29.42578125" customWidth="1"/>
  </cols>
  <sheetData>
    <row r="2" spans="1:17" ht="15.75" x14ac:dyDescent="0.25">
      <c r="A2" s="98" t="s">
        <v>129</v>
      </c>
      <c r="B2" s="98"/>
      <c r="C2" s="98"/>
      <c r="D2" s="98"/>
      <c r="E2" s="98"/>
      <c r="F2" s="98"/>
      <c r="G2" s="98"/>
      <c r="H2" s="98"/>
      <c r="I2" s="98"/>
      <c r="J2" s="98"/>
      <c r="K2" s="98"/>
    </row>
    <row r="4" spans="1:17" x14ac:dyDescent="0.25">
      <c r="A4" s="95" t="s">
        <v>0</v>
      </c>
      <c r="B4" s="25" t="s">
        <v>1</v>
      </c>
      <c r="C4" s="25"/>
      <c r="D4" s="101" t="s">
        <v>2</v>
      </c>
      <c r="E4" s="101"/>
      <c r="F4" s="101"/>
      <c r="G4" s="101"/>
      <c r="H4" s="101"/>
      <c r="I4" s="101"/>
      <c r="J4" s="101"/>
      <c r="K4" s="101"/>
      <c r="L4" s="101"/>
      <c r="M4" s="101"/>
      <c r="N4" s="101"/>
    </row>
    <row r="5" spans="1:17" ht="15.75" thickBot="1" x14ac:dyDescent="0.3">
      <c r="A5" s="96"/>
      <c r="B5" s="1" t="s">
        <v>3</v>
      </c>
      <c r="C5" s="57" t="s">
        <v>56</v>
      </c>
      <c r="D5" s="97" t="s">
        <v>4</v>
      </c>
      <c r="E5" s="97"/>
      <c r="F5" s="57" t="s">
        <v>57</v>
      </c>
      <c r="G5" s="97" t="s">
        <v>52</v>
      </c>
      <c r="H5" s="97"/>
      <c r="I5" s="48"/>
      <c r="J5" s="48"/>
      <c r="K5" s="1" t="s">
        <v>5</v>
      </c>
      <c r="L5" s="20" t="s">
        <v>51</v>
      </c>
      <c r="M5" s="20" t="s">
        <v>138</v>
      </c>
      <c r="N5" s="20" t="s">
        <v>87</v>
      </c>
      <c r="O5" s="20" t="s">
        <v>88</v>
      </c>
      <c r="P5" s="20" t="s">
        <v>139</v>
      </c>
      <c r="Q5" s="20" t="s">
        <v>140</v>
      </c>
    </row>
    <row r="6" spans="1:17" ht="15.75" thickTop="1" x14ac:dyDescent="0.25">
      <c r="B6" s="36" t="s">
        <v>1</v>
      </c>
      <c r="D6" s="36" t="s">
        <v>48</v>
      </c>
      <c r="E6" s="36" t="s">
        <v>49</v>
      </c>
      <c r="F6" s="36"/>
      <c r="G6" s="36">
        <v>1600</v>
      </c>
      <c r="H6" s="36">
        <v>640</v>
      </c>
      <c r="I6" s="47">
        <v>320</v>
      </c>
      <c r="J6" s="47">
        <v>800</v>
      </c>
      <c r="K6" s="36" t="s">
        <v>5</v>
      </c>
      <c r="M6" t="s">
        <v>138</v>
      </c>
      <c r="N6" t="s">
        <v>87</v>
      </c>
      <c r="O6" s="33" t="s">
        <v>88</v>
      </c>
      <c r="P6" s="33" t="s">
        <v>139</v>
      </c>
      <c r="Q6" s="33" t="s">
        <v>140</v>
      </c>
    </row>
    <row r="7" spans="1:17" x14ac:dyDescent="0.25">
      <c r="A7" s="2" t="s">
        <v>6</v>
      </c>
      <c r="I7" s="32"/>
      <c r="J7" s="32"/>
    </row>
    <row r="8" spans="1:17" x14ac:dyDescent="0.25">
      <c r="I8" s="32"/>
      <c r="J8" s="32"/>
    </row>
    <row r="9" spans="1:17" x14ac:dyDescent="0.25">
      <c r="A9" t="s">
        <v>7</v>
      </c>
      <c r="I9" s="32"/>
      <c r="J9" s="32"/>
      <c r="M9" s="69"/>
    </row>
    <row r="10" spans="1:17" x14ac:dyDescent="0.25">
      <c r="A10" s="3" t="s">
        <v>70</v>
      </c>
      <c r="B10" s="24">
        <f>+D10+G10</f>
        <v>122758.33333333333</v>
      </c>
      <c r="C10" s="24">
        <f>+D10+E10</f>
        <v>29927.222222222223</v>
      </c>
      <c r="D10" s="24">
        <f>(+'I Trimestre'!D10+'II Trimestre'!D10+'III Trimestre'!D10)/3</f>
        <v>24502</v>
      </c>
      <c r="E10" s="24">
        <f>(+'I Trimestre'!E10+'II Trimestre'!E10+'III Trimestre'!E10)/3</f>
        <v>5425.2222222222217</v>
      </c>
      <c r="F10" s="24">
        <f>SUM(G10:I10)</f>
        <v>121210.22222222222</v>
      </c>
      <c r="G10" s="24">
        <f>(+'I Trimestre'!G10+'II Trimestre'!G10+'III Trimestre'!G10)/3</f>
        <v>98256.333333333328</v>
      </c>
      <c r="H10" s="64">
        <f>(+'I Trimestre'!H10+'II Trimestre'!H10+'III Trimestre'!H10)/3</f>
        <v>3817.8888888888887</v>
      </c>
      <c r="I10" s="64">
        <f>(+'I Trimestre'!I10+'II Trimestre'!I10+'III Trimestre'!I10)/3</f>
        <v>19136</v>
      </c>
      <c r="J10" s="37">
        <f>(+'I Trimestre'!J10+'II Trimestre'!J10+'III Trimestre'!J10)/3</f>
        <v>24802.111111111109</v>
      </c>
      <c r="K10" s="24">
        <f>(+'I Trimestre'!K10+'II Trimestre'!K10+'III Trimestre'!K10)/3</f>
        <v>8434.8888888888887</v>
      </c>
      <c r="L10" s="24">
        <f>(+'I Trimestre'!L10+'II Trimestre'!L10+'III Trimestre'!L10)/3</f>
        <v>1333.6666666666667</v>
      </c>
      <c r="M10" s="85">
        <f>(+'I Trimestre'!M10+'II Trimestre'!M10+'III Trimestre'!M10)/3</f>
        <v>0</v>
      </c>
      <c r="N10" s="87">
        <f>(+'I Trimestre'!N10+'II Trimestre'!N10+'III Trimestre'!N10)/3</f>
        <v>0</v>
      </c>
      <c r="O10" s="87">
        <f>(+'I Trimestre'!O10+'II Trimestre'!O10+'III Trimestre'!O10)/3</f>
        <v>0</v>
      </c>
      <c r="P10" s="87">
        <f>(+'I Trimestre'!P10+'II Trimestre'!P10+'III Trimestre'!P10)/3</f>
        <v>0</v>
      </c>
      <c r="Q10" s="87">
        <f>(+'I Trimestre'!Q10+'II Trimestre'!Q10+'III Trimestre'!Q10)/3</f>
        <v>0</v>
      </c>
    </row>
    <row r="11" spans="1:17" x14ac:dyDescent="0.25">
      <c r="A11" s="27" t="s">
        <v>37</v>
      </c>
      <c r="B11" s="24">
        <f t="shared" ref="B11:B16" si="0">+D11+G11</f>
        <v>100502.55555555556</v>
      </c>
      <c r="C11" s="24">
        <f t="shared" ref="C11:C16" si="1">+D11+E11</f>
        <v>23488.555555555555</v>
      </c>
      <c r="D11" s="24">
        <f>(+'I Trimestre'!D11+'II Trimestre'!D11+'III Trimestre'!D11)/3</f>
        <v>18063.333333333332</v>
      </c>
      <c r="E11" s="24">
        <f>(+'I Trimestre'!E11+'II Trimestre'!E11+'III Trimestre'!E11)/3</f>
        <v>5425.2222222222217</v>
      </c>
      <c r="F11" s="24">
        <f>SUM(G11:I11)</f>
        <v>105393.11111111112</v>
      </c>
      <c r="G11" s="24">
        <f>(+'I Trimestre'!G11+'II Trimestre'!G11+'III Trimestre'!G11)/3</f>
        <v>82439.222222222234</v>
      </c>
      <c r="H11" s="64">
        <f>(+'I Trimestre'!H11+'II Trimestre'!H11+'III Trimestre'!H11)/3</f>
        <v>3817.8888888888887</v>
      </c>
      <c r="I11" s="64">
        <f>(+'I Trimestre'!I11+'II Trimestre'!I11+'III Trimestre'!I11)/3</f>
        <v>19136</v>
      </c>
      <c r="J11" s="37">
        <f>(+'I Trimestre'!J11+'II Trimestre'!J11+'III Trimestre'!J11)/3</f>
        <v>24802.111111111109</v>
      </c>
      <c r="K11" s="24">
        <f>(+'I Trimestre'!K11+'II Trimestre'!K11+'III Trimestre'!K11)/3</f>
        <v>8434.8888888888887</v>
      </c>
      <c r="L11" s="24">
        <f>(+'I Trimestre'!L11+'II Trimestre'!L11+'III Trimestre'!L11)/3</f>
        <v>1333.6666666666667</v>
      </c>
      <c r="M11" s="85">
        <f>(+'I Trimestre'!M11+'II Trimestre'!M11+'III Trimestre'!M11)/3</f>
        <v>0</v>
      </c>
      <c r="N11" s="87">
        <f>(+'I Trimestre'!N11+'II Trimestre'!N11+'III Trimestre'!N11)/3</f>
        <v>0</v>
      </c>
      <c r="O11" s="87">
        <f>(+'I Trimestre'!O11+'II Trimestre'!O11+'III Trimestre'!O11)/3</f>
        <v>0</v>
      </c>
      <c r="P11" s="87">
        <f>(+'I Trimestre'!P11+'II Trimestre'!P11+'III Trimestre'!P11)/3</f>
        <v>0</v>
      </c>
      <c r="Q11" s="87">
        <f>(+'I Trimestre'!Q11+'II Trimestre'!Q11+'III Trimestre'!Q11)/3</f>
        <v>0</v>
      </c>
    </row>
    <row r="12" spans="1:17" x14ac:dyDescent="0.25">
      <c r="A12" s="3" t="s">
        <v>109</v>
      </c>
      <c r="B12" s="24">
        <f t="shared" si="0"/>
        <v>133470</v>
      </c>
      <c r="C12" s="24">
        <f t="shared" si="1"/>
        <v>41468</v>
      </c>
      <c r="D12" s="24">
        <f>(+'I Trimestre'!D12+'II Trimestre'!D12+'III Trimestre'!D12)/3</f>
        <v>35363</v>
      </c>
      <c r="E12" s="24">
        <f>(+'I Trimestre'!E12+'II Trimestre'!E12+'III Trimestre'!E12)/3</f>
        <v>6105</v>
      </c>
      <c r="F12" s="24">
        <f>SUM(G12:I12)</f>
        <v>133089.22222222222</v>
      </c>
      <c r="G12" s="24">
        <f>(+'I Trimestre'!G12+'II Trimestre'!G12+'III Trimestre'!G12)/3</f>
        <v>98107</v>
      </c>
      <c r="H12" s="24">
        <f>(+'I Trimestre'!H12+'II Trimestre'!H12+'III Trimestre'!H12)/3</f>
        <v>5479.666666666667</v>
      </c>
      <c r="I12" s="37">
        <f>(+'I Trimestre'!I12+'II Trimestre'!I12+'III Trimestre'!I12)/3</f>
        <v>29502.555555555558</v>
      </c>
      <c r="J12" s="37">
        <f>(+'I Trimestre'!J12+'II Trimestre'!J12+'III Trimestre'!J12)/3</f>
        <v>31971.333333333332</v>
      </c>
      <c r="K12" s="24">
        <f>(+'I Trimestre'!K12+'II Trimestre'!K12+'III Trimestre'!K12)/3</f>
        <v>8970</v>
      </c>
      <c r="L12" s="24">
        <f>(+'I Trimestre'!L12+'II Trimestre'!L12+'III Trimestre'!L12)/3</f>
        <v>1595.6666666666667</v>
      </c>
      <c r="M12" s="85">
        <f>(+'I Trimestre'!M12+'II Trimestre'!M12+'III Trimestre'!M12)/3</f>
        <v>6666.666666666667</v>
      </c>
      <c r="N12" s="87">
        <f>(+'I Trimestre'!N12+'II Trimestre'!N12+'III Trimestre'!N12)/3</f>
        <v>0</v>
      </c>
      <c r="O12" s="87">
        <f>(+'I Trimestre'!O12+'II Trimestre'!O12+'III Trimestre'!O12)/3</f>
        <v>0</v>
      </c>
      <c r="P12" s="87">
        <f>(+'I Trimestre'!P12+'II Trimestre'!P12+'III Trimestre'!P12)/3</f>
        <v>0</v>
      </c>
      <c r="Q12" s="87">
        <f>(+'I Trimestre'!Q12+'II Trimestre'!Q12+'III Trimestre'!Q12)/3</f>
        <v>0</v>
      </c>
    </row>
    <row r="13" spans="1:17" x14ac:dyDescent="0.25">
      <c r="A13" s="27" t="s">
        <v>37</v>
      </c>
      <c r="B13" s="24">
        <f t="shared" si="0"/>
        <v>124616.66666666667</v>
      </c>
      <c r="C13" s="24">
        <f t="shared" si="1"/>
        <v>32614.666666666668</v>
      </c>
      <c r="D13" s="24">
        <f>(+'I Trimestre'!D13+'II Trimestre'!D13+'III Trimestre'!D13)/3</f>
        <v>26509.666666666668</v>
      </c>
      <c r="E13" s="24">
        <f>(+'I Trimestre'!E13+'II Trimestre'!E13+'III Trimestre'!E13)/3</f>
        <v>6105</v>
      </c>
      <c r="F13" s="24">
        <f t="shared" ref="F13:F16" si="2">SUM(G13:I13)</f>
        <v>133089.22222222222</v>
      </c>
      <c r="G13" s="24">
        <f>(+'I Trimestre'!G13+'II Trimestre'!G13+'III Trimestre'!G13)/3</f>
        <v>98107</v>
      </c>
      <c r="H13" s="24">
        <f>(+'I Trimestre'!H13+'II Trimestre'!H13+'III Trimestre'!H13)/3</f>
        <v>5479.666666666667</v>
      </c>
      <c r="I13" s="37">
        <f>(+'I Trimestre'!I13+'II Trimestre'!I13+'III Trimestre'!I13)/3</f>
        <v>29502.555555555558</v>
      </c>
      <c r="J13" s="37">
        <f>(+'I Trimestre'!J13+'II Trimestre'!J13+'III Trimestre'!J13)/3</f>
        <v>31971.333333333332</v>
      </c>
      <c r="K13" s="24">
        <f>(+'I Trimestre'!K13+'II Trimestre'!K13+'III Trimestre'!K13)/3</f>
        <v>8970</v>
      </c>
      <c r="L13" s="24">
        <f>(+'I Trimestre'!L13+'II Trimestre'!L13+'III Trimestre'!L13)/3</f>
        <v>1595.6666666666667</v>
      </c>
      <c r="M13" s="85">
        <f>(+'I Trimestre'!M13+'II Trimestre'!M13+'III Trimestre'!M13)/3</f>
        <v>6666.666666666667</v>
      </c>
      <c r="N13" s="87">
        <f>(+'I Trimestre'!N13+'II Trimestre'!N13+'III Trimestre'!N13)/3</f>
        <v>0</v>
      </c>
      <c r="O13" s="87">
        <f>(+'I Trimestre'!O13+'II Trimestre'!O13+'III Trimestre'!O13)/3</f>
        <v>0</v>
      </c>
      <c r="P13" s="87">
        <f>(+'I Trimestre'!P13+'II Trimestre'!P13+'III Trimestre'!P13)/3</f>
        <v>0</v>
      </c>
      <c r="Q13" s="87">
        <f>(+'I Trimestre'!Q13+'II Trimestre'!Q13+'III Trimestre'!Q13)/3</f>
        <v>0</v>
      </c>
    </row>
    <row r="14" spans="1:17" x14ac:dyDescent="0.25">
      <c r="A14" s="3" t="s">
        <v>110</v>
      </c>
      <c r="B14" s="24">
        <f t="shared" si="0"/>
        <v>120887.11111111111</v>
      </c>
      <c r="C14" s="24">
        <f t="shared" si="1"/>
        <v>28632.777777777777</v>
      </c>
      <c r="D14" s="24">
        <f>(+'I Trimestre'!D14+'II Trimestre'!D14+'III Trimestre'!D14)/3</f>
        <v>23499</v>
      </c>
      <c r="E14" s="24">
        <f>(+'I Trimestre'!E14+'II Trimestre'!E14+'III Trimestre'!E14)/3</f>
        <v>5133.7777777777783</v>
      </c>
      <c r="F14" s="24">
        <f t="shared" si="2"/>
        <v>119417.22222222222</v>
      </c>
      <c r="G14" s="24">
        <f>(+'I Trimestre'!G14+'II Trimestre'!G14+'III Trimestre'!G14)/3</f>
        <v>97388.111111111109</v>
      </c>
      <c r="H14" s="24">
        <f>(+'I Trimestre'!H14+'II Trimestre'!H14+'III Trimestre'!H14)/3</f>
        <v>3521.5555555555552</v>
      </c>
      <c r="I14" s="37">
        <f>(+'I Trimestre'!I14+'II Trimestre'!I14+'III Trimestre'!I14)/3</f>
        <v>18507.555555555555</v>
      </c>
      <c r="J14" s="37">
        <f>(+'I Trimestre'!J14+'II Trimestre'!J14+'III Trimestre'!J14)/3</f>
        <v>25012.111111111109</v>
      </c>
      <c r="K14" s="24">
        <f>(+'I Trimestre'!K14+'II Trimestre'!K14+'III Trimestre'!K14)/3</f>
        <v>6962.2222222222226</v>
      </c>
      <c r="L14" s="24">
        <f>(+'I Trimestre'!L14+'II Trimestre'!L14+'III Trimestre'!L14)/3</f>
        <v>1983</v>
      </c>
      <c r="M14" s="85">
        <f>(+'I Trimestre'!M14+'II Trimestre'!M14+'III Trimestre'!M14)/3</f>
        <v>0</v>
      </c>
      <c r="N14" s="87">
        <f>(+'I Trimestre'!N14+'II Trimestre'!N14+'III Trimestre'!N14)/3</f>
        <v>0</v>
      </c>
      <c r="O14" s="87">
        <f>(+'I Trimestre'!O14+'II Trimestre'!O14+'III Trimestre'!O14)/3</f>
        <v>0</v>
      </c>
      <c r="P14" s="87">
        <f>(+'I Trimestre'!P14+'II Trimestre'!P14+'III Trimestre'!P14)/3</f>
        <v>0</v>
      </c>
      <c r="Q14" s="87">
        <f>(+'I Trimestre'!Q14+'II Trimestre'!Q14+'III Trimestre'!Q14)/3</f>
        <v>0</v>
      </c>
    </row>
    <row r="15" spans="1:17" x14ac:dyDescent="0.25">
      <c r="A15" s="27" t="s">
        <v>37</v>
      </c>
      <c r="B15" s="24">
        <f t="shared" si="0"/>
        <v>99804.222222222234</v>
      </c>
      <c r="C15" s="24">
        <f t="shared" si="1"/>
        <v>22397.222222222219</v>
      </c>
      <c r="D15" s="24">
        <f>(+'I Trimestre'!D15+'II Trimestre'!D15+'III Trimestre'!D15)/3</f>
        <v>17263.444444444442</v>
      </c>
      <c r="E15" s="24">
        <f>(+'I Trimestre'!E15+'II Trimestre'!E15+'III Trimestre'!E15)/3</f>
        <v>5133.7777777777783</v>
      </c>
      <c r="F15" s="24">
        <f t="shared" si="2"/>
        <v>104569.88888888891</v>
      </c>
      <c r="G15" s="24">
        <f>(+'I Trimestre'!G15+'II Trimestre'!G15+'III Trimestre'!G15)/3</f>
        <v>82540.777777777796</v>
      </c>
      <c r="H15" s="24">
        <f>(+'I Trimestre'!H15+'II Trimestre'!H15+'III Trimestre'!H15)/3</f>
        <v>3521.5555555555552</v>
      </c>
      <c r="I15" s="37">
        <f>(+'I Trimestre'!I15+'II Trimestre'!I15+'III Trimestre'!I15)/3</f>
        <v>18507.555555555555</v>
      </c>
      <c r="J15" s="37">
        <f>(+'I Trimestre'!J15+'II Trimestre'!J15+'III Trimestre'!J15)/3</f>
        <v>25012.111111111109</v>
      </c>
      <c r="K15" s="24">
        <f>(+'I Trimestre'!K15+'II Trimestre'!K15+'III Trimestre'!K15)/3</f>
        <v>6962.2222222222226</v>
      </c>
      <c r="L15" s="24">
        <f>(+'I Trimestre'!L15+'II Trimestre'!L15+'III Trimestre'!L15)/3</f>
        <v>1983</v>
      </c>
      <c r="M15" s="85">
        <f>(+'I Trimestre'!M15+'II Trimestre'!M15+'III Trimestre'!M15)/3</f>
        <v>0</v>
      </c>
      <c r="N15" s="87">
        <f>(+'I Trimestre'!N15+'II Trimestre'!N15+'III Trimestre'!N15)/3</f>
        <v>0</v>
      </c>
      <c r="O15" s="87">
        <f>(+'I Trimestre'!O15+'II Trimestre'!O15+'III Trimestre'!O15)/3</f>
        <v>0</v>
      </c>
      <c r="P15" s="87">
        <f>(+'I Trimestre'!P15+'II Trimestre'!P15+'III Trimestre'!P15)/3</f>
        <v>0</v>
      </c>
      <c r="Q15" s="87">
        <f>(+'I Trimestre'!Q15+'II Trimestre'!Q15+'III Trimestre'!Q15)/3</f>
        <v>0</v>
      </c>
    </row>
    <row r="16" spans="1:17" x14ac:dyDescent="0.25">
      <c r="A16" s="3" t="s">
        <v>93</v>
      </c>
      <c r="B16" s="24">
        <f t="shared" si="0"/>
        <v>135643.5</v>
      </c>
      <c r="C16" s="24">
        <f t="shared" si="1"/>
        <v>42198.75</v>
      </c>
      <c r="D16" s="4">
        <f>+'III Trimestre'!D16</f>
        <v>36093.75</v>
      </c>
      <c r="E16" s="4">
        <f>+'III Trimestre'!E16</f>
        <v>6105</v>
      </c>
      <c r="F16" s="24">
        <f t="shared" si="2"/>
        <v>135046.41666666666</v>
      </c>
      <c r="G16" s="4">
        <f>+'III Trimestre'!G16</f>
        <v>99549.75</v>
      </c>
      <c r="H16" s="4">
        <f>+'III Trimestre'!H16</f>
        <v>5560.25</v>
      </c>
      <c r="I16" s="5">
        <f>'III Trimestre'!I16</f>
        <v>29936.416666666668</v>
      </c>
      <c r="J16" s="5">
        <f>'III Trimestre'!J16</f>
        <v>32441.5</v>
      </c>
      <c r="K16" s="4">
        <f>+'III Trimestre'!K16</f>
        <v>8970</v>
      </c>
      <c r="L16" s="4">
        <f>+'III Trimestre'!L16</f>
        <v>1795</v>
      </c>
      <c r="M16" s="86">
        <f>+'III Trimestre'!M16</f>
        <v>20000</v>
      </c>
      <c r="N16" s="88">
        <f>+'III Trimestre'!N16</f>
        <v>0</v>
      </c>
      <c r="O16" s="88">
        <f>+'III Trimestre'!O16</f>
        <v>0</v>
      </c>
      <c r="P16" s="88">
        <f>+'III Trimestre'!P16</f>
        <v>0</v>
      </c>
      <c r="Q16" s="88">
        <f>+'III Trimestre'!Q16</f>
        <v>0</v>
      </c>
    </row>
    <row r="17" spans="1:17" x14ac:dyDescent="0.25">
      <c r="B17" s="22"/>
      <c r="C17" s="22"/>
      <c r="D17" s="22"/>
      <c r="E17" s="22"/>
      <c r="F17" s="22"/>
      <c r="G17" s="22"/>
      <c r="H17" s="22"/>
      <c r="I17" s="45"/>
      <c r="J17" s="45"/>
      <c r="K17" s="22"/>
      <c r="N17" s="24"/>
    </row>
    <row r="18" spans="1:17" x14ac:dyDescent="0.25">
      <c r="A18" s="6" t="s">
        <v>8</v>
      </c>
      <c r="B18" s="22"/>
      <c r="C18" s="22"/>
      <c r="D18" s="22"/>
      <c r="E18" s="22"/>
      <c r="F18" s="22"/>
      <c r="G18" s="22"/>
      <c r="H18" s="22"/>
      <c r="I18" s="45"/>
      <c r="J18" s="45"/>
      <c r="K18" s="22"/>
    </row>
    <row r="19" spans="1:17" x14ac:dyDescent="0.25">
      <c r="A19" s="3" t="s">
        <v>70</v>
      </c>
      <c r="B19" s="24">
        <f>C19+F19+K19+L19+M19+N19+O19+P19+Q19</f>
        <v>9590071158.2099991</v>
      </c>
      <c r="C19" s="24">
        <f>+'I Trimestre'!C19+'II Trimestre'!C19+'III Trimestre'!C19</f>
        <v>3354206604</v>
      </c>
      <c r="D19" s="40"/>
      <c r="E19" s="40"/>
      <c r="F19" s="54">
        <f>+'I Trimestre'!F19+'II Trimestre'!F19+'III Trimestre'!F19</f>
        <v>4330851358.1999998</v>
      </c>
      <c r="G19" s="40"/>
      <c r="H19" s="40"/>
      <c r="I19" s="40"/>
      <c r="J19" s="40"/>
      <c r="K19" s="24">
        <f>+'I Trimestre'!K19+'II Trimestre'!K19+'III Trimestre'!K19</f>
        <v>1517059925.0100002</v>
      </c>
      <c r="L19" s="24">
        <f>+'I Trimestre'!L19+'II Trimestre'!L19+'III Trimestre'!L19</f>
        <v>387953271</v>
      </c>
      <c r="M19" s="89">
        <f>+'I Trimestre'!M19+'II Trimestre'!M19+'III Trimestre'!M19</f>
        <v>0</v>
      </c>
      <c r="N19" s="89">
        <f>+'I Trimestre'!N19+'II Trimestre'!N19+'III Trimestre'!N19</f>
        <v>0</v>
      </c>
      <c r="O19" s="89">
        <f>+'I Trimestre'!O19+'II Trimestre'!O19+'III Trimestre'!O19</f>
        <v>0</v>
      </c>
      <c r="P19" s="89">
        <f>+'I Trimestre'!P19+'II Trimestre'!P19+'III Trimestre'!P19</f>
        <v>0</v>
      </c>
      <c r="Q19" s="89">
        <f>+'I Trimestre'!Q19+'II Trimestre'!Q19+'III Trimestre'!Q19</f>
        <v>0</v>
      </c>
    </row>
    <row r="20" spans="1:17" x14ac:dyDescent="0.25">
      <c r="A20" s="61" t="s">
        <v>109</v>
      </c>
      <c r="B20" s="24">
        <f t="shared" ref="B20:B23" si="3">C20+F20+K20+L20+M20+N20+O20+P20+Q20</f>
        <v>15542868038.450001</v>
      </c>
      <c r="C20" s="24">
        <f>+'I Trimestre'!C20+'II Trimestre'!C20+'III Trimestre'!C20</f>
        <v>4970070398</v>
      </c>
      <c r="D20" s="40"/>
      <c r="E20" s="40"/>
      <c r="F20" s="55">
        <f>+'I Trimestre'!F20+'II Trimestre'!F20+'III Trimestre'!F20</f>
        <v>5755208837.4400005</v>
      </c>
      <c r="G20" s="40"/>
      <c r="H20" s="40"/>
      <c r="I20" s="40"/>
      <c r="J20" s="40"/>
      <c r="K20" s="24">
        <f>+'I Trimestre'!K20+'II Trimestre'!K20+'III Trimestre'!K20</f>
        <v>2461937747.0100002</v>
      </c>
      <c r="L20" s="24">
        <f>+'I Trimestre'!L20+'II Trimestre'!L20+'III Trimestre'!L20</f>
        <v>1963349856</v>
      </c>
      <c r="M20" s="89">
        <f>+'I Trimestre'!M20+'II Trimestre'!M20+'III Trimestre'!M20</f>
        <v>31812500</v>
      </c>
      <c r="N20" s="89">
        <f>+'I Trimestre'!N20+'II Trimestre'!N20+'III Trimestre'!N20</f>
        <v>30000000</v>
      </c>
      <c r="O20" s="89">
        <f>+'I Trimestre'!O20+'II Trimestre'!O20+'III Trimestre'!O20</f>
        <v>330000000</v>
      </c>
      <c r="P20" s="89">
        <f>+'I Trimestre'!P20+'II Trimestre'!P20+'III Trimestre'!P20</f>
        <v>488700</v>
      </c>
      <c r="Q20" s="89">
        <f>+'I Trimestre'!Q20+'II Trimestre'!Q20+'III Trimestre'!Q20</f>
        <v>0</v>
      </c>
    </row>
    <row r="21" spans="1:17" x14ac:dyDescent="0.25">
      <c r="A21" s="3" t="s">
        <v>110</v>
      </c>
      <c r="B21" s="24">
        <f t="shared" si="3"/>
        <v>9929115762.0400009</v>
      </c>
      <c r="C21" s="24">
        <f>+'I Trimestre'!C21+'II Trimestre'!C21+'III Trimestre'!C21</f>
        <v>3441763953</v>
      </c>
      <c r="D21" s="40"/>
      <c r="E21" s="40"/>
      <c r="F21" s="55">
        <f>+'I Trimestre'!F21+'II Trimestre'!F21+'III Trimestre'!F21</f>
        <v>4454112540</v>
      </c>
      <c r="G21" s="40"/>
      <c r="H21" s="40"/>
      <c r="I21" s="40"/>
      <c r="J21" s="40"/>
      <c r="K21" s="24">
        <f>+'I Trimestre'!K21+'II Trimestre'!K21+'III Trimestre'!K21</f>
        <v>1434670400.04</v>
      </c>
      <c r="L21" s="24">
        <f>+'I Trimestre'!L21+'II Trimestre'!L21+'III Trimestre'!L21</f>
        <v>589206419</v>
      </c>
      <c r="M21" s="89">
        <f>+'I Trimestre'!M21+'II Trimestre'!M21+'III Trimestre'!M21</f>
        <v>8797150</v>
      </c>
      <c r="N21" s="89">
        <f>+'I Trimestre'!N21+'II Trimestre'!N21+'III Trimestre'!N21</f>
        <v>565300</v>
      </c>
      <c r="O21" s="89">
        <f>+'I Trimestre'!O21+'II Trimestre'!O21+'III Trimestre'!O21</f>
        <v>0</v>
      </c>
      <c r="P21" s="89">
        <f>+'I Trimestre'!P21+'II Trimestre'!P21+'III Trimestre'!P21</f>
        <v>0</v>
      </c>
      <c r="Q21" s="89">
        <f>+'I Trimestre'!Q21+'II Trimestre'!Q21+'III Trimestre'!Q21</f>
        <v>0</v>
      </c>
    </row>
    <row r="22" spans="1:17" x14ac:dyDescent="0.25">
      <c r="A22" s="3" t="s">
        <v>93</v>
      </c>
      <c r="B22" s="24">
        <f t="shared" si="3"/>
        <v>20883476827.360001</v>
      </c>
      <c r="C22" s="24">
        <f>+'III Trimestre'!C22</f>
        <v>6752561345.999999</v>
      </c>
      <c r="D22" s="40"/>
      <c r="E22" s="40"/>
      <c r="F22" s="55">
        <f>+'III Trimestre'!F22</f>
        <v>7786459015.3600025</v>
      </c>
      <c r="G22" s="40"/>
      <c r="H22" s="40"/>
      <c r="I22" s="40"/>
      <c r="J22" s="40"/>
      <c r="K22" s="39">
        <f>+'III Trimestre'!K22</f>
        <v>3252549214</v>
      </c>
      <c r="L22" s="39">
        <f>+'III Trimestre'!L22</f>
        <v>2699606052</v>
      </c>
      <c r="M22" s="92">
        <f>+'III Trimestre'!M22</f>
        <v>31812500</v>
      </c>
      <c r="N22" s="92">
        <f>+'III Trimestre'!N22</f>
        <v>30000000</v>
      </c>
      <c r="O22" s="92">
        <f>+'III Trimestre'!O22</f>
        <v>330000000</v>
      </c>
      <c r="P22" s="92">
        <f>+'III Trimestre'!P22</f>
        <v>488700</v>
      </c>
      <c r="Q22" s="92">
        <f>+'III Trimestre'!Q22</f>
        <v>0</v>
      </c>
    </row>
    <row r="23" spans="1:17" x14ac:dyDescent="0.25">
      <c r="A23" s="3" t="s">
        <v>111</v>
      </c>
      <c r="B23" s="24">
        <f t="shared" si="3"/>
        <v>9929115762.0400009</v>
      </c>
      <c r="C23" s="4">
        <f>C21</f>
        <v>3441763953</v>
      </c>
      <c r="D23" s="40"/>
      <c r="E23" s="40"/>
      <c r="F23" s="40">
        <f>F21</f>
        <v>4454112540</v>
      </c>
      <c r="G23" s="40"/>
      <c r="H23" s="40"/>
      <c r="I23" s="40"/>
      <c r="J23" s="40"/>
      <c r="K23" s="4">
        <f>K21</f>
        <v>1434670400.04</v>
      </c>
      <c r="L23" s="4">
        <f>L21</f>
        <v>589206419</v>
      </c>
      <c r="M23" s="91">
        <f>M21</f>
        <v>8797150</v>
      </c>
      <c r="N23" s="90">
        <f>N21</f>
        <v>565300</v>
      </c>
      <c r="O23" s="90">
        <f t="shared" ref="O23:Q23" si="4">O21</f>
        <v>0</v>
      </c>
      <c r="P23" s="90">
        <f t="shared" si="4"/>
        <v>0</v>
      </c>
      <c r="Q23" s="90">
        <f t="shared" si="4"/>
        <v>0</v>
      </c>
    </row>
    <row r="24" spans="1:17" x14ac:dyDescent="0.25">
      <c r="B24" s="22"/>
      <c r="C24" s="22"/>
      <c r="D24" s="22"/>
      <c r="E24" s="22"/>
      <c r="F24" s="22"/>
      <c r="G24" s="22"/>
      <c r="H24" s="22"/>
      <c r="I24" s="45"/>
      <c r="J24" s="45"/>
      <c r="K24" s="22"/>
    </row>
    <row r="25" spans="1:17" x14ac:dyDescent="0.25">
      <c r="A25" s="7" t="s">
        <v>9</v>
      </c>
      <c r="B25" s="23"/>
      <c r="C25" s="23"/>
      <c r="D25" s="23"/>
      <c r="E25" s="23"/>
      <c r="F25" s="23"/>
      <c r="G25" s="23"/>
      <c r="H25" s="23"/>
      <c r="I25" s="23"/>
      <c r="J25" s="23"/>
      <c r="K25" s="23"/>
      <c r="L25" s="23"/>
    </row>
    <row r="26" spans="1:17" x14ac:dyDescent="0.25">
      <c r="A26" s="9" t="s">
        <v>109</v>
      </c>
      <c r="B26" s="35">
        <f>+B20</f>
        <v>15542868038.450001</v>
      </c>
      <c r="C26" s="35"/>
      <c r="D26" s="23"/>
      <c r="E26" s="23"/>
      <c r="F26" s="23"/>
      <c r="G26" s="23"/>
      <c r="H26" s="23"/>
      <c r="I26" s="23"/>
      <c r="J26" s="23"/>
      <c r="K26" s="23"/>
      <c r="L26" s="23"/>
    </row>
    <row r="27" spans="1:17" x14ac:dyDescent="0.25">
      <c r="A27" s="9" t="s">
        <v>110</v>
      </c>
      <c r="B27" s="35">
        <f>+'I Trimestre'!B27+'II Trimestre'!B27+'III Trimestre'!B27</f>
        <v>11426133528.24</v>
      </c>
      <c r="C27" s="35"/>
      <c r="D27" s="23"/>
      <c r="E27" s="23"/>
      <c r="F27" s="23"/>
      <c r="G27" s="23"/>
      <c r="H27" s="23"/>
      <c r="I27" s="23"/>
      <c r="J27" s="23"/>
      <c r="K27" s="23"/>
      <c r="L27" s="23"/>
    </row>
    <row r="28" spans="1:17" x14ac:dyDescent="0.25">
      <c r="I28" s="32"/>
      <c r="J28" s="32"/>
    </row>
    <row r="29" spans="1:17" x14ac:dyDescent="0.25">
      <c r="A29" t="s">
        <v>10</v>
      </c>
      <c r="I29" s="32"/>
      <c r="J29" s="32"/>
    </row>
    <row r="30" spans="1:17" x14ac:dyDescent="0.25">
      <c r="A30" s="10" t="s">
        <v>71</v>
      </c>
      <c r="B30" s="11">
        <v>0.98</v>
      </c>
      <c r="C30" s="11">
        <v>0.98</v>
      </c>
      <c r="D30" s="11">
        <v>0.98</v>
      </c>
      <c r="E30" s="11">
        <v>0.98</v>
      </c>
      <c r="F30" s="11">
        <v>0.98</v>
      </c>
      <c r="G30" s="11">
        <v>0.98</v>
      </c>
      <c r="H30" s="11">
        <v>0.98</v>
      </c>
      <c r="I30" s="11">
        <v>0.98</v>
      </c>
      <c r="J30" s="11">
        <v>0.98</v>
      </c>
      <c r="K30" s="11">
        <v>0.98</v>
      </c>
      <c r="L30" s="11">
        <v>0.98</v>
      </c>
      <c r="M30" s="11">
        <v>0.98</v>
      </c>
      <c r="N30" s="11">
        <v>0.98</v>
      </c>
      <c r="O30" s="11">
        <v>0.98</v>
      </c>
      <c r="P30" s="11">
        <v>0.98</v>
      </c>
      <c r="Q30" s="11">
        <v>0.98</v>
      </c>
    </row>
    <row r="31" spans="1:17" x14ac:dyDescent="0.25">
      <c r="A31" s="10" t="s">
        <v>112</v>
      </c>
      <c r="B31" s="11">
        <v>0.99</v>
      </c>
      <c r="C31" s="11">
        <v>0.99</v>
      </c>
      <c r="D31" s="11">
        <v>0.99</v>
      </c>
      <c r="E31" s="11">
        <v>0.99</v>
      </c>
      <c r="F31" s="11">
        <v>0.99</v>
      </c>
      <c r="G31" s="11">
        <v>0.99</v>
      </c>
      <c r="H31" s="11">
        <v>0.99</v>
      </c>
      <c r="I31" s="11">
        <v>0.99</v>
      </c>
      <c r="J31" s="11">
        <v>0.99</v>
      </c>
      <c r="K31" s="11">
        <v>0.99</v>
      </c>
      <c r="L31" s="11">
        <v>0.99</v>
      </c>
      <c r="M31" s="11">
        <v>0.99</v>
      </c>
      <c r="N31" s="11">
        <v>0.99</v>
      </c>
      <c r="O31" s="11">
        <v>0.99</v>
      </c>
      <c r="P31" s="11">
        <v>0.99</v>
      </c>
      <c r="Q31" s="11">
        <v>0.99</v>
      </c>
    </row>
    <row r="32" spans="1:17" x14ac:dyDescent="0.25">
      <c r="A32" s="3" t="s">
        <v>11</v>
      </c>
      <c r="B32" s="4">
        <v>126642</v>
      </c>
      <c r="C32" s="4">
        <v>126642</v>
      </c>
      <c r="D32" s="4">
        <v>126642</v>
      </c>
      <c r="E32" s="4">
        <v>126642</v>
      </c>
      <c r="F32" s="4">
        <v>126642</v>
      </c>
      <c r="G32" s="4">
        <v>126642</v>
      </c>
      <c r="H32" s="4">
        <v>126642</v>
      </c>
      <c r="I32" s="4">
        <v>126642</v>
      </c>
      <c r="J32" s="4">
        <v>126642</v>
      </c>
      <c r="K32" s="4">
        <v>126642</v>
      </c>
      <c r="L32" s="4">
        <v>126642</v>
      </c>
      <c r="M32" s="4">
        <v>126642</v>
      </c>
      <c r="N32" s="4">
        <v>126642</v>
      </c>
      <c r="O32" s="4">
        <v>126642</v>
      </c>
      <c r="P32" s="4">
        <v>126642</v>
      </c>
      <c r="Q32" s="4">
        <v>126642</v>
      </c>
    </row>
    <row r="33" spans="1:17" x14ac:dyDescent="0.25">
      <c r="I33" s="32"/>
      <c r="J33" s="32"/>
    </row>
    <row r="34" spans="1:17" x14ac:dyDescent="0.25">
      <c r="A34" s="12" t="s">
        <v>12</v>
      </c>
      <c r="B34" s="13"/>
      <c r="C34" s="13"/>
      <c r="D34" s="51"/>
      <c r="E34" s="13"/>
      <c r="F34" s="13"/>
      <c r="G34" s="94"/>
      <c r="H34" s="94"/>
      <c r="I34" s="94"/>
      <c r="J34" s="94"/>
      <c r="K34" s="13"/>
      <c r="L34" s="13"/>
      <c r="M34" s="13"/>
      <c r="N34" s="13"/>
    </row>
    <row r="35" spans="1:17" x14ac:dyDescent="0.25">
      <c r="A35" s="13" t="s">
        <v>72</v>
      </c>
      <c r="B35" s="14">
        <f>B19/B30</f>
        <v>9785786896.1326523</v>
      </c>
      <c r="C35" s="50">
        <f>C19/C30</f>
        <v>3422659800</v>
      </c>
      <c r="D35" s="50"/>
      <c r="E35" s="50"/>
      <c r="F35" s="50">
        <f>F19/F30</f>
        <v>4419236079.7959185</v>
      </c>
      <c r="G35" s="50"/>
      <c r="H35" s="50"/>
      <c r="I35" s="50"/>
      <c r="J35" s="50"/>
      <c r="K35" s="14">
        <f t="shared" ref="K35:Q35" si="5">K19/K30</f>
        <v>1548020331.6428573</v>
      </c>
      <c r="L35" s="14">
        <f t="shared" si="5"/>
        <v>395870684.69387758</v>
      </c>
      <c r="M35" s="14">
        <f t="shared" si="5"/>
        <v>0</v>
      </c>
      <c r="N35" s="14">
        <f t="shared" si="5"/>
        <v>0</v>
      </c>
      <c r="O35" s="14">
        <f t="shared" si="5"/>
        <v>0</v>
      </c>
      <c r="P35" s="14">
        <f t="shared" si="5"/>
        <v>0</v>
      </c>
      <c r="Q35" s="14">
        <f t="shared" si="5"/>
        <v>0</v>
      </c>
    </row>
    <row r="36" spans="1:17" x14ac:dyDescent="0.25">
      <c r="A36" s="13" t="s">
        <v>113</v>
      </c>
      <c r="B36" s="14">
        <f>B21/B31</f>
        <v>10029409860.646465</v>
      </c>
      <c r="C36" s="50">
        <f>C21/C31</f>
        <v>3476529245.4545455</v>
      </c>
      <c r="D36" s="50"/>
      <c r="E36" s="50"/>
      <c r="F36" s="50">
        <f>F21/F31</f>
        <v>4499103575.757576</v>
      </c>
      <c r="G36" s="50"/>
      <c r="H36" s="50"/>
      <c r="I36" s="50"/>
      <c r="J36" s="50"/>
      <c r="K36" s="14">
        <f>K21/K31</f>
        <v>1449162020.2424242</v>
      </c>
      <c r="L36" s="14">
        <f>L21/L31</f>
        <v>595157998.98989904</v>
      </c>
      <c r="M36" s="14">
        <f t="shared" ref="M36:Q36" si="6">M21/M31</f>
        <v>8886010.1010101009</v>
      </c>
      <c r="N36" s="14">
        <f t="shared" si="6"/>
        <v>571010.10101010103</v>
      </c>
      <c r="O36" s="14">
        <f t="shared" si="6"/>
        <v>0</v>
      </c>
      <c r="P36" s="14">
        <f t="shared" si="6"/>
        <v>0</v>
      </c>
      <c r="Q36" s="14">
        <f t="shared" si="6"/>
        <v>0</v>
      </c>
    </row>
    <row r="37" spans="1:17" x14ac:dyDescent="0.25">
      <c r="A37" s="13" t="s">
        <v>73</v>
      </c>
      <c r="B37" s="14">
        <f>B35/B10</f>
        <v>79715.866372677905</v>
      </c>
      <c r="C37" s="50">
        <f>C35/C10</f>
        <v>114366.10369600327</v>
      </c>
      <c r="D37" s="50"/>
      <c r="E37" s="50"/>
      <c r="F37" s="50">
        <f>F35/F10</f>
        <v>36459.268853528367</v>
      </c>
      <c r="G37" s="50"/>
      <c r="H37" s="50"/>
      <c r="I37" s="50"/>
      <c r="J37" s="50"/>
      <c r="K37" s="14">
        <f>K35/K10</f>
        <v>183525.87118035826</v>
      </c>
      <c r="L37" s="14">
        <f>L35/L10</f>
        <v>296828.80631882849</v>
      </c>
      <c r="M37" s="14" t="e">
        <f t="shared" ref="M37:Q37" si="7">M35/M10</f>
        <v>#DIV/0!</v>
      </c>
      <c r="N37" s="14" t="e">
        <f t="shared" si="7"/>
        <v>#DIV/0!</v>
      </c>
      <c r="O37" s="14" t="e">
        <f t="shared" si="7"/>
        <v>#DIV/0!</v>
      </c>
      <c r="P37" s="14" t="e">
        <f t="shared" si="7"/>
        <v>#DIV/0!</v>
      </c>
      <c r="Q37" s="14" t="e">
        <f t="shared" si="7"/>
        <v>#DIV/0!</v>
      </c>
    </row>
    <row r="38" spans="1:17" x14ac:dyDescent="0.25">
      <c r="A38" s="13" t="s">
        <v>114</v>
      </c>
      <c r="B38" s="14">
        <f>B36/B14</f>
        <v>82965.088407383009</v>
      </c>
      <c r="C38" s="50">
        <f>C36/C14</f>
        <v>121417.81256559464</v>
      </c>
      <c r="D38" s="50"/>
      <c r="E38" s="50"/>
      <c r="F38" s="50">
        <f>F36/F14</f>
        <v>37675.500166845639</v>
      </c>
      <c r="G38" s="50"/>
      <c r="H38" s="50"/>
      <c r="I38" s="50"/>
      <c r="J38" s="50"/>
      <c r="K38" s="34">
        <f>K36/K14</f>
        <v>208146.47593651162</v>
      </c>
      <c r="L38" s="34">
        <f>L36/L14</f>
        <v>300130.10539077106</v>
      </c>
      <c r="M38" s="34" t="e">
        <f t="shared" ref="M38:Q38" si="8">M36/M14</f>
        <v>#DIV/0!</v>
      </c>
      <c r="N38" s="34" t="e">
        <f t="shared" si="8"/>
        <v>#DIV/0!</v>
      </c>
      <c r="O38" s="34" t="e">
        <f t="shared" si="8"/>
        <v>#DIV/0!</v>
      </c>
      <c r="P38" s="34" t="e">
        <f t="shared" si="8"/>
        <v>#DIV/0!</v>
      </c>
      <c r="Q38" s="34" t="e">
        <f t="shared" si="8"/>
        <v>#DIV/0!</v>
      </c>
    </row>
    <row r="39" spans="1:17" x14ac:dyDescent="0.25">
      <c r="I39" s="32"/>
      <c r="J39" s="32"/>
    </row>
    <row r="40" spans="1:17" x14ac:dyDescent="0.25">
      <c r="A40" s="2" t="s">
        <v>13</v>
      </c>
      <c r="I40" s="32"/>
      <c r="J40" s="32"/>
    </row>
    <row r="41" spans="1:17" x14ac:dyDescent="0.25">
      <c r="I41" s="32"/>
      <c r="J41" s="32"/>
    </row>
    <row r="42" spans="1:17" x14ac:dyDescent="0.25">
      <c r="A42" t="s">
        <v>14</v>
      </c>
      <c r="I42" s="32"/>
      <c r="J42" s="32"/>
    </row>
    <row r="43" spans="1:17" x14ac:dyDescent="0.25">
      <c r="A43" t="s">
        <v>15</v>
      </c>
      <c r="B43" s="17">
        <f>(B13/B32)*100</f>
        <v>98.400741196969946</v>
      </c>
      <c r="C43" s="17">
        <f t="shared" ref="C43:Q43" si="9">(C13/C32)*100</f>
        <v>25.753436195469646</v>
      </c>
      <c r="D43" s="17">
        <f t="shared" si="9"/>
        <v>20.932760590220202</v>
      </c>
      <c r="E43" s="17">
        <f t="shared" si="9"/>
        <v>4.8206756052494439</v>
      </c>
      <c r="F43" s="17">
        <f t="shared" si="9"/>
        <v>105.09090366720537</v>
      </c>
      <c r="G43" s="17">
        <f t="shared" si="9"/>
        <v>77.467980606749734</v>
      </c>
      <c r="H43" s="17">
        <f t="shared" si="9"/>
        <v>4.3268952374936172</v>
      </c>
      <c r="I43" s="17">
        <f t="shared" si="9"/>
        <v>23.296027822962017</v>
      </c>
      <c r="J43" s="17">
        <f t="shared" si="9"/>
        <v>25.245442533546004</v>
      </c>
      <c r="K43" s="17">
        <f t="shared" si="9"/>
        <v>7.0829582602927932</v>
      </c>
      <c r="L43" s="17">
        <f t="shared" si="9"/>
        <v>1.2599822070613751</v>
      </c>
      <c r="M43" s="17">
        <f t="shared" si="9"/>
        <v>5.2641830251154174</v>
      </c>
      <c r="N43" s="17">
        <f t="shared" si="9"/>
        <v>0</v>
      </c>
      <c r="O43" s="17">
        <f t="shared" si="9"/>
        <v>0</v>
      </c>
      <c r="P43" s="17">
        <f t="shared" si="9"/>
        <v>0</v>
      </c>
      <c r="Q43" s="17">
        <f t="shared" si="9"/>
        <v>0</v>
      </c>
    </row>
    <row r="44" spans="1:17" x14ac:dyDescent="0.25">
      <c r="A44" t="s">
        <v>16</v>
      </c>
      <c r="B44" s="17">
        <f>(B15/B32)*100</f>
        <v>78.808153868560382</v>
      </c>
      <c r="C44" s="17">
        <f t="shared" ref="C44:Q44" si="10">(C15/C32)*100</f>
        <v>17.685461554794003</v>
      </c>
      <c r="D44" s="17">
        <f t="shared" si="10"/>
        <v>13.631689679920122</v>
      </c>
      <c r="E44" s="17">
        <f t="shared" si="10"/>
        <v>4.0537718748738794</v>
      </c>
      <c r="F44" s="17">
        <f t="shared" si="10"/>
        <v>82.571255104064136</v>
      </c>
      <c r="G44" s="17">
        <f t="shared" si="10"/>
        <v>65.176464188640253</v>
      </c>
      <c r="H44" s="17">
        <f t="shared" si="10"/>
        <v>2.7807169466334667</v>
      </c>
      <c r="I44" s="17">
        <f t="shared" si="10"/>
        <v>14.614073968790414</v>
      </c>
      <c r="J44" s="17">
        <f t="shared" si="10"/>
        <v>19.750249610011771</v>
      </c>
      <c r="K44" s="17">
        <f t="shared" si="10"/>
        <v>5.4975618058955344</v>
      </c>
      <c r="L44" s="17">
        <f t="shared" si="10"/>
        <v>1.565831240820581</v>
      </c>
      <c r="M44" s="17">
        <f t="shared" si="10"/>
        <v>0</v>
      </c>
      <c r="N44" s="17">
        <f t="shared" si="10"/>
        <v>0</v>
      </c>
      <c r="O44" s="17">
        <f t="shared" si="10"/>
        <v>0</v>
      </c>
      <c r="P44" s="17">
        <f t="shared" si="10"/>
        <v>0</v>
      </c>
      <c r="Q44" s="17">
        <f t="shared" si="10"/>
        <v>0</v>
      </c>
    </row>
    <row r="45" spans="1:17" x14ac:dyDescent="0.25">
      <c r="I45" s="32"/>
      <c r="J45" s="32"/>
    </row>
    <row r="46" spans="1:17" x14ac:dyDescent="0.25">
      <c r="A46" t="s">
        <v>17</v>
      </c>
      <c r="I46" s="32"/>
      <c r="J46" s="32"/>
    </row>
    <row r="47" spans="1:17" x14ac:dyDescent="0.25">
      <c r="A47" t="s">
        <v>18</v>
      </c>
      <c r="B47" s="15">
        <f>B14/B12*100</f>
        <v>90.572496524395831</v>
      </c>
      <c r="C47" s="15">
        <f t="shared" ref="C47:Q47" si="11">C14/C12*100</f>
        <v>69.047886991843782</v>
      </c>
      <c r="D47" s="15">
        <f t="shared" si="11"/>
        <v>66.450810168820524</v>
      </c>
      <c r="E47" s="15">
        <f t="shared" si="11"/>
        <v>84.091364091364099</v>
      </c>
      <c r="F47" s="15">
        <f t="shared" si="11"/>
        <v>89.727192201054763</v>
      </c>
      <c r="G47" s="15">
        <f t="shared" si="11"/>
        <v>99.267239963622472</v>
      </c>
      <c r="H47" s="15">
        <f t="shared" si="11"/>
        <v>64.265871808909694</v>
      </c>
      <c r="I47" s="15">
        <f t="shared" si="11"/>
        <v>62.732042045321869</v>
      </c>
      <c r="J47" s="15">
        <f t="shared" si="11"/>
        <v>78.232930889477387</v>
      </c>
      <c r="K47" s="15">
        <f t="shared" si="11"/>
        <v>77.61674718196457</v>
      </c>
      <c r="L47" s="15">
        <f t="shared" si="11"/>
        <v>124.27407562147481</v>
      </c>
      <c r="M47" s="15">
        <f t="shared" si="11"/>
        <v>0</v>
      </c>
      <c r="N47" s="15" t="e">
        <f t="shared" si="11"/>
        <v>#DIV/0!</v>
      </c>
      <c r="O47" s="15" t="e">
        <f t="shared" si="11"/>
        <v>#DIV/0!</v>
      </c>
      <c r="P47" s="15" t="e">
        <f t="shared" si="11"/>
        <v>#DIV/0!</v>
      </c>
      <c r="Q47" s="15" t="e">
        <f t="shared" si="11"/>
        <v>#DIV/0!</v>
      </c>
    </row>
    <row r="48" spans="1:17" x14ac:dyDescent="0.25">
      <c r="A48" t="s">
        <v>19</v>
      </c>
      <c r="B48" s="15">
        <f>B21/B20*100</f>
        <v>63.882133834484854</v>
      </c>
      <c r="C48" s="15">
        <f>C21/C20*100</f>
        <v>69.249802867681638</v>
      </c>
      <c r="D48" s="15"/>
      <c r="E48" s="15"/>
      <c r="F48" s="58">
        <f>F21/F20*100</f>
        <v>77.392717897987751</v>
      </c>
      <c r="G48" s="58"/>
      <c r="H48" s="58"/>
      <c r="I48" s="58"/>
      <c r="J48" s="58"/>
      <c r="K48" s="15">
        <f>K21/K20*100</f>
        <v>58.274032386984331</v>
      </c>
      <c r="L48" s="15">
        <f>L21/L20*100</f>
        <v>30.010261146243717</v>
      </c>
      <c r="M48" s="15">
        <f t="shared" ref="M48:Q48" si="12">M21/M20*100</f>
        <v>27.653123772102163</v>
      </c>
      <c r="N48" s="15">
        <f t="shared" si="12"/>
        <v>1.8843333333333334</v>
      </c>
      <c r="O48" s="15">
        <f t="shared" si="12"/>
        <v>0</v>
      </c>
      <c r="P48" s="15">
        <f t="shared" si="12"/>
        <v>0</v>
      </c>
      <c r="Q48" s="15" t="e">
        <f t="shared" si="12"/>
        <v>#DIV/0!</v>
      </c>
    </row>
    <row r="49" spans="1:17" x14ac:dyDescent="0.25">
      <c r="A49" s="13" t="s">
        <v>20</v>
      </c>
      <c r="B49" s="16">
        <f>AVERAGE(B47:B48)</f>
        <v>77.227315179440339</v>
      </c>
      <c r="C49" s="16">
        <f t="shared" ref="C49:Q49" si="13">AVERAGE(C47:C48)</f>
        <v>69.148844929762703</v>
      </c>
      <c r="D49" s="16"/>
      <c r="E49" s="16"/>
      <c r="F49" s="59">
        <f>AVERAGE(F47:F48)</f>
        <v>83.55995504952125</v>
      </c>
      <c r="G49" s="59"/>
      <c r="H49" s="59"/>
      <c r="I49" s="59"/>
      <c r="J49" s="59"/>
      <c r="K49" s="16">
        <f t="shared" si="13"/>
        <v>67.945389784474457</v>
      </c>
      <c r="L49" s="16">
        <f t="shared" si="13"/>
        <v>77.142168383859257</v>
      </c>
      <c r="M49" s="16">
        <f t="shared" si="13"/>
        <v>13.826561886051081</v>
      </c>
      <c r="N49" s="16" t="e">
        <f t="shared" si="13"/>
        <v>#DIV/0!</v>
      </c>
      <c r="O49" s="16" t="e">
        <f t="shared" si="13"/>
        <v>#DIV/0!</v>
      </c>
      <c r="P49" s="16" t="e">
        <f t="shared" si="13"/>
        <v>#DIV/0!</v>
      </c>
      <c r="Q49" s="16" t="e">
        <f t="shared" si="13"/>
        <v>#DIV/0!</v>
      </c>
    </row>
    <row r="50" spans="1:17" x14ac:dyDescent="0.25">
      <c r="B50" s="15"/>
      <c r="C50" s="15"/>
      <c r="D50" s="15"/>
      <c r="E50" s="15"/>
      <c r="F50" s="15"/>
      <c r="G50" s="15"/>
      <c r="H50" s="15"/>
      <c r="I50" s="15"/>
      <c r="J50" s="15"/>
      <c r="K50" s="15"/>
      <c r="L50" s="15"/>
    </row>
    <row r="51" spans="1:17" x14ac:dyDescent="0.25">
      <c r="A51" t="s">
        <v>21</v>
      </c>
    </row>
    <row r="52" spans="1:17" x14ac:dyDescent="0.25">
      <c r="A52" t="s">
        <v>22</v>
      </c>
      <c r="B52" s="15">
        <f>((B14/B16)*100)</f>
        <v>89.121197190511239</v>
      </c>
      <c r="C52" s="15">
        <f t="shared" ref="C52:Q52" si="14">((C14/C16)*100)</f>
        <v>67.852194147404305</v>
      </c>
      <c r="D52" s="15">
        <f t="shared" si="14"/>
        <v>65.105454545454549</v>
      </c>
      <c r="E52" s="15">
        <f t="shared" si="14"/>
        <v>84.091364091364099</v>
      </c>
      <c r="F52" s="15">
        <f t="shared" si="14"/>
        <v>88.426798111184411</v>
      </c>
      <c r="G52" s="15">
        <f t="shared" si="14"/>
        <v>97.828584311975789</v>
      </c>
      <c r="H52" s="15">
        <f t="shared" si="14"/>
        <v>63.334482362403769</v>
      </c>
      <c r="I52" s="15">
        <f t="shared" si="14"/>
        <v>61.822882015679525</v>
      </c>
      <c r="J52" s="15">
        <f t="shared" si="14"/>
        <v>77.099120296876251</v>
      </c>
      <c r="K52" s="15">
        <f t="shared" si="14"/>
        <v>77.61674718196457</v>
      </c>
      <c r="L52" s="15">
        <f t="shared" si="14"/>
        <v>110.47353760445682</v>
      </c>
      <c r="M52" s="15">
        <f t="shared" si="14"/>
        <v>0</v>
      </c>
      <c r="N52" s="15" t="e">
        <f t="shared" si="14"/>
        <v>#DIV/0!</v>
      </c>
      <c r="O52" s="15" t="e">
        <f t="shared" si="14"/>
        <v>#DIV/0!</v>
      </c>
      <c r="P52" s="15" t="e">
        <f t="shared" si="14"/>
        <v>#DIV/0!</v>
      </c>
      <c r="Q52" s="15" t="e">
        <f t="shared" si="14"/>
        <v>#DIV/0!</v>
      </c>
    </row>
    <row r="53" spans="1:17" x14ac:dyDescent="0.25">
      <c r="A53" t="s">
        <v>23</v>
      </c>
      <c r="B53" s="15">
        <f>B21/B22*100</f>
        <v>47.545319412673663</v>
      </c>
      <c r="C53" s="15">
        <f>C21/C22*100</f>
        <v>50.969754684846968</v>
      </c>
      <c r="D53" s="15"/>
      <c r="E53" s="15"/>
      <c r="F53" s="15">
        <f>F21/F22*100</f>
        <v>57.203313228947451</v>
      </c>
      <c r="G53" s="15"/>
      <c r="H53" s="15"/>
      <c r="I53" s="15"/>
      <c r="J53" s="15"/>
      <c r="K53" s="15">
        <f t="shared" ref="K53:Q53" si="15">K21/K22*100</f>
        <v>44.109106600592703</v>
      </c>
      <c r="L53" s="15">
        <f t="shared" si="15"/>
        <v>21.825644469995432</v>
      </c>
      <c r="M53" s="15">
        <f t="shared" si="15"/>
        <v>27.653123772102163</v>
      </c>
      <c r="N53" s="15">
        <f t="shared" si="15"/>
        <v>1.8843333333333334</v>
      </c>
      <c r="O53" s="15">
        <f t="shared" si="15"/>
        <v>0</v>
      </c>
      <c r="P53" s="15">
        <f t="shared" si="15"/>
        <v>0</v>
      </c>
      <c r="Q53" s="15" t="e">
        <f t="shared" si="15"/>
        <v>#DIV/0!</v>
      </c>
    </row>
    <row r="54" spans="1:17" x14ac:dyDescent="0.25">
      <c r="A54" t="s">
        <v>24</v>
      </c>
      <c r="B54" s="15">
        <f>(B52+B53)/2</f>
        <v>68.333258301592451</v>
      </c>
      <c r="C54" s="15">
        <f t="shared" ref="C54:Q54" si="16">(C52+C53)/2</f>
        <v>59.41097441612564</v>
      </c>
      <c r="D54" s="15"/>
      <c r="E54" s="15"/>
      <c r="F54" s="15">
        <f t="shared" ref="F54" si="17">(F52+F53)/2</f>
        <v>72.815055670065931</v>
      </c>
      <c r="G54" s="15"/>
      <c r="H54" s="15"/>
      <c r="I54" s="15"/>
      <c r="J54" s="15"/>
      <c r="K54" s="15">
        <f t="shared" si="16"/>
        <v>60.862926891278633</v>
      </c>
      <c r="L54" s="15">
        <f t="shared" si="16"/>
        <v>66.149591037226131</v>
      </c>
      <c r="M54" s="15">
        <f t="shared" si="16"/>
        <v>13.826561886051081</v>
      </c>
      <c r="N54" s="15" t="e">
        <f t="shared" si="16"/>
        <v>#DIV/0!</v>
      </c>
      <c r="O54" s="15" t="e">
        <f t="shared" si="16"/>
        <v>#DIV/0!</v>
      </c>
      <c r="P54" s="15" t="e">
        <f t="shared" si="16"/>
        <v>#DIV/0!</v>
      </c>
      <c r="Q54" s="15" t="e">
        <f t="shared" si="16"/>
        <v>#DIV/0!</v>
      </c>
    </row>
    <row r="55" spans="1:17" x14ac:dyDescent="0.25">
      <c r="B55" s="15"/>
      <c r="C55" s="15"/>
      <c r="D55" s="15"/>
      <c r="E55" s="15"/>
      <c r="F55" s="15"/>
      <c r="G55" s="15"/>
      <c r="H55" s="15"/>
      <c r="I55" s="15"/>
      <c r="J55" s="15"/>
      <c r="K55" s="15"/>
      <c r="L55" s="15"/>
    </row>
    <row r="56" spans="1:17" x14ac:dyDescent="0.25">
      <c r="A56" t="s">
        <v>40</v>
      </c>
    </row>
    <row r="57" spans="1:17" x14ac:dyDescent="0.25">
      <c r="A57" t="s">
        <v>25</v>
      </c>
      <c r="B57" s="15">
        <f>B23/B21*100</f>
        <v>100</v>
      </c>
      <c r="C57" s="15"/>
      <c r="D57" s="15"/>
      <c r="E57" s="15"/>
      <c r="F57" s="15"/>
      <c r="G57" s="15"/>
      <c r="H57" s="15"/>
      <c r="I57" s="15"/>
      <c r="J57" s="15"/>
      <c r="K57" s="15"/>
      <c r="L57" s="15"/>
    </row>
    <row r="59" spans="1:17" x14ac:dyDescent="0.25">
      <c r="A59" t="s">
        <v>26</v>
      </c>
    </row>
    <row r="60" spans="1:17" x14ac:dyDescent="0.25">
      <c r="A60" t="s">
        <v>27</v>
      </c>
      <c r="B60" s="15">
        <f>((B14/B10)-1)*100</f>
        <v>-1.524313805353783</v>
      </c>
      <c r="C60" s="15">
        <f t="shared" ref="C60:Q60" si="18">((C14/C10)-1)*100</f>
        <v>-4.3253076908797317</v>
      </c>
      <c r="D60" s="15">
        <f t="shared" si="18"/>
        <v>-4.0935433842135378</v>
      </c>
      <c r="E60" s="15">
        <f t="shared" si="18"/>
        <v>-5.3720277715198383</v>
      </c>
      <c r="F60" s="15">
        <f t="shared" si="18"/>
        <v>-1.4792481748880704</v>
      </c>
      <c r="G60" s="15">
        <f t="shared" si="18"/>
        <v>-0.88362978015552596</v>
      </c>
      <c r="H60" s="15">
        <f t="shared" si="18"/>
        <v>-7.7617065859550083</v>
      </c>
      <c r="I60" s="15">
        <f t="shared" si="18"/>
        <v>-3.2840951319212275</v>
      </c>
      <c r="J60" s="15">
        <f t="shared" si="18"/>
        <v>0.84670211765127679</v>
      </c>
      <c r="K60" s="15">
        <f t="shared" si="18"/>
        <v>-17.459230181521189</v>
      </c>
      <c r="L60" s="15">
        <f t="shared" si="18"/>
        <v>48.687828042989231</v>
      </c>
      <c r="M60" s="15" t="e">
        <f t="shared" si="18"/>
        <v>#DIV/0!</v>
      </c>
      <c r="N60" s="15" t="e">
        <f t="shared" si="18"/>
        <v>#DIV/0!</v>
      </c>
      <c r="O60" s="15" t="e">
        <f t="shared" si="18"/>
        <v>#DIV/0!</v>
      </c>
      <c r="P60" s="15" t="e">
        <f t="shared" si="18"/>
        <v>#DIV/0!</v>
      </c>
      <c r="Q60" s="15" t="e">
        <f t="shared" si="18"/>
        <v>#DIV/0!</v>
      </c>
    </row>
    <row r="61" spans="1:17" x14ac:dyDescent="0.25">
      <c r="A61" t="s">
        <v>28</v>
      </c>
      <c r="B61" s="15">
        <f>((B36/B35)-1)*100</f>
        <v>2.4895592669210265</v>
      </c>
      <c r="C61" s="15">
        <f t="shared" ref="C61:Q61" si="19">((C36/C35)-1)*100</f>
        <v>1.5739059270379663</v>
      </c>
      <c r="D61" s="15"/>
      <c r="E61" s="15"/>
      <c r="F61" s="15">
        <f t="shared" si="19"/>
        <v>1.8072692773033694</v>
      </c>
      <c r="G61" s="15"/>
      <c r="H61" s="15"/>
      <c r="I61" s="15"/>
      <c r="J61" s="15"/>
      <c r="K61" s="15">
        <f t="shared" si="19"/>
        <v>-6.386111950837126</v>
      </c>
      <c r="L61" s="15">
        <f t="shared" si="19"/>
        <v>50.341518582041033</v>
      </c>
      <c r="M61" s="15" t="e">
        <f t="shared" si="19"/>
        <v>#DIV/0!</v>
      </c>
      <c r="N61" s="15" t="e">
        <f t="shared" si="19"/>
        <v>#DIV/0!</v>
      </c>
      <c r="O61" s="15" t="e">
        <f t="shared" si="19"/>
        <v>#DIV/0!</v>
      </c>
      <c r="P61" s="15" t="e">
        <f t="shared" si="19"/>
        <v>#DIV/0!</v>
      </c>
      <c r="Q61" s="15" t="e">
        <f t="shared" si="19"/>
        <v>#DIV/0!</v>
      </c>
    </row>
    <row r="62" spans="1:17" x14ac:dyDescent="0.25">
      <c r="A62" s="13" t="s">
        <v>29</v>
      </c>
      <c r="B62" s="16">
        <f>((B38/B37)-1)*100</f>
        <v>4.0760041664914537</v>
      </c>
      <c r="C62" s="16">
        <f t="shared" ref="C62:Q62" si="20">((C38/C37)-1)*100</f>
        <v>6.1659081158658147</v>
      </c>
      <c r="D62" s="16"/>
      <c r="E62" s="16"/>
      <c r="F62" s="16">
        <f t="shared" si="20"/>
        <v>3.3358631469088573</v>
      </c>
      <c r="G62" s="16"/>
      <c r="H62" s="16"/>
      <c r="I62" s="16"/>
      <c r="J62" s="16"/>
      <c r="K62" s="16">
        <f t="shared" si="20"/>
        <v>13.415331908141548</v>
      </c>
      <c r="L62" s="16">
        <f t="shared" si="20"/>
        <v>1.1121895859381725</v>
      </c>
      <c r="M62" s="16" t="e">
        <f t="shared" si="20"/>
        <v>#DIV/0!</v>
      </c>
      <c r="N62" s="16" t="e">
        <f t="shared" si="20"/>
        <v>#DIV/0!</v>
      </c>
      <c r="O62" s="16" t="e">
        <f t="shared" si="20"/>
        <v>#DIV/0!</v>
      </c>
      <c r="P62" s="16" t="e">
        <f t="shared" si="20"/>
        <v>#DIV/0!</v>
      </c>
      <c r="Q62" s="16" t="e">
        <f t="shared" si="20"/>
        <v>#DIV/0!</v>
      </c>
    </row>
    <row r="63" spans="1:17" x14ac:dyDescent="0.25">
      <c r="B63" s="17"/>
      <c r="C63" s="17"/>
      <c r="D63" s="17"/>
      <c r="E63" s="17"/>
      <c r="F63" s="17"/>
      <c r="G63" s="17"/>
      <c r="H63" s="17"/>
      <c r="I63" s="17"/>
      <c r="J63" s="17"/>
      <c r="K63" s="17"/>
      <c r="L63" s="17"/>
    </row>
    <row r="64" spans="1:17" x14ac:dyDescent="0.25">
      <c r="A64" t="s">
        <v>30</v>
      </c>
    </row>
    <row r="65" spans="1:17" x14ac:dyDescent="0.25">
      <c r="A65" t="s">
        <v>31</v>
      </c>
      <c r="B65" s="4">
        <f>B20/(B12*9)</f>
        <v>12939.127426429577</v>
      </c>
      <c r="C65" s="4">
        <f>C20/(C12*9)</f>
        <v>13317.016596465281</v>
      </c>
      <c r="D65" s="4"/>
      <c r="E65" s="4"/>
      <c r="F65" s="4">
        <f>F20/(F12*9)</f>
        <v>4804.8041601498744</v>
      </c>
      <c r="G65" s="4"/>
      <c r="H65" s="40"/>
      <c r="I65" s="40"/>
      <c r="J65" s="40"/>
      <c r="K65" s="4">
        <f>K20/(K12*9)</f>
        <v>30495.946327387592</v>
      </c>
      <c r="L65" s="4">
        <f>L20/(L12*9)</f>
        <v>136714.00710256945</v>
      </c>
      <c r="M65" s="4">
        <f t="shared" ref="M65:Q65" si="21">M20/(M12*9)</f>
        <v>530.20833333333337</v>
      </c>
      <c r="N65" s="4" t="e">
        <f t="shared" si="21"/>
        <v>#DIV/0!</v>
      </c>
      <c r="O65" s="4" t="e">
        <f t="shared" si="21"/>
        <v>#DIV/0!</v>
      </c>
      <c r="P65" s="4" t="e">
        <f t="shared" si="21"/>
        <v>#DIV/0!</v>
      </c>
      <c r="Q65" s="4" t="e">
        <f t="shared" si="21"/>
        <v>#DIV/0!</v>
      </c>
    </row>
    <row r="66" spans="1:17" x14ac:dyDescent="0.25">
      <c r="A66" t="s">
        <v>32</v>
      </c>
      <c r="B66" s="4">
        <f>B21/(B14*9)</f>
        <v>9126.1597248121307</v>
      </c>
      <c r="C66" s="4">
        <f>C21/(C14*9)</f>
        <v>13355.959382215409</v>
      </c>
      <c r="D66" s="4"/>
      <c r="E66" s="44"/>
      <c r="F66" s="4">
        <f>F21/(F14*9)</f>
        <v>4144.3050183530204</v>
      </c>
      <c r="G66" s="40"/>
      <c r="H66" s="40"/>
      <c r="I66" s="40"/>
      <c r="J66" s="40"/>
      <c r="K66" s="4">
        <f>K21/(K14*9)</f>
        <v>22896.112353016277</v>
      </c>
      <c r="L66" s="4">
        <f>L21/(L14*9)</f>
        <v>33014.311592984814</v>
      </c>
      <c r="M66" s="4" t="e">
        <f t="shared" ref="M66:Q66" si="22">M21/(M14*9)</f>
        <v>#DIV/0!</v>
      </c>
      <c r="N66" s="4" t="e">
        <f t="shared" si="22"/>
        <v>#DIV/0!</v>
      </c>
      <c r="O66" s="4" t="e">
        <f t="shared" si="22"/>
        <v>#DIV/0!</v>
      </c>
      <c r="P66" s="4" t="e">
        <f t="shared" si="22"/>
        <v>#DIV/0!</v>
      </c>
      <c r="Q66" s="4" t="e">
        <f t="shared" si="22"/>
        <v>#DIV/0!</v>
      </c>
    </row>
    <row r="67" spans="1:17" x14ac:dyDescent="0.25">
      <c r="A67" s="13" t="s">
        <v>33</v>
      </c>
      <c r="B67" s="16">
        <f>(B65/B66)*B49</f>
        <v>109.49337969519136</v>
      </c>
      <c r="C67" s="16">
        <f>(C65/C66)*C49</f>
        <v>68.947223423144891</v>
      </c>
      <c r="D67" s="16"/>
      <c r="E67" s="16"/>
      <c r="F67" s="16">
        <f t="shared" ref="F67" si="23">(F65/F66)*F49</f>
        <v>96.877333561570524</v>
      </c>
      <c r="G67" s="59"/>
      <c r="H67" s="59"/>
      <c r="I67" s="59"/>
      <c r="J67" s="59"/>
      <c r="K67" s="16">
        <f>(K65/K66)*K49</f>
        <v>90.498287574475256</v>
      </c>
      <c r="L67" s="16">
        <f>(L65/L66)*L49</f>
        <v>319.44979154372379</v>
      </c>
      <c r="M67" s="16" t="e">
        <f t="shared" ref="M67:Q67" si="24">(M65/M66)*M49</f>
        <v>#DIV/0!</v>
      </c>
      <c r="N67" s="16" t="e">
        <f t="shared" si="24"/>
        <v>#DIV/0!</v>
      </c>
      <c r="O67" s="16" t="e">
        <f t="shared" si="24"/>
        <v>#DIV/0!</v>
      </c>
      <c r="P67" s="16" t="e">
        <f t="shared" si="24"/>
        <v>#DIV/0!</v>
      </c>
      <c r="Q67" s="16" t="e">
        <f t="shared" si="24"/>
        <v>#DIV/0!</v>
      </c>
    </row>
    <row r="68" spans="1:17" x14ac:dyDescent="0.25">
      <c r="A68" t="s">
        <v>41</v>
      </c>
      <c r="B68" s="30">
        <f>B20/B12</f>
        <v>116452.1468378662</v>
      </c>
      <c r="C68" s="30">
        <f>C20/C12</f>
        <v>119853.14936818751</v>
      </c>
      <c r="D68" s="30"/>
      <c r="E68" s="30"/>
      <c r="F68" s="30">
        <f t="shared" ref="F68" si="25">F20/F12</f>
        <v>43243.237441348872</v>
      </c>
      <c r="G68" s="60"/>
      <c r="H68" s="60"/>
      <c r="I68" s="60"/>
      <c r="J68" s="60"/>
      <c r="K68" s="30">
        <f t="shared" ref="K68:Q68" si="26">K20/K12</f>
        <v>274463.51694648829</v>
      </c>
      <c r="L68" s="30">
        <f t="shared" si="26"/>
        <v>1230426.0639231252</v>
      </c>
      <c r="M68" s="30">
        <f t="shared" si="26"/>
        <v>4771.875</v>
      </c>
      <c r="N68" s="30" t="e">
        <f t="shared" si="26"/>
        <v>#DIV/0!</v>
      </c>
      <c r="O68" s="30" t="e">
        <f t="shared" si="26"/>
        <v>#DIV/0!</v>
      </c>
      <c r="P68" s="30" t="e">
        <f t="shared" si="26"/>
        <v>#DIV/0!</v>
      </c>
      <c r="Q68" s="30" t="e">
        <f t="shared" si="26"/>
        <v>#DIV/0!</v>
      </c>
    </row>
    <row r="69" spans="1:17" x14ac:dyDescent="0.25">
      <c r="A69" t="s">
        <v>42</v>
      </c>
      <c r="B69" s="17">
        <f>B21/B14</f>
        <v>82135.437523309171</v>
      </c>
      <c r="C69" s="17">
        <f>C21/C14</f>
        <v>120203.63443993869</v>
      </c>
      <c r="D69" s="17"/>
      <c r="E69" s="17"/>
      <c r="F69" s="17">
        <f t="shared" ref="F69" si="27">F21/F14</f>
        <v>37298.745165177184</v>
      </c>
      <c r="G69" s="60"/>
      <c r="H69" s="60"/>
      <c r="I69" s="60"/>
      <c r="J69" s="60"/>
      <c r="K69" s="30">
        <f>K21/K14</f>
        <v>206065.01117714649</v>
      </c>
      <c r="L69" s="30">
        <f>L21/L14</f>
        <v>297128.80433686334</v>
      </c>
      <c r="M69" s="30" t="e">
        <f t="shared" ref="M69:Q69" si="28">M21/M14</f>
        <v>#DIV/0!</v>
      </c>
      <c r="N69" s="30" t="e">
        <f t="shared" si="28"/>
        <v>#DIV/0!</v>
      </c>
      <c r="O69" s="30" t="e">
        <f t="shared" si="28"/>
        <v>#DIV/0!</v>
      </c>
      <c r="P69" s="30" t="e">
        <f t="shared" si="28"/>
        <v>#DIV/0!</v>
      </c>
      <c r="Q69" s="30" t="e">
        <f t="shared" si="28"/>
        <v>#DIV/0!</v>
      </c>
    </row>
    <row r="70" spans="1:17" x14ac:dyDescent="0.25">
      <c r="B70" s="15"/>
      <c r="C70" s="15"/>
      <c r="D70" s="15"/>
      <c r="E70" s="15"/>
      <c r="F70" s="15"/>
      <c r="G70" s="15"/>
      <c r="H70" s="15"/>
      <c r="I70" s="17"/>
      <c r="J70" s="17"/>
      <c r="K70" s="15"/>
      <c r="L70" s="15"/>
    </row>
    <row r="71" spans="1:17" x14ac:dyDescent="0.25">
      <c r="A71" t="s">
        <v>34</v>
      </c>
      <c r="B71" s="15"/>
      <c r="C71" s="15"/>
      <c r="D71" s="15"/>
      <c r="E71" s="15"/>
      <c r="F71" s="15"/>
      <c r="G71" s="15"/>
      <c r="H71" s="15"/>
      <c r="I71" s="17"/>
      <c r="J71" s="17"/>
      <c r="K71" s="15"/>
      <c r="L71" s="15"/>
    </row>
    <row r="72" spans="1:17" x14ac:dyDescent="0.25">
      <c r="A72" s="18" t="s">
        <v>35</v>
      </c>
      <c r="B72" s="19">
        <f>(B27/B26)*100</f>
        <v>73.513675210868357</v>
      </c>
      <c r="C72" s="19"/>
      <c r="D72" s="19"/>
      <c r="E72" s="19"/>
      <c r="F72" s="19"/>
      <c r="G72" s="19"/>
      <c r="H72" s="19"/>
      <c r="I72" s="19"/>
      <c r="J72" s="19"/>
      <c r="K72" s="19"/>
      <c r="L72" s="19"/>
      <c r="O72" s="103"/>
      <c r="P72" s="103"/>
      <c r="Q72" s="103"/>
    </row>
    <row r="73" spans="1:17" x14ac:dyDescent="0.25">
      <c r="A73" s="18" t="s">
        <v>36</v>
      </c>
      <c r="B73" s="19">
        <f>(B21/B27)*100</f>
        <v>86.898299739801928</v>
      </c>
      <c r="C73" s="19"/>
      <c r="D73" s="19"/>
      <c r="E73" s="19"/>
      <c r="F73" s="19"/>
      <c r="G73" s="19"/>
      <c r="H73" s="19"/>
      <c r="I73" s="19"/>
      <c r="J73" s="19"/>
      <c r="K73" s="19"/>
      <c r="L73" s="19"/>
      <c r="O73" s="103"/>
      <c r="P73" s="103"/>
      <c r="Q73" s="103"/>
    </row>
    <row r="74" spans="1:17" ht="15.75" thickBot="1" x14ac:dyDescent="0.3">
      <c r="A74" s="20"/>
      <c r="B74" s="20"/>
      <c r="C74" s="20"/>
      <c r="D74" s="20"/>
      <c r="E74" s="20"/>
      <c r="F74" s="20"/>
      <c r="G74" s="20"/>
      <c r="H74" s="20"/>
      <c r="I74" s="49"/>
      <c r="J74" s="49"/>
      <c r="K74" s="20"/>
      <c r="L74" s="20"/>
      <c r="M74" s="20"/>
      <c r="N74" s="20"/>
      <c r="O74" s="20"/>
      <c r="P74" s="20"/>
      <c r="Q74" s="20"/>
    </row>
    <row r="75" spans="1:17" ht="15.75" thickTop="1" x14ac:dyDescent="0.25">
      <c r="A75" s="33" t="s">
        <v>98</v>
      </c>
    </row>
    <row r="76" spans="1:17" x14ac:dyDescent="0.25">
      <c r="A76" t="s">
        <v>99</v>
      </c>
    </row>
    <row r="77" spans="1:17" x14ac:dyDescent="0.25">
      <c r="A77" t="s">
        <v>100</v>
      </c>
    </row>
    <row r="78" spans="1:17" x14ac:dyDescent="0.25">
      <c r="A78" t="s">
        <v>55</v>
      </c>
      <c r="B78" s="21"/>
      <c r="C78" s="21"/>
      <c r="D78" s="21"/>
      <c r="E78" s="21"/>
      <c r="F78" s="21"/>
      <c r="G78" s="21"/>
      <c r="H78" s="21"/>
      <c r="I78" s="21"/>
      <c r="J78" s="21"/>
    </row>
    <row r="80" spans="1:17" x14ac:dyDescent="0.25">
      <c r="A80" t="s">
        <v>43</v>
      </c>
    </row>
    <row r="81" spans="1:1" x14ac:dyDescent="0.25">
      <c r="A81" t="s">
        <v>53</v>
      </c>
    </row>
    <row r="82" spans="1:1" x14ac:dyDescent="0.25">
      <c r="A82" t="s">
        <v>86</v>
      </c>
    </row>
    <row r="83" spans="1:1" x14ac:dyDescent="0.25">
      <c r="A83" t="s">
        <v>50</v>
      </c>
    </row>
    <row r="84" spans="1:1" x14ac:dyDescent="0.25">
      <c r="A84" t="s">
        <v>54</v>
      </c>
    </row>
    <row r="86" spans="1:1" x14ac:dyDescent="0.25">
      <c r="A86" s="104" t="s">
        <v>143</v>
      </c>
    </row>
    <row r="87" spans="1:1" x14ac:dyDescent="0.25">
      <c r="A87" s="42"/>
    </row>
  </sheetData>
  <mergeCells count="6">
    <mergeCell ref="G34:J34"/>
    <mergeCell ref="A2:K2"/>
    <mergeCell ref="A4:A5"/>
    <mergeCell ref="D5:E5"/>
    <mergeCell ref="G5:H5"/>
    <mergeCell ref="D4:N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tabSelected="1" zoomScale="80" zoomScaleNormal="80" workbookViewId="0">
      <pane xSplit="1" ySplit="6" topLeftCell="B7" activePane="bottomRight" state="frozen"/>
      <selection pane="topRight" activeCell="B1" sqref="B1"/>
      <selection pane="bottomLeft" activeCell="A7" sqref="A7"/>
      <selection pane="bottomRight" activeCell="I95" sqref="I95"/>
    </sheetView>
  </sheetViews>
  <sheetFormatPr baseColWidth="10" defaultColWidth="11.42578125" defaultRowHeight="15" x14ac:dyDescent="0.25"/>
  <cols>
    <col min="1" max="1" width="55.140625" customWidth="1"/>
    <col min="2" max="3" width="26.7109375" customWidth="1"/>
    <col min="4" max="4" width="20.85546875" customWidth="1"/>
    <col min="5" max="6" width="16.5703125" customWidth="1"/>
    <col min="7" max="7" width="16.140625" customWidth="1"/>
    <col min="8" max="10" width="17.42578125" customWidth="1"/>
    <col min="11" max="11" width="16.42578125" bestFit="1" customWidth="1"/>
    <col min="12" max="12" width="16.42578125" customWidth="1"/>
    <col min="13" max="13" width="17.42578125" customWidth="1"/>
    <col min="14" max="14" width="26" customWidth="1"/>
    <col min="15" max="15" width="15.42578125" bestFit="1" customWidth="1"/>
    <col min="16" max="16" width="23.140625" customWidth="1"/>
    <col min="17" max="17" width="31.42578125" customWidth="1"/>
  </cols>
  <sheetData>
    <row r="1" spans="1:17" x14ac:dyDescent="0.25">
      <c r="G1" s="38"/>
      <c r="H1" s="38"/>
    </row>
    <row r="2" spans="1:17" ht="15.75" x14ac:dyDescent="0.25">
      <c r="A2" s="98" t="s">
        <v>130</v>
      </c>
      <c r="B2" s="98"/>
      <c r="C2" s="98"/>
      <c r="D2" s="98"/>
      <c r="E2" s="98"/>
      <c r="F2" s="98"/>
      <c r="G2" s="98"/>
      <c r="H2" s="98"/>
      <c r="I2" s="98"/>
      <c r="J2" s="98"/>
      <c r="K2" s="98"/>
    </row>
    <row r="4" spans="1:17" x14ac:dyDescent="0.25">
      <c r="A4" s="95" t="s">
        <v>0</v>
      </c>
      <c r="B4" s="25" t="s">
        <v>1</v>
      </c>
      <c r="C4" s="25"/>
      <c r="D4" s="101" t="s">
        <v>2</v>
      </c>
      <c r="E4" s="101"/>
      <c r="F4" s="101"/>
      <c r="G4" s="101"/>
      <c r="H4" s="101"/>
      <c r="I4" s="101"/>
      <c r="J4" s="101"/>
      <c r="K4" s="101"/>
      <c r="L4" s="101"/>
      <c r="M4" s="101"/>
      <c r="N4" s="101"/>
      <c r="O4" s="101"/>
    </row>
    <row r="5" spans="1:17" ht="15.75" thickBot="1" x14ac:dyDescent="0.3">
      <c r="A5" s="96"/>
      <c r="B5" s="1" t="s">
        <v>3</v>
      </c>
      <c r="C5" s="57" t="s">
        <v>56</v>
      </c>
      <c r="D5" s="97" t="s">
        <v>4</v>
      </c>
      <c r="E5" s="97"/>
      <c r="F5" s="57" t="s">
        <v>57</v>
      </c>
      <c r="G5" s="97" t="s">
        <v>52</v>
      </c>
      <c r="H5" s="97"/>
      <c r="I5" s="48"/>
      <c r="J5" s="48"/>
      <c r="K5" s="1" t="s">
        <v>5</v>
      </c>
      <c r="L5" s="20" t="s">
        <v>51</v>
      </c>
      <c r="M5" s="20" t="s">
        <v>138</v>
      </c>
      <c r="N5" s="20" t="s">
        <v>87</v>
      </c>
      <c r="O5" s="20" t="s">
        <v>88</v>
      </c>
      <c r="P5" s="20" t="s">
        <v>139</v>
      </c>
      <c r="Q5" s="20" t="s">
        <v>140</v>
      </c>
    </row>
    <row r="6" spans="1:17" ht="15.75" thickTop="1" x14ac:dyDescent="0.25">
      <c r="B6" s="36" t="s">
        <v>1</v>
      </c>
      <c r="C6" s="36" t="s">
        <v>59</v>
      </c>
      <c r="D6" s="36" t="s">
        <v>48</v>
      </c>
      <c r="E6" s="36" t="s">
        <v>49</v>
      </c>
      <c r="F6" s="36" t="s">
        <v>60</v>
      </c>
      <c r="G6" s="36">
        <v>1600</v>
      </c>
      <c r="H6" s="36">
        <v>640</v>
      </c>
      <c r="I6" s="47">
        <v>320</v>
      </c>
      <c r="J6" s="47">
        <v>800</v>
      </c>
      <c r="K6" s="36" t="s">
        <v>5</v>
      </c>
      <c r="L6" t="s">
        <v>61</v>
      </c>
      <c r="M6" t="s">
        <v>138</v>
      </c>
      <c r="N6" t="s">
        <v>87</v>
      </c>
      <c r="O6" s="33" t="s">
        <v>88</v>
      </c>
      <c r="P6" s="33" t="s">
        <v>139</v>
      </c>
      <c r="Q6" s="33" t="s">
        <v>140</v>
      </c>
    </row>
    <row r="7" spans="1:17" x14ac:dyDescent="0.25">
      <c r="A7" s="2" t="s">
        <v>6</v>
      </c>
      <c r="I7" s="32"/>
      <c r="J7" s="32"/>
    </row>
    <row r="8" spans="1:17" x14ac:dyDescent="0.25">
      <c r="I8" s="32"/>
      <c r="J8" s="32"/>
    </row>
    <row r="9" spans="1:17" x14ac:dyDescent="0.25">
      <c r="A9" t="s">
        <v>7</v>
      </c>
      <c r="I9" s="32"/>
      <c r="J9" s="32"/>
      <c r="O9" s="75"/>
    </row>
    <row r="10" spans="1:17" x14ac:dyDescent="0.25">
      <c r="A10" s="3" t="s">
        <v>82</v>
      </c>
      <c r="B10" s="24">
        <f>+D10+G10</f>
        <v>123685.25</v>
      </c>
      <c r="C10" s="24">
        <f>+D10+E10</f>
        <v>30566.166666666668</v>
      </c>
      <c r="D10" s="24">
        <f>(+'I Trimestre'!D10+'II Trimestre'!D10+'III Trimestre'!D10+'IV Trimestre'!D10)/4</f>
        <v>24876.416666666668</v>
      </c>
      <c r="E10" s="24">
        <f>(+'I Trimestre'!E10+'II Trimestre'!E10+'III Trimestre'!E10+'IV Trimestre'!E10)/4</f>
        <v>5689.75</v>
      </c>
      <c r="F10" s="24">
        <f>G10+I10</f>
        <v>118230.25</v>
      </c>
      <c r="G10" s="24">
        <f>(+'I Trimestre'!G10+'II Trimestre'!G10+'III Trimestre'!G10+'IV Trimestre'!G10)/4</f>
        <v>98808.833333333328</v>
      </c>
      <c r="H10" s="64">
        <f>(+'I Trimestre'!H10+'II Trimestre'!H10+'III Trimestre'!H10+'IV Trimestre'!H10)/4</f>
        <v>3886.333333333333</v>
      </c>
      <c r="I10" s="64">
        <f>(+'I Trimestre'!I10+'II Trimestre'!I10+'III Trimestre'!I10+'IV Trimestre'!I10)/4</f>
        <v>19421.416666666668</v>
      </c>
      <c r="J10" s="37">
        <f>(+'I Trimestre'!J10+'II Trimestre'!J10+'III Trimestre'!J10+'IV Trimestre'!J10)/4</f>
        <v>25243.75</v>
      </c>
      <c r="K10" s="24">
        <f>(+'I Trimestre'!K10+'II Trimestre'!K10+'III Trimestre'!K10+'IV Trimestre'!K10)/4</f>
        <v>8641.9166666666661</v>
      </c>
      <c r="L10" s="24">
        <f>(+'I Trimestre'!L10+'II Trimestre'!L10+'III Trimestre'!L10+'IV Trimestre'!L10)/4</f>
        <v>1461.25</v>
      </c>
      <c r="M10" s="85">
        <f>(+'I Trimestre'!M10+'II Trimestre'!M10+'III Trimestre'!M10+'IV Trimestre'!M10)/4</f>
        <v>0</v>
      </c>
      <c r="N10" s="87">
        <f>(+'I Trimestre'!N10+'II Trimestre'!N10+'III Trimestre'!N10+'IV Trimestre'!N10)/4</f>
        <v>0</v>
      </c>
      <c r="O10" s="85">
        <f>(+'I Trimestre'!O10+'II Trimestre'!O10+'III Trimestre'!O10+'IV Trimestre'!O10)/4</f>
        <v>0</v>
      </c>
      <c r="P10" s="89">
        <f>(+'I Trimestre'!P10+'II Trimestre'!P10+'III Trimestre'!P10+'IV Trimestre'!P10)/4</f>
        <v>0</v>
      </c>
      <c r="Q10" s="89">
        <f>(+'I Trimestre'!Q10+'II Trimestre'!Q10+'III Trimestre'!Q10+'IV Trimestre'!Q10)/4</f>
        <v>0</v>
      </c>
    </row>
    <row r="11" spans="1:17" x14ac:dyDescent="0.25">
      <c r="A11" s="27" t="s">
        <v>37</v>
      </c>
      <c r="B11" s="24">
        <f t="shared" ref="B11:B16" si="0">+D11+G11</f>
        <v>100872.33333333334</v>
      </c>
      <c r="C11" s="24">
        <f t="shared" ref="C11:C16" si="1">+D11+E11</f>
        <v>24003.916666666668</v>
      </c>
      <c r="D11" s="24">
        <f>(+'I Trimestre'!D11+'II Trimestre'!D11+'III Trimestre'!D11+'IV Trimestre'!D11)/4</f>
        <v>18314.166666666668</v>
      </c>
      <c r="E11" s="24">
        <f>(+'I Trimestre'!E11+'II Trimestre'!E11+'III Trimestre'!E11+'IV Trimestre'!E11)/4</f>
        <v>5689.75</v>
      </c>
      <c r="F11" s="24">
        <f>G11+I11</f>
        <v>101979.58333333334</v>
      </c>
      <c r="G11" s="24">
        <f>(+'I Trimestre'!G11+'II Trimestre'!G11+'III Trimestre'!G11+'IV Trimestre'!G11)/4</f>
        <v>82558.166666666672</v>
      </c>
      <c r="H11" s="64">
        <f>(+'I Trimestre'!H11+'II Trimestre'!H11+'III Trimestre'!H11+'IV Trimestre'!H11)/4</f>
        <v>3886.333333333333</v>
      </c>
      <c r="I11" s="64">
        <f>(+'I Trimestre'!I11+'II Trimestre'!I11+'III Trimestre'!I11+'IV Trimestre'!I11)/4</f>
        <v>19421.416666666668</v>
      </c>
      <c r="J11" s="37">
        <f>(+'I Trimestre'!J11+'II Trimestre'!J11+'III Trimestre'!J11+'IV Trimestre'!J11)/4</f>
        <v>25243.75</v>
      </c>
      <c r="K11" s="24">
        <f>(+'I Trimestre'!K11+'II Trimestre'!K11+'III Trimestre'!K11+'IV Trimestre'!K11)/4</f>
        <v>8641.9166666666661</v>
      </c>
      <c r="L11" s="24">
        <f>(+'I Trimestre'!L11+'II Trimestre'!L11+'III Trimestre'!L11+'IV Trimestre'!L11)/4</f>
        <v>1461.25</v>
      </c>
      <c r="M11" s="85">
        <f>(+'I Trimestre'!M11+'II Trimestre'!M11+'III Trimestre'!M11+'IV Trimestre'!M11)/4</f>
        <v>0</v>
      </c>
      <c r="N11" s="87">
        <f>(+'I Trimestre'!N11+'II Trimestre'!N11+'III Trimestre'!N11+'IV Trimestre'!N11)/4</f>
        <v>0</v>
      </c>
      <c r="O11" s="85">
        <f>(+'I Trimestre'!O11+'II Trimestre'!O11+'III Trimestre'!O11+'IV Trimestre'!O11)/4</f>
        <v>0</v>
      </c>
      <c r="P11" s="89">
        <f>(+'I Trimestre'!P11+'II Trimestre'!P11+'III Trimestre'!P11+'IV Trimestre'!P11)/4</f>
        <v>0</v>
      </c>
      <c r="Q11" s="89">
        <f>(+'I Trimestre'!Q11+'II Trimestre'!Q11+'III Trimestre'!Q11+'IV Trimestre'!Q11)/4</f>
        <v>0</v>
      </c>
    </row>
    <row r="12" spans="1:17" x14ac:dyDescent="0.25">
      <c r="A12" s="3" t="s">
        <v>131</v>
      </c>
      <c r="B12" s="24">
        <f t="shared" si="0"/>
        <v>135643.5</v>
      </c>
      <c r="C12" s="24">
        <f t="shared" si="1"/>
        <v>42198.75</v>
      </c>
      <c r="D12" s="24">
        <f>(+'I Trimestre'!D12+'II Trimestre'!D12+'III Trimestre'!D12+'IV Trimestre'!D12)/4</f>
        <v>36093.75</v>
      </c>
      <c r="E12" s="24">
        <f>(+'I Trimestre'!E12+'II Trimestre'!E12+'III Trimestre'!E12+'IV Trimestre'!E12)/4</f>
        <v>6105</v>
      </c>
      <c r="F12" s="24">
        <f>SUM(G12:I12)</f>
        <v>135046.41666666666</v>
      </c>
      <c r="G12" s="24">
        <f>(+'I Trimestre'!G12+'II Trimestre'!G12+'III Trimestre'!G12+'IV Trimestre'!G12)/4</f>
        <v>99549.75</v>
      </c>
      <c r="H12" s="24">
        <f>(+'I Trimestre'!H12+'II Trimestre'!H12+'III Trimestre'!H12+'IV Trimestre'!H12)/4</f>
        <v>5560.25</v>
      </c>
      <c r="I12" s="37">
        <f>(+'I Trimestre'!I12+'II Trimestre'!I12+'III Trimestre'!I12+'IV Trimestre'!I12)/4</f>
        <v>29936.416666666668</v>
      </c>
      <c r="J12" s="37">
        <f>(+'I Trimestre'!J12+'II Trimestre'!J12+'III Trimestre'!J12+'IV Trimestre'!J12)/4</f>
        <v>32441.5</v>
      </c>
      <c r="K12" s="24">
        <f>(+'I Trimestre'!K12+'II Trimestre'!K12+'III Trimestre'!K12+'IV Trimestre'!K12)/4</f>
        <v>8970</v>
      </c>
      <c r="L12" s="24">
        <f>(+'I Trimestre'!L12+'II Trimestre'!L12+'III Trimestre'!L12+'IV Trimestre'!L12)/4</f>
        <v>1645.5</v>
      </c>
      <c r="M12" s="85">
        <f>(+'I Trimestre'!M12+'II Trimestre'!M12+'III Trimestre'!M12+'IV Trimestre'!M12)/4</f>
        <v>5000</v>
      </c>
      <c r="N12" s="87">
        <f>(+'I Trimestre'!N12+'II Trimestre'!N12+'III Trimestre'!N12+'IV Trimestre'!N12)/4</f>
        <v>0</v>
      </c>
      <c r="O12" s="85">
        <f>(+'I Trimestre'!O12+'II Trimestre'!O12+'III Trimestre'!O12+'IV Trimestre'!O12)/4</f>
        <v>0</v>
      </c>
      <c r="P12" s="89">
        <f>(+'I Trimestre'!P12+'II Trimestre'!P12+'III Trimestre'!P12+'IV Trimestre'!P12)/4</f>
        <v>0</v>
      </c>
      <c r="Q12" s="89">
        <f>(+'I Trimestre'!Q12+'II Trimestre'!Q12+'III Trimestre'!Q12+'IV Trimestre'!Q12)/4</f>
        <v>0</v>
      </c>
    </row>
    <row r="13" spans="1:17" x14ac:dyDescent="0.25">
      <c r="A13" s="27" t="s">
        <v>37</v>
      </c>
      <c r="B13" s="24">
        <f t="shared" si="0"/>
        <v>126570</v>
      </c>
      <c r="C13" s="24">
        <f t="shared" si="1"/>
        <v>33125.25</v>
      </c>
      <c r="D13" s="24">
        <f>(+'I Trimestre'!D13+'II Trimestre'!D13+'III Trimestre'!D13+'IV Trimestre'!D13)/4</f>
        <v>27020.25</v>
      </c>
      <c r="E13" s="24">
        <f>(+'I Trimestre'!E13+'II Trimestre'!E13+'III Trimestre'!E13+'IV Trimestre'!E13)/4</f>
        <v>6105</v>
      </c>
      <c r="F13" s="24">
        <f t="shared" ref="F13:F16" si="2">SUM(G13:I13)</f>
        <v>135046.41666666666</v>
      </c>
      <c r="G13" s="24">
        <f>(+'I Trimestre'!G13+'II Trimestre'!G13+'III Trimestre'!G13+'IV Trimestre'!G13)/4</f>
        <v>99549.75</v>
      </c>
      <c r="H13" s="24">
        <f>(+'I Trimestre'!H13+'II Trimestre'!H13+'III Trimestre'!H13+'IV Trimestre'!H13)/4</f>
        <v>5560.25</v>
      </c>
      <c r="I13" s="37">
        <f>(+'I Trimestre'!I13+'II Trimestre'!I13+'III Trimestre'!I13+'IV Trimestre'!I13)/4</f>
        <v>29936.416666666668</v>
      </c>
      <c r="J13" s="37">
        <f>(+'I Trimestre'!J13+'II Trimestre'!J13+'III Trimestre'!J13+'IV Trimestre'!J13)/4</f>
        <v>32441.5</v>
      </c>
      <c r="K13" s="24">
        <f>(+'I Trimestre'!K13+'II Trimestre'!K13+'III Trimestre'!K13+'IV Trimestre'!K13)/4</f>
        <v>8970</v>
      </c>
      <c r="L13" s="24">
        <f>(+'I Trimestre'!L13+'II Trimestre'!L13+'III Trimestre'!L13+'IV Trimestre'!L13)/4</f>
        <v>1645.5</v>
      </c>
      <c r="M13" s="85">
        <f>(+'I Trimestre'!M13+'II Trimestre'!M13+'III Trimestre'!M13+'IV Trimestre'!M13)/4</f>
        <v>5000</v>
      </c>
      <c r="N13" s="87">
        <f>(+'I Trimestre'!N13+'II Trimestre'!N13+'III Trimestre'!N13+'IV Trimestre'!N13)/4</f>
        <v>0</v>
      </c>
      <c r="O13" s="85">
        <f>(+'I Trimestre'!O13+'II Trimestre'!O13+'III Trimestre'!O13+'IV Trimestre'!O13)/4</f>
        <v>0</v>
      </c>
      <c r="P13" s="89">
        <f>(+'I Trimestre'!P13+'II Trimestre'!P13+'III Trimestre'!P13+'IV Trimestre'!P13)/4</f>
        <v>0</v>
      </c>
      <c r="Q13" s="89">
        <f>(+'I Trimestre'!Q13+'II Trimestre'!Q13+'III Trimestre'!Q13+'IV Trimestre'!Q13)/4</f>
        <v>0</v>
      </c>
    </row>
    <row r="14" spans="1:17" x14ac:dyDescent="0.25">
      <c r="A14" s="3" t="s">
        <v>132</v>
      </c>
      <c r="B14" s="24">
        <f t="shared" si="0"/>
        <v>122210.41666666666</v>
      </c>
      <c r="C14" s="24">
        <f t="shared" si="1"/>
        <v>29279</v>
      </c>
      <c r="D14" s="24">
        <f>(+'I Trimestre'!D14+'II Trimestre'!D14+'III Trimestre'!D14+'IV Trimestre'!D14)/4</f>
        <v>23901</v>
      </c>
      <c r="E14" s="24">
        <f>(+'I Trimestre'!E14+'II Trimestre'!E14+'III Trimestre'!E14+'IV Trimestre'!E14)/4</f>
        <v>5378</v>
      </c>
      <c r="F14" s="24">
        <f t="shared" si="2"/>
        <v>120721.99999999999</v>
      </c>
      <c r="G14" s="24">
        <f>(+'I Trimestre'!G14+'II Trimestre'!G14+'III Trimestre'!G14+'IV Trimestre'!G14)/4</f>
        <v>98309.416666666657</v>
      </c>
      <c r="H14" s="24">
        <f>(+'I Trimestre'!H14+'II Trimestre'!H14+'III Trimestre'!H14+'IV Trimestre'!H14)/4</f>
        <v>3603.333333333333</v>
      </c>
      <c r="I14" s="37">
        <f>(+'I Trimestre'!I14+'II Trimestre'!I14+'III Trimestre'!I14+'IV Trimestre'!I14)/4</f>
        <v>18809.25</v>
      </c>
      <c r="J14" s="37">
        <f>(+'I Trimestre'!J14+'II Trimestre'!J14+'III Trimestre'!J14+'IV Trimestre'!J14)/4</f>
        <v>25351.25</v>
      </c>
      <c r="K14" s="24">
        <f>(+'I Trimestre'!K14+'II Trimestre'!K14+'III Trimestre'!K14+'IV Trimestre'!K14)/4</f>
        <v>7444.5</v>
      </c>
      <c r="L14" s="24">
        <f>(+'I Trimestre'!L14+'II Trimestre'!L14+'III Trimestre'!L14+'IV Trimestre'!L14)/4</f>
        <v>2131.75</v>
      </c>
      <c r="M14" s="85">
        <f>(+'I Trimestre'!M14+'II Trimestre'!M14+'III Trimestre'!M14+'IV Trimestre'!M14)/4</f>
        <v>0</v>
      </c>
      <c r="N14" s="87">
        <f>(+'I Trimestre'!N14+'II Trimestre'!N14+'III Trimestre'!N14+'IV Trimestre'!N14)/4</f>
        <v>0</v>
      </c>
      <c r="O14" s="85">
        <f>(+'I Trimestre'!O14+'II Trimestre'!O14+'III Trimestre'!O14+'IV Trimestre'!O14)/4</f>
        <v>0</v>
      </c>
      <c r="P14" s="89">
        <f>(+'I Trimestre'!P14+'II Trimestre'!P14+'III Trimestre'!P14+'IV Trimestre'!P14)/4</f>
        <v>0</v>
      </c>
      <c r="Q14" s="89">
        <f>(+'I Trimestre'!Q14+'II Trimestre'!Q14+'III Trimestre'!Q14+'IV Trimestre'!Q14)/4</f>
        <v>0</v>
      </c>
    </row>
    <row r="15" spans="1:17" x14ac:dyDescent="0.25">
      <c r="A15" s="27" t="s">
        <v>37</v>
      </c>
      <c r="B15" s="24">
        <f t="shared" si="0"/>
        <v>100505.41666666667</v>
      </c>
      <c r="C15" s="24">
        <f t="shared" si="1"/>
        <v>22955.25</v>
      </c>
      <c r="D15" s="24">
        <f>(+'I Trimestre'!D15+'II Trimestre'!D15+'III Trimestre'!D15+'IV Trimestre'!D15)/4</f>
        <v>17577.25</v>
      </c>
      <c r="E15" s="24">
        <f>(+'I Trimestre'!E15+'II Trimestre'!E15+'III Trimestre'!E15+'IV Trimestre'!E15)/4</f>
        <v>5378</v>
      </c>
      <c r="F15" s="24">
        <f t="shared" si="2"/>
        <v>105340.75</v>
      </c>
      <c r="G15" s="24">
        <f>(+'I Trimestre'!G15+'II Trimestre'!G15+'III Trimestre'!G15+'IV Trimestre'!G15)/4</f>
        <v>82928.166666666672</v>
      </c>
      <c r="H15" s="24">
        <f>(+'I Trimestre'!H15+'II Trimestre'!H15+'III Trimestre'!H15+'IV Trimestre'!H15)/4</f>
        <v>3603.333333333333</v>
      </c>
      <c r="I15" s="37">
        <f>(+'I Trimestre'!I15+'II Trimestre'!I15+'III Trimestre'!I15+'IV Trimestre'!I15)/4</f>
        <v>18809.25</v>
      </c>
      <c r="J15" s="37">
        <f>(+'I Trimestre'!J15+'II Trimestre'!J15+'III Trimestre'!J15+'IV Trimestre'!J15)/4</f>
        <v>25351.25</v>
      </c>
      <c r="K15" s="24">
        <f>(+'I Trimestre'!K15+'II Trimestre'!K15+'III Trimestre'!K15+'IV Trimestre'!K15)/4</f>
        <v>7444.5</v>
      </c>
      <c r="L15" s="24">
        <f>(+'I Trimestre'!L15+'II Trimestre'!L15+'III Trimestre'!L15+'IV Trimestre'!L15)/4</f>
        <v>2131.75</v>
      </c>
      <c r="M15" s="85">
        <f>(+'I Trimestre'!M15+'II Trimestre'!M15+'III Trimestre'!M15+'IV Trimestre'!M15)/4</f>
        <v>0</v>
      </c>
      <c r="N15" s="87">
        <f>(+'I Trimestre'!N15+'II Trimestre'!N15+'III Trimestre'!N15+'IV Trimestre'!N15)/4</f>
        <v>0</v>
      </c>
      <c r="O15" s="85">
        <f>(+'I Trimestre'!O15+'II Trimestre'!O15+'III Trimestre'!O15+'IV Trimestre'!O15)/4</f>
        <v>0</v>
      </c>
      <c r="P15" s="89">
        <f>(+'I Trimestre'!P15+'II Trimestre'!P15+'III Trimestre'!P15+'IV Trimestre'!P15)/4</f>
        <v>0</v>
      </c>
      <c r="Q15" s="89">
        <f>(+'I Trimestre'!Q15+'II Trimestre'!Q15+'III Trimestre'!Q15+'IV Trimestre'!Q15)/4</f>
        <v>0</v>
      </c>
    </row>
    <row r="16" spans="1:17" x14ac:dyDescent="0.25">
      <c r="A16" s="3" t="s">
        <v>93</v>
      </c>
      <c r="B16" s="24">
        <f t="shared" si="0"/>
        <v>135643.5</v>
      </c>
      <c r="C16" s="24">
        <f t="shared" si="1"/>
        <v>42198.75</v>
      </c>
      <c r="D16" s="4">
        <f>+'IV Trimestre'!D16</f>
        <v>36093.75</v>
      </c>
      <c r="E16" s="4">
        <f>+'IV Trimestre'!E16</f>
        <v>6105</v>
      </c>
      <c r="F16" s="24">
        <f t="shared" si="2"/>
        <v>135046.41666666666</v>
      </c>
      <c r="G16" s="4">
        <f>+'IV Trimestre'!G16</f>
        <v>99549.75</v>
      </c>
      <c r="H16" s="4">
        <f>+'IV Trimestre'!H16</f>
        <v>5560.25</v>
      </c>
      <c r="I16" s="5">
        <f>'IV Trimestre'!I16</f>
        <v>29936.416666666668</v>
      </c>
      <c r="J16" s="5">
        <f>'IV Trimestre'!J16</f>
        <v>32441.5</v>
      </c>
      <c r="K16" s="4">
        <f>+'IV Trimestre'!K16</f>
        <v>8970</v>
      </c>
      <c r="L16" s="4">
        <f>+'IV Trimestre'!L16</f>
        <v>1795</v>
      </c>
      <c r="M16" s="86">
        <f>+'IV Trimestre'!M16</f>
        <v>20000</v>
      </c>
      <c r="N16" s="88">
        <f>+'IV Trimestre'!N16</f>
        <v>0</v>
      </c>
      <c r="O16" s="86">
        <f>+'IV Trimestre'!O16</f>
        <v>0</v>
      </c>
      <c r="P16" s="90">
        <f>+'IV Trimestre'!P16</f>
        <v>0</v>
      </c>
      <c r="Q16" s="90">
        <f>+'IV Trimestre'!Q16</f>
        <v>0</v>
      </c>
    </row>
    <row r="17" spans="1:18" x14ac:dyDescent="0.25">
      <c r="B17" s="22"/>
      <c r="C17" s="22"/>
      <c r="D17" s="22"/>
      <c r="E17" s="22"/>
      <c r="F17" s="22"/>
      <c r="G17" s="22"/>
      <c r="H17" s="22"/>
      <c r="I17" s="45"/>
      <c r="J17" s="45"/>
      <c r="K17" s="22"/>
    </row>
    <row r="18" spans="1:18" x14ac:dyDescent="0.25">
      <c r="A18" s="6" t="s">
        <v>8</v>
      </c>
      <c r="B18" s="24"/>
      <c r="C18" s="24"/>
      <c r="D18" s="22"/>
      <c r="E18" s="24"/>
      <c r="F18" s="24"/>
      <c r="G18" s="24"/>
      <c r="H18" s="24"/>
      <c r="I18" s="37"/>
      <c r="J18" s="37"/>
      <c r="K18" s="24"/>
      <c r="L18" s="24"/>
      <c r="P18" s="102"/>
      <c r="Q18" s="102"/>
      <c r="R18" s="102"/>
    </row>
    <row r="19" spans="1:18" x14ac:dyDescent="0.25">
      <c r="A19" s="3" t="s">
        <v>82</v>
      </c>
      <c r="B19" s="24">
        <f>C19+F19+K19+L19+M19+N19+O19+P19+Q19</f>
        <v>14989181613.43</v>
      </c>
      <c r="C19" s="24">
        <f>+'I Trimestre'!C19+'II Trimestre'!C19+'III Trimestre'!C19+'IV Trimestre'!C19</f>
        <v>4613820275</v>
      </c>
      <c r="D19" s="40"/>
      <c r="E19" s="40"/>
      <c r="F19" s="54">
        <f>+'I Trimestre'!F19+'II Trimestre'!F19+'III Trimestre'!F19+'IV Trimestre'!F19</f>
        <v>6769912078.1999998</v>
      </c>
      <c r="G19" s="40"/>
      <c r="H19" s="40"/>
      <c r="I19" s="40"/>
      <c r="J19" s="40"/>
      <c r="K19" s="52">
        <f>+'I Trimestre'!K19+'II Trimestre'!K19+'III Trimestre'!K19+'IV Trimestre'!K19</f>
        <v>2807362128.2300005</v>
      </c>
      <c r="L19" s="52">
        <f>+'I Trimestre'!L19+'II Trimestre'!L19+'III Trimestre'!L19+'IV Trimestre'!L19</f>
        <v>551179057</v>
      </c>
      <c r="M19" s="52">
        <f>+'I Trimestre'!M19+'II Trimestre'!M19+'III Trimestre'!M19+'IV Trimestre'!M19</f>
        <v>246908075</v>
      </c>
      <c r="N19" s="52">
        <f>+'I Trimestre'!N19+'II Trimestre'!N19+'III Trimestre'!N19+'IV Trimestre'!N19</f>
        <v>0</v>
      </c>
      <c r="O19" s="52">
        <f>+'I Trimestre'!O19+'II Trimestre'!O19+'III Trimestre'!O19+'IV Trimestre'!O19</f>
        <v>0</v>
      </c>
      <c r="P19" s="52">
        <f>+'I Trimestre'!P19+'II Trimestre'!P19+'III Trimestre'!P19+'IV Trimestre'!P19</f>
        <v>0</v>
      </c>
      <c r="Q19" s="52">
        <f>+'I Trimestre'!Q19+'II Trimestre'!Q19+'III Trimestre'!Q19+'IV Trimestre'!Q19</f>
        <v>0</v>
      </c>
      <c r="R19" s="39"/>
    </row>
    <row r="20" spans="1:18" x14ac:dyDescent="0.25">
      <c r="A20" s="61" t="s">
        <v>133</v>
      </c>
      <c r="B20" s="24">
        <f t="shared" ref="B20:B23" si="3">C20+F20+K20+L20+M20+N20+O20+P20+Q20</f>
        <v>21259609427.360001</v>
      </c>
      <c r="C20" s="24">
        <f>+'I Trimestre'!C20+'II Trimestre'!C20+'III Trimestre'!C20+'IV Trimestre'!C20</f>
        <v>6752561346</v>
      </c>
      <c r="D20" s="40"/>
      <c r="E20" s="40"/>
      <c r="F20" s="55">
        <f>+'I Trimestre'!F20+'II Trimestre'!F20+'III Trimestre'!F20+'IV Trimestre'!F20</f>
        <v>7786459015.3600006</v>
      </c>
      <c r="G20" s="40"/>
      <c r="H20" s="40"/>
      <c r="I20" s="40"/>
      <c r="J20" s="40"/>
      <c r="K20" s="52">
        <f>+'I Trimestre'!K20+'II Trimestre'!K20+'III Trimestre'!K20+'IV Trimestre'!K20</f>
        <v>3252549214</v>
      </c>
      <c r="L20" s="52">
        <f>+'I Trimestre'!L20+'II Trimestre'!L20+'III Trimestre'!L20+'IV Trimestre'!L20</f>
        <v>2699606052</v>
      </c>
      <c r="M20" s="52">
        <f>+'I Trimestre'!M20+'II Trimestre'!M20+'III Trimestre'!M20+'IV Trimestre'!M20</f>
        <v>31812500</v>
      </c>
      <c r="N20" s="52">
        <f>+'I Trimestre'!N20+'II Trimestre'!N20+'III Trimestre'!N20+'IV Trimestre'!N20</f>
        <v>30000000</v>
      </c>
      <c r="O20" s="52">
        <f>+'I Trimestre'!O20+'II Trimestre'!O20+'III Trimestre'!O20+'IV Trimestre'!O20</f>
        <v>330000000</v>
      </c>
      <c r="P20" s="52">
        <f>+'I Trimestre'!P20+'II Trimestre'!P20+'III Trimestre'!P20+'IV Trimestre'!P20</f>
        <v>488700</v>
      </c>
      <c r="Q20" s="52">
        <f>+'I Trimestre'!Q20+'II Trimestre'!Q20+'III Trimestre'!Q20+'IV Trimestre'!Q20</f>
        <v>376132600</v>
      </c>
      <c r="R20" s="39"/>
    </row>
    <row r="21" spans="1:18" x14ac:dyDescent="0.25">
      <c r="A21" s="3" t="s">
        <v>132</v>
      </c>
      <c r="B21" s="24">
        <f t="shared" si="3"/>
        <v>15934824934.66</v>
      </c>
      <c r="C21" s="24">
        <f>+'I Trimestre'!C21+'II Trimestre'!C21+'III Trimestre'!C21+'IV Trimestre'!C21</f>
        <v>4780755120</v>
      </c>
      <c r="D21" s="40"/>
      <c r="E21" s="40"/>
      <c r="F21" s="55">
        <f>+'I Trimestre'!F21+'II Trimestre'!F21+'III Trimestre'!F21+'IV Trimestre'!F21</f>
        <v>7376709440</v>
      </c>
      <c r="G21" s="40"/>
      <c r="H21" s="40"/>
      <c r="I21" s="40"/>
      <c r="J21" s="40"/>
      <c r="K21" s="52">
        <f>+'I Trimestre'!K21+'II Trimestre'!K21+'III Trimestre'!K21+'IV Trimestre'!K21</f>
        <v>2453008902.4299998</v>
      </c>
      <c r="L21" s="52">
        <f>+'I Trimestre'!L21+'II Trimestre'!L21+'III Trimestre'!L21+'IV Trimestre'!L21</f>
        <v>913151161</v>
      </c>
      <c r="M21" s="52">
        <f>+'I Trimestre'!M21+'II Trimestre'!M21+'III Trimestre'!M21+'IV Trimestre'!M21</f>
        <v>31297130</v>
      </c>
      <c r="N21" s="52">
        <f>+'I Trimestre'!N21+'II Trimestre'!N21+'III Trimestre'!N21+'IV Trimestre'!N21</f>
        <v>565300</v>
      </c>
      <c r="O21" s="52">
        <f>+'I Trimestre'!O21+'II Trimestre'!O21+'III Trimestre'!O21+'IV Trimestre'!O21</f>
        <v>285410855.60000002</v>
      </c>
      <c r="P21" s="52">
        <f>+'I Trimestre'!P21+'II Trimestre'!P21+'III Trimestre'!P21+'IV Trimestre'!P21</f>
        <v>0</v>
      </c>
      <c r="Q21" s="52">
        <f>+'I Trimestre'!Q21+'II Trimestre'!Q21+'III Trimestre'!Q21+'IV Trimestre'!Q21</f>
        <v>93927025.629999995</v>
      </c>
      <c r="R21" s="39"/>
    </row>
    <row r="22" spans="1:18" x14ac:dyDescent="0.25">
      <c r="A22" s="3" t="s">
        <v>93</v>
      </c>
      <c r="B22" s="24">
        <f t="shared" si="3"/>
        <v>21259609427.360001</v>
      </c>
      <c r="C22" s="24">
        <f>+'IV Trimestre'!C22</f>
        <v>6752561345.999999</v>
      </c>
      <c r="D22" s="40"/>
      <c r="E22" s="40"/>
      <c r="F22" s="55">
        <f>+'IV Trimestre'!F22</f>
        <v>7786459015.3600025</v>
      </c>
      <c r="G22" s="40"/>
      <c r="H22" s="40"/>
      <c r="I22" s="40"/>
      <c r="J22" s="40"/>
      <c r="K22" s="24">
        <f>+'IV Trimestre'!K22</f>
        <v>3252549214</v>
      </c>
      <c r="L22" s="24">
        <f>+'IV Trimestre'!L22</f>
        <v>2699606052</v>
      </c>
      <c r="M22" s="24">
        <f>+'IV Trimestre'!M22</f>
        <v>31812500</v>
      </c>
      <c r="N22" s="24">
        <f>+'IV Trimestre'!N22</f>
        <v>30000000</v>
      </c>
      <c r="O22" s="24">
        <f>+'IV Trimestre'!O22</f>
        <v>330000000</v>
      </c>
      <c r="P22" s="24">
        <f>+'IV Trimestre'!P22</f>
        <v>488700</v>
      </c>
      <c r="Q22" s="24">
        <f>+'IV Trimestre'!Q22</f>
        <v>376132600</v>
      </c>
      <c r="R22" s="39"/>
    </row>
    <row r="23" spans="1:18" x14ac:dyDescent="0.25">
      <c r="A23" s="3" t="s">
        <v>134</v>
      </c>
      <c r="B23" s="24">
        <f t="shared" si="3"/>
        <v>15934824934.66</v>
      </c>
      <c r="C23" s="4">
        <f>C21</f>
        <v>4780755120</v>
      </c>
      <c r="D23" s="40"/>
      <c r="E23" s="40"/>
      <c r="F23" s="40">
        <f>F21</f>
        <v>7376709440</v>
      </c>
      <c r="G23" s="40"/>
      <c r="H23" s="40"/>
      <c r="I23" s="40"/>
      <c r="J23" s="40"/>
      <c r="K23" s="4">
        <f t="shared" ref="K23:Q23" si="4">K21</f>
        <v>2453008902.4299998</v>
      </c>
      <c r="L23" s="4">
        <f t="shared" si="4"/>
        <v>913151161</v>
      </c>
      <c r="M23" s="65">
        <f t="shared" si="4"/>
        <v>31297130</v>
      </c>
      <c r="N23" s="4">
        <f t="shared" si="4"/>
        <v>565300</v>
      </c>
      <c r="O23" s="65">
        <f t="shared" si="4"/>
        <v>285410855.60000002</v>
      </c>
      <c r="P23" s="65">
        <f t="shared" si="4"/>
        <v>0</v>
      </c>
      <c r="Q23" s="65">
        <f t="shared" si="4"/>
        <v>93927025.629999995</v>
      </c>
    </row>
    <row r="24" spans="1:18" x14ac:dyDescent="0.25">
      <c r="B24" s="22"/>
      <c r="C24" s="22"/>
      <c r="D24" s="22"/>
      <c r="E24" s="22"/>
      <c r="F24" s="22"/>
      <c r="G24" s="22"/>
      <c r="H24" s="22"/>
      <c r="I24" s="45"/>
      <c r="J24" s="45"/>
      <c r="K24" s="22"/>
    </row>
    <row r="25" spans="1:18" x14ac:dyDescent="0.25">
      <c r="A25" s="7" t="s">
        <v>9</v>
      </c>
      <c r="B25" s="23"/>
      <c r="C25" s="23" t="s">
        <v>58</v>
      </c>
      <c r="D25" s="43"/>
      <c r="E25" s="43"/>
      <c r="F25" s="43"/>
      <c r="G25" s="23"/>
      <c r="H25" s="23"/>
      <c r="I25" s="23"/>
      <c r="J25" s="23"/>
      <c r="K25" s="23"/>
      <c r="L25" s="23"/>
    </row>
    <row r="26" spans="1:18" x14ac:dyDescent="0.25">
      <c r="A26" s="9" t="s">
        <v>131</v>
      </c>
      <c r="B26" s="23">
        <f>+B20</f>
        <v>21259609427.360001</v>
      </c>
      <c r="C26" s="43"/>
      <c r="D26" s="43"/>
      <c r="E26" s="43"/>
      <c r="F26" s="43"/>
      <c r="G26" s="23"/>
      <c r="H26" s="23"/>
      <c r="I26" s="23"/>
      <c r="J26" s="23"/>
      <c r="K26" s="23"/>
      <c r="L26" s="23"/>
      <c r="M26" s="72"/>
    </row>
    <row r="27" spans="1:18" x14ac:dyDescent="0.25">
      <c r="A27" s="9" t="s">
        <v>132</v>
      </c>
      <c r="B27" s="23">
        <f>+'I Trimestre'!B27+'II Trimestre'!B27+'III Trimestre'!B27+'IV Trimestre'!B27</f>
        <v>16364809449.58</v>
      </c>
      <c r="C27" s="43"/>
      <c r="D27" s="43"/>
      <c r="E27" s="43"/>
      <c r="F27" s="43"/>
      <c r="G27" s="23"/>
      <c r="H27" s="23"/>
      <c r="I27" s="23"/>
      <c r="J27" s="23"/>
      <c r="K27" s="23"/>
      <c r="L27" s="23"/>
    </row>
    <row r="28" spans="1:18" x14ac:dyDescent="0.25">
      <c r="I28" s="32"/>
      <c r="J28" s="32"/>
    </row>
    <row r="29" spans="1:18" x14ac:dyDescent="0.25">
      <c r="A29" t="s">
        <v>10</v>
      </c>
      <c r="I29" s="32"/>
      <c r="J29" s="32"/>
    </row>
    <row r="30" spans="1:18" x14ac:dyDescent="0.25">
      <c r="A30" s="10" t="s">
        <v>83</v>
      </c>
      <c r="B30" s="11">
        <v>0.98</v>
      </c>
      <c r="C30" s="11">
        <v>0.98</v>
      </c>
      <c r="D30" s="11">
        <v>0.98</v>
      </c>
      <c r="E30" s="11">
        <v>0.98</v>
      </c>
      <c r="F30" s="11">
        <v>0.98</v>
      </c>
      <c r="G30" s="11">
        <v>0.98</v>
      </c>
      <c r="H30" s="11">
        <v>0.98</v>
      </c>
      <c r="I30" s="11">
        <v>0.98</v>
      </c>
      <c r="J30" s="11">
        <v>0.98</v>
      </c>
      <c r="K30" s="11">
        <v>0.98</v>
      </c>
      <c r="L30" s="11">
        <v>0.98</v>
      </c>
      <c r="M30" s="11">
        <v>0.98</v>
      </c>
      <c r="N30" s="11">
        <v>0.98</v>
      </c>
      <c r="O30" s="11">
        <v>0.98</v>
      </c>
      <c r="P30" s="11">
        <v>0.98</v>
      </c>
      <c r="Q30" s="11">
        <v>0.98</v>
      </c>
    </row>
    <row r="31" spans="1:18" x14ac:dyDescent="0.25">
      <c r="A31" s="10" t="s">
        <v>135</v>
      </c>
      <c r="B31">
        <v>0.99</v>
      </c>
      <c r="C31">
        <v>0.99</v>
      </c>
      <c r="D31">
        <v>0.99</v>
      </c>
      <c r="E31">
        <v>0.99</v>
      </c>
      <c r="F31">
        <v>0.99</v>
      </c>
      <c r="G31">
        <v>0.99</v>
      </c>
      <c r="H31">
        <v>0.99</v>
      </c>
      <c r="I31">
        <v>0.99</v>
      </c>
      <c r="J31">
        <v>0.99</v>
      </c>
      <c r="K31">
        <v>0.99</v>
      </c>
      <c r="L31">
        <v>0.99</v>
      </c>
      <c r="M31">
        <v>0.99</v>
      </c>
      <c r="N31">
        <v>0.99</v>
      </c>
      <c r="O31">
        <v>0.99</v>
      </c>
      <c r="P31">
        <v>0.99</v>
      </c>
      <c r="Q31">
        <v>0.99</v>
      </c>
    </row>
    <row r="32" spans="1:18" x14ac:dyDescent="0.25">
      <c r="A32" s="3" t="s">
        <v>11</v>
      </c>
      <c r="B32" s="4">
        <v>126642</v>
      </c>
      <c r="C32" s="4">
        <v>126642</v>
      </c>
      <c r="D32" s="4">
        <v>126642</v>
      </c>
      <c r="E32" s="4">
        <v>126642</v>
      </c>
      <c r="F32" s="4">
        <v>126642</v>
      </c>
      <c r="G32" s="4">
        <v>126642</v>
      </c>
      <c r="H32" s="4">
        <v>126642</v>
      </c>
      <c r="I32" s="4">
        <v>126642</v>
      </c>
      <c r="J32" s="4">
        <v>126642</v>
      </c>
      <c r="K32" s="4">
        <v>126642</v>
      </c>
      <c r="L32" s="4">
        <v>126642</v>
      </c>
      <c r="M32" s="4">
        <v>126642</v>
      </c>
      <c r="N32" s="4">
        <v>126642</v>
      </c>
      <c r="O32" s="4">
        <v>126642</v>
      </c>
      <c r="P32" s="4">
        <v>126642</v>
      </c>
      <c r="Q32" s="4">
        <v>126642</v>
      </c>
    </row>
    <row r="33" spans="1:17" x14ac:dyDescent="0.25">
      <c r="I33" s="32"/>
      <c r="J33" s="32"/>
    </row>
    <row r="34" spans="1:17" x14ac:dyDescent="0.25">
      <c r="A34" s="12" t="s">
        <v>12</v>
      </c>
      <c r="B34" s="13"/>
      <c r="C34" s="13"/>
      <c r="D34" s="51"/>
      <c r="E34" s="51"/>
      <c r="F34" s="51"/>
      <c r="G34" s="94"/>
      <c r="H34" s="94"/>
      <c r="I34" s="94"/>
      <c r="J34" s="94"/>
      <c r="K34" s="13"/>
      <c r="L34" s="13"/>
      <c r="M34" s="13"/>
      <c r="N34" s="13"/>
      <c r="O34" s="13"/>
      <c r="P34" s="13"/>
    </row>
    <row r="35" spans="1:17" x14ac:dyDescent="0.25">
      <c r="A35" s="13" t="s">
        <v>84</v>
      </c>
      <c r="B35" s="14">
        <f>B19/B30</f>
        <v>15295083279.010204</v>
      </c>
      <c r="C35" s="50">
        <f>C19/C30</f>
        <v>4707979872.4489794</v>
      </c>
      <c r="D35" s="50"/>
      <c r="E35" s="50"/>
      <c r="F35" s="50">
        <f>F19/F30</f>
        <v>6908073549.1836739</v>
      </c>
      <c r="G35" s="50"/>
      <c r="H35" s="50"/>
      <c r="I35" s="50"/>
      <c r="J35" s="50"/>
      <c r="K35" s="14">
        <f>K19/K30</f>
        <v>2864655232.8877559</v>
      </c>
      <c r="L35" s="14">
        <f>L19/L30</f>
        <v>562427609.1836735</v>
      </c>
      <c r="M35" s="14">
        <f t="shared" ref="M35:Q35" si="5">M19/M30</f>
        <v>251947015.30612245</v>
      </c>
      <c r="N35" s="14">
        <f t="shared" si="5"/>
        <v>0</v>
      </c>
      <c r="O35" s="14">
        <f t="shared" si="5"/>
        <v>0</v>
      </c>
      <c r="P35" s="14">
        <f t="shared" si="5"/>
        <v>0</v>
      </c>
      <c r="Q35" s="14">
        <f t="shared" si="5"/>
        <v>0</v>
      </c>
    </row>
    <row r="36" spans="1:17" x14ac:dyDescent="0.25">
      <c r="A36" s="13" t="s">
        <v>136</v>
      </c>
      <c r="B36" s="14">
        <f>B21/B31</f>
        <v>16095782762.282827</v>
      </c>
      <c r="C36" s="50">
        <f>C21/C31</f>
        <v>4829045575.757576</v>
      </c>
      <c r="D36" s="50"/>
      <c r="E36" s="50"/>
      <c r="F36" s="50">
        <f>F21/F31</f>
        <v>7451221656.5656567</v>
      </c>
      <c r="G36" s="50"/>
      <c r="H36" s="50"/>
      <c r="I36" s="50"/>
      <c r="J36" s="50"/>
      <c r="K36" s="14">
        <f>K21/K31</f>
        <v>2477786770.1313128</v>
      </c>
      <c r="L36" s="14">
        <f>L21/L31</f>
        <v>922374910.10101008</v>
      </c>
      <c r="M36" s="14">
        <f t="shared" ref="M36:Q36" si="6">M21/M31</f>
        <v>31613262.626262628</v>
      </c>
      <c r="N36" s="14">
        <f t="shared" si="6"/>
        <v>571010.10101010103</v>
      </c>
      <c r="O36" s="14">
        <f t="shared" si="6"/>
        <v>288293793.53535354</v>
      </c>
      <c r="P36" s="14">
        <f t="shared" si="6"/>
        <v>0</v>
      </c>
      <c r="Q36" s="14">
        <f t="shared" si="6"/>
        <v>94875783.464646459</v>
      </c>
    </row>
    <row r="37" spans="1:17" x14ac:dyDescent="0.25">
      <c r="A37" s="13" t="s">
        <v>85</v>
      </c>
      <c r="B37" s="14">
        <f>B35/B10</f>
        <v>123661.33616587429</v>
      </c>
      <c r="C37" s="50">
        <f>C35/C10</f>
        <v>154025.85230234885</v>
      </c>
      <c r="D37" s="50"/>
      <c r="E37" s="50"/>
      <c r="F37" s="50">
        <f>F35/F10</f>
        <v>58428.985383890111</v>
      </c>
      <c r="G37" s="50"/>
      <c r="H37" s="50"/>
      <c r="I37" s="50"/>
      <c r="J37" s="50"/>
      <c r="K37" s="14">
        <f>K35/K10</f>
        <v>331483.78344554227</v>
      </c>
      <c r="L37" s="14">
        <f>L35/L10</f>
        <v>384894.85658420768</v>
      </c>
      <c r="M37" s="14" t="e">
        <f t="shared" ref="M37:Q37" si="7">M35/M10</f>
        <v>#DIV/0!</v>
      </c>
      <c r="N37" s="14" t="e">
        <f t="shared" si="7"/>
        <v>#DIV/0!</v>
      </c>
      <c r="O37" s="14" t="e">
        <f t="shared" si="7"/>
        <v>#DIV/0!</v>
      </c>
      <c r="P37" s="14" t="e">
        <f t="shared" si="7"/>
        <v>#DIV/0!</v>
      </c>
      <c r="Q37" s="14" t="e">
        <f t="shared" si="7"/>
        <v>#DIV/0!</v>
      </c>
    </row>
    <row r="38" spans="1:17" x14ac:dyDescent="0.25">
      <c r="A38" s="13" t="s">
        <v>137</v>
      </c>
      <c r="B38" s="14">
        <f>B36/B14</f>
        <v>131705.48960801482</v>
      </c>
      <c r="C38" s="50">
        <f>C36/C14</f>
        <v>164932.05286237836</v>
      </c>
      <c r="D38" s="50"/>
      <c r="E38" s="50"/>
      <c r="F38" s="50">
        <f>F36/F14</f>
        <v>61722.152189043074</v>
      </c>
      <c r="G38" s="50"/>
      <c r="H38" s="50"/>
      <c r="I38" s="50"/>
      <c r="J38" s="50"/>
      <c r="K38" s="34">
        <f>K36/K14</f>
        <v>332834.54498372122</v>
      </c>
      <c r="L38" s="34">
        <f>L36/L14</f>
        <v>432684.37204222358</v>
      </c>
      <c r="M38" s="34" t="e">
        <f t="shared" ref="M38:Q38" si="8">M36/M14</f>
        <v>#DIV/0!</v>
      </c>
      <c r="N38" s="34" t="e">
        <f t="shared" si="8"/>
        <v>#DIV/0!</v>
      </c>
      <c r="O38" s="34" t="e">
        <f t="shared" si="8"/>
        <v>#DIV/0!</v>
      </c>
      <c r="P38" s="34" t="e">
        <f t="shared" si="8"/>
        <v>#DIV/0!</v>
      </c>
      <c r="Q38" s="34" t="e">
        <f t="shared" si="8"/>
        <v>#DIV/0!</v>
      </c>
    </row>
    <row r="39" spans="1:17" x14ac:dyDescent="0.25">
      <c r="I39" s="32"/>
      <c r="J39" s="32"/>
    </row>
    <row r="40" spans="1:17" x14ac:dyDescent="0.25">
      <c r="A40" s="2" t="s">
        <v>13</v>
      </c>
      <c r="I40" s="32"/>
      <c r="J40" s="32"/>
    </row>
    <row r="41" spans="1:17" x14ac:dyDescent="0.25">
      <c r="I41" s="32"/>
      <c r="J41" s="32"/>
    </row>
    <row r="42" spans="1:17" x14ac:dyDescent="0.25">
      <c r="A42" t="s">
        <v>14</v>
      </c>
      <c r="I42" s="32"/>
      <c r="J42" s="32"/>
    </row>
    <row r="43" spans="1:17" x14ac:dyDescent="0.25">
      <c r="A43" t="s">
        <v>15</v>
      </c>
      <c r="B43" s="17">
        <f>(B13/B32)*100</f>
        <v>99.94314682332876</v>
      </c>
      <c r="C43" s="17">
        <f t="shared" ref="C43:Q43" si="9">(C13/C32)*100</f>
        <v>26.156606812905668</v>
      </c>
      <c r="D43" s="17">
        <f t="shared" si="9"/>
        <v>21.335931207656227</v>
      </c>
      <c r="E43" s="17">
        <f t="shared" si="9"/>
        <v>4.8206756052494439</v>
      </c>
      <c r="F43" s="17">
        <f t="shared" si="9"/>
        <v>106.63635813289956</v>
      </c>
      <c r="G43" s="17">
        <f t="shared" si="9"/>
        <v>78.607215615672516</v>
      </c>
      <c r="H43" s="17">
        <f t="shared" si="9"/>
        <v>4.3905260498096998</v>
      </c>
      <c r="I43" s="17">
        <f t="shared" si="9"/>
        <v>23.638616467417339</v>
      </c>
      <c r="J43" s="17">
        <f t="shared" si="9"/>
        <v>25.61669904139227</v>
      </c>
      <c r="K43" s="17">
        <f t="shared" si="9"/>
        <v>7.0829582602927932</v>
      </c>
      <c r="L43" s="17">
        <f t="shared" si="9"/>
        <v>1.2993319751741128</v>
      </c>
      <c r="M43" s="17">
        <f t="shared" si="9"/>
        <v>3.9481372688365628</v>
      </c>
      <c r="N43" s="17">
        <f t="shared" si="9"/>
        <v>0</v>
      </c>
      <c r="O43" s="17">
        <f t="shared" si="9"/>
        <v>0</v>
      </c>
      <c r="P43" s="17">
        <f t="shared" si="9"/>
        <v>0</v>
      </c>
      <c r="Q43" s="17">
        <f t="shared" si="9"/>
        <v>0</v>
      </c>
    </row>
    <row r="44" spans="1:17" x14ac:dyDescent="0.25">
      <c r="A44" t="s">
        <v>16</v>
      </c>
      <c r="B44" s="17">
        <f>(B15/B32)*100</f>
        <v>79.361836252322831</v>
      </c>
      <c r="C44" s="17">
        <f t="shared" ref="C44:Q44" si="10">(C15/C32)*100</f>
        <v>18.126095608092101</v>
      </c>
      <c r="D44" s="17">
        <f t="shared" si="10"/>
        <v>13.879479161731496</v>
      </c>
      <c r="E44" s="17">
        <f t="shared" si="10"/>
        <v>4.2466164463606066</v>
      </c>
      <c r="F44" s="17">
        <f t="shared" si="10"/>
        <v>83.179948200439043</v>
      </c>
      <c r="G44" s="17">
        <f t="shared" si="10"/>
        <v>65.482357090591321</v>
      </c>
      <c r="H44" s="17">
        <f t="shared" si="10"/>
        <v>2.8452909250748828</v>
      </c>
      <c r="I44" s="17">
        <f t="shared" si="10"/>
        <v>14.852300184772824</v>
      </c>
      <c r="J44" s="17">
        <f t="shared" si="10"/>
        <v>20.018042987318584</v>
      </c>
      <c r="K44" s="17">
        <f t="shared" si="10"/>
        <v>5.8783815795707586</v>
      </c>
      <c r="L44" s="17">
        <f t="shared" si="10"/>
        <v>1.6832883245684684</v>
      </c>
      <c r="M44" s="17">
        <f t="shared" si="10"/>
        <v>0</v>
      </c>
      <c r="N44" s="17">
        <f t="shared" si="10"/>
        <v>0</v>
      </c>
      <c r="O44" s="17">
        <f t="shared" si="10"/>
        <v>0</v>
      </c>
      <c r="P44" s="17">
        <f t="shared" si="10"/>
        <v>0</v>
      </c>
      <c r="Q44" s="17">
        <f t="shared" si="10"/>
        <v>0</v>
      </c>
    </row>
    <row r="45" spans="1:17" x14ac:dyDescent="0.25">
      <c r="I45" s="32"/>
      <c r="J45" s="32"/>
    </row>
    <row r="46" spans="1:17" x14ac:dyDescent="0.25">
      <c r="A46" t="s">
        <v>17</v>
      </c>
      <c r="I46" s="32"/>
      <c r="J46" s="32"/>
    </row>
    <row r="47" spans="1:17" x14ac:dyDescent="0.25">
      <c r="A47" t="s">
        <v>18</v>
      </c>
      <c r="B47" s="15">
        <f>B14/B12*100</f>
        <v>90.096773281924058</v>
      </c>
      <c r="C47" s="15">
        <f t="shared" ref="C47:Q47" si="11">C14/C12*100</f>
        <v>69.383571788263879</v>
      </c>
      <c r="D47" s="15">
        <f t="shared" si="11"/>
        <v>66.219220779220777</v>
      </c>
      <c r="E47" s="15">
        <f t="shared" si="11"/>
        <v>88.0917280917281</v>
      </c>
      <c r="F47" s="15">
        <f t="shared" si="11"/>
        <v>89.392967973357301</v>
      </c>
      <c r="G47" s="15">
        <f t="shared" si="11"/>
        <v>98.754056807442169</v>
      </c>
      <c r="H47" s="15">
        <f t="shared" si="11"/>
        <v>64.805239572561177</v>
      </c>
      <c r="I47" s="15">
        <f t="shared" si="11"/>
        <v>62.830666106219567</v>
      </c>
      <c r="J47" s="15">
        <f t="shared" si="11"/>
        <v>78.144506265123383</v>
      </c>
      <c r="K47" s="15">
        <f t="shared" si="11"/>
        <v>82.993311036789294</v>
      </c>
      <c r="L47" s="15">
        <f t="shared" si="11"/>
        <v>129.55028866605895</v>
      </c>
      <c r="M47" s="15">
        <f t="shared" si="11"/>
        <v>0</v>
      </c>
      <c r="N47" s="15" t="e">
        <f t="shared" si="11"/>
        <v>#DIV/0!</v>
      </c>
      <c r="O47" s="15" t="e">
        <f t="shared" si="11"/>
        <v>#DIV/0!</v>
      </c>
      <c r="P47" s="15" t="e">
        <f t="shared" si="11"/>
        <v>#DIV/0!</v>
      </c>
      <c r="Q47" s="15" t="e">
        <f t="shared" si="11"/>
        <v>#DIV/0!</v>
      </c>
    </row>
    <row r="48" spans="1:17" x14ac:dyDescent="0.25">
      <c r="A48" t="s">
        <v>19</v>
      </c>
      <c r="B48" s="15">
        <f>B21/B20*100</f>
        <v>74.953516851314859</v>
      </c>
      <c r="C48" s="15">
        <f>C21/C20*100</f>
        <v>70.799136431866188</v>
      </c>
      <c r="D48" s="15"/>
      <c r="E48" s="15"/>
      <c r="F48" s="58">
        <f>F21/F20*100</f>
        <v>94.737664777382051</v>
      </c>
      <c r="G48" s="58"/>
      <c r="H48" s="58"/>
      <c r="I48" s="58"/>
      <c r="J48" s="58"/>
      <c r="K48" s="15">
        <f>K21/K20*100</f>
        <v>75.418041082098739</v>
      </c>
      <c r="L48" s="15">
        <f>L21/L20*100</f>
        <v>33.825348714250104</v>
      </c>
      <c r="M48" s="15">
        <f t="shared" ref="M48:Q48" si="12">M21/M20*100</f>
        <v>98.379976424361487</v>
      </c>
      <c r="N48" s="15">
        <f t="shared" si="12"/>
        <v>1.8843333333333334</v>
      </c>
      <c r="O48" s="15">
        <f t="shared" si="12"/>
        <v>86.488138060606062</v>
      </c>
      <c r="P48" s="15">
        <f t="shared" si="12"/>
        <v>0</v>
      </c>
      <c r="Q48" s="15">
        <f t="shared" si="12"/>
        <v>24.971785383665228</v>
      </c>
    </row>
    <row r="49" spans="1:17" x14ac:dyDescent="0.25">
      <c r="A49" s="13" t="s">
        <v>20</v>
      </c>
      <c r="B49" s="16">
        <f>AVERAGE(B47:B48)</f>
        <v>82.525145066619459</v>
      </c>
      <c r="C49" s="16">
        <f t="shared" ref="C49:Q49" si="13">AVERAGE(C47:C48)</f>
        <v>70.091354110065026</v>
      </c>
      <c r="D49" s="16"/>
      <c r="E49" s="16"/>
      <c r="F49" s="59">
        <f>AVERAGE(F47:F48)</f>
        <v>92.065316375369676</v>
      </c>
      <c r="G49" s="59"/>
      <c r="H49" s="59"/>
      <c r="I49" s="59"/>
      <c r="J49" s="59"/>
      <c r="K49" s="16">
        <f t="shared" si="13"/>
        <v>79.205676059444016</v>
      </c>
      <c r="L49" s="16">
        <f t="shared" si="13"/>
        <v>81.687818690154529</v>
      </c>
      <c r="M49" s="16">
        <f t="shared" si="13"/>
        <v>49.189988212180744</v>
      </c>
      <c r="N49" s="16" t="e">
        <f t="shared" si="13"/>
        <v>#DIV/0!</v>
      </c>
      <c r="O49" s="16" t="e">
        <f t="shared" si="13"/>
        <v>#DIV/0!</v>
      </c>
      <c r="P49" s="16" t="e">
        <f t="shared" si="13"/>
        <v>#DIV/0!</v>
      </c>
      <c r="Q49" s="16" t="e">
        <f t="shared" si="13"/>
        <v>#DIV/0!</v>
      </c>
    </row>
    <row r="50" spans="1:17" x14ac:dyDescent="0.25">
      <c r="B50" s="15"/>
      <c r="C50" s="15"/>
      <c r="D50" s="15"/>
      <c r="E50" s="15"/>
      <c r="F50" s="15"/>
      <c r="G50" s="15"/>
      <c r="H50" s="15"/>
      <c r="I50" s="15"/>
      <c r="J50" s="15"/>
      <c r="K50" s="15"/>
      <c r="L50" s="15"/>
    </row>
    <row r="51" spans="1:17" x14ac:dyDescent="0.25">
      <c r="A51" t="s">
        <v>21</v>
      </c>
    </row>
    <row r="52" spans="1:17" x14ac:dyDescent="0.25">
      <c r="A52" t="s">
        <v>22</v>
      </c>
      <c r="B52" s="15">
        <f>((B14/B16)*100)</f>
        <v>90.096773281924058</v>
      </c>
      <c r="C52" s="15">
        <f t="shared" ref="C52:Q52" si="14">((C14/C16)*100)</f>
        <v>69.383571788263879</v>
      </c>
      <c r="D52" s="15">
        <f t="shared" si="14"/>
        <v>66.219220779220777</v>
      </c>
      <c r="E52" s="15">
        <f t="shared" si="14"/>
        <v>88.0917280917281</v>
      </c>
      <c r="F52" s="15">
        <f t="shared" si="14"/>
        <v>89.392967973357301</v>
      </c>
      <c r="G52" s="15">
        <f t="shared" si="14"/>
        <v>98.754056807442169</v>
      </c>
      <c r="H52" s="15">
        <f t="shared" si="14"/>
        <v>64.805239572561177</v>
      </c>
      <c r="I52" s="15">
        <f t="shared" si="14"/>
        <v>62.830666106219567</v>
      </c>
      <c r="J52" s="15">
        <f t="shared" si="14"/>
        <v>78.144506265123383</v>
      </c>
      <c r="K52" s="15">
        <f t="shared" si="14"/>
        <v>82.993311036789294</v>
      </c>
      <c r="L52" s="15">
        <f t="shared" si="14"/>
        <v>118.76044568245125</v>
      </c>
      <c r="M52" s="15">
        <f t="shared" si="14"/>
        <v>0</v>
      </c>
      <c r="N52" s="15" t="e">
        <f t="shared" si="14"/>
        <v>#DIV/0!</v>
      </c>
      <c r="O52" s="15" t="e">
        <f t="shared" si="14"/>
        <v>#DIV/0!</v>
      </c>
      <c r="P52" s="15" t="e">
        <f t="shared" si="14"/>
        <v>#DIV/0!</v>
      </c>
      <c r="Q52" s="15" t="e">
        <f t="shared" si="14"/>
        <v>#DIV/0!</v>
      </c>
    </row>
    <row r="53" spans="1:17" x14ac:dyDescent="0.25">
      <c r="A53" t="s">
        <v>23</v>
      </c>
      <c r="B53" s="15">
        <f>B21/B22*100</f>
        <v>74.953516851314859</v>
      </c>
      <c r="C53" s="15">
        <f>C21/C22*100</f>
        <v>70.799136431866202</v>
      </c>
      <c r="D53" s="15"/>
      <c r="E53" s="15"/>
      <c r="F53" s="15">
        <f>F21/F22*100</f>
        <v>94.737664777382022</v>
      </c>
      <c r="G53" s="15"/>
      <c r="H53" s="15"/>
      <c r="I53" s="15"/>
      <c r="J53" s="15"/>
      <c r="K53" s="15">
        <f t="shared" ref="K53:Q53" si="15">K21/K22*100</f>
        <v>75.418041082098739</v>
      </c>
      <c r="L53" s="15">
        <f t="shared" si="15"/>
        <v>33.825348714250104</v>
      </c>
      <c r="M53" s="15">
        <f t="shared" si="15"/>
        <v>98.379976424361487</v>
      </c>
      <c r="N53" s="15">
        <f t="shared" si="15"/>
        <v>1.8843333333333334</v>
      </c>
      <c r="O53" s="15">
        <f t="shared" si="15"/>
        <v>86.488138060606062</v>
      </c>
      <c r="P53" s="15">
        <f t="shared" si="15"/>
        <v>0</v>
      </c>
      <c r="Q53" s="15">
        <f t="shared" si="15"/>
        <v>24.971785383665228</v>
      </c>
    </row>
    <row r="54" spans="1:17" x14ac:dyDescent="0.25">
      <c r="A54" t="s">
        <v>24</v>
      </c>
      <c r="B54" s="15">
        <f>(B52+B53)/2</f>
        <v>82.525145066619459</v>
      </c>
      <c r="C54" s="15">
        <f t="shared" ref="C54:Q54" si="16">(C52+C53)/2</f>
        <v>70.091354110065041</v>
      </c>
      <c r="D54" s="15"/>
      <c r="E54" s="15"/>
      <c r="F54" s="15">
        <f t="shared" ref="F54" si="17">(F52+F53)/2</f>
        <v>92.065316375369662</v>
      </c>
      <c r="G54" s="15"/>
      <c r="H54" s="15"/>
      <c r="I54" s="15"/>
      <c r="J54" s="15"/>
      <c r="K54" s="15">
        <f t="shared" si="16"/>
        <v>79.205676059444016</v>
      </c>
      <c r="L54" s="15">
        <f t="shared" si="16"/>
        <v>76.292897198350673</v>
      </c>
      <c r="M54" s="15">
        <f t="shared" si="16"/>
        <v>49.189988212180744</v>
      </c>
      <c r="N54" s="15" t="e">
        <f t="shared" si="16"/>
        <v>#DIV/0!</v>
      </c>
      <c r="O54" s="15" t="e">
        <f t="shared" si="16"/>
        <v>#DIV/0!</v>
      </c>
      <c r="P54" s="15" t="e">
        <f t="shared" si="16"/>
        <v>#DIV/0!</v>
      </c>
      <c r="Q54" s="15" t="e">
        <f t="shared" si="16"/>
        <v>#DIV/0!</v>
      </c>
    </row>
    <row r="55" spans="1:17" x14ac:dyDescent="0.25">
      <c r="B55" s="15"/>
      <c r="C55" s="15"/>
      <c r="D55" s="15"/>
      <c r="E55" s="15"/>
      <c r="F55" s="15"/>
      <c r="G55" s="15"/>
      <c r="H55" s="15"/>
      <c r="I55" s="15"/>
      <c r="J55" s="15"/>
      <c r="K55" s="15"/>
      <c r="L55" s="15"/>
    </row>
    <row r="56" spans="1:17" x14ac:dyDescent="0.25">
      <c r="A56" t="s">
        <v>40</v>
      </c>
    </row>
    <row r="57" spans="1:17" x14ac:dyDescent="0.25">
      <c r="A57" t="s">
        <v>25</v>
      </c>
      <c r="B57" s="15">
        <f>B23/B21*100</f>
        <v>100</v>
      </c>
      <c r="C57" s="15"/>
      <c r="D57" s="15"/>
      <c r="E57" s="15"/>
      <c r="F57" s="15"/>
      <c r="G57" s="15"/>
      <c r="H57" s="15"/>
      <c r="I57" s="15"/>
      <c r="J57" s="15"/>
      <c r="K57" s="15"/>
      <c r="L57" s="15"/>
    </row>
    <row r="59" spans="1:17" x14ac:dyDescent="0.25">
      <c r="A59" t="s">
        <v>26</v>
      </c>
    </row>
    <row r="60" spans="1:17" x14ac:dyDescent="0.25">
      <c r="A60" t="s">
        <v>27</v>
      </c>
      <c r="B60" s="15">
        <f>((B14/B10)-1)*100</f>
        <v>-1.192408418411528</v>
      </c>
      <c r="C60" s="15">
        <f t="shared" ref="C60:Q60" si="18">((C14/C10)-1)*100</f>
        <v>-4.2110830602463567</v>
      </c>
      <c r="D60" s="15">
        <f t="shared" si="18"/>
        <v>-3.9210497224613672</v>
      </c>
      <c r="E60" s="15">
        <f t="shared" si="18"/>
        <v>-5.4791511050573449</v>
      </c>
      <c r="F60" s="15">
        <f t="shared" si="18"/>
        <v>2.1075401599844223</v>
      </c>
      <c r="G60" s="15">
        <f t="shared" si="18"/>
        <v>-0.50543726691102409</v>
      </c>
      <c r="H60" s="15">
        <f t="shared" si="18"/>
        <v>-7.2819281241959022</v>
      </c>
      <c r="I60" s="15">
        <f t="shared" si="18"/>
        <v>-3.1520186048906607</v>
      </c>
      <c r="J60" s="15">
        <f t="shared" si="18"/>
        <v>0.42584798217379927</v>
      </c>
      <c r="K60" s="15">
        <f t="shared" si="18"/>
        <v>-13.855915450854839</v>
      </c>
      <c r="L60" s="15">
        <f t="shared" si="18"/>
        <v>45.885372112917032</v>
      </c>
      <c r="M60" s="15" t="e">
        <f t="shared" si="18"/>
        <v>#DIV/0!</v>
      </c>
      <c r="N60" s="15" t="e">
        <f t="shared" si="18"/>
        <v>#DIV/0!</v>
      </c>
      <c r="O60" s="15" t="e">
        <f t="shared" si="18"/>
        <v>#DIV/0!</v>
      </c>
      <c r="P60" s="15" t="e">
        <f t="shared" si="18"/>
        <v>#DIV/0!</v>
      </c>
      <c r="Q60" s="15" t="e">
        <f t="shared" si="18"/>
        <v>#DIV/0!</v>
      </c>
    </row>
    <row r="61" spans="1:17" x14ac:dyDescent="0.25">
      <c r="A61" t="s">
        <v>28</v>
      </c>
      <c r="B61" s="15">
        <f>((B36/B35)-1)*100</f>
        <v>5.235012249795612</v>
      </c>
      <c r="C61" s="15">
        <f t="shared" ref="C61:Q61" si="19">((C36/C35)-1)*100</f>
        <v>2.571500018873718</v>
      </c>
      <c r="D61" s="15"/>
      <c r="E61" s="15"/>
      <c r="F61" s="15">
        <f t="shared" si="19"/>
        <v>7.8625119364307716</v>
      </c>
      <c r="G61" s="15"/>
      <c r="H61" s="15"/>
      <c r="I61" s="15"/>
      <c r="J61" s="15"/>
      <c r="K61" s="15">
        <f t="shared" si="19"/>
        <v>-13.504887370563434</v>
      </c>
      <c r="L61" s="15">
        <f t="shared" si="19"/>
        <v>63.998867594671658</v>
      </c>
      <c r="M61" s="15">
        <f t="shared" si="19"/>
        <v>-87.452416299573272</v>
      </c>
      <c r="N61" s="15" t="e">
        <f t="shared" si="19"/>
        <v>#DIV/0!</v>
      </c>
      <c r="O61" s="15" t="e">
        <f t="shared" si="19"/>
        <v>#DIV/0!</v>
      </c>
      <c r="P61" s="15" t="e">
        <f t="shared" si="19"/>
        <v>#DIV/0!</v>
      </c>
      <c r="Q61" s="15" t="e">
        <f t="shared" si="19"/>
        <v>#DIV/0!</v>
      </c>
    </row>
    <row r="62" spans="1:17" x14ac:dyDescent="0.25">
      <c r="A62" s="13" t="s">
        <v>29</v>
      </c>
      <c r="B62" s="16">
        <f>((B38/B37)-1)*100</f>
        <v>6.5049866769597342</v>
      </c>
      <c r="C62" s="16">
        <f t="shared" ref="C62:Q62" si="20">((C38/C37)-1)*100</f>
        <v>7.0807597536424627</v>
      </c>
      <c r="D62" s="16"/>
      <c r="E62" s="16"/>
      <c r="F62" s="16">
        <f t="shared" si="20"/>
        <v>5.636186874572946</v>
      </c>
      <c r="G62" s="16"/>
      <c r="H62" s="16"/>
      <c r="I62" s="16"/>
      <c r="J62" s="16"/>
      <c r="K62" s="16">
        <f t="shared" si="20"/>
        <v>0.4074894778075544</v>
      </c>
      <c r="L62" s="16">
        <f t="shared" si="20"/>
        <v>12.416252033640895</v>
      </c>
      <c r="M62" s="16" t="e">
        <f t="shared" si="20"/>
        <v>#DIV/0!</v>
      </c>
      <c r="N62" s="16" t="e">
        <f t="shared" si="20"/>
        <v>#DIV/0!</v>
      </c>
      <c r="O62" s="16" t="e">
        <f t="shared" si="20"/>
        <v>#DIV/0!</v>
      </c>
      <c r="P62" s="16" t="e">
        <f t="shared" si="20"/>
        <v>#DIV/0!</v>
      </c>
      <c r="Q62" s="16" t="e">
        <f t="shared" si="20"/>
        <v>#DIV/0!</v>
      </c>
    </row>
    <row r="63" spans="1:17" x14ac:dyDescent="0.25">
      <c r="B63" s="17"/>
      <c r="C63" s="17"/>
      <c r="D63" s="17"/>
      <c r="E63" s="17"/>
      <c r="F63" s="17"/>
      <c r="G63" s="17"/>
      <c r="H63" s="17"/>
      <c r="I63" s="17"/>
      <c r="J63" s="17"/>
      <c r="K63" s="17"/>
      <c r="L63" s="17"/>
    </row>
    <row r="64" spans="1:17" x14ac:dyDescent="0.25">
      <c r="A64" t="s">
        <v>30</v>
      </c>
    </row>
    <row r="65" spans="1:17" x14ac:dyDescent="0.25">
      <c r="A65" t="s">
        <v>31</v>
      </c>
      <c r="B65" s="4">
        <f>B20/(B12*12)</f>
        <v>13060.958460572507</v>
      </c>
      <c r="C65" s="4">
        <f>C20/(C12*12)</f>
        <v>13334.83682573536</v>
      </c>
      <c r="D65" s="4"/>
      <c r="E65" s="4"/>
      <c r="F65" s="4">
        <f>F20/(F12*12)</f>
        <v>4804.8041601498744</v>
      </c>
      <c r="G65" s="4"/>
      <c r="H65" s="40"/>
      <c r="I65" s="40"/>
      <c r="J65" s="40"/>
      <c r="K65" s="4">
        <f>K20/(K12*12)</f>
        <v>30216.91949089558</v>
      </c>
      <c r="L65" s="4">
        <f>L20/(L12*12)</f>
        <v>136716.60346399271</v>
      </c>
      <c r="M65" s="4">
        <f t="shared" ref="M65:Q65" si="21">M20/(M12*12)</f>
        <v>530.20833333333337</v>
      </c>
      <c r="N65" s="4" t="e">
        <f t="shared" si="21"/>
        <v>#DIV/0!</v>
      </c>
      <c r="O65" s="4" t="e">
        <f t="shared" si="21"/>
        <v>#DIV/0!</v>
      </c>
      <c r="P65" s="4" t="e">
        <f t="shared" si="21"/>
        <v>#DIV/0!</v>
      </c>
      <c r="Q65" s="4" t="e">
        <f t="shared" si="21"/>
        <v>#DIV/0!</v>
      </c>
    </row>
    <row r="66" spans="1:17" x14ac:dyDescent="0.25">
      <c r="A66" t="s">
        <v>32</v>
      </c>
      <c r="B66" s="4">
        <f>B21/(B14*12)</f>
        <v>10865.702892661222</v>
      </c>
      <c r="C66" s="4">
        <f>C21/(C14*12)</f>
        <v>13606.894361146215</v>
      </c>
      <c r="D66" s="4"/>
      <c r="E66" s="44"/>
      <c r="F66" s="4">
        <f>F21/(F14*12)</f>
        <v>5092.0775555960536</v>
      </c>
      <c r="G66" s="40"/>
      <c r="H66" s="40"/>
      <c r="I66" s="40"/>
      <c r="J66" s="40"/>
      <c r="K66" s="4">
        <f>K21/(K14*12)</f>
        <v>27458.849961157004</v>
      </c>
      <c r="L66" s="4">
        <f>L21/(L14*12)</f>
        <v>35696.460693483445</v>
      </c>
      <c r="M66" s="4" t="e">
        <f t="shared" ref="M66:Q66" si="22">M21/(M14*12)</f>
        <v>#DIV/0!</v>
      </c>
      <c r="N66" s="4" t="e">
        <f t="shared" si="22"/>
        <v>#DIV/0!</v>
      </c>
      <c r="O66" s="4" t="e">
        <f t="shared" si="22"/>
        <v>#DIV/0!</v>
      </c>
      <c r="P66" s="4" t="e">
        <f t="shared" si="22"/>
        <v>#DIV/0!</v>
      </c>
      <c r="Q66" s="4" t="e">
        <f t="shared" si="22"/>
        <v>#DIV/0!</v>
      </c>
    </row>
    <row r="67" spans="1:17" x14ac:dyDescent="0.25">
      <c r="A67" s="13" t="s">
        <v>33</v>
      </c>
      <c r="B67" s="16">
        <f>(B65/B66)*B49</f>
        <v>99.198137692116532</v>
      </c>
      <c r="C67" s="16">
        <f>(C65/C66)*C49</f>
        <v>68.689940933282813</v>
      </c>
      <c r="D67" s="16"/>
      <c r="E67" s="16"/>
      <c r="F67" s="16">
        <f t="shared" ref="F67" si="23">(F65/F66)*F49</f>
        <v>86.871382121773394</v>
      </c>
      <c r="G67" s="59"/>
      <c r="H67" s="59"/>
      <c r="I67" s="59"/>
      <c r="J67" s="59"/>
      <c r="K67" s="16">
        <f>(K65/K66)*K49</f>
        <v>87.161390229226086</v>
      </c>
      <c r="L67" s="16">
        <f>(L65/L66)*L49</f>
        <v>312.86242105619101</v>
      </c>
      <c r="M67" s="16" t="e">
        <f t="shared" ref="M67:Q67" si="24">(M65/M66)*M49</f>
        <v>#DIV/0!</v>
      </c>
      <c r="N67" s="16" t="e">
        <f t="shared" si="24"/>
        <v>#DIV/0!</v>
      </c>
      <c r="O67" s="16" t="e">
        <f t="shared" si="24"/>
        <v>#DIV/0!</v>
      </c>
      <c r="P67" s="16" t="e">
        <f t="shared" si="24"/>
        <v>#DIV/0!</v>
      </c>
      <c r="Q67" s="16" t="e">
        <f t="shared" si="24"/>
        <v>#DIV/0!</v>
      </c>
    </row>
    <row r="68" spans="1:17" x14ac:dyDescent="0.25">
      <c r="A68" t="s">
        <v>41</v>
      </c>
      <c r="B68" s="30">
        <f>B20/B12</f>
        <v>156731.50152687007</v>
      </c>
      <c r="C68" s="30">
        <f>C20/C12</f>
        <v>160018.04190882432</v>
      </c>
      <c r="D68" s="30"/>
      <c r="E68" s="30"/>
      <c r="F68" s="30">
        <f t="shared" ref="F68" si="25">F20/F12</f>
        <v>57657.649921798504</v>
      </c>
      <c r="G68" s="60"/>
      <c r="H68" s="60"/>
      <c r="I68" s="60"/>
      <c r="J68" s="60"/>
      <c r="K68" s="30">
        <f t="shared" ref="K68:Q68" si="26">K20/K12</f>
        <v>362603.03389074694</v>
      </c>
      <c r="L68" s="30">
        <f t="shared" si="26"/>
        <v>1640599.2415679125</v>
      </c>
      <c r="M68" s="30">
        <f t="shared" si="26"/>
        <v>6362.5</v>
      </c>
      <c r="N68" s="30" t="e">
        <f t="shared" si="26"/>
        <v>#DIV/0!</v>
      </c>
      <c r="O68" s="30" t="e">
        <f t="shared" si="26"/>
        <v>#DIV/0!</v>
      </c>
      <c r="P68" s="30" t="e">
        <f t="shared" si="26"/>
        <v>#DIV/0!</v>
      </c>
      <c r="Q68" s="30" t="e">
        <f t="shared" si="26"/>
        <v>#DIV/0!</v>
      </c>
    </row>
    <row r="69" spans="1:17" x14ac:dyDescent="0.25">
      <c r="A69" t="s">
        <v>42</v>
      </c>
      <c r="B69" s="17">
        <f>B21/B14</f>
        <v>130388.43471193468</v>
      </c>
      <c r="C69" s="17">
        <f>C21/C14</f>
        <v>163282.73233375457</v>
      </c>
      <c r="D69" s="17"/>
      <c r="E69" s="17"/>
      <c r="F69" s="17">
        <f t="shared" ref="F69" si="27">F21/F14</f>
        <v>61104.930667152636</v>
      </c>
      <c r="G69" s="60"/>
      <c r="H69" s="60"/>
      <c r="I69" s="60"/>
      <c r="J69" s="60"/>
      <c r="K69" s="30">
        <f>K21/K14</f>
        <v>329506.19953388406</v>
      </c>
      <c r="L69" s="30">
        <f>L21/L14</f>
        <v>428357.52832180134</v>
      </c>
      <c r="M69" s="30" t="e">
        <f t="shared" ref="M69:Q69" si="28">M21/M14</f>
        <v>#DIV/0!</v>
      </c>
      <c r="N69" s="30" t="e">
        <f t="shared" si="28"/>
        <v>#DIV/0!</v>
      </c>
      <c r="O69" s="30" t="e">
        <f t="shared" si="28"/>
        <v>#DIV/0!</v>
      </c>
      <c r="P69" s="30" t="e">
        <f t="shared" si="28"/>
        <v>#DIV/0!</v>
      </c>
      <c r="Q69" s="30" t="e">
        <f t="shared" si="28"/>
        <v>#DIV/0!</v>
      </c>
    </row>
    <row r="70" spans="1:17" x14ac:dyDescent="0.25">
      <c r="B70" s="15"/>
      <c r="C70" s="15"/>
      <c r="D70" s="15"/>
      <c r="E70" s="15"/>
      <c r="F70" s="15"/>
      <c r="G70" s="15"/>
      <c r="H70" s="15"/>
      <c r="I70" s="17"/>
      <c r="J70" s="17"/>
      <c r="K70" s="15"/>
      <c r="L70" s="15"/>
    </row>
    <row r="71" spans="1:17" x14ac:dyDescent="0.25">
      <c r="A71" t="s">
        <v>34</v>
      </c>
      <c r="B71" s="15"/>
      <c r="C71" s="15"/>
      <c r="D71" s="15"/>
      <c r="E71" s="15"/>
      <c r="F71" s="15"/>
      <c r="G71" s="15"/>
      <c r="H71" s="15"/>
      <c r="I71" s="17"/>
      <c r="J71" s="17"/>
      <c r="K71" s="15"/>
      <c r="L71" s="15"/>
    </row>
    <row r="72" spans="1:17" x14ac:dyDescent="0.25">
      <c r="A72" s="18" t="s">
        <v>35</v>
      </c>
      <c r="B72" s="19">
        <f>(B27/B26)*100</f>
        <v>76.976058781773048</v>
      </c>
      <c r="C72" s="19"/>
      <c r="D72" s="19"/>
      <c r="E72" s="19"/>
      <c r="F72" s="19"/>
      <c r="G72" s="19"/>
      <c r="H72" s="19"/>
      <c r="I72" s="19"/>
      <c r="J72" s="19"/>
      <c r="K72" s="19"/>
      <c r="L72" s="19"/>
      <c r="M72" s="72"/>
    </row>
    <row r="73" spans="1:17" x14ac:dyDescent="0.25">
      <c r="A73" s="18" t="s">
        <v>36</v>
      </c>
      <c r="B73" s="19">
        <f>(B21/B27)*100</f>
        <v>97.372505214651099</v>
      </c>
      <c r="C73" s="19"/>
      <c r="D73" s="19"/>
      <c r="E73" s="19"/>
      <c r="F73" s="19"/>
      <c r="G73" s="19"/>
      <c r="H73" s="19"/>
      <c r="I73" s="19"/>
      <c r="J73" s="19"/>
      <c r="K73" s="19"/>
      <c r="L73" s="19"/>
    </row>
    <row r="74" spans="1:17" ht="15.75" thickBot="1" x14ac:dyDescent="0.3">
      <c r="A74" s="20"/>
      <c r="B74" s="20"/>
      <c r="C74" s="49"/>
      <c r="D74" s="20"/>
      <c r="E74" s="20"/>
      <c r="F74" s="20"/>
      <c r="G74" s="20"/>
      <c r="H74" s="20"/>
      <c r="I74" s="49"/>
      <c r="J74" s="49"/>
      <c r="K74" s="20"/>
      <c r="L74" s="20"/>
      <c r="M74" s="20"/>
      <c r="N74" s="20"/>
      <c r="O74" s="20"/>
      <c r="P74" s="20"/>
      <c r="Q74" s="20"/>
    </row>
    <row r="75" spans="1:17" ht="15.75" thickTop="1" x14ac:dyDescent="0.25">
      <c r="A75" s="33" t="s">
        <v>98</v>
      </c>
    </row>
    <row r="76" spans="1:17" x14ac:dyDescent="0.25">
      <c r="A76" t="s">
        <v>99</v>
      </c>
    </row>
    <row r="77" spans="1:17" x14ac:dyDescent="0.25">
      <c r="A77" t="s">
        <v>100</v>
      </c>
    </row>
    <row r="78" spans="1:17" x14ac:dyDescent="0.25">
      <c r="A78" t="s">
        <v>55</v>
      </c>
      <c r="B78" s="21"/>
      <c r="C78" s="21"/>
      <c r="D78" s="21"/>
      <c r="E78" s="21"/>
      <c r="F78" s="21"/>
      <c r="G78" s="21"/>
      <c r="H78" s="21"/>
      <c r="I78" s="21"/>
      <c r="J78" s="21"/>
    </row>
    <row r="80" spans="1:17" x14ac:dyDescent="0.25">
      <c r="A80" t="s">
        <v>43</v>
      </c>
    </row>
    <row r="81" spans="1:1" x14ac:dyDescent="0.25">
      <c r="A81" t="s">
        <v>53</v>
      </c>
    </row>
    <row r="82" spans="1:1" x14ac:dyDescent="0.25">
      <c r="A82" t="s">
        <v>86</v>
      </c>
    </row>
    <row r="83" spans="1:1" x14ac:dyDescent="0.25">
      <c r="A83" t="s">
        <v>50</v>
      </c>
    </row>
    <row r="84" spans="1:1" x14ac:dyDescent="0.25">
      <c r="A84" t="s">
        <v>54</v>
      </c>
    </row>
    <row r="86" spans="1:1" x14ac:dyDescent="0.25">
      <c r="A86" s="105" t="s">
        <v>144</v>
      </c>
    </row>
    <row r="87" spans="1:1" x14ac:dyDescent="0.25">
      <c r="A87" s="42"/>
    </row>
  </sheetData>
  <mergeCells count="7">
    <mergeCell ref="P18:R18"/>
    <mergeCell ref="G34:J34"/>
    <mergeCell ref="A2:K2"/>
    <mergeCell ref="A4:A5"/>
    <mergeCell ref="D5:E5"/>
    <mergeCell ref="G5:H5"/>
    <mergeCell ref="D4:O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6" workbookViewId="0">
      <selection activeCell="M28" sqref="M28"/>
    </sheetView>
  </sheetViews>
  <sheetFormatPr baseColWidth="10" defaultColWidth="11.42578125"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 Trimestre</vt:lpstr>
      <vt:lpstr>Hoja2 (2)</vt:lpstr>
      <vt:lpstr>II Trimestre</vt:lpstr>
      <vt:lpstr>III Trimestre</vt:lpstr>
      <vt:lpstr>IV Trimestre</vt:lpstr>
      <vt:lpstr>I Semestre</vt:lpstr>
      <vt:lpstr>III T Acumulado</vt:lpstr>
      <vt:lpstr>Anual</vt:lpstr>
      <vt:lpstr>Observaciones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catherine.mata</dc:creator>
  <cp:lastModifiedBy>Horacio Rodriguez</cp:lastModifiedBy>
  <dcterms:created xsi:type="dcterms:W3CDTF">2012-02-08T21:16:28Z</dcterms:created>
  <dcterms:modified xsi:type="dcterms:W3CDTF">2016-10-04T16:30:41Z</dcterms:modified>
</cp:coreProperties>
</file>