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2015\Indicadores 2015\Indicadores 2015\IV trimestre\CDN\"/>
    </mc:Choice>
  </mc:AlternateContent>
  <bookViews>
    <workbookView xWindow="0" yWindow="0" windowWidth="21600" windowHeight="9135" tabRatio="721" activeTab="6"/>
  </bookViews>
  <sheets>
    <sheet name="I Trimestre" sheetId="8" r:id="rId1"/>
    <sheet name="II Trimestre" sheetId="2" r:id="rId2"/>
    <sheet name="III Trimestre" sheetId="3" r:id="rId3"/>
    <sheet name="IV Trimestre" sheetId="4" r:id="rId4"/>
    <sheet name="I Semestre" sheetId="5" r:id="rId5"/>
    <sheet name="III Trimestre acumulado" sheetId="6" r:id="rId6"/>
    <sheet name="Anual" sheetId="7" r:id="rId7"/>
    <sheet name="Hoja1" sheetId="9" r:id="rId8"/>
  </sheets>
  <calcPr calcId="152511"/>
</workbook>
</file>

<file path=xl/calcChain.xml><?xml version="1.0" encoding="utf-8"?>
<calcChain xmlns="http://schemas.openxmlformats.org/spreadsheetml/2006/main">
  <c r="B12" i="7" l="1"/>
  <c r="B12" i="6"/>
  <c r="B12" i="5"/>
  <c r="B12" i="4"/>
  <c r="B12" i="3"/>
  <c r="B12" i="2"/>
  <c r="B12" i="8"/>
  <c r="F17" i="7" l="1"/>
  <c r="F16" i="5" l="1"/>
  <c r="E16" i="5"/>
  <c r="D16" i="5"/>
  <c r="F66" i="4"/>
  <c r="E66" i="4"/>
  <c r="D66" i="4"/>
  <c r="F65" i="4"/>
  <c r="E65" i="4"/>
  <c r="D65" i="4"/>
  <c r="F63" i="4"/>
  <c r="E63" i="4"/>
  <c r="D63" i="4"/>
  <c r="F62" i="4"/>
  <c r="E62" i="4"/>
  <c r="D62" i="4"/>
  <c r="F66" i="3"/>
  <c r="E66" i="3"/>
  <c r="D66" i="3"/>
  <c r="F65" i="3"/>
  <c r="E65" i="3"/>
  <c r="D65" i="3"/>
  <c r="F63" i="3"/>
  <c r="E63" i="3"/>
  <c r="D63" i="3"/>
  <c r="F62" i="3"/>
  <c r="E62" i="3"/>
  <c r="D62" i="3"/>
  <c r="F66" i="2"/>
  <c r="E66" i="2"/>
  <c r="D66" i="2"/>
  <c r="F65" i="2"/>
  <c r="E65" i="2"/>
  <c r="D65" i="2"/>
  <c r="F63" i="2"/>
  <c r="E63" i="2"/>
  <c r="D63" i="2"/>
  <c r="F62" i="2"/>
  <c r="E62" i="2"/>
  <c r="D62" i="2"/>
  <c r="F66" i="8" l="1"/>
  <c r="E66" i="8"/>
  <c r="D66" i="8"/>
  <c r="F65" i="8"/>
  <c r="E65" i="8"/>
  <c r="D65" i="8"/>
  <c r="F63" i="8"/>
  <c r="E63" i="8"/>
  <c r="D63" i="8"/>
  <c r="F62" i="8"/>
  <c r="E62" i="8"/>
  <c r="D62" i="8"/>
  <c r="F50" i="4" l="1"/>
  <c r="F51" i="4" s="1"/>
  <c r="E50" i="4"/>
  <c r="E51" i="4" s="1"/>
  <c r="D50" i="4"/>
  <c r="D51" i="4" s="1"/>
  <c r="C49" i="4"/>
  <c r="C51" i="4" s="1"/>
  <c r="B49" i="4"/>
  <c r="F50" i="3"/>
  <c r="F51" i="3" s="1"/>
  <c r="E50" i="3"/>
  <c r="E51" i="3" s="1"/>
  <c r="D50" i="3"/>
  <c r="D51" i="3" s="1"/>
  <c r="C49" i="3"/>
  <c r="C51" i="3" s="1"/>
  <c r="B49" i="3"/>
  <c r="F50" i="2"/>
  <c r="F51" i="2" s="1"/>
  <c r="E50" i="2"/>
  <c r="E51" i="2" s="1"/>
  <c r="D50" i="2"/>
  <c r="D51" i="2" s="1"/>
  <c r="C49" i="2"/>
  <c r="C51" i="2" s="1"/>
  <c r="B49" i="2"/>
  <c r="F50" i="8"/>
  <c r="F51" i="8" s="1"/>
  <c r="E50" i="8"/>
  <c r="E51" i="8" s="1"/>
  <c r="D50" i="8"/>
  <c r="D51" i="8" s="1"/>
  <c r="C49" i="8"/>
  <c r="C51" i="8" s="1"/>
  <c r="B49" i="8"/>
  <c r="D57" i="7" l="1"/>
  <c r="E57" i="7"/>
  <c r="F57" i="7"/>
  <c r="C54" i="7"/>
  <c r="C33" i="7"/>
  <c r="C32" i="7"/>
  <c r="C58" i="7" l="1"/>
  <c r="B24" i="6"/>
  <c r="D57" i="6"/>
  <c r="E57" i="6"/>
  <c r="F57" i="6"/>
  <c r="C54" i="6"/>
  <c r="C33" i="6" l="1"/>
  <c r="C32" i="6"/>
  <c r="E16" i="6"/>
  <c r="E32" i="6" s="1"/>
  <c r="F16" i="6"/>
  <c r="F32" i="6" s="1"/>
  <c r="D16" i="6"/>
  <c r="D32" i="6" s="1"/>
  <c r="C58" i="6" l="1"/>
  <c r="C57" i="4"/>
  <c r="D57" i="4"/>
  <c r="E57" i="4"/>
  <c r="F57" i="4"/>
  <c r="C54" i="4"/>
  <c r="E54" i="4"/>
  <c r="F54" i="4"/>
  <c r="D45" i="4"/>
  <c r="D46" i="4" s="1"/>
  <c r="E45" i="4"/>
  <c r="E46" i="4" s="1"/>
  <c r="F45" i="4"/>
  <c r="F46" i="4" s="1"/>
  <c r="C44" i="4"/>
  <c r="C46" i="4" s="1"/>
  <c r="C33" i="4"/>
  <c r="D33" i="4"/>
  <c r="E33" i="4"/>
  <c r="F33" i="4"/>
  <c r="C32" i="4"/>
  <c r="C34" i="4" s="1"/>
  <c r="D32" i="4"/>
  <c r="D34" i="4" s="1"/>
  <c r="E32" i="4"/>
  <c r="E34" i="4" s="1"/>
  <c r="F32" i="4"/>
  <c r="F34" i="4" s="1"/>
  <c r="C58" i="4" l="1"/>
  <c r="F58" i="4"/>
  <c r="E58" i="4"/>
  <c r="D58" i="4"/>
  <c r="E35" i="4"/>
  <c r="E59" i="4" s="1"/>
  <c r="D35" i="4"/>
  <c r="D59" i="4" s="1"/>
  <c r="C35" i="4"/>
  <c r="C59" i="4" s="1"/>
  <c r="F35" i="4"/>
  <c r="F59" i="4" s="1"/>
  <c r="C57" i="3"/>
  <c r="D57" i="3"/>
  <c r="E57" i="3"/>
  <c r="F57" i="3"/>
  <c r="C54" i="3"/>
  <c r="E54" i="3"/>
  <c r="F54" i="3"/>
  <c r="C44" i="3"/>
  <c r="C46" i="3" s="1"/>
  <c r="D45" i="3"/>
  <c r="D46" i="3" s="1"/>
  <c r="E45" i="3"/>
  <c r="E46" i="3" s="1"/>
  <c r="F45" i="3"/>
  <c r="F46" i="3" s="1"/>
  <c r="C33" i="3"/>
  <c r="C35" i="3" s="1"/>
  <c r="D33" i="3"/>
  <c r="D35" i="3" s="1"/>
  <c r="E33" i="3"/>
  <c r="E35" i="3" s="1"/>
  <c r="F33" i="3"/>
  <c r="F35" i="3" s="1"/>
  <c r="C32" i="3"/>
  <c r="C34" i="3" s="1"/>
  <c r="D32" i="3"/>
  <c r="D34" i="3" s="1"/>
  <c r="E32" i="3"/>
  <c r="E34" i="3" s="1"/>
  <c r="F32" i="3"/>
  <c r="F34" i="3" s="1"/>
  <c r="E59" i="3" l="1"/>
  <c r="D59" i="3"/>
  <c r="C59" i="3"/>
  <c r="F59" i="3"/>
  <c r="F58" i="3"/>
  <c r="E58" i="3"/>
  <c r="D58" i="3"/>
  <c r="C58" i="3"/>
  <c r="D57" i="5"/>
  <c r="E57" i="5"/>
  <c r="F57" i="5"/>
  <c r="C54" i="5"/>
  <c r="C33" i="5"/>
  <c r="D32" i="5"/>
  <c r="E32" i="5"/>
  <c r="F32" i="5"/>
  <c r="C32" i="5"/>
  <c r="C58" i="5" l="1"/>
  <c r="E18" i="5"/>
  <c r="F18" i="5"/>
  <c r="D18" i="5"/>
  <c r="E17" i="5"/>
  <c r="F17" i="5"/>
  <c r="D17" i="5"/>
  <c r="E54" i="5" l="1"/>
  <c r="E33" i="5"/>
  <c r="E58" i="5" s="1"/>
  <c r="D33" i="5"/>
  <c r="D58" i="5" s="1"/>
  <c r="F54" i="5"/>
  <c r="F33" i="5"/>
  <c r="F58" i="5" s="1"/>
  <c r="C57" i="2" l="1"/>
  <c r="D57" i="2"/>
  <c r="E57" i="2"/>
  <c r="F57" i="2"/>
  <c r="C54" i="2"/>
  <c r="E54" i="2"/>
  <c r="F54" i="2"/>
  <c r="D45" i="2"/>
  <c r="D46" i="2" s="1"/>
  <c r="E45" i="2"/>
  <c r="E46" i="2" s="1"/>
  <c r="F45" i="2"/>
  <c r="F46" i="2" s="1"/>
  <c r="C33" i="2"/>
  <c r="C32" i="2"/>
  <c r="D57" i="8" l="1"/>
  <c r="E57" i="8"/>
  <c r="F57" i="8"/>
  <c r="C54" i="8"/>
  <c r="E54" i="8"/>
  <c r="F54" i="8"/>
  <c r="C33" i="8"/>
  <c r="C32" i="8"/>
  <c r="F32" i="2" l="1"/>
  <c r="F34" i="2" s="1"/>
  <c r="E32" i="2"/>
  <c r="E34" i="2" s="1"/>
  <c r="D32" i="2"/>
  <c r="D34" i="2" s="1"/>
  <c r="E32" i="8"/>
  <c r="E34" i="8" s="1"/>
  <c r="F32" i="8"/>
  <c r="F34" i="8" s="1"/>
  <c r="D32" i="8"/>
  <c r="D34" i="8" s="1"/>
  <c r="F33" i="2"/>
  <c r="E33" i="2"/>
  <c r="E35" i="2" s="1"/>
  <c r="D33" i="2"/>
  <c r="D35" i="2" s="1"/>
  <c r="C13" i="7"/>
  <c r="C11" i="7"/>
  <c r="C12" i="7"/>
  <c r="C10" i="7"/>
  <c r="C13" i="6"/>
  <c r="C10" i="6"/>
  <c r="C11" i="6"/>
  <c r="C12" i="6"/>
  <c r="C13" i="5"/>
  <c r="C11" i="5"/>
  <c r="C12" i="5"/>
  <c r="C10" i="5"/>
  <c r="C44" i="2"/>
  <c r="C46" i="2" s="1"/>
  <c r="C57" i="8"/>
  <c r="C49" i="6" l="1"/>
  <c r="C51" i="6" s="1"/>
  <c r="C49" i="5"/>
  <c r="C51" i="5" s="1"/>
  <c r="E63" i="5"/>
  <c r="F66" i="5"/>
  <c r="D63" i="5"/>
  <c r="E66" i="5"/>
  <c r="D66" i="5"/>
  <c r="F63" i="5"/>
  <c r="D65" i="5"/>
  <c r="F62" i="5"/>
  <c r="E62" i="5"/>
  <c r="F65" i="5"/>
  <c r="D62" i="5"/>
  <c r="E65" i="5"/>
  <c r="F58" i="2"/>
  <c r="C57" i="5"/>
  <c r="C57" i="7"/>
  <c r="C49" i="7"/>
  <c r="C51" i="7" s="1"/>
  <c r="C44" i="7"/>
  <c r="C46" i="7" s="1"/>
  <c r="C44" i="6"/>
  <c r="C46" i="6" s="1"/>
  <c r="C57" i="6"/>
  <c r="D34" i="6"/>
  <c r="F34" i="5"/>
  <c r="F35" i="2"/>
  <c r="E58" i="2"/>
  <c r="E59" i="2"/>
  <c r="D59" i="2"/>
  <c r="F59" i="2"/>
  <c r="D58" i="2"/>
  <c r="D34" i="5"/>
  <c r="E34" i="5"/>
  <c r="F34" i="6"/>
  <c r="E34" i="6"/>
  <c r="C44" i="5"/>
  <c r="C34" i="6"/>
  <c r="C44" i="8"/>
  <c r="D20" i="3" l="1"/>
  <c r="D54" i="3" s="1"/>
  <c r="D20" i="2"/>
  <c r="D20" i="8"/>
  <c r="B16" i="8"/>
  <c r="D20" i="4"/>
  <c r="B17" i="4"/>
  <c r="B18" i="4"/>
  <c r="B19" i="4"/>
  <c r="C66" i="4" l="1"/>
  <c r="C63" i="4"/>
  <c r="B66" i="4"/>
  <c r="B63" i="4"/>
  <c r="B70" i="4"/>
  <c r="B20" i="3"/>
  <c r="C65" i="4"/>
  <c r="B62" i="4"/>
  <c r="B65" i="4"/>
  <c r="C62" i="4"/>
  <c r="C64" i="4" s="1"/>
  <c r="B50" i="4"/>
  <c r="B51" i="4" s="1"/>
  <c r="B20" i="8"/>
  <c r="D54" i="8"/>
  <c r="B20" i="2"/>
  <c r="D54" i="2"/>
  <c r="B20" i="4"/>
  <c r="D54" i="4"/>
  <c r="C34" i="8"/>
  <c r="D16" i="7"/>
  <c r="E16" i="7"/>
  <c r="F16" i="7"/>
  <c r="E32" i="7" l="1"/>
  <c r="E34" i="7" s="1"/>
  <c r="F32" i="7"/>
  <c r="F34" i="7" s="1"/>
  <c r="D32" i="7"/>
  <c r="D34" i="7" s="1"/>
  <c r="B16" i="4" l="1"/>
  <c r="B16" i="3" l="1"/>
  <c r="B16" i="2"/>
  <c r="C34" i="2" l="1"/>
  <c r="B16" i="6"/>
  <c r="B16" i="5"/>
  <c r="C34" i="5" s="1"/>
  <c r="E19" i="5"/>
  <c r="E50" i="5" s="1"/>
  <c r="E51" i="5" s="1"/>
  <c r="F19" i="5"/>
  <c r="F50" i="5" s="1"/>
  <c r="F51" i="5" s="1"/>
  <c r="D19" i="5"/>
  <c r="D50" i="5" s="1"/>
  <c r="D51" i="5" s="1"/>
  <c r="E19" i="6"/>
  <c r="F19" i="6"/>
  <c r="D19" i="6"/>
  <c r="D18" i="6"/>
  <c r="E18" i="6"/>
  <c r="F18" i="6"/>
  <c r="E17" i="6"/>
  <c r="F17" i="6"/>
  <c r="D17" i="6"/>
  <c r="B13" i="5"/>
  <c r="B49" i="5" s="1"/>
  <c r="B11" i="5"/>
  <c r="B10" i="5"/>
  <c r="B13" i="6"/>
  <c r="B49" i="6"/>
  <c r="B11" i="6"/>
  <c r="B10" i="6"/>
  <c r="E19" i="7"/>
  <c r="F19" i="7"/>
  <c r="D19" i="7"/>
  <c r="E50" i="6" l="1"/>
  <c r="E51" i="6" s="1"/>
  <c r="E66" i="6"/>
  <c r="E63" i="6"/>
  <c r="E62" i="6"/>
  <c r="E65" i="6"/>
  <c r="F50" i="6"/>
  <c r="F51" i="6" s="1"/>
  <c r="F63" i="6"/>
  <c r="F66" i="6"/>
  <c r="D62" i="6"/>
  <c r="D65" i="6"/>
  <c r="D63" i="6"/>
  <c r="D66" i="6"/>
  <c r="F65" i="6"/>
  <c r="F62" i="6"/>
  <c r="D50" i="6"/>
  <c r="D51" i="6" s="1"/>
  <c r="E54" i="6"/>
  <c r="E33" i="6"/>
  <c r="E58" i="6" s="1"/>
  <c r="F54" i="6"/>
  <c r="F33" i="6"/>
  <c r="F58" i="6" s="1"/>
  <c r="D45" i="6"/>
  <c r="D46" i="6" s="1"/>
  <c r="D33" i="6"/>
  <c r="D58" i="6" s="1"/>
  <c r="F45" i="6"/>
  <c r="F46" i="6" s="1"/>
  <c r="E45" i="6"/>
  <c r="E46" i="6" s="1"/>
  <c r="E35" i="5"/>
  <c r="E59" i="5" s="1"/>
  <c r="F35" i="5"/>
  <c r="F59" i="5" s="1"/>
  <c r="D20" i="5"/>
  <c r="D35" i="5"/>
  <c r="D59" i="5" s="1"/>
  <c r="D20" i="6"/>
  <c r="B19" i="6"/>
  <c r="B19" i="5"/>
  <c r="B19" i="3"/>
  <c r="B18" i="3"/>
  <c r="B17" i="3"/>
  <c r="B19" i="2"/>
  <c r="B18" i="2"/>
  <c r="B17" i="2"/>
  <c r="B19" i="8"/>
  <c r="B18" i="8"/>
  <c r="B17" i="8"/>
  <c r="B66" i="3" l="1"/>
  <c r="B63" i="3"/>
  <c r="B70" i="3"/>
  <c r="C66" i="3"/>
  <c r="C63" i="3"/>
  <c r="B62" i="2"/>
  <c r="C65" i="2"/>
  <c r="B65" i="2"/>
  <c r="C62" i="2"/>
  <c r="C66" i="2"/>
  <c r="B66" i="2"/>
  <c r="C63" i="2"/>
  <c r="B63" i="2"/>
  <c r="B70" i="2"/>
  <c r="B62" i="8"/>
  <c r="C65" i="8"/>
  <c r="C62" i="8"/>
  <c r="C66" i="8"/>
  <c r="C63" i="8"/>
  <c r="C62" i="3"/>
  <c r="C65" i="3"/>
  <c r="B65" i="3"/>
  <c r="B62" i="3"/>
  <c r="B50" i="2"/>
  <c r="B51" i="2" s="1"/>
  <c r="B50" i="8"/>
  <c r="B51" i="8" s="1"/>
  <c r="B70" i="8"/>
  <c r="B63" i="8"/>
  <c r="E35" i="6"/>
  <c r="E59" i="6" s="1"/>
  <c r="B50" i="3"/>
  <c r="B51" i="3" s="1"/>
  <c r="D35" i="6"/>
  <c r="D59" i="6" s="1"/>
  <c r="F35" i="6"/>
  <c r="F59" i="6" s="1"/>
  <c r="B20" i="6"/>
  <c r="D54" i="6"/>
  <c r="B20" i="5"/>
  <c r="D54" i="5"/>
  <c r="C46" i="8"/>
  <c r="B66" i="8"/>
  <c r="B65" i="8"/>
  <c r="B17" i="5"/>
  <c r="B17" i="6"/>
  <c r="B18" i="5"/>
  <c r="B18" i="6"/>
  <c r="C64" i="2" l="1"/>
  <c r="C64" i="3"/>
  <c r="B66" i="6"/>
  <c r="B63" i="6"/>
  <c r="C66" i="6"/>
  <c r="C63" i="6"/>
  <c r="B50" i="5"/>
  <c r="B51" i="5" s="1"/>
  <c r="B66" i="5"/>
  <c r="B63" i="5"/>
  <c r="C66" i="5"/>
  <c r="C63" i="5"/>
  <c r="C64" i="8"/>
  <c r="B65" i="5"/>
  <c r="B62" i="5"/>
  <c r="C62" i="5"/>
  <c r="C65" i="5"/>
  <c r="C62" i="6"/>
  <c r="C65" i="6"/>
  <c r="B62" i="6"/>
  <c r="B65" i="6"/>
  <c r="B70" i="6"/>
  <c r="B50" i="6"/>
  <c r="B51" i="6" s="1"/>
  <c r="C58" i="2"/>
  <c r="C35" i="2"/>
  <c r="C59" i="2" s="1"/>
  <c r="C46" i="5"/>
  <c r="C58" i="8"/>
  <c r="C35" i="8"/>
  <c r="C59" i="8" s="1"/>
  <c r="B11" i="7"/>
  <c r="B13" i="7"/>
  <c r="B10" i="7"/>
  <c r="B57" i="6"/>
  <c r="B44" i="6"/>
  <c r="B57" i="5"/>
  <c r="B44" i="5"/>
  <c r="B54" i="5"/>
  <c r="B57" i="4"/>
  <c r="B54" i="4"/>
  <c r="B45" i="4"/>
  <c r="B44" i="4"/>
  <c r="B44" i="3"/>
  <c r="B57" i="3"/>
  <c r="B54" i="3"/>
  <c r="B44" i="2"/>
  <c r="B57" i="2"/>
  <c r="B54" i="2"/>
  <c r="C64" i="5" l="1"/>
  <c r="C64" i="6"/>
  <c r="B49" i="7"/>
  <c r="C35" i="6"/>
  <c r="C59" i="6" s="1"/>
  <c r="C35" i="5"/>
  <c r="C59" i="5" s="1"/>
  <c r="B57" i="7"/>
  <c r="B46" i="4"/>
  <c r="B64" i="4" s="1"/>
  <c r="B44" i="7"/>
  <c r="B44" i="8" l="1"/>
  <c r="B24" i="7" l="1"/>
  <c r="E18" i="7"/>
  <c r="F18" i="7"/>
  <c r="D18" i="7"/>
  <c r="B19" i="7"/>
  <c r="B24" i="5"/>
  <c r="B70" i="5" s="1"/>
  <c r="F33" i="8"/>
  <c r="F35" i="8" s="1"/>
  <c r="E33" i="8"/>
  <c r="E35" i="8" s="1"/>
  <c r="D33" i="8"/>
  <c r="D35" i="8" s="1"/>
  <c r="F45" i="8"/>
  <c r="F46" i="8" s="1"/>
  <c r="E45" i="8"/>
  <c r="E46" i="8" s="1"/>
  <c r="B32" i="8"/>
  <c r="B34" i="8" s="1"/>
  <c r="B32" i="4"/>
  <c r="B32" i="3"/>
  <c r="F66" i="7" l="1"/>
  <c r="F63" i="7"/>
  <c r="E66" i="7"/>
  <c r="E63" i="7"/>
  <c r="D63" i="7"/>
  <c r="D66" i="7"/>
  <c r="F33" i="7"/>
  <c r="F58" i="7" s="1"/>
  <c r="F54" i="7"/>
  <c r="F50" i="7"/>
  <c r="F51" i="7" s="1"/>
  <c r="E33" i="7"/>
  <c r="E58" i="7" s="1"/>
  <c r="E54" i="7"/>
  <c r="E50" i="7"/>
  <c r="E51" i="7" s="1"/>
  <c r="D33" i="7"/>
  <c r="D58" i="7" s="1"/>
  <c r="D50" i="7"/>
  <c r="D51" i="7" s="1"/>
  <c r="F35" i="7"/>
  <c r="F59" i="7" s="1"/>
  <c r="E35" i="7"/>
  <c r="E59" i="7" s="1"/>
  <c r="F58" i="8"/>
  <c r="F59" i="8"/>
  <c r="E58" i="8"/>
  <c r="E59" i="8"/>
  <c r="D59" i="8"/>
  <c r="D58" i="8"/>
  <c r="D20" i="7"/>
  <c r="B45" i="8"/>
  <c r="B46" i="8" s="1"/>
  <c r="B33" i="8"/>
  <c r="B35" i="8" s="1"/>
  <c r="E45" i="5"/>
  <c r="E46" i="5" s="1"/>
  <c r="D45" i="8"/>
  <c r="D46" i="8" s="1"/>
  <c r="E17" i="7"/>
  <c r="B18" i="7"/>
  <c r="B23" i="8"/>
  <c r="B69" i="8" s="1"/>
  <c r="B57" i="8"/>
  <c r="B54" i="8"/>
  <c r="B34" i="4"/>
  <c r="B33" i="4"/>
  <c r="B58" i="4" s="1"/>
  <c r="B34" i="3"/>
  <c r="B33" i="3"/>
  <c r="B58" i="3" s="1"/>
  <c r="D35" i="7" l="1"/>
  <c r="D59" i="7" s="1"/>
  <c r="B70" i="7"/>
  <c r="B66" i="7"/>
  <c r="B63" i="7"/>
  <c r="C66" i="7"/>
  <c r="C63" i="7"/>
  <c r="E45" i="7"/>
  <c r="E46" i="7" s="1"/>
  <c r="E62" i="7"/>
  <c r="E65" i="7"/>
  <c r="B20" i="7"/>
  <c r="D54" i="7"/>
  <c r="B64" i="8"/>
  <c r="B50" i="7"/>
  <c r="B51" i="7" s="1"/>
  <c r="B54" i="7"/>
  <c r="B45" i="3"/>
  <c r="B46" i="3" s="1"/>
  <c r="B64" i="3" s="1"/>
  <c r="B33" i="5"/>
  <c r="B23" i="4"/>
  <c r="B69" i="4" s="1"/>
  <c r="B54" i="6"/>
  <c r="B33" i="7"/>
  <c r="B35" i="7" s="1"/>
  <c r="B33" i="6"/>
  <c r="B58" i="8"/>
  <c r="B59" i="8"/>
  <c r="B35" i="4"/>
  <c r="B59" i="4" s="1"/>
  <c r="B35" i="3"/>
  <c r="B59" i="3" s="1"/>
  <c r="B23" i="3"/>
  <c r="B69" i="3" s="1"/>
  <c r="C35" i="7" l="1"/>
  <c r="B35" i="5"/>
  <c r="B45" i="2"/>
  <c r="B46" i="2" s="1"/>
  <c r="B64" i="2" s="1"/>
  <c r="B35" i="6"/>
  <c r="D45" i="5"/>
  <c r="D46" i="5" s="1"/>
  <c r="D17" i="7"/>
  <c r="B32" i="2"/>
  <c r="B34" i="2" s="1"/>
  <c r="B16" i="7"/>
  <c r="B32" i="5"/>
  <c r="B58" i="5" s="1"/>
  <c r="B32" i="6"/>
  <c r="B58" i="6" s="1"/>
  <c r="F45" i="5"/>
  <c r="F46" i="5" s="1"/>
  <c r="B23" i="2"/>
  <c r="B69" i="2" s="1"/>
  <c r="B33" i="2"/>
  <c r="D45" i="7" l="1"/>
  <c r="D46" i="7" s="1"/>
  <c r="D65" i="7"/>
  <c r="D62" i="7"/>
  <c r="F45" i="7"/>
  <c r="F46" i="7" s="1"/>
  <c r="F65" i="7"/>
  <c r="F62" i="7"/>
  <c r="B32" i="7"/>
  <c r="B58" i="7" s="1"/>
  <c r="B58" i="2"/>
  <c r="B45" i="6"/>
  <c r="B46" i="6" s="1"/>
  <c r="B64" i="6" s="1"/>
  <c r="B45" i="5"/>
  <c r="B46" i="5" s="1"/>
  <c r="B64" i="5" s="1"/>
  <c r="B34" i="5"/>
  <c r="B59" i="5" s="1"/>
  <c r="B17" i="7"/>
  <c r="B23" i="6"/>
  <c r="B69" i="6" s="1"/>
  <c r="B34" i="6"/>
  <c r="B59" i="6" s="1"/>
  <c r="B23" i="5"/>
  <c r="B69" i="5" s="1"/>
  <c r="B35" i="2"/>
  <c r="B59" i="2" s="1"/>
  <c r="B65" i="7" l="1"/>
  <c r="C62" i="7"/>
  <c r="C64" i="7" s="1"/>
  <c r="C65" i="7"/>
  <c r="B62" i="7"/>
  <c r="B34" i="7"/>
  <c r="B59" i="7" s="1"/>
  <c r="C34" i="7"/>
  <c r="C59" i="7" s="1"/>
  <c r="B45" i="7"/>
  <c r="B46" i="7" s="1"/>
  <c r="B23" i="7"/>
  <c r="B69" i="7" s="1"/>
  <c r="B64" i="7" l="1"/>
</calcChain>
</file>

<file path=xl/sharedStrings.xml><?xml version="1.0" encoding="utf-8"?>
<sst xmlns="http://schemas.openxmlformats.org/spreadsheetml/2006/main" count="597" uniqueCount="138">
  <si>
    <t>Indicador</t>
  </si>
  <si>
    <t>Total programa</t>
  </si>
  <si>
    <t>Producto</t>
  </si>
  <si>
    <t>Subs. Atención Directa</t>
  </si>
  <si>
    <t>Equipamiento</t>
  </si>
  <si>
    <t>Construcción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</si>
  <si>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</si>
  <si>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</si>
  <si>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</si>
  <si>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</si>
  <si>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</si>
  <si>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</si>
  <si>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</si>
  <si>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</si>
  <si>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</si>
  <si>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</si>
  <si>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</si>
  <si>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</si>
  <si>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</si>
  <si>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</si>
  <si>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</si>
  <si>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</si>
  <si>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</si>
  <si>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</si>
  <si>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</si>
  <si>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</si>
  <si>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</si>
  <si>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</si>
  <si>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</si>
  <si>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</si>
  <si>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</si>
  <si>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</si>
  <si>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</si>
  <si>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</si>
  <si>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</si>
  <si>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Fuentes:</t>
  </si>
  <si>
    <t>De Composición</t>
  </si>
  <si>
    <t xml:space="preserve">Gasto mensual programado por beneficiario (GPB) </t>
  </si>
  <si>
    <t xml:space="preserve">Gasto mensual efectivo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</si>
  <si>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</si>
  <si>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</si>
  <si>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</si>
  <si>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</si>
  <si>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</si>
  <si>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</si>
  <si>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>El Total de beneficiarios del programa contabiliza los beneficiarios distintos atendidos en el período al menos una vez</t>
  </si>
  <si>
    <t>Los índices del gasto medio se calculan tomando los beneficiarios promedio del programa</t>
  </si>
  <si>
    <t>na</t>
  </si>
  <si>
    <t>n.d.</t>
  </si>
  <si>
    <t>IPC, BCCR</t>
  </si>
  <si>
    <t>Notas:</t>
  </si>
  <si>
    <t>Promedio Mensual</t>
  </si>
  <si>
    <t>Efectivos 1T 2014</t>
  </si>
  <si>
    <t>IPC (1T 2014)</t>
  </si>
  <si>
    <t>Gasto efectivo real 1T 2014</t>
  </si>
  <si>
    <t>Gasto efectivo real por beneficiario 1T 2014</t>
  </si>
  <si>
    <t>Efectivos 2T 2014</t>
  </si>
  <si>
    <t>IPC (2T 2014)</t>
  </si>
  <si>
    <t>Gasto efectivo real 2T 2014</t>
  </si>
  <si>
    <t>Gasto efectivo real por beneficiario 2T 2014</t>
  </si>
  <si>
    <t>Efectivos 3T 2014</t>
  </si>
  <si>
    <t>IPC (3T 2014)</t>
  </si>
  <si>
    <t>Gasto efectivo real 3T 2014</t>
  </si>
  <si>
    <t>Gasto efectivo real por beneficiario 3T 2014</t>
  </si>
  <si>
    <t>Efectivos 4T 2014</t>
  </si>
  <si>
    <t>IPC (4T 2014)</t>
  </si>
  <si>
    <t>Gasto efectivo real 4T 2014</t>
  </si>
  <si>
    <t>Gasto efectivo real por beneficiario 4T 2014</t>
  </si>
  <si>
    <t>Efectivos 1S 2014</t>
  </si>
  <si>
    <t>IPC (1S 2014)</t>
  </si>
  <si>
    <t>Gasto efectivo real 1S 2014</t>
  </si>
  <si>
    <t>Gasto efectivo real por beneficiario 1S 2014</t>
  </si>
  <si>
    <t>Efectivos 3T. Ac. 2014</t>
  </si>
  <si>
    <t>IPC (3T. Ac. 2014)</t>
  </si>
  <si>
    <t>Gasto efectivo real 3T. Ac. 2014</t>
  </si>
  <si>
    <t>Gasto efectivo real por beneficiario 3T. Ac. 2014</t>
  </si>
  <si>
    <t>Efectivos  2014</t>
  </si>
  <si>
    <t>IPC ( 2014)</t>
  </si>
  <si>
    <t>Gasto efectivo real  2014</t>
  </si>
  <si>
    <t>Gasto efectivo real por beneficiario  2014</t>
  </si>
  <si>
    <t>,</t>
  </si>
  <si>
    <t>Indicadores propuestos aplicado a Ciudad de los niños. Primer trimestre 2015</t>
  </si>
  <si>
    <t>Programados 1T 2015</t>
  </si>
  <si>
    <t>Efectivos 1T 2015</t>
  </si>
  <si>
    <t>Programados año 2015</t>
  </si>
  <si>
    <t>En transferencias 1T 2015</t>
  </si>
  <si>
    <t>IPC (1T 2015)</t>
  </si>
  <si>
    <t>Gasto efectivo real 1T 2015</t>
  </si>
  <si>
    <t>Gasto efectivo real por beneficiario 1T 2015</t>
  </si>
  <si>
    <t>Informes Trimestrales 2014 y 2015 de la Ciudad de los Niños</t>
  </si>
  <si>
    <t>ENAHO 2014</t>
  </si>
  <si>
    <t>Metas y Modificaciones CDN, DESAF 2015</t>
  </si>
  <si>
    <t>Programados 2T 2015</t>
  </si>
  <si>
    <t>Efectivos 2T 2015</t>
  </si>
  <si>
    <t>En transferencias 2T 2015</t>
  </si>
  <si>
    <t>IPC (2T 2015)</t>
  </si>
  <si>
    <t>Gasto efectivo real 2T 2015</t>
  </si>
  <si>
    <t>Gasto efectivo real por beneficiario 2T 2015</t>
  </si>
  <si>
    <t>Indicadores propuestos aplicado a Ciudad de los niños. Segundo trimestre 2015</t>
  </si>
  <si>
    <t>Indicadores propuestos aplicado a Ciudad de los niños. Tercer trimestre 2015</t>
  </si>
  <si>
    <t>Programados 3T 2015</t>
  </si>
  <si>
    <t>Efectivos 3T 2015</t>
  </si>
  <si>
    <t>En transferencias 3T 2015</t>
  </si>
  <si>
    <t>IPC (3T 2015)</t>
  </si>
  <si>
    <t>Gasto efectivo real 3T 2015</t>
  </si>
  <si>
    <t>Gasto efectivo real por beneficiario 3T 2015</t>
  </si>
  <si>
    <t>Indicadores propuestos aplicado a Ciudad de los niños. Cuarto trimestre 2015</t>
  </si>
  <si>
    <t>Programados 4T 2015</t>
  </si>
  <si>
    <t>Efectivos 4T 2015</t>
  </si>
  <si>
    <t>En transferencias 4T 2015</t>
  </si>
  <si>
    <t>IPC (4T 2015)</t>
  </si>
  <si>
    <t>Gasto efectivo real 4T 2015</t>
  </si>
  <si>
    <t>Gasto efectivo real por beneficiario 4T 2015</t>
  </si>
  <si>
    <t>Indicadores propuestos aplicado a Ciudad de los niños. Primer Semestre 2015</t>
  </si>
  <si>
    <t>Programados 1S 2015</t>
  </si>
  <si>
    <t>Efectivos 1S 2015</t>
  </si>
  <si>
    <t>En transferencias 1S 2015</t>
  </si>
  <si>
    <t>IPC (1S 2015)</t>
  </si>
  <si>
    <t>Gasto efectivo real 1S 2015</t>
  </si>
  <si>
    <t>Gasto efectivo real por beneficiario 1S 2015</t>
  </si>
  <si>
    <t>Programados 3T. Ac. 2015</t>
  </si>
  <si>
    <t>Efectivos 3T. Ac. 2015</t>
  </si>
  <si>
    <t>En transferencias 3T. Ac. 2015</t>
  </si>
  <si>
    <t>IPC (3T. Ac. 2015)</t>
  </si>
  <si>
    <t>Gasto efectivo real 3T. Ac. 2015</t>
  </si>
  <si>
    <t>Gasto efectivo real por beneficiario 3T. Ac. 2015</t>
  </si>
  <si>
    <t>Indicadores propuestos aplicado a Ciudad de los niños. Tercer Trimestre Acumulado 2015</t>
  </si>
  <si>
    <t>Indicadores propuestos aplicado a Ciudad de los niños.  Año 2015</t>
  </si>
  <si>
    <t>Programados  2015</t>
  </si>
  <si>
    <t>Efectivos  2015</t>
  </si>
  <si>
    <t>En transferencias  2015</t>
  </si>
  <si>
    <t>IPC ( 2015)</t>
  </si>
  <si>
    <t>Gasto efectivo real  2015</t>
  </si>
  <si>
    <t>Gasto efectivo real por beneficiario  2015</t>
  </si>
  <si>
    <t>Fecha de actualización: 20/01/2016</t>
  </si>
  <si>
    <t>Fecha de actualización: 29/02/2016</t>
  </si>
  <si>
    <t>En los indicadores del 2015, el IPC 2014 no coincide con el IPC 2014 de los indicadores del 2014, debido a que a partir de julio 2015 el INEC actualizó la base del IPC</t>
  </si>
  <si>
    <t xml:space="preserve">A partir del 2015, se utiliza para los beneficiarios efectivos el dato del promedio de los beneficiarios en la columna del total del programa y no de benficiarios distintos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</si>
</sst>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#,##0.0____"/>
    <numFmt numFmtId="166" formatCode="_(* #,##0_);_(* \(#,##0\);_(* &quot;-&quot;??_);_(@_)"/>
    <numFmt numFmtId="167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3" xfId="0" applyBorder="1" applyAlignment="1">
      <alignment horizontal="center"/>
    </xf>
    <xf numFmtId="0" fontId="0" fillId="0" borderId="4" xfId="0" applyBorder="1"/>
    <xf numFmtId="0" fontId="3" fillId="0" borderId="0" xfId="0" applyFont="1"/>
    <xf numFmtId="4" fontId="0" fillId="0" borderId="0" xfId="0" applyNumberFormat="1"/>
    <xf numFmtId="0" fontId="0" fillId="0" borderId="0" xfId="0" applyAlignment="1">
      <alignment horizontal="left" indent="1"/>
    </xf>
    <xf numFmtId="4" fontId="0" fillId="0" borderId="0" xfId="0" applyNumberFormat="1" applyFill="1"/>
    <xf numFmtId="0" fontId="0" fillId="0" borderId="0" xfId="0" applyAlignment="1">
      <alignment horizontal="left"/>
    </xf>
    <xf numFmtId="0" fontId="2" fillId="0" borderId="0" xfId="0" applyFont="1"/>
    <xf numFmtId="0" fontId="0" fillId="0" borderId="3" xfId="0" applyBorder="1"/>
    <xf numFmtId="0" fontId="0" fillId="0" borderId="0" xfId="0" applyFont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/>
    <xf numFmtId="3" fontId="0" fillId="0" borderId="0" xfId="0" applyNumberFormat="1" applyFill="1"/>
    <xf numFmtId="165" fontId="0" fillId="0" borderId="0" xfId="0" applyNumberFormat="1" applyFill="1"/>
    <xf numFmtId="0" fontId="0" fillId="0" borderId="0" xfId="0" applyAlignment="1"/>
    <xf numFmtId="0" fontId="0" fillId="0" borderId="0" xfId="0" applyFill="1"/>
    <xf numFmtId="0" fontId="0" fillId="0" borderId="3" xfId="0" applyFill="1" applyBorder="1" applyAlignment="1">
      <alignment horizontal="center"/>
    </xf>
    <xf numFmtId="0" fontId="0" fillId="0" borderId="4" xfId="0" applyFill="1" applyBorder="1"/>
    <xf numFmtId="0" fontId="3" fillId="0" borderId="0" xfId="0" applyFont="1" applyFill="1"/>
    <xf numFmtId="0" fontId="0" fillId="0" borderId="0" xfId="0" applyFill="1" applyAlignment="1">
      <alignment horizontal="left" indent="1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0" fillId="0" borderId="3" xfId="0" applyFill="1" applyBorder="1"/>
    <xf numFmtId="164" fontId="0" fillId="0" borderId="0" xfId="0" applyNumberFormat="1" applyFill="1"/>
    <xf numFmtId="166" fontId="0" fillId="0" borderId="0" xfId="1" applyNumberFormat="1" applyFont="1" applyFill="1"/>
    <xf numFmtId="166" fontId="0" fillId="0" borderId="0" xfId="1" applyNumberFormat="1" applyFont="1" applyFill="1" applyAlignment="1">
      <alignment horizontal="right"/>
    </xf>
    <xf numFmtId="166" fontId="0" fillId="0" borderId="0" xfId="1" applyNumberFormat="1" applyFont="1"/>
    <xf numFmtId="3" fontId="5" fillId="2" borderId="0" xfId="0" applyNumberFormat="1" applyFont="1" applyFill="1"/>
    <xf numFmtId="3" fontId="0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7" fontId="0" fillId="0" borderId="0" xfId="1" applyNumberFormat="1" applyFont="1"/>
    <xf numFmtId="4" fontId="7" fillId="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166" fontId="2" fillId="0" borderId="0" xfId="1" applyNumberFormat="1" applyFont="1" applyFill="1"/>
    <xf numFmtId="4" fontId="2" fillId="0" borderId="0" xfId="0" applyNumberFormat="1" applyFont="1"/>
    <xf numFmtId="4" fontId="2" fillId="0" borderId="0" xfId="0" applyNumberFormat="1" applyFont="1" applyFill="1"/>
    <xf numFmtId="3" fontId="2" fillId="0" borderId="0" xfId="0" applyNumberFormat="1" applyFont="1" applyFill="1"/>
    <xf numFmtId="4" fontId="8" fillId="0" borderId="0" xfId="0" applyNumberFormat="1" applyFont="1" applyFill="1" applyAlignment="1">
      <alignment horizontal="center"/>
    </xf>
    <xf numFmtId="4" fontId="5" fillId="0" borderId="0" xfId="0" applyNumberFormat="1" applyFont="1" applyFill="1"/>
    <xf numFmtId="4" fontId="9" fillId="0" borderId="0" xfId="0" applyNumberFormat="1" applyFont="1" applyFill="1" applyAlignment="1">
      <alignment horizontal="center"/>
    </xf>
    <xf numFmtId="166" fontId="5" fillId="0" borderId="0" xfId="1" applyNumberFormat="1" applyFont="1" applyFill="1"/>
    <xf numFmtId="10" fontId="2" fillId="0" borderId="0" xfId="2" applyNumberFormat="1" applyFont="1" applyFill="1"/>
    <xf numFmtId="43" fontId="0" fillId="0" borderId="0" xfId="1" applyFont="1" applyFill="1"/>
    <xf numFmtId="3" fontId="5" fillId="0" borderId="0" xfId="0" applyNumberFormat="1" applyFont="1" applyFill="1"/>
    <xf numFmtId="166" fontId="5" fillId="0" borderId="0" xfId="1" applyNumberFormat="1" applyFont="1" applyFill="1" applyAlignment="1">
      <alignment horizontal="right"/>
    </xf>
    <xf numFmtId="166" fontId="5" fillId="0" borderId="0" xfId="0" applyNumberFormat="1" applyFont="1" applyFill="1"/>
    <xf numFmtId="3" fontId="5" fillId="0" borderId="0" xfId="1" applyNumberFormat="1" applyFont="1" applyFill="1"/>
    <xf numFmtId="0" fontId="10" fillId="0" borderId="0" xfId="0" applyFont="1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resultado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Anual!$A$44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Anual!$B$44:$F$44</c:f>
              <c:numCache>
                <c:formatCode>#,##0.00</c:formatCode>
                <c:ptCount val="5"/>
                <c:pt idx="0">
                  <c:v>94.450171821305844</c:v>
                </c:pt>
                <c:pt idx="1">
                  <c:v>94.450171821305844</c:v>
                </c:pt>
              </c:numCache>
            </c:numRef>
          </c:val>
        </c:ser>
        <c:ser>
          <c:idx val="1"/>
          <c:order val="1"/>
          <c:tx>
            <c:strRef>
              <c:f>Anual!$A$45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Anual!$B$45:$F$45</c:f>
              <c:numCache>
                <c:formatCode>#,##0.00</c:formatCode>
                <c:ptCount val="5"/>
                <c:pt idx="0">
                  <c:v>69.847301151114124</c:v>
                </c:pt>
                <c:pt idx="2">
                  <c:v>98.96565958590007</c:v>
                </c:pt>
                <c:pt idx="3">
                  <c:v>99.718092436668172</c:v>
                </c:pt>
                <c:pt idx="4">
                  <c:v>43.007299495989926</c:v>
                </c:pt>
              </c:numCache>
            </c:numRef>
          </c:val>
        </c:ser>
        <c:ser>
          <c:idx val="2"/>
          <c:order val="2"/>
          <c:tx>
            <c:strRef>
              <c:f>Anual!$A$46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(Anual!$B$4,Anual!$C$4,Anual!$D$5:$F$5)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Anual!$B$46:$F$46</c:f>
              <c:numCache>
                <c:formatCode>#,##0.00</c:formatCode>
                <c:ptCount val="5"/>
                <c:pt idx="0">
                  <c:v>82.148736486209984</c:v>
                </c:pt>
                <c:pt idx="1">
                  <c:v>94.450171821305844</c:v>
                </c:pt>
                <c:pt idx="2">
                  <c:v>98.96565958590007</c:v>
                </c:pt>
                <c:pt idx="3">
                  <c:v>99.718092436668172</c:v>
                </c:pt>
                <c:pt idx="4">
                  <c:v>43.007299495989926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99236096"/>
        <c:axId val="495360776"/>
      </c:barChart>
      <c:catAx>
        <c:axId val="499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5360776"/>
        <c:crosses val="autoZero"/>
        <c:auto val="1"/>
        <c:lblAlgn val="ctr"/>
        <c:lblOffset val="100"/>
        <c:noMultiLvlLbl val="0"/>
      </c:catAx>
      <c:valAx>
        <c:axId val="495360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992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avance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94.450171821305844</c:v>
                </c:pt>
                <c:pt idx="1">
                  <c:v>94.450171821305844</c:v>
                </c:pt>
              </c:numCache>
            </c:numRef>
          </c:val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69.847301151114124</c:v>
                </c:pt>
                <c:pt idx="2">
                  <c:v>98.96565958590007</c:v>
                </c:pt>
                <c:pt idx="3">
                  <c:v>99.718092436668172</c:v>
                </c:pt>
                <c:pt idx="4">
                  <c:v>43.007299495989926</c:v>
                </c:pt>
              </c:numCache>
            </c:numRef>
          </c:val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82.148736486209984</c:v>
                </c:pt>
                <c:pt idx="1">
                  <c:v>94.450171821305844</c:v>
                </c:pt>
                <c:pt idx="2">
                  <c:v>98.96565958590007</c:v>
                </c:pt>
                <c:pt idx="3">
                  <c:v>99.718092436668172</c:v>
                </c:pt>
                <c:pt idx="4">
                  <c:v>43.007299495989926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422565128"/>
        <c:axId val="422564344"/>
      </c:barChart>
      <c:catAx>
        <c:axId val="422565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2564344"/>
        <c:crosses val="autoZero"/>
        <c:auto val="1"/>
        <c:lblAlgn val="ctr"/>
        <c:lblOffset val="100"/>
        <c:noMultiLvlLbl val="0"/>
      </c:catAx>
      <c:valAx>
        <c:axId val="42256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22565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los niños: Índice transferencia efectiva del gasto (ITG)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transferencia efectiva del gasto (ITG)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(Anual!$B$4,Anual!$D$5)</c:f>
              <c:strCache>
                <c:ptCount val="2"/>
                <c:pt idx="0">
                  <c:v>Total programa</c:v>
                </c:pt>
                <c:pt idx="1">
                  <c:v>Subs. Atención Directa</c:v>
                </c:pt>
              </c:strCache>
            </c:strRef>
          </c:cat>
          <c:val>
            <c:numRef>
              <c:f>(Anual!$B$54,Anual!$D$54)</c:f>
              <c:numCache>
                <c:formatCode>#,##0.00</c:formatCode>
                <c:ptCount val="2"/>
                <c:pt idx="0">
                  <c:v>40.067722858903039</c:v>
                </c:pt>
                <c:pt idx="1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0253024"/>
        <c:axId val="510253416"/>
      </c:barChart>
      <c:catAx>
        <c:axId val="51025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253416"/>
        <c:crosses val="autoZero"/>
        <c:auto val="1"/>
        <c:lblAlgn val="ctr"/>
        <c:lblOffset val="100"/>
        <c:noMultiLvlLbl val="0"/>
      </c:catAx>
      <c:valAx>
        <c:axId val="510253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25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expansión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Anual!$A$57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-6.7040054310930071</c:v>
                </c:pt>
                <c:pt idx="1">
                  <c:v>-1.0530105301053139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Anual!$A$58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Anual!$B$58:$F$58</c:f>
              <c:numCache>
                <c:formatCode>#,##0.00</c:formatCode>
                <c:ptCount val="5"/>
                <c:pt idx="0">
                  <c:v>103.85421910779672</c:v>
                </c:pt>
                <c:pt idx="1">
                  <c:v>0</c:v>
                </c:pt>
                <c:pt idx="2">
                  <c:v>3.5605537657303232</c:v>
                </c:pt>
                <c:pt idx="3">
                  <c:v>235.528966151633</c:v>
                </c:pt>
                <c:pt idx="4">
                  <c:v>1433.6934728040405</c:v>
                </c:pt>
              </c:numCache>
            </c:numRef>
          </c:val>
        </c:ser>
        <c:ser>
          <c:idx val="2"/>
          <c:order val="2"/>
          <c:tx>
            <c:strRef>
              <c:f>Anual!$A$59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Anual!$B$59:$F$59</c:f>
              <c:numCache>
                <c:formatCode>#,##0.00</c:formatCode>
                <c:ptCount val="5"/>
                <c:pt idx="0">
                  <c:v>118.50264853249746</c:v>
                </c:pt>
                <c:pt idx="1">
                  <c:v>0</c:v>
                </c:pt>
                <c:pt idx="2">
                  <c:v>4.6626626242523228</c:v>
                </c:pt>
                <c:pt idx="3">
                  <c:v>239.0997219311256</c:v>
                </c:pt>
                <c:pt idx="4">
                  <c:v>1450.0152971007547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10254200"/>
        <c:axId val="510254592"/>
      </c:barChart>
      <c:catAx>
        <c:axId val="51025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254592"/>
        <c:crosses val="autoZero"/>
        <c:auto val="1"/>
        <c:lblAlgn val="ctr"/>
        <c:lblOffset val="100"/>
        <c:noMultiLvlLbl val="0"/>
      </c:catAx>
      <c:valAx>
        <c:axId val="51025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254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gasto medio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Anual!$A$65</c:f>
              <c:strCache>
                <c:ptCount val="1"/>
                <c:pt idx="0">
                  <c:v>Gasto programado acumulado por beneficiario (GPB)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Anual!$B$65:$F$65</c:f>
              <c:numCache>
                <c:formatCode>#,##0</c:formatCode>
                <c:ptCount val="5"/>
                <c:pt idx="0">
                  <c:v>2130486.1014432991</c:v>
                </c:pt>
                <c:pt idx="1">
                  <c:v>2130486.1014432991</c:v>
                </c:pt>
                <c:pt idx="2">
                  <c:v>602474.22680412373</c:v>
                </c:pt>
                <c:pt idx="3">
                  <c:v>413832.70350515464</c:v>
                </c:pt>
                <c:pt idx="4">
                  <c:v>1114179.1711340207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Gasto efectivo acumulado por beneficiario (GEB)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(Anual!$B$4:$C$5,Anual!$D$5:$F$5)</c:f>
              <c:strCache>
                <c:ptCount val="5"/>
                <c:pt idx="0">
                  <c:v>Total programa</c:v>
                </c:pt>
                <c:pt idx="1">
                  <c:v>Promedio Mensual</c:v>
                </c:pt>
                <c:pt idx="2">
                  <c:v>Subs. Atención Directa</c:v>
                </c:pt>
                <c:pt idx="3">
                  <c:v>Equipamiento</c:v>
                </c:pt>
                <c:pt idx="4">
                  <c:v>Construcción</c:v>
                </c:pt>
              </c:strCache>
            </c:strRef>
          </c:cat>
          <c:val>
            <c:numRef>
              <c:f>Anual!$B$66:$F$66</c:f>
              <c:numCache>
                <c:formatCode>#,##0</c:formatCode>
                <c:ptCount val="5"/>
                <c:pt idx="0">
                  <c:v>1575526.0308822996</c:v>
                </c:pt>
                <c:pt idx="1">
                  <c:v>1575526.0308822996</c:v>
                </c:pt>
                <c:pt idx="2">
                  <c:v>631277.40362379479</c:v>
                </c:pt>
                <c:pt idx="3">
                  <c:v>436914.05728215392</c:v>
                </c:pt>
                <c:pt idx="4">
                  <c:v>507334.56997635076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3"/>
        <c:axId val="510414928"/>
        <c:axId val="510415320"/>
      </c:barChart>
      <c:catAx>
        <c:axId val="510414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415320"/>
        <c:crosses val="autoZero"/>
        <c:auto val="1"/>
        <c:lblAlgn val="ctr"/>
        <c:lblOffset val="100"/>
        <c:noMultiLvlLbl val="0"/>
      </c:catAx>
      <c:valAx>
        <c:axId val="510415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41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Ciudad de los niños: Indicadores de giro de recursos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Anual!$A$69</c:f>
              <c:strCache>
                <c:ptCount val="1"/>
                <c:pt idx="0">
                  <c:v>Índice de giro efectivo (IGE)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Anual!$B$69</c:f>
              <c:numCache>
                <c:formatCode>#,##0.00</c:formatCode>
                <c:ptCount val="1"/>
                <c:pt idx="0">
                  <c:v>69.247773150767316</c:v>
                </c:pt>
              </c:numCache>
            </c:numRef>
          </c:val>
        </c:ser>
        <c:ser>
          <c:idx val="2"/>
          <c:order val="1"/>
          <c:tx>
            <c:strRef>
              <c:f>Anual!$A$70</c:f>
              <c:strCache>
                <c:ptCount val="1"/>
                <c:pt idx="0">
                  <c:v>Índice de uso de recursos (IUR)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Anual!$B$4:$C$5</c:f>
              <c:strCache>
                <c:ptCount val="2"/>
                <c:pt idx="0">
                  <c:v>Total programa</c:v>
                </c:pt>
                <c:pt idx="1">
                  <c:v>Promedio Mensual</c:v>
                </c:pt>
              </c:strCache>
            </c:strRef>
          </c:cat>
          <c:val>
            <c:numRef>
              <c:f>Anual!$B$70</c:f>
              <c:numCache>
                <c:formatCode>#,##0.00</c:formatCode>
                <c:ptCount val="1"/>
                <c:pt idx="0">
                  <c:v>100.86577224518325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10416496"/>
        <c:axId val="510416888"/>
      </c:barChart>
      <c:catAx>
        <c:axId val="51041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416888"/>
        <c:crosses val="autoZero"/>
        <c:auto val="1"/>
        <c:lblAlgn val="ctr"/>
        <c:lblOffset val="100"/>
        <c:noMultiLvlLbl val="0"/>
      </c:catAx>
      <c:valAx>
        <c:axId val="510416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41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Ciudad de los niños: Índice de eficiencia (IE)  2015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Anual!$A$64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Anual!$B$4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Anual!$B$64</c:f>
              <c:numCache>
                <c:formatCode>#,##0.00</c:formatCode>
                <c:ptCount val="1"/>
                <c:pt idx="0">
                  <c:v>111.08463960889841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0417672"/>
        <c:axId val="510418064"/>
      </c:barChart>
      <c:catAx>
        <c:axId val="51041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418064"/>
        <c:crosses val="autoZero"/>
        <c:auto val="1"/>
        <c:lblAlgn val="ctr"/>
        <c:lblOffset val="100"/>
        <c:noMultiLvlLbl val="0"/>
      </c:catAx>
      <c:valAx>
        <c:axId val="51041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510417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899582</xdr:colOff>
      <xdr:row>32</xdr:row>
      <xdr:rowOff>104773</xdr:rowOff>
    </xdr:from>
    <xdr:to>
      <xdr:col>12</xdr:col>
      <xdr:colOff>592666</xdr:colOff>
      <xdr:row>46</xdr:row>
      <xdr:rowOff>180973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10584</xdr:colOff>
      <xdr:row>48</xdr:row>
      <xdr:rowOff>20108</xdr:rowOff>
    </xdr:from>
    <xdr:to>
      <xdr:col>12</xdr:col>
      <xdr:colOff>613834</xdr:colOff>
      <xdr:row>62</xdr:row>
      <xdr:rowOff>96308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21167</xdr:colOff>
      <xdr:row>64</xdr:row>
      <xdr:rowOff>9523</xdr:rowOff>
    </xdr:from>
    <xdr:to>
      <xdr:col>12</xdr:col>
      <xdr:colOff>624417</xdr:colOff>
      <xdr:row>78</xdr:row>
      <xdr:rowOff>64556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21167</xdr:colOff>
      <xdr:row>85</xdr:row>
      <xdr:rowOff>189441</xdr:rowOff>
    </xdr:from>
    <xdr:to>
      <xdr:col>12</xdr:col>
      <xdr:colOff>624417</xdr:colOff>
      <xdr:row>100</xdr:row>
      <xdr:rowOff>75141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296333</xdr:colOff>
      <xdr:row>86</xdr:row>
      <xdr:rowOff>20107</xdr:rowOff>
    </xdr:from>
    <xdr:to>
      <xdr:col>2</xdr:col>
      <xdr:colOff>0</xdr:colOff>
      <xdr:row>100</xdr:row>
      <xdr:rowOff>96307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560918</xdr:colOff>
      <xdr:row>85</xdr:row>
      <xdr:rowOff>189440</xdr:rowOff>
    </xdr:from>
    <xdr:to>
      <xdr:col>6</xdr:col>
      <xdr:colOff>613834</xdr:colOff>
      <xdr:row>100</xdr:row>
      <xdr:rowOff>75140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26458</xdr:colOff>
      <xdr:row>102</xdr:row>
      <xdr:rowOff>9523</xdr:rowOff>
    </xdr:from>
    <xdr:to>
      <xdr:col>4</xdr:col>
      <xdr:colOff>1095375</xdr:colOff>
      <xdr:row>116</xdr:row>
      <xdr:rowOff>85723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67"/>
  <sheetViews>
    <sheetView topLeftCell="A70" zoomScale="80" zoomScaleNormal="80" workbookViewId="0">
      <selection activeCell="A82" sqref="A82"/>
    </sheetView>
  </sheetViews>
  <sheetFormatPr baseColWidth="10" defaultColWidth="11.42578125" defaultRowHeight="15" x14ac:dyDescent="0.25"/>
  <cols>
    <col min="1" max="1" width="55.140625" customWidth="1"/>
    <col min="2" max="2" width="15.140625" bestFit="1" customWidth="1"/>
    <col min="3" max="3" width="15.140625" customWidth="1"/>
    <col min="4" max="4" width="41.85546875" customWidth="1"/>
    <col min="5" max="5" width="18.42578125" customWidth="1"/>
    <col min="6" max="6" width="15.140625" bestFit="1" customWidth="1"/>
    <col min="7" max="7" width="13.7109375" bestFit="1" customWidth="1"/>
  </cols>
  <sheetData>
    <row r="2" spans="1:8" ht="15.75" x14ac:dyDescent="0.25">
      <c r="A2" s="52" t="s">
        <v>81</v>
      </c>
      <c r="B2" s="52"/>
      <c r="C2" s="52"/>
      <c r="D2" s="52"/>
      <c r="E2" s="52"/>
      <c r="F2" s="52"/>
    </row>
    <row r="4" spans="1:8" ht="15" customHeight="1" x14ac:dyDescent="0.25">
      <c r="A4" s="53" t="s">
        <v>0</v>
      </c>
      <c r="B4" s="55" t="s">
        <v>1</v>
      </c>
      <c r="C4" s="58" t="s">
        <v>51</v>
      </c>
      <c r="D4" s="57" t="s">
        <v>2</v>
      </c>
      <c r="E4" s="57"/>
      <c r="F4" s="57"/>
    </row>
    <row r="5" spans="1:8" ht="15.75" thickBot="1" x14ac:dyDescent="0.3">
      <c r="A5" s="54"/>
      <c r="B5" s="56"/>
      <c r="C5" s="59"/>
      <c r="D5" s="1" t="s">
        <v>3</v>
      </c>
      <c r="E5" s="2" t="s">
        <v>4</v>
      </c>
      <c r="F5" s="2" t="s">
        <v>5</v>
      </c>
    </row>
    <row r="6" spans="1:8" ht="15.75" thickTop="1" x14ac:dyDescent="0.25"/>
    <row r="7" spans="1:8" x14ac:dyDescent="0.25">
      <c r="A7" s="3" t="s">
        <v>6</v>
      </c>
    </row>
    <row r="8" spans="1:8" x14ac:dyDescent="0.25">
      <c r="B8" s="4"/>
      <c r="C8" s="4"/>
      <c r="D8" s="4"/>
      <c r="E8" s="4"/>
      <c r="F8" s="4"/>
      <c r="G8" s="4"/>
    </row>
    <row r="9" spans="1:8" x14ac:dyDescent="0.25">
      <c r="A9" t="s">
        <v>7</v>
      </c>
      <c r="B9" s="4"/>
      <c r="C9" s="4"/>
      <c r="D9" s="4"/>
      <c r="E9" s="4"/>
      <c r="F9" s="4"/>
      <c r="G9" s="4"/>
    </row>
    <row r="10" spans="1:8" x14ac:dyDescent="0.25">
      <c r="A10" s="5" t="s">
        <v>52</v>
      </c>
      <c r="B10" s="13">
        <v>491</v>
      </c>
      <c r="C10" s="13">
        <v>482.5</v>
      </c>
      <c r="D10" s="6"/>
      <c r="E10" s="6"/>
      <c r="F10" s="6"/>
      <c r="G10" s="4"/>
    </row>
    <row r="11" spans="1:8" x14ac:dyDescent="0.25">
      <c r="A11" s="5" t="s">
        <v>82</v>
      </c>
      <c r="B11" s="13">
        <v>485</v>
      </c>
      <c r="C11" s="13">
        <v>485</v>
      </c>
      <c r="D11" s="6"/>
      <c r="E11" s="6"/>
      <c r="F11" s="6"/>
      <c r="G11" s="4"/>
      <c r="H11" t="s">
        <v>80</v>
      </c>
    </row>
    <row r="12" spans="1:8" x14ac:dyDescent="0.25">
      <c r="A12" s="5" t="s">
        <v>83</v>
      </c>
      <c r="B12" s="13">
        <f>C12</f>
        <v>482</v>
      </c>
      <c r="C12" s="13">
        <v>482</v>
      </c>
      <c r="D12" s="4"/>
    </row>
    <row r="13" spans="1:8" x14ac:dyDescent="0.25">
      <c r="A13" s="5" t="s">
        <v>84</v>
      </c>
      <c r="B13" s="13">
        <v>485</v>
      </c>
      <c r="C13" s="13">
        <v>485</v>
      </c>
      <c r="D13" s="6"/>
      <c r="E13" s="6"/>
      <c r="F13" s="6"/>
      <c r="G13" s="4"/>
    </row>
    <row r="14" spans="1:8" x14ac:dyDescent="0.25">
      <c r="B14" s="6"/>
      <c r="C14" s="6"/>
      <c r="D14" s="6"/>
      <c r="E14" s="6"/>
      <c r="F14" s="6"/>
      <c r="G14" s="4"/>
    </row>
    <row r="15" spans="1:8" x14ac:dyDescent="0.25">
      <c r="A15" s="7" t="s">
        <v>8</v>
      </c>
      <c r="B15" s="6"/>
      <c r="C15" s="6"/>
      <c r="D15" s="6"/>
      <c r="E15" s="6"/>
      <c r="F15" s="6"/>
      <c r="G15" s="4"/>
    </row>
    <row r="16" spans="1:8" x14ac:dyDescent="0.25">
      <c r="A16" s="5" t="s">
        <v>52</v>
      </c>
      <c r="B16" s="44">
        <f>SUM(D16:F16)</f>
        <v>14147130.550000001</v>
      </c>
      <c r="C16" s="37"/>
      <c r="D16" s="44">
        <v>2947130.55</v>
      </c>
      <c r="E16" s="48">
        <v>7000000</v>
      </c>
      <c r="F16" s="44">
        <v>4200000</v>
      </c>
      <c r="G16" s="38"/>
    </row>
    <row r="17" spans="1:8" x14ac:dyDescent="0.25">
      <c r="A17" s="5" t="s">
        <v>82</v>
      </c>
      <c r="B17" s="25">
        <f>SUM(D17:F17)</f>
        <v>79510000</v>
      </c>
      <c r="C17" s="25"/>
      <c r="D17" s="25">
        <v>66090000</v>
      </c>
      <c r="E17" s="25">
        <v>13420000</v>
      </c>
      <c r="F17" s="25">
        <v>0</v>
      </c>
      <c r="G17" s="4"/>
    </row>
    <row r="18" spans="1:8" x14ac:dyDescent="0.25">
      <c r="A18" s="5" t="s">
        <v>83</v>
      </c>
      <c r="B18" s="25">
        <f>SUM(D18:F18)</f>
        <v>55440501.469999999</v>
      </c>
      <c r="C18" s="25"/>
      <c r="D18" s="25">
        <v>55440501.469999999</v>
      </c>
      <c r="E18" s="26">
        <v>0</v>
      </c>
      <c r="F18" s="25">
        <v>0</v>
      </c>
      <c r="G18" s="4"/>
    </row>
    <row r="19" spans="1:8" x14ac:dyDescent="0.25">
      <c r="A19" s="5" t="s">
        <v>84</v>
      </c>
      <c r="B19" s="25">
        <f>SUM(D19:F19)</f>
        <v>688058774</v>
      </c>
      <c r="C19" s="25"/>
      <c r="D19" s="25">
        <v>292200000</v>
      </c>
      <c r="E19" s="25">
        <v>13420000</v>
      </c>
      <c r="F19" s="25">
        <v>382438774</v>
      </c>
      <c r="G19" s="4"/>
    </row>
    <row r="20" spans="1:8" x14ac:dyDescent="0.25">
      <c r="A20" s="5" t="s">
        <v>85</v>
      </c>
      <c r="B20" s="6">
        <f>D20</f>
        <v>55440501.469999999</v>
      </c>
      <c r="C20" s="6"/>
      <c r="D20" s="6">
        <f>D18</f>
        <v>55440501.469999999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82</v>
      </c>
      <c r="B23" s="13">
        <f>B17</f>
        <v>79510000</v>
      </c>
      <c r="C23" s="13"/>
      <c r="D23" s="32"/>
      <c r="E23" s="6"/>
      <c r="F23" s="6"/>
      <c r="G23" s="4"/>
      <c r="H23" s="8"/>
    </row>
    <row r="24" spans="1:8" x14ac:dyDescent="0.25">
      <c r="A24" s="5" t="s">
        <v>83</v>
      </c>
      <c r="B24" s="13">
        <v>58769685.109999999</v>
      </c>
      <c r="C24" s="13"/>
      <c r="D24" s="47"/>
      <c r="E24" s="6"/>
      <c r="F24" s="6"/>
      <c r="G24" s="38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53</v>
      </c>
      <c r="B27" s="6">
        <v>0.96</v>
      </c>
      <c r="C27" s="6">
        <v>0.96</v>
      </c>
      <c r="D27" s="6">
        <v>0.96</v>
      </c>
      <c r="E27" s="6">
        <v>0.96</v>
      </c>
      <c r="F27" s="6">
        <v>0.96</v>
      </c>
      <c r="G27" s="4"/>
    </row>
    <row r="28" spans="1:8" x14ac:dyDescent="0.25">
      <c r="A28" t="s">
        <v>86</v>
      </c>
      <c r="B28" s="6">
        <v>1</v>
      </c>
      <c r="C28" s="6">
        <v>1</v>
      </c>
      <c r="D28" s="6">
        <v>1</v>
      </c>
      <c r="E28" s="6">
        <v>1</v>
      </c>
      <c r="F28" s="6">
        <v>1</v>
      </c>
      <c r="G28" s="4"/>
    </row>
    <row r="29" spans="1:8" x14ac:dyDescent="0.25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54</v>
      </c>
      <c r="B32" s="25">
        <f>B16/B27</f>
        <v>14736594.322916668</v>
      </c>
      <c r="C32" s="25">
        <f>C16/C27</f>
        <v>0</v>
      </c>
      <c r="D32" s="25">
        <f>D16/D27</f>
        <v>3069927.65625</v>
      </c>
      <c r="E32" s="25">
        <f t="shared" ref="E32:F32" si="0">E16/E27</f>
        <v>7291666.666666667</v>
      </c>
      <c r="F32" s="25">
        <f t="shared" si="0"/>
        <v>4375000</v>
      </c>
      <c r="G32" s="6"/>
    </row>
    <row r="33" spans="1:7" x14ac:dyDescent="0.25">
      <c r="A33" t="s">
        <v>87</v>
      </c>
      <c r="B33" s="25">
        <f>B18/B28</f>
        <v>55440501.469999999</v>
      </c>
      <c r="C33" s="25">
        <f>C18/C28</f>
        <v>0</v>
      </c>
      <c r="D33" s="25">
        <f>D18/D28</f>
        <v>55440501.469999999</v>
      </c>
      <c r="E33" s="25">
        <f>E18/E28</f>
        <v>0</v>
      </c>
      <c r="F33" s="25">
        <f t="shared" ref="F33" si="1">F18/F28</f>
        <v>0</v>
      </c>
      <c r="G33" s="4"/>
    </row>
    <row r="34" spans="1:7" x14ac:dyDescent="0.25">
      <c r="A34" t="s">
        <v>55</v>
      </c>
      <c r="B34" s="25">
        <f>B32/$B$10</f>
        <v>30013.430392905637</v>
      </c>
      <c r="C34" s="25">
        <f>C32/C10</f>
        <v>0</v>
      </c>
      <c r="D34" s="44">
        <f>D32/$C$10</f>
        <v>6362.5443652849744</v>
      </c>
      <c r="E34" s="44">
        <f t="shared" ref="E34:F34" si="2">E32/$C$10</f>
        <v>15112.262521588947</v>
      </c>
      <c r="F34" s="44">
        <f t="shared" si="2"/>
        <v>9067.3575129533674</v>
      </c>
      <c r="G34" s="39"/>
    </row>
    <row r="35" spans="1:7" x14ac:dyDescent="0.25">
      <c r="A35" t="s">
        <v>88</v>
      </c>
      <c r="B35" s="25">
        <f>B33/$B$12</f>
        <v>115021.78728215767</v>
      </c>
      <c r="C35" s="25">
        <f>C33/C12</f>
        <v>0</v>
      </c>
      <c r="D35" s="44">
        <f>D33/$C$12</f>
        <v>115021.78728215767</v>
      </c>
      <c r="E35" s="44">
        <f t="shared" ref="E35:F35" si="3">E33/$C$12</f>
        <v>0</v>
      </c>
      <c r="F35" s="44">
        <f t="shared" si="3"/>
        <v>0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t="s">
        <v>18</v>
      </c>
      <c r="B44" s="6">
        <f>B12/B11*100</f>
        <v>99.381443298969074</v>
      </c>
      <c r="C44" s="6">
        <f>C12/C11*100</f>
        <v>99.381443298969074</v>
      </c>
      <c r="D44" s="6"/>
      <c r="E44" s="6"/>
      <c r="F44" s="6"/>
      <c r="G44" s="38"/>
    </row>
    <row r="45" spans="1:7" x14ac:dyDescent="0.25">
      <c r="A45" t="s">
        <v>19</v>
      </c>
      <c r="B45" s="6">
        <f>B18/B17*100</f>
        <v>69.727709055464715</v>
      </c>
      <c r="C45" s="6"/>
      <c r="D45" s="6">
        <f>D18/D17*100</f>
        <v>83.886369299440162</v>
      </c>
      <c r="E45" s="6">
        <f t="shared" ref="E45" si="4">E18/E17*100</f>
        <v>0</v>
      </c>
      <c r="F45" s="6" t="e">
        <f>F18/F17*100</f>
        <v>#DIV/0!</v>
      </c>
      <c r="G45" s="4"/>
    </row>
    <row r="46" spans="1:7" x14ac:dyDescent="0.25">
      <c r="A46" t="s">
        <v>20</v>
      </c>
      <c r="B46" s="6">
        <f>AVERAGE(B44:B45)</f>
        <v>84.554576177216887</v>
      </c>
      <c r="C46" s="6">
        <f>AVERAGE(C44:C45)</f>
        <v>99.381443298969074</v>
      </c>
      <c r="D46" s="6">
        <f t="shared" ref="D46:F46" si="5">AVERAGE(D44:D45)</f>
        <v>83.886369299440162</v>
      </c>
      <c r="E46" s="6">
        <f t="shared" si="5"/>
        <v>0</v>
      </c>
      <c r="F46" s="6" t="e">
        <f t="shared" si="5"/>
        <v>#DIV/0!</v>
      </c>
      <c r="G46" s="4"/>
    </row>
    <row r="47" spans="1:7" x14ac:dyDescent="0.25">
      <c r="B47" s="6"/>
      <c r="C47" s="6"/>
      <c r="D47" s="6"/>
      <c r="E47" s="6"/>
      <c r="F47" s="6"/>
      <c r="G47" s="4"/>
    </row>
    <row r="48" spans="1:7" x14ac:dyDescent="0.25">
      <c r="A48" t="s">
        <v>21</v>
      </c>
      <c r="B48" s="6"/>
      <c r="C48" s="6"/>
      <c r="D48" s="6"/>
      <c r="E48" s="6"/>
      <c r="F48" s="6"/>
      <c r="G48" s="4"/>
    </row>
    <row r="49" spans="1:7" x14ac:dyDescent="0.25">
      <c r="A49" t="s">
        <v>22</v>
      </c>
      <c r="B49" s="6">
        <f>(B12/B13)*100</f>
        <v>99.381443298969074</v>
      </c>
      <c r="C49" s="6">
        <f t="shared" ref="C49" si="6">(C12/C13)*100</f>
        <v>99.381443298969074</v>
      </c>
      <c r="D49" s="6"/>
      <c r="E49" s="6"/>
      <c r="F49" s="6"/>
      <c r="G49" s="4"/>
    </row>
    <row r="50" spans="1:7" x14ac:dyDescent="0.25">
      <c r="A50" t="s">
        <v>23</v>
      </c>
      <c r="B50" s="6">
        <f>B18/B19*100</f>
        <v>8.0575240902312792</v>
      </c>
      <c r="C50" s="6"/>
      <c r="D50" s="6">
        <f t="shared" ref="D50:F50" si="7">D18/D19*100</f>
        <v>18.973477573579739</v>
      </c>
      <c r="E50" s="6">
        <f t="shared" si="7"/>
        <v>0</v>
      </c>
      <c r="F50" s="6">
        <f t="shared" si="7"/>
        <v>0</v>
      </c>
      <c r="G50" s="4"/>
    </row>
    <row r="51" spans="1:7" x14ac:dyDescent="0.25">
      <c r="A51" t="s">
        <v>24</v>
      </c>
      <c r="B51" s="6">
        <f>AVERAGE(B49:B50)</f>
        <v>53.719483694600179</v>
      </c>
      <c r="C51" s="6">
        <f t="shared" ref="C51:F51" si="8">AVERAGE(C49:C50)</f>
        <v>99.381443298969074</v>
      </c>
      <c r="D51" s="6">
        <f t="shared" si="8"/>
        <v>18.973477573579739</v>
      </c>
      <c r="E51" s="6">
        <f t="shared" si="8"/>
        <v>0</v>
      </c>
      <c r="F51" s="6">
        <f t="shared" si="8"/>
        <v>0</v>
      </c>
      <c r="G51" s="4"/>
    </row>
    <row r="52" spans="1:7" x14ac:dyDescent="0.25">
      <c r="B52" s="6"/>
      <c r="C52" s="6"/>
      <c r="D52" s="6"/>
      <c r="E52" s="6"/>
      <c r="F52" s="6"/>
      <c r="G52" s="4"/>
    </row>
    <row r="53" spans="1:7" x14ac:dyDescent="0.25">
      <c r="A53" t="s">
        <v>36</v>
      </c>
      <c r="B53" s="6"/>
      <c r="C53" s="6"/>
      <c r="D53" s="6"/>
      <c r="E53" s="6"/>
      <c r="F53" s="6"/>
      <c r="G53" s="4"/>
    </row>
    <row r="54" spans="1:7" x14ac:dyDescent="0.25">
      <c r="A54" t="s">
        <v>25</v>
      </c>
      <c r="B54" s="6">
        <f>B20/B18*100</f>
        <v>100</v>
      </c>
      <c r="C54" s="6" t="e">
        <f t="shared" ref="C54:F54" si="9">C20/C18*100</f>
        <v>#DIV/0!</v>
      </c>
      <c r="D54" s="6">
        <f t="shared" si="9"/>
        <v>100</v>
      </c>
      <c r="E54" s="6" t="e">
        <f t="shared" si="9"/>
        <v>#DIV/0!</v>
      </c>
      <c r="F54" s="6" t="e">
        <f t="shared" si="9"/>
        <v>#DIV/0!</v>
      </c>
      <c r="G54" s="6"/>
    </row>
    <row r="55" spans="1:7" x14ac:dyDescent="0.25">
      <c r="B55" s="6"/>
      <c r="C55" s="6"/>
      <c r="D55" s="6"/>
      <c r="E55" s="6"/>
      <c r="F55" s="6"/>
      <c r="G55" s="4"/>
    </row>
    <row r="56" spans="1:7" x14ac:dyDescent="0.25">
      <c r="A56" t="s">
        <v>26</v>
      </c>
      <c r="B56" s="6"/>
      <c r="C56" s="6"/>
      <c r="D56" s="6"/>
      <c r="E56" s="6"/>
      <c r="F56" s="6"/>
      <c r="G56" s="4"/>
    </row>
    <row r="57" spans="1:7" x14ac:dyDescent="0.25">
      <c r="A57" t="s">
        <v>27</v>
      </c>
      <c r="B57" s="6">
        <f>((B12/B10)-1)*100</f>
        <v>-1.8329938900203624</v>
      </c>
      <c r="C57" s="6">
        <f>((C12/C10)-1)*100</f>
        <v>-0.10362694300518616</v>
      </c>
      <c r="D57" s="6" t="e">
        <f t="shared" ref="D57:F57" si="10">((D12/D10)-1)*100</f>
        <v>#DIV/0!</v>
      </c>
      <c r="E57" s="6" t="e">
        <f t="shared" si="10"/>
        <v>#DIV/0!</v>
      </c>
      <c r="F57" s="6" t="e">
        <f t="shared" si="10"/>
        <v>#DIV/0!</v>
      </c>
      <c r="G57" s="4"/>
    </row>
    <row r="58" spans="1:7" x14ac:dyDescent="0.25">
      <c r="A58" t="s">
        <v>28</v>
      </c>
      <c r="B58" s="6">
        <f>((B33/B32)-1)*100</f>
        <v>276.20972834805707</v>
      </c>
      <c r="C58" s="6" t="e">
        <f>((C33/C32)-1)*100</f>
        <v>#DIV/0!</v>
      </c>
      <c r="D58" s="6">
        <f t="shared" ref="D58:F58" si="11">((D33/D32)-1)*100</f>
        <v>1705.92208279338</v>
      </c>
      <c r="E58" s="6">
        <f t="shared" si="11"/>
        <v>-100</v>
      </c>
      <c r="F58" s="6">
        <f t="shared" si="11"/>
        <v>-100</v>
      </c>
      <c r="G58" s="4"/>
    </row>
    <row r="59" spans="1:7" x14ac:dyDescent="0.25">
      <c r="A59" t="s">
        <v>29</v>
      </c>
      <c r="B59" s="6">
        <f>((B35/B34)-1)*100</f>
        <v>283.23439132551044</v>
      </c>
      <c r="C59" s="6" t="e">
        <f>((C35/C34)-1)*100</f>
        <v>#DIV/0!</v>
      </c>
      <c r="D59" s="6">
        <f t="shared" ref="D59:F59" si="12">((D35/D34)-1)*100</f>
        <v>1707.7954459498048</v>
      </c>
      <c r="E59" s="6">
        <f t="shared" si="12"/>
        <v>-100</v>
      </c>
      <c r="F59" s="6">
        <f t="shared" si="12"/>
        <v>-100</v>
      </c>
      <c r="G59" s="4"/>
    </row>
    <row r="60" spans="1:7" x14ac:dyDescent="0.25">
      <c r="B60" s="6"/>
      <c r="C60" s="6"/>
      <c r="D60" s="6"/>
      <c r="E60" s="6"/>
      <c r="F60" s="6"/>
      <c r="G60" s="4"/>
    </row>
    <row r="61" spans="1:7" x14ac:dyDescent="0.25">
      <c r="A61" t="s">
        <v>30</v>
      </c>
      <c r="B61" s="6"/>
      <c r="C61" s="6"/>
      <c r="D61" s="6"/>
      <c r="E61" s="6"/>
      <c r="F61" s="6"/>
      <c r="G61" s="4"/>
    </row>
    <row r="62" spans="1:7" x14ac:dyDescent="0.25">
      <c r="A62" t="s">
        <v>37</v>
      </c>
      <c r="B62" s="47">
        <f>B17/($B$11*2)</f>
        <v>81969.072164948448</v>
      </c>
      <c r="C62" s="47">
        <f>B17/(C11*2)</f>
        <v>81969.072164948448</v>
      </c>
      <c r="D62" s="49">
        <f>D17/($C$11*2)</f>
        <v>68134.020618556708</v>
      </c>
      <c r="E62" s="49">
        <f>E17/($C$11*2)</f>
        <v>13835.051546391753</v>
      </c>
      <c r="F62" s="49">
        <f>F17/($C$11*2)</f>
        <v>0</v>
      </c>
      <c r="G62" s="39"/>
    </row>
    <row r="63" spans="1:7" x14ac:dyDescent="0.25">
      <c r="A63" t="s">
        <v>38</v>
      </c>
      <c r="B63" s="47">
        <f>B18/($B$12*2)</f>
        <v>57510.893641078837</v>
      </c>
      <c r="C63" s="47">
        <f>B18/(C12*2)</f>
        <v>57510.893641078837</v>
      </c>
      <c r="D63" s="49">
        <f>D18/($C$12*2)</f>
        <v>57510.893641078837</v>
      </c>
      <c r="E63" s="49">
        <f>E18/($C$12*2)</f>
        <v>0</v>
      </c>
      <c r="F63" s="49">
        <f>F18/($C$12*2)</f>
        <v>0</v>
      </c>
      <c r="G63" s="8"/>
    </row>
    <row r="64" spans="1:7" x14ac:dyDescent="0.25">
      <c r="A64" s="16" t="s">
        <v>31</v>
      </c>
      <c r="B64" s="42">
        <f>(B62/B63)*B46</f>
        <v>120.51386646505442</v>
      </c>
      <c r="C64" s="42">
        <f>(C62/C63)*C46</f>
        <v>141.64628963113978</v>
      </c>
      <c r="D64" s="42"/>
      <c r="E64" s="42"/>
      <c r="F64" s="42"/>
      <c r="G64" s="4"/>
    </row>
    <row r="65" spans="1:12" x14ac:dyDescent="0.25">
      <c r="A65" s="14" t="s">
        <v>39</v>
      </c>
      <c r="B65" s="47">
        <f>B17/($B$11)</f>
        <v>163938.1443298969</v>
      </c>
      <c r="C65" s="47">
        <f>B17/(C11)</f>
        <v>163938.1443298969</v>
      </c>
      <c r="D65" s="47">
        <f>D17/($C$11)</f>
        <v>136268.04123711342</v>
      </c>
      <c r="E65" s="47">
        <f t="shared" ref="E65:F65" si="13">E17/($C$11)</f>
        <v>27670.103092783505</v>
      </c>
      <c r="F65" s="47">
        <f t="shared" si="13"/>
        <v>0</v>
      </c>
      <c r="G65" s="4"/>
    </row>
    <row r="66" spans="1:12" x14ac:dyDescent="0.25">
      <c r="A66" s="14" t="s">
        <v>40</v>
      </c>
      <c r="B66" s="47">
        <f>B18/($B$12)</f>
        <v>115021.78728215767</v>
      </c>
      <c r="C66" s="47">
        <f>B18/(C12)</f>
        <v>115021.78728215767</v>
      </c>
      <c r="D66" s="47">
        <f>D18/($C$12)</f>
        <v>115021.78728215767</v>
      </c>
      <c r="E66" s="47">
        <f t="shared" ref="E66:F66" si="14">E18/($C$12)</f>
        <v>0</v>
      </c>
      <c r="F66" s="47">
        <f t="shared" si="14"/>
        <v>0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</row>
    <row r="69" spans="1:12" x14ac:dyDescent="0.25">
      <c r="A69" t="s">
        <v>33</v>
      </c>
      <c r="B69" s="42">
        <f>((B24+D24)/B23)*100</f>
        <v>73.914834750345875</v>
      </c>
      <c r="C69" s="6"/>
      <c r="D69" s="6"/>
      <c r="E69" s="6"/>
      <c r="F69" s="6"/>
      <c r="G69" s="39"/>
      <c r="H69" s="8"/>
    </row>
    <row r="70" spans="1:12" x14ac:dyDescent="0.25">
      <c r="A70" t="s">
        <v>34</v>
      </c>
      <c r="B70" s="42">
        <f>(B18/(B24+D24))*100</f>
        <v>94.3352025218976</v>
      </c>
      <c r="C70" s="6"/>
      <c r="D70" s="6"/>
      <c r="E70" s="6"/>
      <c r="F70" s="6"/>
      <c r="G70" s="4"/>
      <c r="H70" s="8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0" t="s">
        <v>89</v>
      </c>
    </row>
    <row r="75" spans="1:12" x14ac:dyDescent="0.25">
      <c r="A75" s="11" t="s">
        <v>91</v>
      </c>
      <c r="B75" s="12"/>
      <c r="C75" s="12"/>
      <c r="D75" s="12"/>
      <c r="E75" s="12"/>
    </row>
    <row r="76" spans="1:12" x14ac:dyDescent="0.25">
      <c r="A76" s="34" t="s">
        <v>90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/>
    </row>
    <row r="77" spans="1:12" x14ac:dyDescent="0.25">
      <c r="A77" s="11" t="s">
        <v>49</v>
      </c>
      <c r="B77" s="12"/>
      <c r="C77" s="12"/>
      <c r="D77" s="12"/>
      <c r="E77" s="12"/>
    </row>
    <row r="78" spans="1:12" x14ac:dyDescent="0.25">
      <c r="A78" s="33" t="s">
        <v>50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1" spans="1:1" x14ac:dyDescent="0.25">
      <c r="A81" s="51" t="s">
        <v>136</v>
      </c>
    </row>
    <row r="82" spans="1:1" x14ac:dyDescent="0.25">
      <c r="A82" t="s">
        <v>137</v>
      </c>
    </row>
    <row r="83" spans="1:1" x14ac:dyDescent="0.25">
      <c r="A83" t="s">
        <v>134</v>
      </c>
    </row>
    <row r="165" spans="1:5" x14ac:dyDescent="0.25">
      <c r="A165" s="27"/>
      <c r="B165" s="27"/>
      <c r="C165" s="27"/>
      <c r="D165" s="27"/>
      <c r="E165" s="27"/>
    </row>
    <row r="166" spans="1:5" x14ac:dyDescent="0.25">
      <c r="A166" s="27"/>
      <c r="B166" s="31"/>
      <c r="C166" s="31"/>
      <c r="D166" s="31"/>
      <c r="E166" s="31"/>
    </row>
    <row r="167" spans="1:5" x14ac:dyDescent="0.25">
      <c r="A167" s="27"/>
      <c r="B167" s="31"/>
      <c r="C167" s="31"/>
      <c r="D167" s="31"/>
      <c r="E167" s="31"/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3"/>
  <sheetViews>
    <sheetView topLeftCell="A55" zoomScale="70" zoomScaleNormal="70" workbookViewId="0">
      <selection activeCell="A82" sqref="A82"/>
    </sheetView>
  </sheetViews>
  <sheetFormatPr baseColWidth="10" defaultColWidth="11.42578125" defaultRowHeight="15" x14ac:dyDescent="0.25"/>
  <cols>
    <col min="1" max="1" width="55.140625" customWidth="1"/>
    <col min="2" max="2" width="16" bestFit="1" customWidth="1"/>
    <col min="3" max="3" width="13.85546875" customWidth="1"/>
    <col min="4" max="4" width="20.7109375" customWidth="1"/>
    <col min="5" max="5" width="13.7109375" customWidth="1"/>
    <col min="6" max="6" width="19.42578125" customWidth="1"/>
    <col min="7" max="7" width="13.7109375" bestFit="1" customWidth="1"/>
  </cols>
  <sheetData>
    <row r="2" spans="1:7" ht="15.75" x14ac:dyDescent="0.25">
      <c r="A2" s="52" t="s">
        <v>98</v>
      </c>
      <c r="B2" s="52"/>
      <c r="C2" s="52"/>
      <c r="D2" s="52"/>
      <c r="E2" s="52"/>
      <c r="F2" s="52"/>
    </row>
    <row r="4" spans="1:7" ht="15" customHeight="1" x14ac:dyDescent="0.25">
      <c r="A4" s="53" t="s">
        <v>0</v>
      </c>
      <c r="B4" s="58" t="s">
        <v>1</v>
      </c>
      <c r="C4" s="58" t="s">
        <v>51</v>
      </c>
      <c r="D4" s="57" t="s">
        <v>2</v>
      </c>
      <c r="E4" s="57"/>
      <c r="F4" s="57"/>
    </row>
    <row r="5" spans="1:7" ht="15.75" thickBot="1" x14ac:dyDescent="0.3">
      <c r="A5" s="54"/>
      <c r="B5" s="59"/>
      <c r="C5" s="59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56</v>
      </c>
      <c r="B10" s="13">
        <v>472</v>
      </c>
      <c r="C10" s="13">
        <v>467.66666666666669</v>
      </c>
      <c r="D10" s="6"/>
      <c r="E10" s="6"/>
      <c r="F10" s="6"/>
      <c r="G10" s="4"/>
    </row>
    <row r="11" spans="1:7" x14ac:dyDescent="0.25">
      <c r="A11" s="5" t="s">
        <v>92</v>
      </c>
      <c r="B11" s="13">
        <v>485</v>
      </c>
      <c r="C11" s="13">
        <v>485</v>
      </c>
      <c r="D11" s="6"/>
      <c r="E11" s="6"/>
      <c r="F11" s="6"/>
      <c r="G11" s="4"/>
    </row>
    <row r="12" spans="1:7" x14ac:dyDescent="0.25">
      <c r="A12" s="5" t="s">
        <v>93</v>
      </c>
      <c r="B12" s="13">
        <f>C12</f>
        <v>465.33333333333331</v>
      </c>
      <c r="C12" s="13">
        <v>465.33333333333331</v>
      </c>
      <c r="D12" s="4"/>
    </row>
    <row r="13" spans="1:7" x14ac:dyDescent="0.25">
      <c r="A13" s="5" t="s">
        <v>84</v>
      </c>
      <c r="B13" s="13">
        <v>485</v>
      </c>
      <c r="C13" s="13">
        <v>485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56</v>
      </c>
      <c r="B16" s="13">
        <f>SUM(D16:F16)</f>
        <v>116813327.37</v>
      </c>
      <c r="C16" s="13"/>
      <c r="D16" s="13">
        <v>103930759.8</v>
      </c>
      <c r="E16" s="29">
        <v>12882567.57</v>
      </c>
      <c r="F16" s="30">
        <v>0</v>
      </c>
      <c r="G16" s="4"/>
    </row>
    <row r="17" spans="1:8" x14ac:dyDescent="0.25">
      <c r="A17" s="5" t="s">
        <v>92</v>
      </c>
      <c r="B17" s="13">
        <f>SUM(D17:F17)</f>
        <v>180760000</v>
      </c>
      <c r="C17" s="13"/>
      <c r="D17" s="13">
        <v>80760000</v>
      </c>
      <c r="E17" s="13">
        <v>0</v>
      </c>
      <c r="F17" s="13">
        <v>100000000</v>
      </c>
      <c r="G17" s="4"/>
    </row>
    <row r="18" spans="1:8" x14ac:dyDescent="0.25">
      <c r="A18" s="5" t="s">
        <v>93</v>
      </c>
      <c r="B18" s="13">
        <f>SUM(D18:F18)</f>
        <v>97089827.739999995</v>
      </c>
      <c r="C18" s="13"/>
      <c r="D18" s="13">
        <v>85336383.539999992</v>
      </c>
      <c r="E18" s="29">
        <v>11753444.200000001</v>
      </c>
      <c r="F18" s="30">
        <v>0</v>
      </c>
      <c r="G18" s="4"/>
    </row>
    <row r="19" spans="1:8" x14ac:dyDescent="0.25">
      <c r="A19" s="5" t="s">
        <v>84</v>
      </c>
      <c r="B19" s="13">
        <f>SUM(D19:F19)</f>
        <v>688058774</v>
      </c>
      <c r="C19" s="13"/>
      <c r="D19" s="13">
        <v>292200000</v>
      </c>
      <c r="E19" s="13">
        <v>13420000</v>
      </c>
      <c r="F19" s="13">
        <v>382438774</v>
      </c>
      <c r="G19" s="4"/>
    </row>
    <row r="20" spans="1:8" x14ac:dyDescent="0.25">
      <c r="A20" s="5" t="s">
        <v>94</v>
      </c>
      <c r="B20" s="6">
        <f>D20</f>
        <v>85336383.539999992</v>
      </c>
      <c r="C20" s="6"/>
      <c r="D20" s="6">
        <f>D18</f>
        <v>85336383.539999992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92</v>
      </c>
      <c r="B23" s="13">
        <f>B17</f>
        <v>180760000</v>
      </c>
      <c r="C23" s="13"/>
      <c r="D23" s="41"/>
      <c r="E23" s="6"/>
      <c r="F23" s="6"/>
      <c r="G23" s="38"/>
      <c r="H23" s="8"/>
    </row>
    <row r="24" spans="1:8" x14ac:dyDescent="0.25">
      <c r="A24" s="5" t="s">
        <v>93</v>
      </c>
      <c r="B24" s="13">
        <v>98431620.819999993</v>
      </c>
      <c r="C24" s="13"/>
      <c r="D24" s="40"/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57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4"/>
    </row>
    <row r="28" spans="1:8" x14ac:dyDescent="0.25">
      <c r="A28" t="s">
        <v>95</v>
      </c>
      <c r="B28" s="6">
        <v>1</v>
      </c>
      <c r="C28" s="6">
        <v>1</v>
      </c>
      <c r="D28" s="6">
        <v>1</v>
      </c>
      <c r="E28" s="6">
        <v>1</v>
      </c>
      <c r="F28" s="6">
        <v>1</v>
      </c>
      <c r="G28" s="4"/>
    </row>
    <row r="29" spans="1:8" x14ac:dyDescent="0.25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58</v>
      </c>
      <c r="B32" s="13">
        <f>B16/B27</f>
        <v>117993259.96969697</v>
      </c>
      <c r="C32" s="13">
        <f>C16/C27</f>
        <v>0</v>
      </c>
      <c r="D32" s="25">
        <f>D16/D27</f>
        <v>104980565.45454545</v>
      </c>
      <c r="E32" s="25">
        <f t="shared" ref="E32:F32" si="0">E16/E27</f>
        <v>13012694.515151516</v>
      </c>
      <c r="F32" s="25">
        <f t="shared" si="0"/>
        <v>0</v>
      </c>
      <c r="G32" s="6"/>
    </row>
    <row r="33" spans="1:7" x14ac:dyDescent="0.25">
      <c r="A33" t="s">
        <v>96</v>
      </c>
      <c r="B33" s="13">
        <f>B18/B28</f>
        <v>97089827.739999995</v>
      </c>
      <c r="C33" s="13">
        <f>C18/C28</f>
        <v>0</v>
      </c>
      <c r="D33" s="25">
        <f>D18/D28</f>
        <v>85336383.539999992</v>
      </c>
      <c r="E33" s="25">
        <f>E18/E28</f>
        <v>11753444.200000001</v>
      </c>
      <c r="F33" s="25">
        <f t="shared" ref="F33" si="1">F18/F28</f>
        <v>0</v>
      </c>
      <c r="G33" s="4"/>
    </row>
    <row r="34" spans="1:7" x14ac:dyDescent="0.25">
      <c r="A34" t="s">
        <v>59</v>
      </c>
      <c r="B34" s="13">
        <f>B32/B10</f>
        <v>249985.72027478172</v>
      </c>
      <c r="C34" s="25">
        <f>C32/C10</f>
        <v>0</v>
      </c>
      <c r="D34" s="44">
        <f>D32/$C$10</f>
        <v>224477.3316918292</v>
      </c>
      <c r="E34" s="44">
        <f t="shared" ref="E34:F34" si="2">E32/$C$10</f>
        <v>27824.720987494329</v>
      </c>
      <c r="F34" s="44">
        <f t="shared" si="2"/>
        <v>0</v>
      </c>
      <c r="G34" s="39"/>
    </row>
    <row r="35" spans="1:7" x14ac:dyDescent="0.25">
      <c r="A35" t="s">
        <v>97</v>
      </c>
      <c r="B35" s="13">
        <f>B33/B12</f>
        <v>208645.76161891117</v>
      </c>
      <c r="C35" s="25">
        <f>C33/C12</f>
        <v>0</v>
      </c>
      <c r="D35" s="44">
        <f>D33/$C$12</f>
        <v>183387.6437106017</v>
      </c>
      <c r="E35" s="44">
        <f t="shared" ref="E35:F35" si="3">E33/$C$12</f>
        <v>25258.117908309458</v>
      </c>
      <c r="F35" s="44">
        <f t="shared" si="3"/>
        <v>0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6">
        <f>B12/B11*100</f>
        <v>95.94501718213057</v>
      </c>
      <c r="C44" s="6">
        <f>C12/C11*100</f>
        <v>95.94501718213057</v>
      </c>
      <c r="D44" s="6"/>
      <c r="E44" s="6"/>
      <c r="F44" s="6"/>
      <c r="G44" s="38"/>
    </row>
    <row r="45" spans="1:7" x14ac:dyDescent="0.25">
      <c r="A45" s="16" t="s">
        <v>19</v>
      </c>
      <c r="B45" s="6">
        <f>B18/B17*100</f>
        <v>53.712009150254481</v>
      </c>
      <c r="C45" s="6"/>
      <c r="D45" s="6">
        <f t="shared" ref="D45:F45" si="4">D18/D17*100</f>
        <v>105.66664628528974</v>
      </c>
      <c r="E45" s="6" t="e">
        <f t="shared" si="4"/>
        <v>#DIV/0!</v>
      </c>
      <c r="F45" s="6">
        <f t="shared" si="4"/>
        <v>0</v>
      </c>
      <c r="G45" s="4"/>
    </row>
    <row r="46" spans="1:7" x14ac:dyDescent="0.25">
      <c r="A46" s="16" t="s">
        <v>20</v>
      </c>
      <c r="B46" s="6">
        <f>AVERAGE(B44:B45)</f>
        <v>74.828513166192522</v>
      </c>
      <c r="C46" s="6">
        <f t="shared" ref="C46:F46" si="5">AVERAGE(C44:C45)</f>
        <v>95.94501718213057</v>
      </c>
      <c r="D46" s="6">
        <f t="shared" si="5"/>
        <v>105.66664628528974</v>
      </c>
      <c r="E46" s="6" t="e">
        <f t="shared" si="5"/>
        <v>#DIV/0!</v>
      </c>
      <c r="F46" s="6">
        <f t="shared" si="5"/>
        <v>0</v>
      </c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95.94501718213057</v>
      </c>
      <c r="C49" s="6">
        <f t="shared" ref="C49" si="6">(C12/C13)*100</f>
        <v>95.94501718213057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14.110688128511534</v>
      </c>
      <c r="C50" s="6"/>
      <c r="D50" s="6">
        <f t="shared" ref="D50:F50" si="7">D18/D19*100</f>
        <v>29.204785605749485</v>
      </c>
      <c r="E50" s="6">
        <f t="shared" si="7"/>
        <v>87.581551415797321</v>
      </c>
      <c r="F50" s="6">
        <f t="shared" si="7"/>
        <v>0</v>
      </c>
      <c r="G50" s="4"/>
    </row>
    <row r="51" spans="1:7" x14ac:dyDescent="0.25">
      <c r="A51" s="16" t="s">
        <v>24</v>
      </c>
      <c r="B51" s="6">
        <f>AVERAGE(B49:B50)</f>
        <v>55.027852655321055</v>
      </c>
      <c r="C51" s="6">
        <f t="shared" ref="C51:F51" si="8">AVERAGE(C49:C50)</f>
        <v>95.94501718213057</v>
      </c>
      <c r="D51" s="6">
        <f t="shared" si="8"/>
        <v>29.204785605749485</v>
      </c>
      <c r="E51" s="6">
        <f t="shared" si="8"/>
        <v>87.581551415797321</v>
      </c>
      <c r="F51" s="6">
        <f t="shared" si="8"/>
        <v>0</v>
      </c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87.894257850086078</v>
      </c>
      <c r="C54" s="6" t="e">
        <f t="shared" ref="C54:F54" si="9">C20/C18*100</f>
        <v>#DIV/0!</v>
      </c>
      <c r="D54" s="6">
        <f t="shared" si="9"/>
        <v>100</v>
      </c>
      <c r="E54" s="6">
        <f t="shared" si="9"/>
        <v>0</v>
      </c>
      <c r="F54" s="6" t="e">
        <f t="shared" si="9"/>
        <v>#DIV/0!</v>
      </c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-1.4124293785310771</v>
      </c>
      <c r="C57" s="6">
        <f t="shared" ref="C57:F57" si="10">((C12/C10)-1)*100</f>
        <v>-0.49893086243764095</v>
      </c>
      <c r="D57" s="6" t="e">
        <f t="shared" si="10"/>
        <v>#DIV/0!</v>
      </c>
      <c r="E57" s="6" t="e">
        <f t="shared" si="10"/>
        <v>#DIV/0!</v>
      </c>
      <c r="F57" s="6" t="e">
        <f t="shared" si="10"/>
        <v>#DIV/0!</v>
      </c>
      <c r="G57" s="4"/>
    </row>
    <row r="58" spans="1:7" x14ac:dyDescent="0.25">
      <c r="A58" s="16" t="s">
        <v>28</v>
      </c>
      <c r="B58" s="6">
        <f>((B33/B32)-1)*100</f>
        <v>-17.715784982180672</v>
      </c>
      <c r="C58" s="6" t="e">
        <f>((C33/C32)-1)*100</f>
        <v>#DIV/0!</v>
      </c>
      <c r="D58" s="6">
        <f t="shared" ref="D58:F58" si="11">((D33/D32)-1)*100</f>
        <v>-18.712208140135246</v>
      </c>
      <c r="E58" s="6">
        <f t="shared" si="11"/>
        <v>-9.67709119495035</v>
      </c>
      <c r="F58" s="6" t="e">
        <f t="shared" si="11"/>
        <v>#DIV/0!</v>
      </c>
      <c r="G58" s="4"/>
    </row>
    <row r="59" spans="1:7" x14ac:dyDescent="0.25">
      <c r="A59" s="16" t="s">
        <v>29</v>
      </c>
      <c r="B59" s="6">
        <f>((B35/B34)-1)*100</f>
        <v>-16.536928033501308</v>
      </c>
      <c r="C59" s="6" t="e">
        <f>((C35/C34)-1)*100</f>
        <v>#DIV/0!</v>
      </c>
      <c r="D59" s="6">
        <f t="shared" ref="D59:F59" si="12">((D35/D34)-1)*100</f>
        <v>-18.304604599290652</v>
      </c>
      <c r="E59" s="6">
        <f t="shared" si="12"/>
        <v>-9.2241826264436444</v>
      </c>
      <c r="F59" s="6" t="e">
        <f t="shared" si="12"/>
        <v>#DIV/0!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44">
        <f>B17/($B$11*3)</f>
        <v>124233.67697594501</v>
      </c>
      <c r="C62" s="44">
        <f>B17/(C11*3)</f>
        <v>124233.67697594501</v>
      </c>
      <c r="D62" s="44">
        <f>D17/($C$11*3)</f>
        <v>55505.154639175256</v>
      </c>
      <c r="E62" s="44">
        <f t="shared" ref="E62:F62" si="13">E17/($C$11*3)</f>
        <v>0</v>
      </c>
      <c r="F62" s="44">
        <f t="shared" si="13"/>
        <v>68728.522336769762</v>
      </c>
      <c r="G62" s="22"/>
    </row>
    <row r="63" spans="1:7" x14ac:dyDescent="0.25">
      <c r="A63" s="16" t="s">
        <v>38</v>
      </c>
      <c r="B63" s="44">
        <f>B18/($B$12*3)</f>
        <v>69548.587206303724</v>
      </c>
      <c r="C63" s="44">
        <f>B18/(C12*3)</f>
        <v>69548.587206303724</v>
      </c>
      <c r="D63" s="44">
        <f>D18/($C$12*3)</f>
        <v>61129.214570200566</v>
      </c>
      <c r="E63" s="44">
        <f t="shared" ref="E63:F63" si="14">E18/($C$12*3)</f>
        <v>8419.3726361031531</v>
      </c>
      <c r="F63" s="44">
        <f t="shared" si="14"/>
        <v>0</v>
      </c>
      <c r="G63" s="38"/>
    </row>
    <row r="64" spans="1:7" x14ac:dyDescent="0.25">
      <c r="A64" s="16" t="s">
        <v>31</v>
      </c>
      <c r="B64" s="42">
        <f>(B62/B63)*B46</f>
        <v>133.66513550740282</v>
      </c>
      <c r="C64" s="42">
        <f>(C62/C63)*C46</f>
        <v>171.38525383267509</v>
      </c>
      <c r="D64" s="42"/>
      <c r="E64" s="42"/>
      <c r="F64" s="42"/>
      <c r="G64" s="4"/>
    </row>
    <row r="65" spans="1:12" x14ac:dyDescent="0.25">
      <c r="A65" s="14" t="s">
        <v>39</v>
      </c>
      <c r="B65" s="44">
        <f>B17/($B$11)</f>
        <v>372701.03092783503</v>
      </c>
      <c r="C65" s="44">
        <f>B17/C11</f>
        <v>372701.03092783503</v>
      </c>
      <c r="D65" s="47">
        <f>D17/($C$11)</f>
        <v>166515.46391752578</v>
      </c>
      <c r="E65" s="47">
        <f t="shared" ref="E65:F65" si="15">E17/($C$11)</f>
        <v>0</v>
      </c>
      <c r="F65" s="47">
        <f t="shared" si="15"/>
        <v>206185.56701030929</v>
      </c>
      <c r="G65" s="4"/>
    </row>
    <row r="66" spans="1:12" x14ac:dyDescent="0.25">
      <c r="A66" s="14" t="s">
        <v>40</v>
      </c>
      <c r="B66" s="44">
        <f>B18/($B$12)</f>
        <v>208645.76161891117</v>
      </c>
      <c r="C66" s="44">
        <f>B18/C12</f>
        <v>208645.76161891117</v>
      </c>
      <c r="D66" s="47">
        <f>D18/($C$12)</f>
        <v>183387.6437106017</v>
      </c>
      <c r="E66" s="47">
        <f t="shared" ref="E66:F66" si="16">E18/($C$12)</f>
        <v>25258.117908309458</v>
      </c>
      <c r="F66" s="47">
        <f t="shared" si="16"/>
        <v>0</v>
      </c>
      <c r="G66" s="4"/>
    </row>
    <row r="67" spans="1:12" x14ac:dyDescent="0.25">
      <c r="B67" s="6"/>
      <c r="C67" s="6"/>
      <c r="D67" s="6"/>
      <c r="E67" s="6"/>
      <c r="F67" s="6"/>
      <c r="G67" s="4"/>
    </row>
    <row r="68" spans="1:12" x14ac:dyDescent="0.25">
      <c r="A68" t="s">
        <v>32</v>
      </c>
      <c r="B68" s="6"/>
      <c r="C68" s="6"/>
      <c r="D68" s="6"/>
      <c r="E68" s="6"/>
      <c r="F68" s="6"/>
      <c r="G68" s="4"/>
      <c r="H68" s="8"/>
    </row>
    <row r="69" spans="1:12" x14ac:dyDescent="0.25">
      <c r="A69" t="s">
        <v>33</v>
      </c>
      <c r="B69" s="42">
        <f>(B24/B23)*100</f>
        <v>54.454315567603452</v>
      </c>
      <c r="C69" s="6"/>
      <c r="D69" s="6"/>
      <c r="E69" s="6"/>
      <c r="F69" s="6"/>
      <c r="H69" s="8"/>
    </row>
    <row r="70" spans="1:12" x14ac:dyDescent="0.25">
      <c r="A70" t="s">
        <v>34</v>
      </c>
      <c r="B70" s="42">
        <f>(B18/B24)*100</f>
        <v>98.636827201643158</v>
      </c>
      <c r="C70" s="6"/>
      <c r="D70" s="6"/>
      <c r="E70" s="6"/>
      <c r="F70" s="6"/>
      <c r="G70" s="39"/>
    </row>
    <row r="71" spans="1:12" ht="15.75" thickBot="1" x14ac:dyDescent="0.3">
      <c r="A71" s="9"/>
      <c r="B71" s="9"/>
      <c r="C71" s="9"/>
      <c r="D71" s="9"/>
      <c r="E71" s="9"/>
      <c r="F71" s="9"/>
    </row>
    <row r="72" spans="1:12" ht="15.75" thickTop="1" x14ac:dyDescent="0.25"/>
    <row r="73" spans="1:12" x14ac:dyDescent="0.25">
      <c r="A73" s="10" t="s">
        <v>35</v>
      </c>
    </row>
    <row r="74" spans="1:12" x14ac:dyDescent="0.25">
      <c r="A74" s="10" t="s">
        <v>89</v>
      </c>
    </row>
    <row r="75" spans="1:12" x14ac:dyDescent="0.25">
      <c r="A75" s="11" t="s">
        <v>91</v>
      </c>
      <c r="B75" s="12"/>
      <c r="C75" s="12"/>
      <c r="D75" s="12"/>
      <c r="E75" s="12"/>
    </row>
    <row r="76" spans="1:12" ht="15" customHeight="1" x14ac:dyDescent="0.25">
      <c r="A76" s="34" t="s">
        <v>90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6"/>
    </row>
    <row r="77" spans="1:12" x14ac:dyDescent="0.25">
      <c r="A77" s="11" t="s">
        <v>49</v>
      </c>
      <c r="B77" s="12"/>
      <c r="C77" s="12"/>
      <c r="D77" s="12"/>
      <c r="E77" s="12"/>
    </row>
    <row r="78" spans="1:12" x14ac:dyDescent="0.25">
      <c r="A78" s="33" t="s">
        <v>50</v>
      </c>
    </row>
    <row r="79" spans="1:12" x14ac:dyDescent="0.25">
      <c r="A79" s="15" t="s">
        <v>45</v>
      </c>
    </row>
    <row r="80" spans="1:12" x14ac:dyDescent="0.25">
      <c r="A80" s="15" t="s">
        <v>46</v>
      </c>
    </row>
    <row r="81" spans="1:1" x14ac:dyDescent="0.25">
      <c r="A81" s="51" t="s">
        <v>136</v>
      </c>
    </row>
    <row r="82" spans="1:1" x14ac:dyDescent="0.25">
      <c r="A82" t="s">
        <v>137</v>
      </c>
    </row>
    <row r="83" spans="1:1" x14ac:dyDescent="0.25">
      <c r="A83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opLeftCell="A64" zoomScale="80" zoomScaleNormal="80" workbookViewId="0">
      <selection activeCell="A82" sqref="A82"/>
    </sheetView>
  </sheetViews>
  <sheetFormatPr baseColWidth="10" defaultColWidth="11.42578125" defaultRowHeight="15" x14ac:dyDescent="0.25"/>
  <cols>
    <col min="1" max="1" width="55.140625" customWidth="1"/>
    <col min="2" max="2" width="18.140625" customWidth="1"/>
    <col min="3" max="3" width="13.85546875" customWidth="1"/>
    <col min="4" max="4" width="20.7109375" customWidth="1"/>
    <col min="5" max="5" width="13.7109375" customWidth="1"/>
    <col min="6" max="7" width="13.7109375" bestFit="1" customWidth="1"/>
  </cols>
  <sheetData>
    <row r="2" spans="1:7" ht="15.75" x14ac:dyDescent="0.25">
      <c r="A2" s="52" t="s">
        <v>99</v>
      </c>
      <c r="B2" s="52"/>
      <c r="C2" s="52"/>
      <c r="D2" s="52"/>
      <c r="E2" s="52"/>
      <c r="F2" s="52"/>
    </row>
    <row r="4" spans="1:7" ht="15" customHeight="1" x14ac:dyDescent="0.25">
      <c r="A4" s="53" t="s">
        <v>0</v>
      </c>
      <c r="B4" s="58" t="s">
        <v>1</v>
      </c>
      <c r="C4" s="58" t="s">
        <v>51</v>
      </c>
      <c r="D4" s="57" t="s">
        <v>2</v>
      </c>
      <c r="E4" s="57"/>
      <c r="F4" s="57"/>
    </row>
    <row r="5" spans="1:7" ht="15.75" thickBot="1" x14ac:dyDescent="0.3">
      <c r="A5" s="54"/>
      <c r="B5" s="59"/>
      <c r="C5" s="59"/>
      <c r="D5" s="1" t="s">
        <v>3</v>
      </c>
      <c r="E5" s="2" t="s">
        <v>4</v>
      </c>
      <c r="F5" s="2" t="s">
        <v>5</v>
      </c>
    </row>
    <row r="6" spans="1:7" ht="15.75" thickTop="1" x14ac:dyDescent="0.25"/>
    <row r="7" spans="1:7" x14ac:dyDescent="0.25">
      <c r="A7" s="3" t="s">
        <v>6</v>
      </c>
    </row>
    <row r="8" spans="1:7" x14ac:dyDescent="0.25">
      <c r="B8" s="4"/>
      <c r="C8" s="4"/>
      <c r="D8" s="4"/>
      <c r="E8" s="4"/>
      <c r="F8" s="4"/>
      <c r="G8" s="4"/>
    </row>
    <row r="9" spans="1:7" x14ac:dyDescent="0.25">
      <c r="A9" t="s">
        <v>7</v>
      </c>
      <c r="B9" s="4"/>
      <c r="C9" s="4"/>
      <c r="D9" s="4"/>
      <c r="E9" s="4"/>
      <c r="F9" s="4"/>
      <c r="G9" s="4"/>
    </row>
    <row r="10" spans="1:7" x14ac:dyDescent="0.25">
      <c r="A10" s="5" t="s">
        <v>60</v>
      </c>
      <c r="B10" s="13">
        <v>462</v>
      </c>
      <c r="C10" s="13">
        <v>456.66666666666669</v>
      </c>
      <c r="D10" s="6"/>
      <c r="E10" s="6"/>
      <c r="F10" s="6"/>
      <c r="G10" s="4"/>
    </row>
    <row r="11" spans="1:7" x14ac:dyDescent="0.25">
      <c r="A11" s="5" t="s">
        <v>100</v>
      </c>
      <c r="B11" s="13">
        <v>485</v>
      </c>
      <c r="C11" s="13">
        <v>485</v>
      </c>
      <c r="D11" s="6"/>
      <c r="E11" s="6"/>
      <c r="F11" s="6"/>
      <c r="G11" s="4"/>
    </row>
    <row r="12" spans="1:7" x14ac:dyDescent="0.25">
      <c r="A12" s="5" t="s">
        <v>101</v>
      </c>
      <c r="B12" s="13">
        <f>C12</f>
        <v>446</v>
      </c>
      <c r="C12" s="13">
        <v>446</v>
      </c>
      <c r="D12" s="4"/>
    </row>
    <row r="13" spans="1:7" x14ac:dyDescent="0.25">
      <c r="A13" s="5" t="s">
        <v>84</v>
      </c>
      <c r="B13" s="13">
        <v>485</v>
      </c>
      <c r="C13" s="13">
        <v>485</v>
      </c>
      <c r="D13" s="6"/>
      <c r="E13" s="6"/>
      <c r="F13" s="6"/>
      <c r="G13" s="4"/>
    </row>
    <row r="14" spans="1:7" x14ac:dyDescent="0.25">
      <c r="B14" s="6"/>
      <c r="C14" s="6"/>
      <c r="D14" s="6"/>
      <c r="E14" s="6"/>
      <c r="F14" s="6"/>
      <c r="G14" s="4"/>
    </row>
    <row r="15" spans="1:7" x14ac:dyDescent="0.25">
      <c r="A15" s="7" t="s">
        <v>8</v>
      </c>
      <c r="B15" s="6"/>
      <c r="C15" s="6"/>
      <c r="D15" s="6"/>
      <c r="E15" s="6"/>
      <c r="F15" s="6"/>
      <c r="G15" s="4"/>
    </row>
    <row r="16" spans="1:7" x14ac:dyDescent="0.25">
      <c r="A16" s="5" t="s">
        <v>60</v>
      </c>
      <c r="B16" s="13">
        <f>SUM(D16:F16)</f>
        <v>87976692.090000004</v>
      </c>
      <c r="C16" s="13"/>
      <c r="D16" s="13">
        <v>81022403.689999998</v>
      </c>
      <c r="E16" s="13">
        <v>6954288.4000000004</v>
      </c>
      <c r="F16" s="13">
        <v>0</v>
      </c>
      <c r="G16" s="4"/>
    </row>
    <row r="17" spans="1:8" x14ac:dyDescent="0.25">
      <c r="A17" s="5" t="s">
        <v>100</v>
      </c>
      <c r="B17" s="13">
        <f>SUM(D17:F17)</f>
        <v>244208077.19999999</v>
      </c>
      <c r="C17" s="13"/>
      <c r="D17" s="13">
        <v>80760000</v>
      </c>
      <c r="E17" s="13">
        <v>19983077.199999999</v>
      </c>
      <c r="F17" s="13">
        <v>143465000</v>
      </c>
      <c r="G17" s="4"/>
    </row>
    <row r="18" spans="1:8" x14ac:dyDescent="0.25">
      <c r="A18" s="5" t="s">
        <v>101</v>
      </c>
      <c r="B18" s="13">
        <f>SUM(D18:F18)</f>
        <v>82680605.810000002</v>
      </c>
      <c r="C18" s="13"/>
      <c r="D18" s="13">
        <v>81407745.670000002</v>
      </c>
      <c r="E18" s="29">
        <v>1272860.1400000001</v>
      </c>
      <c r="F18" s="30">
        <v>0</v>
      </c>
      <c r="G18" s="4"/>
    </row>
    <row r="19" spans="1:8" x14ac:dyDescent="0.25">
      <c r="A19" s="5" t="s">
        <v>84</v>
      </c>
      <c r="B19" s="13">
        <f>SUM(D19:F19)</f>
        <v>865979975.20000005</v>
      </c>
      <c r="C19" s="13"/>
      <c r="D19" s="13">
        <v>292200000</v>
      </c>
      <c r="E19" s="13">
        <v>33403077.199999999</v>
      </c>
      <c r="F19" s="13">
        <v>540376898</v>
      </c>
      <c r="G19" s="4"/>
    </row>
    <row r="20" spans="1:8" x14ac:dyDescent="0.25">
      <c r="A20" s="5" t="s">
        <v>102</v>
      </c>
      <c r="B20" s="6">
        <f>D20</f>
        <v>81407745.670000002</v>
      </c>
      <c r="C20" s="6"/>
      <c r="D20" s="6">
        <f>D18</f>
        <v>81407745.670000002</v>
      </c>
      <c r="E20" s="6"/>
      <c r="F20" s="6"/>
      <c r="G20" s="4"/>
    </row>
    <row r="21" spans="1:8" x14ac:dyDescent="0.25">
      <c r="B21" s="6"/>
      <c r="C21" s="6"/>
      <c r="D21" s="6"/>
      <c r="E21" s="6"/>
      <c r="F21" s="6"/>
      <c r="G21" s="4"/>
    </row>
    <row r="22" spans="1:8" x14ac:dyDescent="0.25">
      <c r="A22" s="5" t="s">
        <v>9</v>
      </c>
      <c r="B22" s="6"/>
      <c r="C22" s="6"/>
      <c r="D22" s="6"/>
      <c r="E22" s="6"/>
      <c r="F22" s="6"/>
      <c r="G22" s="4"/>
    </row>
    <row r="23" spans="1:8" x14ac:dyDescent="0.25">
      <c r="A23" s="5" t="s">
        <v>100</v>
      </c>
      <c r="B23" s="13">
        <f>B17</f>
        <v>244208077.19999999</v>
      </c>
      <c r="C23" s="13"/>
      <c r="D23" s="41"/>
      <c r="E23" s="6"/>
      <c r="F23" s="6"/>
      <c r="G23" s="38"/>
      <c r="H23" s="8"/>
    </row>
    <row r="24" spans="1:8" x14ac:dyDescent="0.25">
      <c r="A24" s="5" t="s">
        <v>101</v>
      </c>
      <c r="B24" s="13">
        <v>81430000</v>
      </c>
      <c r="C24" s="13"/>
      <c r="D24" s="40"/>
      <c r="E24" s="6"/>
      <c r="F24" s="6"/>
      <c r="G24" s="4"/>
      <c r="H24" s="8"/>
    </row>
    <row r="25" spans="1:8" x14ac:dyDescent="0.25">
      <c r="B25" s="6"/>
      <c r="C25" s="6"/>
      <c r="D25" s="6"/>
      <c r="E25" s="6"/>
      <c r="F25" s="6"/>
      <c r="G25" s="4"/>
    </row>
    <row r="26" spans="1:8" x14ac:dyDescent="0.25">
      <c r="A26" t="s">
        <v>10</v>
      </c>
      <c r="B26" s="6"/>
      <c r="C26" s="6"/>
      <c r="D26" s="6"/>
      <c r="E26" s="6"/>
      <c r="F26" s="6"/>
      <c r="G26" s="4"/>
    </row>
    <row r="27" spans="1:8" x14ac:dyDescent="0.25">
      <c r="A27" t="s">
        <v>61</v>
      </c>
      <c r="B27" s="6">
        <v>1</v>
      </c>
      <c r="C27" s="6">
        <v>1</v>
      </c>
      <c r="D27" s="6">
        <v>1</v>
      </c>
      <c r="E27" s="6">
        <v>1</v>
      </c>
      <c r="F27" s="6">
        <v>1</v>
      </c>
      <c r="G27" s="4"/>
    </row>
    <row r="28" spans="1:8" x14ac:dyDescent="0.25">
      <c r="A28" t="s">
        <v>103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4"/>
    </row>
    <row r="29" spans="1:8" x14ac:dyDescent="0.25">
      <c r="A29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4"/>
    </row>
    <row r="30" spans="1:8" x14ac:dyDescent="0.25">
      <c r="B30" s="6"/>
      <c r="C30" s="6"/>
      <c r="D30" s="6"/>
      <c r="E30" s="6"/>
      <c r="F30" s="6"/>
      <c r="G30" s="4"/>
    </row>
    <row r="31" spans="1:8" x14ac:dyDescent="0.25">
      <c r="A31" t="s">
        <v>12</v>
      </c>
      <c r="B31" s="6"/>
      <c r="C31" s="6"/>
      <c r="D31" s="6"/>
      <c r="E31" s="6"/>
      <c r="F31" s="6"/>
      <c r="G31" s="4"/>
    </row>
    <row r="32" spans="1:8" x14ac:dyDescent="0.25">
      <c r="A32" t="s">
        <v>62</v>
      </c>
      <c r="B32" s="6">
        <f>B16/B27</f>
        <v>87976692.090000004</v>
      </c>
      <c r="C32" s="6">
        <f t="shared" ref="C32" si="0">C16/C27</f>
        <v>0</v>
      </c>
      <c r="D32" s="6">
        <f>D16/D27</f>
        <v>81022403.689999998</v>
      </c>
      <c r="E32" s="6">
        <f>E16/E27</f>
        <v>6954288.4000000004</v>
      </c>
      <c r="F32" s="6">
        <f>F16/F27</f>
        <v>0</v>
      </c>
      <c r="G32" s="6"/>
    </row>
    <row r="33" spans="1:7" x14ac:dyDescent="0.25">
      <c r="A33" t="s">
        <v>104</v>
      </c>
      <c r="B33" s="6">
        <f>B18/B28</f>
        <v>83515763.444444448</v>
      </c>
      <c r="C33" s="6">
        <f t="shared" ref="C33:F33" si="1">C18/C28</f>
        <v>0</v>
      </c>
      <c r="D33" s="6">
        <f t="shared" si="1"/>
        <v>82230046.13131313</v>
      </c>
      <c r="E33" s="6">
        <f t="shared" si="1"/>
        <v>1285717.3131313133</v>
      </c>
      <c r="F33" s="6">
        <f t="shared" si="1"/>
        <v>0</v>
      </c>
      <c r="G33" s="4"/>
    </row>
    <row r="34" spans="1:7" x14ac:dyDescent="0.25">
      <c r="A34" t="s">
        <v>63</v>
      </c>
      <c r="B34" s="6">
        <f>B32/B10</f>
        <v>190425.74045454545</v>
      </c>
      <c r="C34" s="6">
        <f>C32/$C$10</f>
        <v>0</v>
      </c>
      <c r="D34" s="42">
        <f t="shared" ref="D34:F34" si="2">D32/$C$10</f>
        <v>177421.3219489051</v>
      </c>
      <c r="E34" s="42">
        <f t="shared" si="2"/>
        <v>15228.368759124089</v>
      </c>
      <c r="F34" s="42">
        <f t="shared" si="2"/>
        <v>0</v>
      </c>
      <c r="G34" s="39"/>
    </row>
    <row r="35" spans="1:7" x14ac:dyDescent="0.25">
      <c r="A35" t="s">
        <v>105</v>
      </c>
      <c r="B35" s="6">
        <f>B33/B12</f>
        <v>187255.0749875436</v>
      </c>
      <c r="C35" s="6">
        <f>C33/$C$12</f>
        <v>0</v>
      </c>
      <c r="D35" s="42">
        <f t="shared" ref="D35:F35" si="3">D33/$C$12</f>
        <v>184372.30074285454</v>
      </c>
      <c r="E35" s="42">
        <f t="shared" si="3"/>
        <v>2882.7742446890434</v>
      </c>
      <c r="F35" s="42">
        <f t="shared" si="3"/>
        <v>0</v>
      </c>
    </row>
    <row r="36" spans="1:7" x14ac:dyDescent="0.25">
      <c r="B36" s="6"/>
      <c r="C36" s="6"/>
      <c r="D36" s="6"/>
      <c r="E36" s="6"/>
      <c r="F36" s="6"/>
      <c r="G36" s="4"/>
    </row>
    <row r="37" spans="1:7" x14ac:dyDescent="0.25">
      <c r="A37" s="3" t="s">
        <v>13</v>
      </c>
      <c r="B37" s="6"/>
      <c r="C37" s="6"/>
      <c r="D37" s="6"/>
      <c r="E37" s="6"/>
      <c r="F37" s="6"/>
      <c r="G37" s="4"/>
    </row>
    <row r="38" spans="1:7" x14ac:dyDescent="0.25">
      <c r="B38" s="6"/>
      <c r="C38" s="6"/>
      <c r="D38" s="6"/>
      <c r="E38" s="6"/>
      <c r="F38" s="6"/>
      <c r="G38" s="4"/>
    </row>
    <row r="39" spans="1:7" x14ac:dyDescent="0.25">
      <c r="A39" t="s">
        <v>14</v>
      </c>
      <c r="B39" s="6"/>
      <c r="C39" s="6"/>
      <c r="D39" s="6"/>
      <c r="E39" s="6"/>
      <c r="F39" s="6"/>
      <c r="G39" s="4"/>
    </row>
    <row r="40" spans="1:7" x14ac:dyDescent="0.25">
      <c r="A40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4"/>
    </row>
    <row r="41" spans="1:7" x14ac:dyDescent="0.25">
      <c r="A41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4"/>
    </row>
    <row r="42" spans="1:7" x14ac:dyDescent="0.25">
      <c r="B42" s="6"/>
      <c r="C42" s="6"/>
      <c r="D42" s="6"/>
      <c r="E42" s="6"/>
      <c r="F42" s="6"/>
      <c r="G42" s="4"/>
    </row>
    <row r="43" spans="1:7" x14ac:dyDescent="0.25">
      <c r="A43" t="s">
        <v>17</v>
      </c>
      <c r="B43" s="6"/>
      <c r="C43" s="6"/>
      <c r="D43" s="6"/>
      <c r="E43" s="6"/>
      <c r="F43" s="6"/>
      <c r="G43" s="4"/>
    </row>
    <row r="44" spans="1:7" x14ac:dyDescent="0.25">
      <c r="A44" s="16" t="s">
        <v>18</v>
      </c>
      <c r="B44" s="6">
        <f>B12/B11*100</f>
        <v>91.958762886597938</v>
      </c>
      <c r="C44" s="6">
        <f t="shared" ref="C44" si="4">C12/C11*100</f>
        <v>91.958762886597938</v>
      </c>
      <c r="D44" s="6"/>
      <c r="E44" s="6"/>
      <c r="F44" s="6"/>
      <c r="G44" s="38"/>
    </row>
    <row r="45" spans="1:7" x14ac:dyDescent="0.25">
      <c r="A45" s="16" t="s">
        <v>19</v>
      </c>
      <c r="B45" s="6">
        <f>B18/B17*100</f>
        <v>33.85662208964807</v>
      </c>
      <c r="C45" s="6"/>
      <c r="D45" s="6">
        <f>D18/D17*100</f>
        <v>100.8020624938088</v>
      </c>
      <c r="E45" s="6">
        <f>E18/E17*100</f>
        <v>6.3696903497925739</v>
      </c>
      <c r="F45" s="6">
        <f>F18/F17*100</f>
        <v>0</v>
      </c>
      <c r="G45" s="4"/>
    </row>
    <row r="46" spans="1:7" x14ac:dyDescent="0.25">
      <c r="A46" s="16" t="s">
        <v>20</v>
      </c>
      <c r="B46" s="6">
        <f>AVERAGE(B44:B45)</f>
        <v>62.907692488123004</v>
      </c>
      <c r="C46" s="6">
        <f t="shared" ref="C46:F46" si="5">AVERAGE(C44:C45)</f>
        <v>91.958762886597938</v>
      </c>
      <c r="D46" s="6">
        <f t="shared" si="5"/>
        <v>100.8020624938088</v>
      </c>
      <c r="E46" s="6">
        <f t="shared" si="5"/>
        <v>6.3696903497925739</v>
      </c>
      <c r="F46" s="6">
        <f t="shared" si="5"/>
        <v>0</v>
      </c>
      <c r="G46" s="4"/>
    </row>
    <row r="47" spans="1:7" x14ac:dyDescent="0.25">
      <c r="A47" s="16"/>
      <c r="B47" s="6"/>
      <c r="C47" s="6"/>
      <c r="D47" s="6"/>
      <c r="E47" s="6"/>
      <c r="F47" s="6"/>
      <c r="G47" s="4"/>
    </row>
    <row r="48" spans="1:7" x14ac:dyDescent="0.25">
      <c r="A48" s="16" t="s">
        <v>21</v>
      </c>
      <c r="B48" s="6"/>
      <c r="C48" s="6"/>
      <c r="D48" s="6"/>
      <c r="E48" s="6"/>
      <c r="F48" s="6"/>
      <c r="G48" s="4"/>
    </row>
    <row r="49" spans="1:7" x14ac:dyDescent="0.25">
      <c r="A49" s="16" t="s">
        <v>22</v>
      </c>
      <c r="B49" s="6">
        <f>(B12/B13)*100</f>
        <v>91.958762886597938</v>
      </c>
      <c r="C49" s="6">
        <f t="shared" ref="C49" si="6">(C12/C13)*100</f>
        <v>91.958762886597938</v>
      </c>
      <c r="D49" s="6"/>
      <c r="E49" s="6"/>
      <c r="F49" s="6"/>
      <c r="G49" s="4"/>
    </row>
    <row r="50" spans="1:7" x14ac:dyDescent="0.25">
      <c r="A50" s="16" t="s">
        <v>23</v>
      </c>
      <c r="B50" s="6">
        <f>B18/B19*100</f>
        <v>9.5476348388892873</v>
      </c>
      <c r="C50" s="6"/>
      <c r="D50" s="6">
        <f t="shared" ref="D50:F50" si="7">D18/D19*100</f>
        <v>27.86028257015743</v>
      </c>
      <c r="E50" s="6">
        <f t="shared" si="7"/>
        <v>3.8106074251147142</v>
      </c>
      <c r="F50" s="6">
        <f t="shared" si="7"/>
        <v>0</v>
      </c>
      <c r="G50" s="4"/>
    </row>
    <row r="51" spans="1:7" x14ac:dyDescent="0.25">
      <c r="A51" s="16" t="s">
        <v>24</v>
      </c>
      <c r="B51" s="6">
        <f>AVERAGE(B49:B50)</f>
        <v>50.753198862743616</v>
      </c>
      <c r="C51" s="6">
        <f t="shared" ref="C51:F51" si="8">AVERAGE(C49:C50)</f>
        <v>91.958762886597938</v>
      </c>
      <c r="D51" s="6">
        <f t="shared" si="8"/>
        <v>27.86028257015743</v>
      </c>
      <c r="E51" s="6">
        <f t="shared" si="8"/>
        <v>3.8106074251147142</v>
      </c>
      <c r="F51" s="6">
        <f t="shared" si="8"/>
        <v>0</v>
      </c>
      <c r="G51" s="4"/>
    </row>
    <row r="52" spans="1:7" x14ac:dyDescent="0.25">
      <c r="A52" s="16"/>
      <c r="B52" s="6"/>
      <c r="C52" s="6"/>
      <c r="D52" s="6"/>
      <c r="E52" s="6"/>
      <c r="F52" s="6"/>
      <c r="G52" s="4"/>
    </row>
    <row r="53" spans="1:7" x14ac:dyDescent="0.25">
      <c r="A53" s="16" t="s">
        <v>36</v>
      </c>
      <c r="B53" s="6"/>
      <c r="C53" s="6"/>
      <c r="D53" s="6"/>
      <c r="E53" s="6"/>
      <c r="F53" s="6"/>
      <c r="G53" s="4"/>
    </row>
    <row r="54" spans="1:7" x14ac:dyDescent="0.25">
      <c r="A54" s="16" t="s">
        <v>25</v>
      </c>
      <c r="B54" s="6">
        <f>B20/B18*100</f>
        <v>98.46050941749867</v>
      </c>
      <c r="C54" s="6" t="e">
        <f t="shared" ref="C54:F54" si="9">C20/C18*100</f>
        <v>#DIV/0!</v>
      </c>
      <c r="D54" s="6">
        <f t="shared" si="9"/>
        <v>100</v>
      </c>
      <c r="E54" s="6">
        <f t="shared" si="9"/>
        <v>0</v>
      </c>
      <c r="F54" s="6" t="e">
        <f t="shared" si="9"/>
        <v>#DIV/0!</v>
      </c>
      <c r="G54" s="4"/>
    </row>
    <row r="55" spans="1:7" x14ac:dyDescent="0.25">
      <c r="A55" s="16"/>
      <c r="B55" s="6"/>
      <c r="C55" s="6"/>
      <c r="D55" s="6"/>
      <c r="E55" s="6"/>
      <c r="F55" s="6"/>
      <c r="G55" s="4"/>
    </row>
    <row r="56" spans="1:7" x14ac:dyDescent="0.25">
      <c r="A56" s="16" t="s">
        <v>26</v>
      </c>
      <c r="B56" s="6"/>
      <c r="C56" s="6"/>
      <c r="D56" s="6"/>
      <c r="E56" s="6"/>
      <c r="F56" s="6"/>
      <c r="G56" s="4"/>
    </row>
    <row r="57" spans="1:7" x14ac:dyDescent="0.25">
      <c r="A57" s="16" t="s">
        <v>27</v>
      </c>
      <c r="B57" s="6">
        <f>((B12/B10)-1)*100</f>
        <v>-3.4632034632034681</v>
      </c>
      <c r="C57" s="6">
        <f t="shared" ref="C57:F57" si="10">((C12/C10)-1)*100</f>
        <v>-2.3357664233576658</v>
      </c>
      <c r="D57" s="6" t="e">
        <f t="shared" si="10"/>
        <v>#DIV/0!</v>
      </c>
      <c r="E57" s="6" t="e">
        <f t="shared" si="10"/>
        <v>#DIV/0!</v>
      </c>
      <c r="F57" s="6" t="e">
        <f t="shared" si="10"/>
        <v>#DIV/0!</v>
      </c>
      <c r="G57" s="4"/>
    </row>
    <row r="58" spans="1:7" x14ac:dyDescent="0.25">
      <c r="A58" s="16" t="s">
        <v>28</v>
      </c>
      <c r="B58" s="6">
        <f>((B33/B32)-1)*100</f>
        <v>-5.0705801043213095</v>
      </c>
      <c r="C58" s="6" t="e">
        <f t="shared" ref="C58:F58" si="11">((C33/C32)-1)*100</f>
        <v>#DIV/0!</v>
      </c>
      <c r="D58" s="6">
        <f t="shared" si="11"/>
        <v>1.4905043374591642</v>
      </c>
      <c r="E58" s="6">
        <f t="shared" si="11"/>
        <v>-81.51187815087863</v>
      </c>
      <c r="F58" s="6" t="e">
        <f t="shared" si="11"/>
        <v>#DIV/0!</v>
      </c>
      <c r="G58" s="4"/>
    </row>
    <row r="59" spans="1:7" x14ac:dyDescent="0.25">
      <c r="A59" s="16" t="s">
        <v>29</v>
      </c>
      <c r="B59" s="6">
        <f>((B35/B34)-1)*100</f>
        <v>-1.6650403771220623</v>
      </c>
      <c r="C59" s="6" t="e">
        <f t="shared" ref="C59:F59" si="12">((C35/C34)-1)*100</f>
        <v>#DIV/0!</v>
      </c>
      <c r="D59" s="6">
        <f t="shared" si="12"/>
        <v>3.9177809733326407</v>
      </c>
      <c r="E59" s="6">
        <f t="shared" si="12"/>
        <v>-81.069710812185136</v>
      </c>
      <c r="F59" s="6" t="e">
        <f t="shared" si="12"/>
        <v>#DIV/0!</v>
      </c>
      <c r="G59" s="4"/>
    </row>
    <row r="60" spans="1:7" x14ac:dyDescent="0.25">
      <c r="A60" s="16"/>
      <c r="B60" s="6"/>
      <c r="C60" s="6"/>
      <c r="D60" s="6"/>
      <c r="E60" s="6"/>
      <c r="F60" s="6"/>
      <c r="G60" s="4"/>
    </row>
    <row r="61" spans="1:7" x14ac:dyDescent="0.25">
      <c r="A61" s="16" t="s">
        <v>30</v>
      </c>
      <c r="B61" s="6"/>
      <c r="C61" s="6"/>
      <c r="D61" s="6"/>
      <c r="E61" s="6"/>
      <c r="F61" s="6"/>
      <c r="G61" s="4"/>
    </row>
    <row r="62" spans="1:7" x14ac:dyDescent="0.25">
      <c r="A62" s="16" t="s">
        <v>37</v>
      </c>
      <c r="B62" s="44">
        <f>B17/($B$11*3)</f>
        <v>167840.60288659792</v>
      </c>
      <c r="C62" s="44">
        <f>B17/(C11*3)</f>
        <v>167840.60288659792</v>
      </c>
      <c r="D62" s="44">
        <f>D17/($C$11*3)</f>
        <v>55505.154639175256</v>
      </c>
      <c r="E62" s="44">
        <f>E17/($C$11*3)</f>
        <v>13734.073676975944</v>
      </c>
      <c r="F62" s="44">
        <f>F17/($C$11*3)</f>
        <v>98601.374570446729</v>
      </c>
      <c r="G62" s="39"/>
    </row>
    <row r="63" spans="1:7" x14ac:dyDescent="0.25">
      <c r="A63" s="16" t="s">
        <v>38</v>
      </c>
      <c r="B63" s="44">
        <f>B18/($B$12*3)</f>
        <v>61794.174745889388</v>
      </c>
      <c r="C63" s="44">
        <f>B18/(C12*3)</f>
        <v>61794.174745889388</v>
      </c>
      <c r="D63" s="44">
        <f>D18/($C$12*3)</f>
        <v>60842.859245142005</v>
      </c>
      <c r="E63" s="44">
        <f t="shared" ref="E63:F63" si="13">E18/($C$12*3)</f>
        <v>951.31550074738425</v>
      </c>
      <c r="F63" s="44">
        <f t="shared" si="13"/>
        <v>0</v>
      </c>
      <c r="G63" s="8"/>
    </row>
    <row r="64" spans="1:7" x14ac:dyDescent="0.25">
      <c r="A64" s="16" t="s">
        <v>31</v>
      </c>
      <c r="B64" s="42">
        <f>(B62/B63)*B46</f>
        <v>170.86505446233232</v>
      </c>
      <c r="C64" s="42">
        <f>(C62/C63)*C46</f>
        <v>249.77134603806672</v>
      </c>
      <c r="D64" s="42"/>
      <c r="E64" s="42"/>
      <c r="F64" s="42"/>
      <c r="G64" s="4"/>
    </row>
    <row r="65" spans="1:8" x14ac:dyDescent="0.25">
      <c r="A65" s="14" t="s">
        <v>39</v>
      </c>
      <c r="B65" s="44">
        <f>B17/($B$11)</f>
        <v>503521.80865979381</v>
      </c>
      <c r="C65" s="44">
        <f>B17/C11</f>
        <v>503521.80865979381</v>
      </c>
      <c r="D65" s="50">
        <f>D17/($C$11)</f>
        <v>166515.46391752578</v>
      </c>
      <c r="E65" s="50">
        <f>E17/($C$11)</f>
        <v>41202.221030927831</v>
      </c>
      <c r="F65" s="50">
        <f>F17/($C$11)</f>
        <v>295804.12371134019</v>
      </c>
      <c r="G65" s="4"/>
    </row>
    <row r="66" spans="1:8" x14ac:dyDescent="0.25">
      <c r="A66" s="14" t="s">
        <v>40</v>
      </c>
      <c r="B66" s="44">
        <f>B18/($B$12)</f>
        <v>185382.52423766817</v>
      </c>
      <c r="C66" s="44">
        <f>B18/C12</f>
        <v>185382.52423766817</v>
      </c>
      <c r="D66" s="50">
        <f>D18/($C$12)</f>
        <v>182528.57773542602</v>
      </c>
      <c r="E66" s="50">
        <f t="shared" ref="E66:F66" si="14">E18/($C$12)</f>
        <v>2853.9465022421527</v>
      </c>
      <c r="F66" s="50">
        <f t="shared" si="14"/>
        <v>0</v>
      </c>
      <c r="G66" s="4"/>
    </row>
    <row r="67" spans="1:8" x14ac:dyDescent="0.25">
      <c r="B67" s="6"/>
      <c r="C67" s="6"/>
      <c r="D67" s="6"/>
      <c r="E67" s="6"/>
      <c r="F67" s="6"/>
      <c r="G67" s="4"/>
    </row>
    <row r="68" spans="1:8" x14ac:dyDescent="0.25">
      <c r="A68" t="s">
        <v>32</v>
      </c>
      <c r="B68" s="6"/>
      <c r="C68" s="6"/>
      <c r="D68" s="6"/>
      <c r="E68" s="6"/>
      <c r="F68" s="6"/>
      <c r="G68" s="4"/>
    </row>
    <row r="69" spans="1:8" x14ac:dyDescent="0.25">
      <c r="A69" t="s">
        <v>33</v>
      </c>
      <c r="B69" s="42">
        <f>(B24/B23)*100</f>
        <v>33.344515436854685</v>
      </c>
      <c r="C69" s="6"/>
      <c r="D69" s="6"/>
      <c r="E69" s="6"/>
      <c r="F69" s="6"/>
      <c r="G69" s="39"/>
      <c r="H69" s="8"/>
    </row>
    <row r="70" spans="1:8" x14ac:dyDescent="0.25">
      <c r="A70" t="s">
        <v>34</v>
      </c>
      <c r="B70" s="42">
        <f>(B18/B24)*100</f>
        <v>101.5358047525482</v>
      </c>
      <c r="C70" s="6"/>
      <c r="D70" s="6"/>
      <c r="E70" s="6"/>
      <c r="F70" s="6"/>
      <c r="G70" s="39"/>
      <c r="H70" s="8"/>
    </row>
    <row r="71" spans="1:8" ht="15.75" thickBot="1" x14ac:dyDescent="0.3">
      <c r="A71" s="9"/>
      <c r="B71" s="9"/>
      <c r="C71" s="9"/>
      <c r="D71" s="9"/>
      <c r="E71" s="9"/>
      <c r="F71" s="9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91</v>
      </c>
      <c r="B75" s="12"/>
      <c r="C75" s="12"/>
      <c r="D75" s="12"/>
      <c r="E75" s="12"/>
    </row>
    <row r="76" spans="1:8" x14ac:dyDescent="0.25">
      <c r="A76" s="34" t="s">
        <v>90</v>
      </c>
      <c r="B76" s="12"/>
      <c r="C76" s="12"/>
      <c r="D76" s="12"/>
      <c r="E76" s="12"/>
    </row>
    <row r="77" spans="1:8" x14ac:dyDescent="0.25">
      <c r="A77" s="11" t="s">
        <v>49</v>
      </c>
      <c r="B77" s="12"/>
      <c r="C77" s="12"/>
      <c r="D77" s="12"/>
      <c r="E77" s="12"/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 t="s">
        <v>136</v>
      </c>
    </row>
    <row r="82" spans="1:1" x14ac:dyDescent="0.25">
      <c r="A82" t="s">
        <v>137</v>
      </c>
    </row>
    <row r="83" spans="1:1" x14ac:dyDescent="0.25">
      <c r="A83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opLeftCell="A64" zoomScale="90" zoomScaleNormal="90" workbookViewId="0">
      <selection activeCell="A82" sqref="A82"/>
    </sheetView>
  </sheetViews>
  <sheetFormatPr baseColWidth="10" defaultColWidth="11.42578125" defaultRowHeight="15" x14ac:dyDescent="0.25"/>
  <cols>
    <col min="1" max="1" width="55.140625" style="16" customWidth="1"/>
    <col min="2" max="2" width="14.7109375" style="16" bestFit="1" customWidth="1"/>
    <col min="3" max="3" width="14.7109375" style="16" customWidth="1"/>
    <col min="4" max="4" width="20.7109375" style="16" customWidth="1"/>
    <col min="5" max="5" width="15.5703125" style="16" customWidth="1"/>
    <col min="6" max="6" width="17.5703125" style="16" customWidth="1"/>
    <col min="7" max="7" width="13.7109375" style="16" bestFit="1" customWidth="1"/>
    <col min="8" max="16384" width="11.42578125" style="16"/>
  </cols>
  <sheetData>
    <row r="2" spans="1:7" ht="15.75" x14ac:dyDescent="0.25">
      <c r="A2" s="60" t="s">
        <v>106</v>
      </c>
      <c r="B2" s="60"/>
      <c r="C2" s="60"/>
      <c r="D2" s="60"/>
      <c r="E2" s="60"/>
      <c r="F2" s="60"/>
    </row>
    <row r="4" spans="1:7" ht="15" customHeight="1" x14ac:dyDescent="0.25">
      <c r="A4" s="61" t="s">
        <v>0</v>
      </c>
      <c r="B4" s="63" t="s">
        <v>1</v>
      </c>
      <c r="C4" s="58" t="s">
        <v>51</v>
      </c>
      <c r="D4" s="65" t="s">
        <v>2</v>
      </c>
      <c r="E4" s="65"/>
      <c r="F4" s="65"/>
    </row>
    <row r="5" spans="1:7" ht="15.75" thickBot="1" x14ac:dyDescent="0.3">
      <c r="A5" s="62"/>
      <c r="B5" s="64"/>
      <c r="C5" s="59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64</v>
      </c>
      <c r="B10" s="13">
        <v>445</v>
      </c>
      <c r="C10" s="13">
        <v>445</v>
      </c>
      <c r="D10" s="6"/>
      <c r="E10" s="6"/>
      <c r="F10" s="6"/>
      <c r="G10" s="6"/>
    </row>
    <row r="11" spans="1:7" x14ac:dyDescent="0.25">
      <c r="A11" s="20" t="s">
        <v>107</v>
      </c>
      <c r="B11" s="13">
        <v>485</v>
      </c>
      <c r="C11" s="13">
        <v>485</v>
      </c>
      <c r="D11" s="6"/>
      <c r="E11" s="6"/>
      <c r="F11" s="6"/>
      <c r="G11" s="6"/>
    </row>
    <row r="12" spans="1:7" x14ac:dyDescent="0.25">
      <c r="A12" s="20" t="s">
        <v>108</v>
      </c>
      <c r="B12" s="13">
        <f>C12</f>
        <v>439</v>
      </c>
      <c r="C12" s="13">
        <v>439</v>
      </c>
      <c r="D12" s="6"/>
    </row>
    <row r="13" spans="1:7" x14ac:dyDescent="0.25">
      <c r="A13" s="20" t="s">
        <v>84</v>
      </c>
      <c r="B13" s="13">
        <v>485</v>
      </c>
      <c r="C13" s="13">
        <v>485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64</v>
      </c>
      <c r="B16" s="13">
        <f>SUM(D16:F16)</f>
        <v>131525104.69000001</v>
      </c>
      <c r="C16" s="13"/>
      <c r="D16" s="13">
        <v>88514480.180000007</v>
      </c>
      <c r="E16" s="29">
        <v>32210624.510000002</v>
      </c>
      <c r="F16" s="30">
        <v>10800000</v>
      </c>
      <c r="G16" s="6"/>
    </row>
    <row r="17" spans="1:8" x14ac:dyDescent="0.25">
      <c r="A17" s="20" t="s">
        <v>107</v>
      </c>
      <c r="B17" s="13">
        <f t="shared" ref="B17:B19" si="0">SUM(D17:F17)</f>
        <v>628807682</v>
      </c>
      <c r="C17" s="13"/>
      <c r="D17" s="13">
        <v>64590000</v>
      </c>
      <c r="E17" s="13">
        <v>167305784</v>
      </c>
      <c r="F17" s="13">
        <v>396911898</v>
      </c>
      <c r="G17" s="6"/>
    </row>
    <row r="18" spans="1:8" x14ac:dyDescent="0.25">
      <c r="A18" s="20" t="s">
        <v>108</v>
      </c>
      <c r="B18" s="13">
        <f t="shared" si="0"/>
        <v>486511280.96000004</v>
      </c>
      <c r="C18" s="13"/>
      <c r="D18" s="13">
        <v>66993026.630000003</v>
      </c>
      <c r="E18" s="29">
        <v>187116743.40000001</v>
      </c>
      <c r="F18" s="30">
        <v>232401510.93000001</v>
      </c>
      <c r="G18" s="6"/>
    </row>
    <row r="19" spans="1:8" x14ac:dyDescent="0.25">
      <c r="A19" s="20" t="s">
        <v>84</v>
      </c>
      <c r="B19" s="13">
        <f t="shared" si="0"/>
        <v>1033285759.2</v>
      </c>
      <c r="C19" s="13"/>
      <c r="D19" s="13">
        <v>292200000</v>
      </c>
      <c r="E19" s="13">
        <v>200708861.19999999</v>
      </c>
      <c r="F19" s="13">
        <v>540376898</v>
      </c>
      <c r="G19" s="6"/>
    </row>
    <row r="20" spans="1:8" x14ac:dyDescent="0.25">
      <c r="A20" s="20" t="s">
        <v>109</v>
      </c>
      <c r="B20" s="6">
        <f>D20</f>
        <v>66993026.630000003</v>
      </c>
      <c r="C20" s="6"/>
      <c r="D20" s="6">
        <f>D18</f>
        <v>66993026.630000003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107</v>
      </c>
      <c r="B23" s="6">
        <f>B17</f>
        <v>628807682</v>
      </c>
      <c r="C23" s="6"/>
      <c r="D23" s="32"/>
      <c r="E23" s="6"/>
      <c r="F23" s="6"/>
      <c r="G23" s="38"/>
      <c r="H23" s="22"/>
    </row>
    <row r="24" spans="1:8" x14ac:dyDescent="0.25">
      <c r="A24" s="20" t="s">
        <v>108</v>
      </c>
      <c r="B24" s="6">
        <v>476896072.60000002</v>
      </c>
      <c r="C24" s="6"/>
      <c r="D24" s="13"/>
      <c r="E24" s="13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65</v>
      </c>
      <c r="B27" s="6">
        <v>0.99</v>
      </c>
      <c r="C27" s="6">
        <v>0.99</v>
      </c>
      <c r="D27" s="6">
        <v>0.99</v>
      </c>
      <c r="E27" s="6">
        <v>0.99</v>
      </c>
      <c r="F27" s="6">
        <v>0.99</v>
      </c>
      <c r="G27" s="6"/>
    </row>
    <row r="28" spans="1:8" x14ac:dyDescent="0.25">
      <c r="A28" s="16" t="s">
        <v>110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66</v>
      </c>
      <c r="B32" s="6">
        <f>B16/B27</f>
        <v>132853641.10101011</v>
      </c>
      <c r="C32" s="6">
        <f t="shared" ref="C32:F32" si="1">C16/C27</f>
        <v>0</v>
      </c>
      <c r="D32" s="6">
        <f t="shared" si="1"/>
        <v>89408565.838383853</v>
      </c>
      <c r="E32" s="6">
        <f t="shared" si="1"/>
        <v>32535984.353535354</v>
      </c>
      <c r="F32" s="6">
        <f t="shared" si="1"/>
        <v>10909090.90909091</v>
      </c>
      <c r="G32" s="6"/>
    </row>
    <row r="33" spans="1:7" x14ac:dyDescent="0.25">
      <c r="A33" s="16" t="s">
        <v>111</v>
      </c>
      <c r="B33" s="6">
        <f>B18/B28</f>
        <v>491425536.32323235</v>
      </c>
      <c r="C33" s="6">
        <f t="shared" ref="C33:F33" si="2">C18/C28</f>
        <v>0</v>
      </c>
      <c r="D33" s="6">
        <f t="shared" si="2"/>
        <v>67669723.86868687</v>
      </c>
      <c r="E33" s="6">
        <f t="shared" si="2"/>
        <v>189006811.51515153</v>
      </c>
      <c r="F33" s="6">
        <f t="shared" si="2"/>
        <v>234749000.93939394</v>
      </c>
      <c r="G33" s="6"/>
    </row>
    <row r="34" spans="1:7" x14ac:dyDescent="0.25">
      <c r="A34" s="16" t="s">
        <v>67</v>
      </c>
      <c r="B34" s="6">
        <f>B32/B10</f>
        <v>298547.50809215754</v>
      </c>
      <c r="C34" s="25">
        <f>C32/C10</f>
        <v>0</v>
      </c>
      <c r="D34" s="44">
        <f>D32/$C$10</f>
        <v>200918.12547951427</v>
      </c>
      <c r="E34" s="44">
        <f t="shared" ref="E34:F34" si="3">E32/$C$10</f>
        <v>73114.571580978329</v>
      </c>
      <c r="F34" s="44">
        <f t="shared" si="3"/>
        <v>24514.811031664965</v>
      </c>
      <c r="G34" s="39"/>
    </row>
    <row r="35" spans="1:7" x14ac:dyDescent="0.25">
      <c r="A35" s="16" t="s">
        <v>112</v>
      </c>
      <c r="B35" s="6">
        <f>B33/B12</f>
        <v>1119420.3560893675</v>
      </c>
      <c r="C35" s="25">
        <f>C33/C12</f>
        <v>0</v>
      </c>
      <c r="D35" s="44">
        <f>D33/$C$12</f>
        <v>154145.15687627989</v>
      </c>
      <c r="E35" s="44">
        <f t="shared" ref="E35:F35" si="4">E33/$C$12</f>
        <v>430539.43397528824</v>
      </c>
      <c r="F35" s="44">
        <f t="shared" si="4"/>
        <v>534735.76523779938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90.515463917525778</v>
      </c>
      <c r="C44" s="6">
        <f t="shared" ref="C44" si="5">C12/C11*100</f>
        <v>90.515463917525778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77.370441692536446</v>
      </c>
      <c r="C45" s="6"/>
      <c r="D45" s="6">
        <f t="shared" ref="D45:F45" si="6">D18/D17*100</f>
        <v>103.72043138256697</v>
      </c>
      <c r="E45" s="6">
        <f t="shared" si="6"/>
        <v>111.84116826469072</v>
      </c>
      <c r="F45" s="6">
        <f t="shared" si="6"/>
        <v>58.552417325116309</v>
      </c>
      <c r="G45" s="6"/>
    </row>
    <row r="46" spans="1:7" x14ac:dyDescent="0.25">
      <c r="A46" s="16" t="s">
        <v>20</v>
      </c>
      <c r="B46" s="6">
        <f>AVERAGE(B44:B45)</f>
        <v>83.942952805031112</v>
      </c>
      <c r="C46" s="6">
        <f t="shared" ref="C46:F46" si="7">AVERAGE(C44:C45)</f>
        <v>90.515463917525778</v>
      </c>
      <c r="D46" s="6">
        <f t="shared" si="7"/>
        <v>103.72043138256697</v>
      </c>
      <c r="E46" s="6">
        <f t="shared" si="7"/>
        <v>111.84116826469072</v>
      </c>
      <c r="F46" s="6">
        <f t="shared" si="7"/>
        <v>58.552417325116309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90.515463917525778</v>
      </c>
      <c r="C49" s="6">
        <f t="shared" ref="C49" si="8">(C12/C13)*100</f>
        <v>90.515463917525778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47.083904585762532</v>
      </c>
      <c r="C50" s="6"/>
      <c r="D50" s="6">
        <f t="shared" ref="D50:F50" si="9">D18/D19*100</f>
        <v>22.927113836413415</v>
      </c>
      <c r="E50" s="6">
        <f t="shared" si="9"/>
        <v>93.227943341048672</v>
      </c>
      <c r="F50" s="6">
        <f t="shared" si="9"/>
        <v>43.007299495989926</v>
      </c>
      <c r="G50" s="6"/>
    </row>
    <row r="51" spans="1:7" x14ac:dyDescent="0.25">
      <c r="A51" s="16" t="s">
        <v>24</v>
      </c>
      <c r="B51" s="6">
        <f>AVERAGE(B49:B50)</f>
        <v>68.799684251644152</v>
      </c>
      <c r="C51" s="6">
        <f t="shared" ref="C51:F51" si="10">AVERAGE(C49:C50)</f>
        <v>90.515463917525778</v>
      </c>
      <c r="D51" s="6">
        <f t="shared" si="10"/>
        <v>22.927113836413415</v>
      </c>
      <c r="E51" s="6">
        <f t="shared" si="10"/>
        <v>93.227943341048672</v>
      </c>
      <c r="F51" s="6">
        <f t="shared" si="10"/>
        <v>43.007299495989926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13.770086995271139</v>
      </c>
      <c r="C54" s="6" t="e">
        <f t="shared" ref="C54:F54" si="11">C20/C18*100</f>
        <v>#DIV/0!</v>
      </c>
      <c r="D54" s="6">
        <f t="shared" si="11"/>
        <v>100</v>
      </c>
      <c r="E54" s="6">
        <f t="shared" si="11"/>
        <v>0</v>
      </c>
      <c r="F54" s="6">
        <f t="shared" si="11"/>
        <v>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-1.3483146067415741</v>
      </c>
      <c r="C57" s="6">
        <f t="shared" ref="C57:F57" si="12">((C12/C10)-1)*100</f>
        <v>-1.3483146067415741</v>
      </c>
      <c r="D57" s="6" t="e">
        <f t="shared" si="12"/>
        <v>#DIV/0!</v>
      </c>
      <c r="E57" s="6" t="e">
        <f t="shared" si="12"/>
        <v>#DIV/0!</v>
      </c>
      <c r="F57" s="6" t="e">
        <f t="shared" si="12"/>
        <v>#DIV/0!</v>
      </c>
      <c r="G57" s="6"/>
    </row>
    <row r="58" spans="1:7" x14ac:dyDescent="0.25">
      <c r="A58" s="16" t="s">
        <v>28</v>
      </c>
      <c r="B58" s="6">
        <f>((B33/B32)-1)*100</f>
        <v>269.89993819559379</v>
      </c>
      <c r="C58" s="6" t="e">
        <f t="shared" ref="C58:F58" si="13">((C33/C32)-1)*100</f>
        <v>#DIV/0!</v>
      </c>
      <c r="D58" s="6">
        <f t="shared" si="13"/>
        <v>-24.314048397770314</v>
      </c>
      <c r="E58" s="6">
        <f t="shared" si="13"/>
        <v>480.9162232849859</v>
      </c>
      <c r="F58" s="6">
        <f t="shared" si="13"/>
        <v>2051.8658419444441</v>
      </c>
      <c r="G58" s="6"/>
    </row>
    <row r="59" spans="1:7" x14ac:dyDescent="0.25">
      <c r="A59" s="16" t="s">
        <v>29</v>
      </c>
      <c r="B59" s="6">
        <f>((B35/B34)-1)*100</f>
        <v>274.95551821649025</v>
      </c>
      <c r="C59" s="6" t="e">
        <f t="shared" ref="C59:F59" si="14">((C35/C34)-1)*100</f>
        <v>#DIV/0!</v>
      </c>
      <c r="D59" s="6">
        <f t="shared" si="14"/>
        <v>-23.279616257420933</v>
      </c>
      <c r="E59" s="6">
        <f t="shared" si="14"/>
        <v>488.85585276040712</v>
      </c>
      <c r="F59" s="6">
        <f t="shared" si="14"/>
        <v>2081.2763090325229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B17/($B$11*3)</f>
        <v>432170.22817869415</v>
      </c>
      <c r="C62" s="44">
        <f>B17/(C11*3)</f>
        <v>432170.22817869415</v>
      </c>
      <c r="D62" s="44">
        <f>D17/($C$11*3)</f>
        <v>44391.752577319588</v>
      </c>
      <c r="E62" s="44">
        <f t="shared" ref="E62:F62" si="15">E17/($C$11*3)</f>
        <v>114986.79312714777</v>
      </c>
      <c r="F62" s="44">
        <f t="shared" si="15"/>
        <v>272791.68247422681</v>
      </c>
      <c r="G62" s="39"/>
    </row>
    <row r="63" spans="1:7" x14ac:dyDescent="0.25">
      <c r="A63" s="16" t="s">
        <v>38</v>
      </c>
      <c r="B63" s="44">
        <f>B18/($B$12*3)</f>
        <v>369408.71750949131</v>
      </c>
      <c r="C63" s="44">
        <f>B18/(C12*3)</f>
        <v>369408.71750949131</v>
      </c>
      <c r="D63" s="44">
        <f>D18/($C$12*3)</f>
        <v>50867.901769172364</v>
      </c>
      <c r="E63" s="44">
        <f t="shared" ref="E63:F63" si="16">E18/($C$12*3)</f>
        <v>142078.0132118451</v>
      </c>
      <c r="F63" s="44">
        <f t="shared" si="16"/>
        <v>176462.80252847381</v>
      </c>
      <c r="G63" s="22"/>
    </row>
    <row r="64" spans="1:7" x14ac:dyDescent="0.25">
      <c r="A64" s="16" t="s">
        <v>31</v>
      </c>
      <c r="B64" s="42">
        <f>(B62/B63)*B46</f>
        <v>98.204626334546532</v>
      </c>
      <c r="C64" s="42">
        <f>(C62/C63)*C46</f>
        <v>105.8937887515673</v>
      </c>
      <c r="D64" s="42"/>
      <c r="E64" s="42"/>
      <c r="F64" s="42"/>
      <c r="G64" s="6"/>
    </row>
    <row r="65" spans="1:8" x14ac:dyDescent="0.25">
      <c r="A65" s="14" t="s">
        <v>39</v>
      </c>
      <c r="B65" s="44">
        <f>B17/($B$11)</f>
        <v>1296510.6845360824</v>
      </c>
      <c r="C65" s="44">
        <f>B17/C11</f>
        <v>1296510.6845360824</v>
      </c>
      <c r="D65" s="50">
        <f>D17/($C$11)</f>
        <v>133175.25773195876</v>
      </c>
      <c r="E65" s="50">
        <f t="shared" ref="E65:F65" si="17">E17/($C$11)</f>
        <v>344960.37938144332</v>
      </c>
      <c r="F65" s="50">
        <f t="shared" si="17"/>
        <v>818375.04742268042</v>
      </c>
      <c r="G65" s="6"/>
    </row>
    <row r="66" spans="1:8" x14ac:dyDescent="0.25">
      <c r="A66" s="14" t="s">
        <v>40</v>
      </c>
      <c r="B66" s="44">
        <f>B18/($B$12)</f>
        <v>1108226.1525284739</v>
      </c>
      <c r="C66" s="44">
        <f>B18/C12</f>
        <v>1108226.1525284739</v>
      </c>
      <c r="D66" s="50">
        <f>D18/($C$12)</f>
        <v>152603.70530751708</v>
      </c>
      <c r="E66" s="50">
        <f t="shared" ref="E66:F66" si="18">E18/($C$12)</f>
        <v>426234.03963553533</v>
      </c>
      <c r="F66" s="50">
        <f t="shared" si="18"/>
        <v>529388.40758542146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(B24/B23)*100</f>
        <v>75.84132418407701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(B18/B24)*100</f>
        <v>102.01620623704839</v>
      </c>
      <c r="C70" s="6"/>
      <c r="D70" s="6"/>
      <c r="E70" s="6"/>
      <c r="F70" s="6"/>
      <c r="G70" s="39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91</v>
      </c>
      <c r="B75" s="24"/>
      <c r="C75" s="24"/>
      <c r="D75" s="24"/>
      <c r="E75" s="24"/>
    </row>
    <row r="76" spans="1:8" x14ac:dyDescent="0.25">
      <c r="A76" s="34" t="s">
        <v>90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 t="s">
        <v>136</v>
      </c>
    </row>
    <row r="82" spans="1:1" x14ac:dyDescent="0.25">
      <c r="A82" t="s">
        <v>137</v>
      </c>
    </row>
    <row r="83" spans="1:1" x14ac:dyDescent="0.25">
      <c r="A83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opLeftCell="A61" zoomScaleNormal="100" workbookViewId="0">
      <selection activeCell="A82" sqref="A82"/>
    </sheetView>
  </sheetViews>
  <sheetFormatPr baseColWidth="10" defaultColWidth="11.42578125" defaultRowHeight="15" x14ac:dyDescent="0.25"/>
  <cols>
    <col min="1" max="1" width="55.140625" style="16" customWidth="1"/>
    <col min="2" max="2" width="19.7109375" style="16" customWidth="1"/>
    <col min="3" max="3" width="13.85546875" style="16" customWidth="1"/>
    <col min="4" max="4" width="20.7109375" style="16" customWidth="1"/>
    <col min="5" max="5" width="16.85546875" style="16" customWidth="1"/>
    <col min="6" max="7" width="13.7109375" style="16" bestFit="1" customWidth="1"/>
    <col min="8" max="16384" width="11.42578125" style="16"/>
  </cols>
  <sheetData>
    <row r="2" spans="1:7" ht="15.75" x14ac:dyDescent="0.25">
      <c r="A2" s="60" t="s">
        <v>113</v>
      </c>
      <c r="B2" s="60"/>
      <c r="C2" s="60"/>
      <c r="D2" s="60"/>
      <c r="E2" s="60"/>
      <c r="F2" s="60"/>
    </row>
    <row r="4" spans="1:7" ht="15" customHeight="1" x14ac:dyDescent="0.25">
      <c r="A4" s="61" t="s">
        <v>0</v>
      </c>
      <c r="B4" s="63" t="s">
        <v>1</v>
      </c>
      <c r="C4" s="58" t="s">
        <v>51</v>
      </c>
      <c r="D4" s="65" t="s">
        <v>2</v>
      </c>
      <c r="E4" s="65"/>
      <c r="F4" s="65"/>
    </row>
    <row r="5" spans="1:7" ht="15.75" thickBot="1" x14ac:dyDescent="0.3">
      <c r="A5" s="62"/>
      <c r="B5" s="64"/>
      <c r="C5" s="59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68</v>
      </c>
      <c r="B10" s="13">
        <f>'I Trimestre'!B10</f>
        <v>491</v>
      </c>
      <c r="C10" s="13">
        <f>('I Trimestre'!C10+'II Trimestre'!C10)/2</f>
        <v>475.08333333333337</v>
      </c>
      <c r="D10" s="6"/>
      <c r="E10" s="6"/>
      <c r="F10" s="6"/>
      <c r="G10" s="6"/>
    </row>
    <row r="11" spans="1:7" x14ac:dyDescent="0.25">
      <c r="A11" s="20" t="s">
        <v>114</v>
      </c>
      <c r="B11" s="13">
        <f>'I Trimestre'!B11</f>
        <v>485</v>
      </c>
      <c r="C11" s="13">
        <f>('I Trimestre'!C11+'II Trimestre'!C11)/2</f>
        <v>485</v>
      </c>
      <c r="D11" s="6"/>
      <c r="E11" s="6"/>
      <c r="F11" s="6"/>
      <c r="G11" s="6"/>
    </row>
    <row r="12" spans="1:7" x14ac:dyDescent="0.25">
      <c r="A12" s="20" t="s">
        <v>115</v>
      </c>
      <c r="B12" s="47">
        <f>('I Trimestre'!B12+'II Trimestre'!B12)/2</f>
        <v>473.66666666666663</v>
      </c>
      <c r="C12" s="47">
        <f>('I Trimestre'!C12+'II Trimestre'!C12)/2</f>
        <v>473.66666666666663</v>
      </c>
      <c r="D12" s="6"/>
      <c r="G12" s="22"/>
    </row>
    <row r="13" spans="1:7" x14ac:dyDescent="0.25">
      <c r="A13" s="20" t="s">
        <v>84</v>
      </c>
      <c r="B13" s="13">
        <f>'I Trimestre'!B13</f>
        <v>485</v>
      </c>
      <c r="C13" s="13">
        <f>'II Trimestre'!C13</f>
        <v>485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68</v>
      </c>
      <c r="B16" s="42">
        <f>+'I Trimestre'!B16+'II Trimestre'!B16</f>
        <v>130960457.92</v>
      </c>
      <c r="C16" s="6"/>
      <c r="D16" s="6">
        <f>'I Trimestre'!D16+'II Trimestre'!D16</f>
        <v>106877890.34999999</v>
      </c>
      <c r="E16" s="6">
        <f>'I Trimestre'!E16+'II Trimestre'!E16</f>
        <v>19882567.57</v>
      </c>
      <c r="F16" s="6">
        <f>'I Trimestre'!F16+'II Trimestre'!F16</f>
        <v>4200000</v>
      </c>
      <c r="G16" s="39"/>
    </row>
    <row r="17" spans="1:8" x14ac:dyDescent="0.25">
      <c r="A17" s="20" t="s">
        <v>114</v>
      </c>
      <c r="B17" s="6">
        <f>+'I Trimestre'!B17+'II Trimestre'!B17</f>
        <v>260270000</v>
      </c>
      <c r="C17" s="6"/>
      <c r="D17" s="6">
        <f>'I Trimestre'!D17+'II Trimestre'!D17</f>
        <v>146850000</v>
      </c>
      <c r="E17" s="6">
        <f>'I Trimestre'!E17+'II Trimestre'!E17</f>
        <v>13420000</v>
      </c>
      <c r="F17" s="6">
        <f>'I Trimestre'!F17+'II Trimestre'!F17</f>
        <v>100000000</v>
      </c>
      <c r="G17" s="6"/>
    </row>
    <row r="18" spans="1:8" x14ac:dyDescent="0.25">
      <c r="A18" s="20" t="s">
        <v>115</v>
      </c>
      <c r="B18" s="6">
        <f>+'I Trimestre'!B18+'II Trimestre'!B18</f>
        <v>152530329.20999998</v>
      </c>
      <c r="C18" s="6"/>
      <c r="D18" s="6">
        <f>'I Trimestre'!D18+'II Trimestre'!D18</f>
        <v>140776885.00999999</v>
      </c>
      <c r="E18" s="6">
        <f>'I Trimestre'!E18+'II Trimestre'!E18</f>
        <v>11753444.200000001</v>
      </c>
      <c r="F18" s="6">
        <f>'I Trimestre'!F18+'II Trimestre'!F18</f>
        <v>0</v>
      </c>
      <c r="G18" s="6"/>
    </row>
    <row r="19" spans="1:8" x14ac:dyDescent="0.25">
      <c r="A19" s="20" t="s">
        <v>84</v>
      </c>
      <c r="B19" s="6">
        <f>SUM(D19:F19)</f>
        <v>688058774</v>
      </c>
      <c r="C19" s="6"/>
      <c r="D19" s="6">
        <f>+'II Trimestre'!D19</f>
        <v>292200000</v>
      </c>
      <c r="E19" s="6">
        <f>+'II Trimestre'!E19</f>
        <v>13420000</v>
      </c>
      <c r="F19" s="6">
        <f>+'II Trimestre'!F19</f>
        <v>382438774</v>
      </c>
      <c r="G19" s="6"/>
    </row>
    <row r="20" spans="1:8" x14ac:dyDescent="0.25">
      <c r="A20" s="20" t="s">
        <v>116</v>
      </c>
      <c r="B20" s="6">
        <f>D20</f>
        <v>140776885.00999999</v>
      </c>
      <c r="C20" s="6"/>
      <c r="D20" s="6">
        <f>D18</f>
        <v>140776885.00999999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114</v>
      </c>
      <c r="B23" s="6">
        <f>B17</f>
        <v>260270000</v>
      </c>
      <c r="C23" s="6"/>
      <c r="D23" s="43"/>
      <c r="E23" s="6"/>
      <c r="F23" s="6"/>
      <c r="G23" s="38"/>
      <c r="H23" s="22"/>
    </row>
    <row r="24" spans="1:8" x14ac:dyDescent="0.25">
      <c r="A24" s="20" t="s">
        <v>115</v>
      </c>
      <c r="B24" s="6">
        <f>'I Trimestre'!B24+'II Trimestre'!B24</f>
        <v>157201305.93000001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69</v>
      </c>
      <c r="B27" s="6">
        <v>0.97</v>
      </c>
      <c r="C27" s="6">
        <v>0.97</v>
      </c>
      <c r="D27" s="6">
        <v>0.97</v>
      </c>
      <c r="E27" s="6">
        <v>0.97</v>
      </c>
      <c r="F27" s="6">
        <v>0.97</v>
      </c>
      <c r="G27" s="6"/>
    </row>
    <row r="28" spans="1:8" x14ac:dyDescent="0.25">
      <c r="A28" s="16" t="s">
        <v>117</v>
      </c>
      <c r="B28" s="6">
        <v>1</v>
      </c>
      <c r="C28" s="6">
        <v>1</v>
      </c>
      <c r="D28" s="6">
        <v>1</v>
      </c>
      <c r="E28" s="6">
        <v>1</v>
      </c>
      <c r="F28" s="6">
        <v>1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70</v>
      </c>
      <c r="B32" s="6">
        <f>B16/B27</f>
        <v>135010781.36082473</v>
      </c>
      <c r="C32" s="6">
        <f>C16/C27</f>
        <v>0</v>
      </c>
      <c r="D32" s="6">
        <f t="shared" ref="D32:F32" si="0">D16/D27</f>
        <v>110183392.11340205</v>
      </c>
      <c r="E32" s="6">
        <f t="shared" si="0"/>
        <v>20497492.340206187</v>
      </c>
      <c r="F32" s="6">
        <f t="shared" si="0"/>
        <v>4329896.9072164949</v>
      </c>
      <c r="G32" s="6"/>
    </row>
    <row r="33" spans="1:7" x14ac:dyDescent="0.25">
      <c r="A33" s="16" t="s">
        <v>118</v>
      </c>
      <c r="B33" s="6">
        <f>B18/B28</f>
        <v>152530329.20999998</v>
      </c>
      <c r="C33" s="6">
        <f t="shared" ref="C33:F33" si="1">C18/C28</f>
        <v>0</v>
      </c>
      <c r="D33" s="6">
        <f t="shared" si="1"/>
        <v>140776885.00999999</v>
      </c>
      <c r="E33" s="6">
        <f t="shared" si="1"/>
        <v>11753444.200000001</v>
      </c>
      <c r="F33" s="6">
        <f t="shared" si="1"/>
        <v>0</v>
      </c>
      <c r="G33" s="6"/>
    </row>
    <row r="34" spans="1:7" x14ac:dyDescent="0.25">
      <c r="A34" s="16" t="s">
        <v>71</v>
      </c>
      <c r="B34" s="6">
        <f>B32/B10</f>
        <v>274971.04146807484</v>
      </c>
      <c r="C34" s="25">
        <f>C32/C10</f>
        <v>0</v>
      </c>
      <c r="D34" s="44">
        <f>D32/$C$10</f>
        <v>231924.34754618918</v>
      </c>
      <c r="E34" s="44">
        <f t="shared" ref="E34:F34" si="2">E32/$C$10</f>
        <v>43145.046146724126</v>
      </c>
      <c r="F34" s="44">
        <f t="shared" si="2"/>
        <v>9113.9734935270899</v>
      </c>
      <c r="G34" s="39"/>
    </row>
    <row r="35" spans="1:7" x14ac:dyDescent="0.25">
      <c r="A35" s="16" t="s">
        <v>119</v>
      </c>
      <c r="B35" s="6">
        <f>B33/B12</f>
        <v>322020.39945812809</v>
      </c>
      <c r="C35" s="25">
        <f>C33/C12</f>
        <v>0</v>
      </c>
      <c r="D35" s="44">
        <f>D33/$C$12</f>
        <v>297206.65378606616</v>
      </c>
      <c r="E35" s="44">
        <f t="shared" ref="E35:F35" si="3">E33/$C$12</f>
        <v>24813.745672061934</v>
      </c>
      <c r="F35" s="44">
        <f t="shared" si="3"/>
        <v>0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97.663230240549822</v>
      </c>
      <c r="C44" s="6">
        <f>C12/C11*100</f>
        <v>97.663230240549822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58.604652556960069</v>
      </c>
      <c r="C45" s="6"/>
      <c r="D45" s="6">
        <f>D18/D17*100</f>
        <v>95.864409267960497</v>
      </c>
      <c r="E45" s="6">
        <f t="shared" ref="E45" si="4">E18/E17*100</f>
        <v>87.581551415797321</v>
      </c>
      <c r="F45" s="6">
        <f>F18/F17*100</f>
        <v>0</v>
      </c>
      <c r="G45" s="6"/>
    </row>
    <row r="46" spans="1:7" x14ac:dyDescent="0.25">
      <c r="A46" s="16" t="s">
        <v>20</v>
      </c>
      <c r="B46" s="6">
        <f>AVERAGE(B44:B45)</f>
        <v>78.133941398754942</v>
      </c>
      <c r="C46" s="6">
        <f>AVERAGE(C44:C45)</f>
        <v>97.663230240549822</v>
      </c>
      <c r="D46" s="6">
        <f t="shared" ref="D46:F46" si="5">AVERAGE(D44:D45)</f>
        <v>95.864409267960497</v>
      </c>
      <c r="E46" s="6">
        <f t="shared" si="5"/>
        <v>87.581551415797321</v>
      </c>
      <c r="F46" s="6">
        <f t="shared" si="5"/>
        <v>0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97.663230240549822</v>
      </c>
      <c r="C49" s="6">
        <f t="shared" ref="C49" si="6">(C12/C13)*100</f>
        <v>97.663230240549822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22.168212218742809</v>
      </c>
      <c r="C50" s="6"/>
      <c r="D50" s="6">
        <f t="shared" ref="D50:F50" si="7">D18/D19*100</f>
        <v>48.178263179329221</v>
      </c>
      <c r="E50" s="6">
        <f t="shared" si="7"/>
        <v>87.581551415797321</v>
      </c>
      <c r="F50" s="6">
        <f t="shared" si="7"/>
        <v>0</v>
      </c>
      <c r="G50" s="6"/>
    </row>
    <row r="51" spans="1:7" x14ac:dyDescent="0.25">
      <c r="A51" s="16" t="s">
        <v>24</v>
      </c>
      <c r="B51" s="6">
        <f>AVERAGE(B49:B50)</f>
        <v>59.915721229646316</v>
      </c>
      <c r="C51" s="6">
        <f t="shared" ref="C51:F51" si="8">AVERAGE(C49:C50)</f>
        <v>97.663230240549822</v>
      </c>
      <c r="D51" s="6">
        <f t="shared" si="8"/>
        <v>48.178263179329221</v>
      </c>
      <c r="E51" s="6">
        <f t="shared" si="8"/>
        <v>87.581551415797321</v>
      </c>
      <c r="F51" s="6">
        <f t="shared" si="8"/>
        <v>0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92.29435597439894</v>
      </c>
      <c r="C54" s="6" t="e">
        <f t="shared" ref="C54:F54" si="9">C20/C18*100</f>
        <v>#DIV/0!</v>
      </c>
      <c r="D54" s="6">
        <f t="shared" si="9"/>
        <v>100</v>
      </c>
      <c r="E54" s="6">
        <f t="shared" si="9"/>
        <v>0</v>
      </c>
      <c r="F54" s="6" t="e">
        <f t="shared" si="9"/>
        <v>#DIV/0!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-3.5302104548540436</v>
      </c>
      <c r="C57" s="6">
        <f t="shared" ref="C57:F57" si="10">((C12/C10)-1)*100</f>
        <v>-0.29819329942116779</v>
      </c>
      <c r="D57" s="6" t="e">
        <f t="shared" si="10"/>
        <v>#DIV/0!</v>
      </c>
      <c r="E57" s="6" t="e">
        <f t="shared" si="10"/>
        <v>#DIV/0!</v>
      </c>
      <c r="F57" s="6" t="e">
        <f t="shared" si="10"/>
        <v>#DIV/0!</v>
      </c>
      <c r="G57" s="6"/>
    </row>
    <row r="58" spans="1:7" x14ac:dyDescent="0.25">
      <c r="A58" s="16" t="s">
        <v>28</v>
      </c>
      <c r="B58" s="6">
        <f>((B33/B32)-1)*100</f>
        <v>12.97640653034453</v>
      </c>
      <c r="C58" s="6" t="e">
        <f t="shared" ref="C58:F58" si="11">((C33/C32)-1)*100</f>
        <v>#DIV/0!</v>
      </c>
      <c r="D58" s="6">
        <f t="shared" si="11"/>
        <v>27.765974807810203</v>
      </c>
      <c r="E58" s="6">
        <f t="shared" si="11"/>
        <v>-42.659111637059056</v>
      </c>
      <c r="F58" s="6">
        <f t="shared" si="11"/>
        <v>-100</v>
      </c>
      <c r="G58" s="6"/>
    </row>
    <row r="59" spans="1:7" x14ac:dyDescent="0.25">
      <c r="A59" s="16" t="s">
        <v>29</v>
      </c>
      <c r="B59" s="6">
        <f>((B35/B34)-1)*100</f>
        <v>17.110659267556304</v>
      </c>
      <c r="C59" s="6" t="e">
        <f t="shared" ref="C59:F59" si="12">((C35/C34)-1)*100</f>
        <v>#DIV/0!</v>
      </c>
      <c r="D59" s="6">
        <f t="shared" si="12"/>
        <v>28.148103866876518</v>
      </c>
      <c r="E59" s="6">
        <f t="shared" si="12"/>
        <v>-42.487613554340889</v>
      </c>
      <c r="F59" s="6">
        <f t="shared" si="12"/>
        <v>-100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B17/($B$11*5)</f>
        <v>107327.8350515464</v>
      </c>
      <c r="C62" s="44">
        <f>B17/(C11*5)</f>
        <v>107327.8350515464</v>
      </c>
      <c r="D62" s="44">
        <f>D17/($C$11*5)</f>
        <v>60556.701030927834</v>
      </c>
      <c r="E62" s="44">
        <f t="shared" ref="E62:F62" si="13">E17/($C$11*5)</f>
        <v>5534.0206185567013</v>
      </c>
      <c r="F62" s="44">
        <f t="shared" si="13"/>
        <v>41237.113402061856</v>
      </c>
      <c r="G62" s="39"/>
    </row>
    <row r="63" spans="1:7" x14ac:dyDescent="0.25">
      <c r="A63" s="16" t="s">
        <v>38</v>
      </c>
      <c r="B63" s="44">
        <f>B18/($B$12*5)</f>
        <v>64404.079891625617</v>
      </c>
      <c r="C63" s="44">
        <f>B18/(C12*5)</f>
        <v>64404.079891625617</v>
      </c>
      <c r="D63" s="44">
        <f>D18/($C$12*5)</f>
        <v>59441.330757213233</v>
      </c>
      <c r="E63" s="44">
        <f t="shared" ref="E63:F63" si="14">E18/($C$12*5)</f>
        <v>4962.7491344123864</v>
      </c>
      <c r="F63" s="44">
        <f t="shared" si="14"/>
        <v>0</v>
      </c>
      <c r="G63" s="22"/>
    </row>
    <row r="64" spans="1:7" x14ac:dyDescent="0.25">
      <c r="A64" s="16" t="s">
        <v>31</v>
      </c>
      <c r="B64" s="42">
        <f>(B62/B63)*B46</f>
        <v>130.20831581607888</v>
      </c>
      <c r="C64" s="42">
        <f>(C62/C63)*C46</f>
        <v>162.75340139160795</v>
      </c>
      <c r="D64" s="42"/>
      <c r="E64" s="42"/>
      <c r="F64" s="42"/>
      <c r="G64" s="6"/>
    </row>
    <row r="65" spans="1:8" x14ac:dyDescent="0.25">
      <c r="A65" s="14" t="s">
        <v>41</v>
      </c>
      <c r="B65" s="44">
        <f>B17/($B$11)</f>
        <v>536639.17525773193</v>
      </c>
      <c r="C65" s="44">
        <f>B17/C11</f>
        <v>536639.17525773193</v>
      </c>
      <c r="D65" s="50">
        <f>D17/($C$11)</f>
        <v>302783.50515463919</v>
      </c>
      <c r="E65" s="50">
        <f t="shared" ref="E65:F65" si="15">E17/($C$11)</f>
        <v>27670.103092783505</v>
      </c>
      <c r="F65" s="50">
        <f t="shared" si="15"/>
        <v>206185.56701030929</v>
      </c>
      <c r="G65" s="6"/>
    </row>
    <row r="66" spans="1:8" x14ac:dyDescent="0.25">
      <c r="A66" s="14" t="s">
        <v>42</v>
      </c>
      <c r="B66" s="44">
        <f>B18/($B$12)</f>
        <v>322020.39945812809</v>
      </c>
      <c r="C66" s="44">
        <f>B18/C12</f>
        <v>322020.39945812809</v>
      </c>
      <c r="D66" s="50">
        <f>D18/($C$12)</f>
        <v>297206.65378606616</v>
      </c>
      <c r="E66" s="50">
        <f t="shared" ref="E66:F66" si="16">E18/($C$12)</f>
        <v>24813.745672061934</v>
      </c>
      <c r="F66" s="50">
        <f t="shared" si="16"/>
        <v>0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60.399318373227807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97.028665447550438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91</v>
      </c>
      <c r="B75" s="24"/>
      <c r="C75" s="24"/>
      <c r="D75" s="24"/>
      <c r="E75" s="24"/>
    </row>
    <row r="76" spans="1:8" x14ac:dyDescent="0.25">
      <c r="A76" s="34" t="s">
        <v>90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 t="s">
        <v>136</v>
      </c>
    </row>
    <row r="82" spans="1:1" x14ac:dyDescent="0.25">
      <c r="A82" t="s">
        <v>137</v>
      </c>
    </row>
    <row r="83" spans="1:1" x14ac:dyDescent="0.25">
      <c r="A83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3"/>
  <sheetViews>
    <sheetView topLeftCell="A58" zoomScale="90" zoomScaleNormal="90" workbookViewId="0">
      <selection activeCell="A82" sqref="A82"/>
    </sheetView>
  </sheetViews>
  <sheetFormatPr baseColWidth="10" defaultColWidth="11.42578125" defaultRowHeight="15" x14ac:dyDescent="0.25"/>
  <cols>
    <col min="1" max="1" width="55.140625" style="16" customWidth="1"/>
    <col min="2" max="2" width="23.42578125" style="16" customWidth="1"/>
    <col min="3" max="3" width="13.85546875" style="16" customWidth="1"/>
    <col min="4" max="4" width="20.7109375" style="16" customWidth="1"/>
    <col min="5" max="5" width="16.28515625" style="16" customWidth="1"/>
    <col min="6" max="6" width="19.7109375" style="16" customWidth="1"/>
    <col min="7" max="7" width="13.7109375" style="16" bestFit="1" customWidth="1"/>
    <col min="8" max="16384" width="11.42578125" style="16"/>
  </cols>
  <sheetData>
    <row r="2" spans="1:7" ht="15.75" x14ac:dyDescent="0.25">
      <c r="A2" s="60" t="s">
        <v>126</v>
      </c>
      <c r="B2" s="60"/>
      <c r="C2" s="60"/>
      <c r="D2" s="60"/>
      <c r="E2" s="60"/>
      <c r="F2" s="60"/>
    </row>
    <row r="4" spans="1:7" ht="15" customHeight="1" x14ac:dyDescent="0.25">
      <c r="A4" s="61" t="s">
        <v>0</v>
      </c>
      <c r="B4" s="63" t="s">
        <v>1</v>
      </c>
      <c r="C4" s="58" t="s">
        <v>51</v>
      </c>
      <c r="D4" s="65" t="s">
        <v>2</v>
      </c>
      <c r="E4" s="65"/>
      <c r="F4" s="65"/>
    </row>
    <row r="5" spans="1:7" ht="15.75" thickBot="1" x14ac:dyDescent="0.3">
      <c r="A5" s="62"/>
      <c r="B5" s="64"/>
      <c r="C5" s="59"/>
      <c r="D5" s="17" t="s">
        <v>3</v>
      </c>
      <c r="E5" s="18" t="s">
        <v>4</v>
      </c>
      <c r="F5" s="18" t="s">
        <v>5</v>
      </c>
    </row>
    <row r="6" spans="1:7" ht="15.75" thickTop="1" x14ac:dyDescent="0.25"/>
    <row r="7" spans="1:7" x14ac:dyDescent="0.25">
      <c r="A7" s="19" t="s">
        <v>6</v>
      </c>
    </row>
    <row r="8" spans="1:7" x14ac:dyDescent="0.25">
      <c r="B8" s="6"/>
      <c r="C8" s="6"/>
      <c r="D8" s="6"/>
      <c r="E8" s="6"/>
      <c r="F8" s="6"/>
      <c r="G8" s="6"/>
    </row>
    <row r="9" spans="1:7" x14ac:dyDescent="0.25">
      <c r="A9" s="16" t="s">
        <v>7</v>
      </c>
      <c r="B9" s="6"/>
      <c r="C9" s="6"/>
      <c r="D9" s="6"/>
      <c r="E9" s="6"/>
      <c r="F9" s="6"/>
      <c r="G9" s="6"/>
    </row>
    <row r="10" spans="1:7" x14ac:dyDescent="0.25">
      <c r="A10" s="20" t="s">
        <v>72</v>
      </c>
      <c r="B10" s="13">
        <f>'I Trimestre'!B10</f>
        <v>491</v>
      </c>
      <c r="C10" s="13">
        <f>('I Trimestre'!C10+'II Trimestre'!C10+'III Trimestre'!C10)/3</f>
        <v>468.94444444444451</v>
      </c>
      <c r="D10" s="6"/>
      <c r="E10" s="6"/>
      <c r="F10" s="6"/>
      <c r="G10" s="6"/>
    </row>
    <row r="11" spans="1:7" x14ac:dyDescent="0.25">
      <c r="A11" s="20" t="s">
        <v>120</v>
      </c>
      <c r="B11" s="13">
        <f>'I Trimestre'!B11</f>
        <v>485</v>
      </c>
      <c r="C11" s="13">
        <f>('I Trimestre'!C11+'II Trimestre'!C11+'III Trimestre'!C11)/3</f>
        <v>485</v>
      </c>
      <c r="D11" s="6"/>
      <c r="E11" s="6"/>
      <c r="F11" s="6"/>
      <c r="G11" s="6"/>
    </row>
    <row r="12" spans="1:7" x14ac:dyDescent="0.25">
      <c r="A12" s="20" t="s">
        <v>121</v>
      </c>
      <c r="B12" s="47">
        <f>('I Trimestre'!B12+'II Trimestre'!B12+'III Trimestre'!B12)/3</f>
        <v>464.4444444444444</v>
      </c>
      <c r="C12" s="47">
        <f>('I Trimestre'!C12+'II Trimestre'!C12+'III Trimestre'!C12)/3</f>
        <v>464.4444444444444</v>
      </c>
      <c r="D12" s="6"/>
      <c r="G12" s="22"/>
    </row>
    <row r="13" spans="1:7" x14ac:dyDescent="0.25">
      <c r="A13" s="20" t="s">
        <v>84</v>
      </c>
      <c r="B13" s="13">
        <f>'I Trimestre'!B13</f>
        <v>485</v>
      </c>
      <c r="C13" s="13">
        <f>+'III Trimestre'!C13</f>
        <v>485</v>
      </c>
      <c r="D13" s="6"/>
      <c r="E13" s="6"/>
      <c r="F13" s="6"/>
      <c r="G13" s="6"/>
    </row>
    <row r="14" spans="1:7" x14ac:dyDescent="0.25">
      <c r="B14" s="6"/>
      <c r="C14" s="6"/>
      <c r="D14" s="6"/>
      <c r="E14" s="6"/>
      <c r="F14" s="6"/>
      <c r="G14" s="6"/>
    </row>
    <row r="15" spans="1:7" x14ac:dyDescent="0.25">
      <c r="A15" s="21" t="s">
        <v>8</v>
      </c>
      <c r="B15" s="6"/>
      <c r="C15" s="6"/>
      <c r="D15" s="6"/>
      <c r="E15" s="6"/>
      <c r="F15" s="6"/>
      <c r="G15" s="6"/>
    </row>
    <row r="16" spans="1:7" x14ac:dyDescent="0.25">
      <c r="A16" s="20" t="s">
        <v>72</v>
      </c>
      <c r="B16" s="42">
        <f>+'I Trimestre'!B16+'II Trimestre'!B16+'III Trimestre'!B16</f>
        <v>218937150.00999999</v>
      </c>
      <c r="C16" s="42"/>
      <c r="D16" s="42">
        <f>'I Trimestre'!D16+'II Trimestre'!D16+'III Trimestre'!D16</f>
        <v>187900294.03999999</v>
      </c>
      <c r="E16" s="42">
        <f>'I Trimestre'!E16+'II Trimestre'!E16+'III Trimestre'!E16</f>
        <v>26836855.969999999</v>
      </c>
      <c r="F16" s="42">
        <f>'I Trimestre'!F16+'II Trimestre'!F16+'III Trimestre'!F16</f>
        <v>4200000</v>
      </c>
      <c r="G16" s="39"/>
    </row>
    <row r="17" spans="1:8" x14ac:dyDescent="0.25">
      <c r="A17" s="20" t="s">
        <v>120</v>
      </c>
      <c r="B17" s="6">
        <f>+'I Trimestre'!B17+'II Trimestre'!B17+'III Trimestre'!B17</f>
        <v>504478077.19999999</v>
      </c>
      <c r="C17" s="6"/>
      <c r="D17" s="6">
        <f>'I Trimestre'!D17+'II Trimestre'!D17+'III Trimestre'!D17</f>
        <v>227610000</v>
      </c>
      <c r="E17" s="6">
        <f>'I Trimestre'!E17+'II Trimestre'!E17+'III Trimestre'!E17</f>
        <v>33403077.199999999</v>
      </c>
      <c r="F17" s="6">
        <f>'I Trimestre'!F17+'II Trimestre'!F17+'III Trimestre'!F17</f>
        <v>243465000</v>
      </c>
      <c r="G17" s="6"/>
    </row>
    <row r="18" spans="1:8" x14ac:dyDescent="0.25">
      <c r="A18" s="20" t="s">
        <v>121</v>
      </c>
      <c r="B18" s="6">
        <f>+'I Trimestre'!B18+'II Trimestre'!B18+'III Trimestre'!B18</f>
        <v>235210935.01999998</v>
      </c>
      <c r="C18" s="6"/>
      <c r="D18" s="6">
        <f>'I Trimestre'!D18+'II Trimestre'!D18+'III Trimestre'!D18</f>
        <v>222184630.68000001</v>
      </c>
      <c r="E18" s="6">
        <f>'I Trimestre'!E18+'II Trimestre'!E18+'III Trimestre'!E18</f>
        <v>13026304.340000002</v>
      </c>
      <c r="F18" s="6">
        <f>'I Trimestre'!F18+'II Trimestre'!F18+'III Trimestre'!F18</f>
        <v>0</v>
      </c>
      <c r="G18" s="6"/>
    </row>
    <row r="19" spans="1:8" x14ac:dyDescent="0.25">
      <c r="A19" s="20" t="s">
        <v>84</v>
      </c>
      <c r="B19" s="6">
        <f>+SUM(D19:F19)</f>
        <v>865979975.20000005</v>
      </c>
      <c r="C19" s="6"/>
      <c r="D19" s="6">
        <f>+'III Trimestre'!D19</f>
        <v>292200000</v>
      </c>
      <c r="E19" s="6">
        <f>+'III Trimestre'!E19</f>
        <v>33403077.199999999</v>
      </c>
      <c r="F19" s="6">
        <f>+'III Trimestre'!F19</f>
        <v>540376898</v>
      </c>
      <c r="G19" s="6"/>
    </row>
    <row r="20" spans="1:8" x14ac:dyDescent="0.25">
      <c r="A20" s="20" t="s">
        <v>122</v>
      </c>
      <c r="B20" s="6">
        <f>D20</f>
        <v>222184630.68000001</v>
      </c>
      <c r="C20" s="6"/>
      <c r="D20" s="6">
        <f>D18</f>
        <v>222184630.68000001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0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120</v>
      </c>
      <c r="B23" s="6">
        <f>B17</f>
        <v>504478077.19999999</v>
      </c>
      <c r="C23" s="6"/>
      <c r="D23" s="43"/>
      <c r="E23" s="6"/>
      <c r="F23" s="6"/>
      <c r="G23" s="38"/>
      <c r="H23" s="22"/>
    </row>
    <row r="24" spans="1:8" x14ac:dyDescent="0.25">
      <c r="A24" s="20" t="s">
        <v>121</v>
      </c>
      <c r="B24" s="6">
        <f>'I Trimestre'!B24+'II Trimestre'!B24+'III Trimestre'!B24</f>
        <v>238631305.93000001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73</v>
      </c>
      <c r="B27" s="6">
        <v>0.98</v>
      </c>
      <c r="C27" s="6">
        <v>0.98</v>
      </c>
      <c r="D27" s="6">
        <v>0.98</v>
      </c>
      <c r="E27" s="6">
        <v>0.98</v>
      </c>
      <c r="F27" s="6">
        <v>0.98</v>
      </c>
      <c r="G27" s="6"/>
    </row>
    <row r="28" spans="1:8" x14ac:dyDescent="0.25">
      <c r="A28" s="16" t="s">
        <v>123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74</v>
      </c>
      <c r="B32" s="6">
        <f>B16/B27</f>
        <v>223405255.1122449</v>
      </c>
      <c r="C32" s="6">
        <f t="shared" ref="C32:F32" si="0">C16/C27</f>
        <v>0</v>
      </c>
      <c r="D32" s="6">
        <f t="shared" si="0"/>
        <v>191734993.91836736</v>
      </c>
      <c r="E32" s="6">
        <f t="shared" si="0"/>
        <v>27384546.908163264</v>
      </c>
      <c r="F32" s="6">
        <f t="shared" si="0"/>
        <v>4285714.2857142854</v>
      </c>
      <c r="G32" s="6"/>
    </row>
    <row r="33" spans="1:7" x14ac:dyDescent="0.25">
      <c r="A33" s="16" t="s">
        <v>124</v>
      </c>
      <c r="B33" s="6">
        <f>B18/B28</f>
        <v>237586803.05050504</v>
      </c>
      <c r="C33" s="6">
        <f t="shared" ref="C33:F33" si="1">C18/C28</f>
        <v>0</v>
      </c>
      <c r="D33" s="6">
        <f t="shared" si="1"/>
        <v>224428919.87878788</v>
      </c>
      <c r="E33" s="6">
        <f t="shared" si="1"/>
        <v>13157883.171717174</v>
      </c>
      <c r="F33" s="6">
        <f t="shared" si="1"/>
        <v>0</v>
      </c>
      <c r="G33" s="6"/>
    </row>
    <row r="34" spans="1:7" x14ac:dyDescent="0.25">
      <c r="A34" s="16" t="s">
        <v>75</v>
      </c>
      <c r="B34" s="6">
        <f>B32/B10</f>
        <v>455000.51957687351</v>
      </c>
      <c r="C34" s="25">
        <f>C32/C10</f>
        <v>0</v>
      </c>
      <c r="D34" s="44">
        <f>D32/$C$10</f>
        <v>408865.05041234591</v>
      </c>
      <c r="E34" s="44">
        <f t="shared" ref="E34:F34" si="2">E32/$C$10</f>
        <v>58396.143152107412</v>
      </c>
      <c r="F34" s="44">
        <f t="shared" si="2"/>
        <v>9139.0661228358167</v>
      </c>
      <c r="G34" s="39"/>
    </row>
    <row r="35" spans="1:7" x14ac:dyDescent="0.25">
      <c r="A35" s="16" t="s">
        <v>125</v>
      </c>
      <c r="B35" s="6">
        <f>B33/B12</f>
        <v>511550.53288386256</v>
      </c>
      <c r="C35" s="25">
        <f>C33/C12</f>
        <v>0</v>
      </c>
      <c r="D35" s="44">
        <f>D33/$C$12</f>
        <v>483220.16241844284</v>
      </c>
      <c r="E35" s="44">
        <f t="shared" ref="E35:F35" si="3">E33/$C$12</f>
        <v>28330.370465419757</v>
      </c>
      <c r="F35" s="44">
        <f t="shared" si="3"/>
        <v>0</v>
      </c>
    </row>
    <row r="36" spans="1:7" x14ac:dyDescent="0.25">
      <c r="B36" s="6"/>
      <c r="C36" s="6"/>
      <c r="D36" s="6"/>
      <c r="E36" s="6"/>
      <c r="F36" s="6"/>
      <c r="G36" s="6"/>
    </row>
    <row r="37" spans="1:7" x14ac:dyDescent="0.25">
      <c r="A37" s="19" t="s">
        <v>13</v>
      </c>
      <c r="B37" s="6"/>
      <c r="C37" s="6"/>
      <c r="D37" s="6"/>
      <c r="E37" s="6"/>
      <c r="F37" s="6"/>
      <c r="G37" s="6"/>
    </row>
    <row r="38" spans="1:7" x14ac:dyDescent="0.25">
      <c r="B38" s="6"/>
      <c r="C38" s="6"/>
      <c r="D38" s="6"/>
      <c r="E38" s="6"/>
      <c r="F38" s="6"/>
      <c r="G38" s="6"/>
    </row>
    <row r="39" spans="1:7" x14ac:dyDescent="0.25">
      <c r="A39" s="16" t="s">
        <v>14</v>
      </c>
      <c r="B39" s="6"/>
      <c r="C39" s="6"/>
      <c r="D39" s="6"/>
      <c r="E39" s="6"/>
      <c r="F39" s="6"/>
      <c r="G39" s="6"/>
    </row>
    <row r="40" spans="1:7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7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7" x14ac:dyDescent="0.25">
      <c r="B42" s="6"/>
      <c r="C42" s="6"/>
      <c r="D42" s="6"/>
      <c r="E42" s="6"/>
      <c r="F42" s="6"/>
      <c r="G42" s="6"/>
    </row>
    <row r="43" spans="1:7" x14ac:dyDescent="0.25">
      <c r="A43" s="16" t="s">
        <v>17</v>
      </c>
      <c r="B43" s="6"/>
      <c r="C43" s="6"/>
      <c r="D43" s="6"/>
      <c r="E43" s="6"/>
      <c r="F43" s="6"/>
      <c r="G43" s="6"/>
    </row>
    <row r="44" spans="1:7" x14ac:dyDescent="0.25">
      <c r="A44" s="16" t="s">
        <v>18</v>
      </c>
      <c r="B44" s="6">
        <f>B12/B11*100</f>
        <v>95.761741122565851</v>
      </c>
      <c r="C44" s="6">
        <f t="shared" ref="C44" si="4">C12/C11*100</f>
        <v>95.761741122565851</v>
      </c>
      <c r="D44" s="6"/>
      <c r="E44" s="6"/>
      <c r="F44" s="6"/>
      <c r="G44" s="39"/>
    </row>
    <row r="45" spans="1:7" x14ac:dyDescent="0.25">
      <c r="A45" s="16" t="s">
        <v>19</v>
      </c>
      <c r="B45" s="6">
        <f>B18/B17*100</f>
        <v>46.624609799793291</v>
      </c>
      <c r="C45" s="6"/>
      <c r="D45" s="6">
        <f t="shared" ref="D45:F45" si="5">D18/D17*100</f>
        <v>97.61637479899828</v>
      </c>
      <c r="E45" s="6">
        <f t="shared" si="5"/>
        <v>38.997318306949289</v>
      </c>
      <c r="F45" s="6">
        <f t="shared" si="5"/>
        <v>0</v>
      </c>
      <c r="G45" s="6"/>
    </row>
    <row r="46" spans="1:7" x14ac:dyDescent="0.25">
      <c r="A46" s="16" t="s">
        <v>20</v>
      </c>
      <c r="B46" s="6">
        <f>AVERAGE(B44:B45)</f>
        <v>71.193175461179578</v>
      </c>
      <c r="C46" s="6">
        <f t="shared" ref="C46:F46" si="6">AVERAGE(C44:C45)</f>
        <v>95.761741122565851</v>
      </c>
      <c r="D46" s="6">
        <f t="shared" si="6"/>
        <v>97.61637479899828</v>
      </c>
      <c r="E46" s="6">
        <f t="shared" si="6"/>
        <v>38.997318306949289</v>
      </c>
      <c r="F46" s="6">
        <f t="shared" si="6"/>
        <v>0</v>
      </c>
      <c r="G46" s="6"/>
    </row>
    <row r="47" spans="1:7" x14ac:dyDescent="0.25">
      <c r="B47" s="6"/>
      <c r="C47" s="6"/>
      <c r="D47" s="6"/>
      <c r="E47" s="6"/>
      <c r="F47" s="6"/>
      <c r="G47" s="6"/>
    </row>
    <row r="48" spans="1:7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95.761741122565851</v>
      </c>
      <c r="C49" s="6">
        <f t="shared" ref="C49" si="7">(C12/C13)*100</f>
        <v>95.761741122565851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27.161244111410021</v>
      </c>
      <c r="C50" s="6"/>
      <c r="D50" s="6">
        <f t="shared" ref="D50:F50" si="8">D18/D19*100</f>
        <v>76.038545749486659</v>
      </c>
      <c r="E50" s="6">
        <f t="shared" si="8"/>
        <v>38.997318306949289</v>
      </c>
      <c r="F50" s="6">
        <f t="shared" si="8"/>
        <v>0</v>
      </c>
      <c r="G50" s="6"/>
    </row>
    <row r="51" spans="1:7" x14ac:dyDescent="0.25">
      <c r="A51" s="16" t="s">
        <v>24</v>
      </c>
      <c r="B51" s="6">
        <f>AVERAGE(B49:B50)</f>
        <v>61.46149261698794</v>
      </c>
      <c r="C51" s="6">
        <f t="shared" ref="C51:F51" si="9">AVERAGE(C49:C50)</f>
        <v>95.761741122565851</v>
      </c>
      <c r="D51" s="6">
        <f t="shared" si="9"/>
        <v>76.038545749486659</v>
      </c>
      <c r="E51" s="6">
        <f t="shared" si="9"/>
        <v>38.997318306949289</v>
      </c>
      <c r="F51" s="6">
        <f t="shared" si="9"/>
        <v>0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94.461862779087056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0</v>
      </c>
      <c r="F54" s="6" t="e">
        <f t="shared" si="10"/>
        <v>#DIV/0!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-5.4084634532699845</v>
      </c>
      <c r="C57" s="6">
        <f t="shared" ref="C57:F57" si="11">((C12/C10)-1)*100</f>
        <v>-0.95960194289778089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6"/>
    </row>
    <row r="58" spans="1:7" x14ac:dyDescent="0.25">
      <c r="A58" s="16" t="s">
        <v>28</v>
      </c>
      <c r="B58" s="6">
        <f>((B33/B32)-1)*100</f>
        <v>6.347902573345876</v>
      </c>
      <c r="C58" s="6" t="e">
        <f t="shared" ref="C58:F58" si="12">((C33/C32)-1)*100</f>
        <v>#DIV/0!</v>
      </c>
      <c r="D58" s="6">
        <f t="shared" si="12"/>
        <v>17.05162176829349</v>
      </c>
      <c r="E58" s="6">
        <f t="shared" si="12"/>
        <v>-51.951430068047458</v>
      </c>
      <c r="F58" s="6">
        <f t="shared" si="12"/>
        <v>-100</v>
      </c>
      <c r="G58" s="6"/>
    </row>
    <row r="59" spans="1:7" x14ac:dyDescent="0.25">
      <c r="A59" s="16" t="s">
        <v>29</v>
      </c>
      <c r="B59" s="6">
        <f>((B35/B34)-1)*100</f>
        <v>12.428560160673573</v>
      </c>
      <c r="C59" s="6" t="e">
        <f t="shared" ref="C59:F59" si="13">((C35/C34)-1)*100</f>
        <v>#DIV/0!</v>
      </c>
      <c r="D59" s="6">
        <f t="shared" si="13"/>
        <v>18.185734371550911</v>
      </c>
      <c r="E59" s="6">
        <f t="shared" si="13"/>
        <v>-51.485887703874212</v>
      </c>
      <c r="F59" s="6">
        <f t="shared" si="13"/>
        <v>-100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B17/($B$11*8)</f>
        <v>130020.12298969072</v>
      </c>
      <c r="C62" s="44">
        <f>B17/(C11*8)</f>
        <v>130020.12298969072</v>
      </c>
      <c r="D62" s="44">
        <f>D17/($C$11*8)</f>
        <v>58662.371134020621</v>
      </c>
      <c r="E62" s="44">
        <f t="shared" ref="E62:F62" si="14">E17/($C$11*8)</f>
        <v>8609.0405154639175</v>
      </c>
      <c r="F62" s="44">
        <f t="shared" si="14"/>
        <v>62748.711340206188</v>
      </c>
      <c r="G62" s="39"/>
    </row>
    <row r="63" spans="1:7" x14ac:dyDescent="0.25">
      <c r="A63" s="16" t="s">
        <v>38</v>
      </c>
      <c r="B63" s="44">
        <f>B18/($B$12*8)</f>
        <v>63304.378444377988</v>
      </c>
      <c r="C63" s="44">
        <f>B18/(C12*8)</f>
        <v>63304.378444377988</v>
      </c>
      <c r="D63" s="44">
        <f>D18/($C$12*8)</f>
        <v>59798.495099282307</v>
      </c>
      <c r="E63" s="44">
        <f t="shared" ref="E63:F63" si="15">E18/($C$12*8)</f>
        <v>3505.8833450956945</v>
      </c>
      <c r="F63" s="44">
        <f t="shared" si="15"/>
        <v>0</v>
      </c>
      <c r="G63" s="22"/>
    </row>
    <row r="64" spans="1:7" x14ac:dyDescent="0.25">
      <c r="A64" s="16" t="s">
        <v>31</v>
      </c>
      <c r="B64" s="42">
        <f>(B62/B63)*B46</f>
        <v>146.22283097878307</v>
      </c>
      <c r="C64" s="42">
        <f>(C62/C63)*C46</f>
        <v>196.68392083500024</v>
      </c>
      <c r="D64" s="42"/>
      <c r="E64" s="42"/>
      <c r="F64" s="42"/>
      <c r="G64" s="6"/>
    </row>
    <row r="65" spans="1:8" x14ac:dyDescent="0.25">
      <c r="A65" s="14" t="s">
        <v>43</v>
      </c>
      <c r="B65" s="44">
        <f>B17/($B$11)</f>
        <v>1040160.9839175257</v>
      </c>
      <c r="C65" s="44">
        <f>B17/C11</f>
        <v>1040160.9839175257</v>
      </c>
      <c r="D65" s="50">
        <f>D17/($C$11)</f>
        <v>469298.96907216497</v>
      </c>
      <c r="E65" s="50">
        <f t="shared" ref="E65:F65" si="16">E17/($C$11)</f>
        <v>68872.32412371134</v>
      </c>
      <c r="F65" s="50">
        <f t="shared" si="16"/>
        <v>501989.6907216495</v>
      </c>
      <c r="G65" s="6"/>
    </row>
    <row r="66" spans="1:8" x14ac:dyDescent="0.25">
      <c r="A66" s="14" t="s">
        <v>44</v>
      </c>
      <c r="B66" s="44">
        <f>B18/($B$12)</f>
        <v>506435.0275550239</v>
      </c>
      <c r="C66" s="44">
        <f>B18/C12</f>
        <v>506435.0275550239</v>
      </c>
      <c r="D66" s="50">
        <f>D18/($C$12)</f>
        <v>478387.96079425846</v>
      </c>
      <c r="E66" s="50">
        <f t="shared" ref="E66:F66" si="17">E18/($C$12)</f>
        <v>28047.066760765556</v>
      </c>
      <c r="F66" s="50">
        <f t="shared" si="17"/>
        <v>0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47.302611692161754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98.566671335653098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91</v>
      </c>
      <c r="B75" s="24"/>
      <c r="C75" s="24"/>
      <c r="D75" s="24"/>
      <c r="E75" s="24"/>
    </row>
    <row r="76" spans="1:8" x14ac:dyDescent="0.25">
      <c r="A76" s="34" t="s">
        <v>90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 t="s">
        <v>136</v>
      </c>
    </row>
    <row r="82" spans="1:1" x14ac:dyDescent="0.25">
      <c r="A82" t="s">
        <v>137</v>
      </c>
    </row>
    <row r="83" spans="1:1" x14ac:dyDescent="0.25">
      <c r="A83" t="s">
        <v>134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3"/>
  <sheetViews>
    <sheetView tabSelected="1" zoomScale="90" zoomScaleNormal="90" workbookViewId="0">
      <selection activeCell="H13" sqref="H13"/>
    </sheetView>
  </sheetViews>
  <sheetFormatPr baseColWidth="10" defaultColWidth="11.42578125" defaultRowHeight="15" x14ac:dyDescent="0.25"/>
  <cols>
    <col min="1" max="1" width="55.140625" style="16" customWidth="1"/>
    <col min="2" max="2" width="18" style="16" customWidth="1"/>
    <col min="3" max="3" width="13.85546875" style="16" customWidth="1"/>
    <col min="4" max="4" width="20.7109375" style="16" customWidth="1"/>
    <col min="5" max="5" width="16.42578125" style="16" customWidth="1"/>
    <col min="6" max="6" width="16.7109375" style="16" customWidth="1"/>
    <col min="7" max="7" width="13.7109375" style="16" bestFit="1" customWidth="1"/>
    <col min="8" max="8" width="11.42578125" style="16"/>
    <col min="9" max="9" width="13.85546875" style="16" bestFit="1" customWidth="1"/>
    <col min="10" max="16384" width="11.42578125" style="16"/>
  </cols>
  <sheetData>
    <row r="2" spans="1:8" ht="15.75" x14ac:dyDescent="0.25">
      <c r="A2" s="60" t="s">
        <v>127</v>
      </c>
      <c r="B2" s="60"/>
      <c r="C2" s="60"/>
      <c r="D2" s="60"/>
      <c r="E2" s="60"/>
      <c r="F2" s="60"/>
    </row>
    <row r="4" spans="1:8" ht="15" customHeight="1" x14ac:dyDescent="0.25">
      <c r="A4" s="61" t="s">
        <v>0</v>
      </c>
      <c r="B4" s="63" t="s">
        <v>1</v>
      </c>
      <c r="C4" s="58" t="s">
        <v>51</v>
      </c>
      <c r="D4" s="65" t="s">
        <v>2</v>
      </c>
      <c r="E4" s="65"/>
      <c r="F4" s="65"/>
    </row>
    <row r="5" spans="1:8" ht="15.75" thickBot="1" x14ac:dyDescent="0.3">
      <c r="A5" s="62"/>
      <c r="B5" s="64"/>
      <c r="C5" s="59"/>
      <c r="D5" s="17" t="s">
        <v>3</v>
      </c>
      <c r="E5" s="18" t="s">
        <v>4</v>
      </c>
      <c r="F5" s="18" t="s">
        <v>5</v>
      </c>
    </row>
    <row r="6" spans="1:8" ht="15.75" thickTop="1" x14ac:dyDescent="0.25"/>
    <row r="7" spans="1:8" x14ac:dyDescent="0.25">
      <c r="A7" s="19" t="s">
        <v>6</v>
      </c>
    </row>
    <row r="8" spans="1:8" x14ac:dyDescent="0.25">
      <c r="B8" s="6"/>
      <c r="C8" s="6"/>
      <c r="D8" s="6"/>
      <c r="E8" s="6"/>
      <c r="F8" s="6"/>
      <c r="G8" s="6"/>
    </row>
    <row r="9" spans="1:8" x14ac:dyDescent="0.25">
      <c r="A9" s="16" t="s">
        <v>7</v>
      </c>
      <c r="B9" s="6"/>
      <c r="C9" s="6"/>
      <c r="D9" s="6"/>
      <c r="E9" s="6"/>
      <c r="F9" s="6"/>
      <c r="G9" s="6"/>
      <c r="H9" s="16" t="s">
        <v>80</v>
      </c>
    </row>
    <row r="10" spans="1:8" x14ac:dyDescent="0.25">
      <c r="A10" s="20" t="s">
        <v>76</v>
      </c>
      <c r="B10" s="13">
        <f>'I Trimestre'!B10</f>
        <v>491</v>
      </c>
      <c r="C10" s="13">
        <f>(+'I Trimestre'!C10+'II Trimestre'!C10+'III Trimestre'!C10+'IV Trimestre'!C10)/4</f>
        <v>462.95833333333337</v>
      </c>
      <c r="D10" s="6"/>
      <c r="E10" s="6"/>
      <c r="F10" s="6"/>
      <c r="G10" s="6"/>
    </row>
    <row r="11" spans="1:8" x14ac:dyDescent="0.25">
      <c r="A11" s="20" t="s">
        <v>128</v>
      </c>
      <c r="B11" s="13">
        <f>'I Trimestre'!B11</f>
        <v>485</v>
      </c>
      <c r="C11" s="13">
        <f>(+'I Trimestre'!C11+'II Trimestre'!C11+'III Trimestre'!C11+'IV Trimestre'!C11)/4</f>
        <v>485</v>
      </c>
      <c r="D11" s="6"/>
      <c r="E11" s="6"/>
      <c r="F11" s="6"/>
      <c r="G11" s="6"/>
    </row>
    <row r="12" spans="1:8" x14ac:dyDescent="0.25">
      <c r="A12" s="20" t="s">
        <v>129</v>
      </c>
      <c r="B12" s="47">
        <f>(+'I Trimestre'!B12+'II Trimestre'!B12+'III Trimestre'!B12+'IV Trimestre'!B12)/4</f>
        <v>458.08333333333331</v>
      </c>
      <c r="C12" s="47">
        <f>(+'I Trimestre'!C12+'II Trimestre'!C12+'III Trimestre'!C12+'IV Trimestre'!C12)/4</f>
        <v>458.08333333333331</v>
      </c>
      <c r="D12" s="6"/>
      <c r="G12" s="22"/>
    </row>
    <row r="13" spans="1:8" x14ac:dyDescent="0.25">
      <c r="A13" s="20" t="s">
        <v>84</v>
      </c>
      <c r="B13" s="13">
        <f>'I Trimestre'!B13</f>
        <v>485</v>
      </c>
      <c r="C13" s="13">
        <f>+'IV Trimestre'!C13</f>
        <v>485</v>
      </c>
      <c r="D13" s="6"/>
      <c r="E13" s="6"/>
      <c r="F13" s="6"/>
      <c r="G13" s="6"/>
    </row>
    <row r="14" spans="1:8" x14ac:dyDescent="0.25">
      <c r="B14" s="6"/>
      <c r="C14" s="6"/>
      <c r="D14" s="6"/>
      <c r="E14" s="6"/>
      <c r="F14" s="6"/>
      <c r="G14" s="6"/>
    </row>
    <row r="15" spans="1:8" x14ac:dyDescent="0.25">
      <c r="A15" s="21" t="s">
        <v>8</v>
      </c>
      <c r="B15" s="6"/>
      <c r="C15" s="6"/>
      <c r="D15" s="6"/>
      <c r="E15" s="6"/>
      <c r="F15" s="6"/>
      <c r="G15" s="6"/>
    </row>
    <row r="16" spans="1:8" x14ac:dyDescent="0.25">
      <c r="A16" s="20" t="s">
        <v>76</v>
      </c>
      <c r="B16" s="47">
        <f>'I Trimestre'!B16+'II Trimestre'!B16+'III Trimestre'!B16+'IV Trimestre'!B16</f>
        <v>350462254.69999999</v>
      </c>
      <c r="C16" s="47"/>
      <c r="D16" s="47">
        <f>'I Trimestre'!D16+'II Trimestre'!D16+'III Trimestre'!D16+'IV Trimestre'!D16</f>
        <v>276414774.22000003</v>
      </c>
      <c r="E16" s="47">
        <f>'I Trimestre'!E16+'II Trimestre'!E16+'III Trimestre'!E16+'IV Trimestre'!E16</f>
        <v>59047480.480000004</v>
      </c>
      <c r="F16" s="47">
        <f>'I Trimestre'!F16+'II Trimestre'!F16+'III Trimestre'!F16+'IV Trimestre'!F16</f>
        <v>15000000</v>
      </c>
      <c r="G16" s="39"/>
    </row>
    <row r="17" spans="1:8" x14ac:dyDescent="0.25">
      <c r="A17" s="20" t="s">
        <v>128</v>
      </c>
      <c r="B17" s="13">
        <f>SUM(D17:F17)</f>
        <v>1033285759.2</v>
      </c>
      <c r="C17" s="13"/>
      <c r="D17" s="13">
        <f>'I Trimestre'!D17+'II Trimestre'!D17+'III Trimestre'!D17+'IV Trimestre'!D17</f>
        <v>292200000</v>
      </c>
      <c r="E17" s="13">
        <f>'I Trimestre'!E17+'II Trimestre'!E17+'III Trimestre'!E17+'IV Trimestre'!E17</f>
        <v>200708861.19999999</v>
      </c>
      <c r="F17" s="13">
        <f>'IV Trimestre'!F19</f>
        <v>540376898</v>
      </c>
      <c r="G17" s="6"/>
    </row>
    <row r="18" spans="1:8" x14ac:dyDescent="0.25">
      <c r="A18" s="20" t="s">
        <v>129</v>
      </c>
      <c r="B18" s="13">
        <f>SUM(D18:F18)</f>
        <v>721722215.98000002</v>
      </c>
      <c r="C18" s="13"/>
      <c r="D18" s="13">
        <f>'I Trimestre'!D18+'II Trimestre'!D18+'III Trimestre'!D18+'IV Trimestre'!D18</f>
        <v>289177657.31</v>
      </c>
      <c r="E18" s="13">
        <f>'I Trimestre'!E18+'II Trimestre'!E18+'III Trimestre'!E18+'IV Trimestre'!E18</f>
        <v>200143047.74000001</v>
      </c>
      <c r="F18" s="13">
        <f>'I Trimestre'!F18+'II Trimestre'!F18+'III Trimestre'!F18+'IV Trimestre'!F18</f>
        <v>232401510.93000001</v>
      </c>
      <c r="G18" s="6"/>
    </row>
    <row r="19" spans="1:8" x14ac:dyDescent="0.25">
      <c r="A19" s="20" t="s">
        <v>84</v>
      </c>
      <c r="B19" s="13">
        <f>SUM(D19:F19)</f>
        <v>1033285759.2</v>
      </c>
      <c r="C19" s="13"/>
      <c r="D19" s="13">
        <f>+'IV Trimestre'!D19</f>
        <v>292200000</v>
      </c>
      <c r="E19" s="13">
        <f>+'IV Trimestre'!E19</f>
        <v>200708861.19999999</v>
      </c>
      <c r="F19" s="13">
        <f>+'IV Trimestre'!F19</f>
        <v>540376898</v>
      </c>
      <c r="G19" s="6"/>
    </row>
    <row r="20" spans="1:8" x14ac:dyDescent="0.25">
      <c r="A20" s="20" t="s">
        <v>130</v>
      </c>
      <c r="B20" s="13">
        <f>D20</f>
        <v>289177657.31</v>
      </c>
      <c r="C20" s="13"/>
      <c r="D20" s="13">
        <f>D18</f>
        <v>289177657.31</v>
      </c>
      <c r="E20" s="6"/>
      <c r="F20" s="6"/>
      <c r="G20" s="6"/>
    </row>
    <row r="21" spans="1:8" x14ac:dyDescent="0.25">
      <c r="B21" s="6"/>
      <c r="C21" s="6"/>
      <c r="D21" s="6"/>
      <c r="E21" s="6"/>
      <c r="F21" s="6"/>
      <c r="G21" s="6"/>
    </row>
    <row r="22" spans="1:8" x14ac:dyDescent="0.25">
      <c r="A22" s="21" t="s">
        <v>9</v>
      </c>
      <c r="B22" s="6"/>
      <c r="C22" s="6"/>
      <c r="D22" s="6"/>
      <c r="E22" s="6"/>
      <c r="F22" s="6"/>
      <c r="G22" s="6"/>
    </row>
    <row r="23" spans="1:8" x14ac:dyDescent="0.25">
      <c r="A23" s="20" t="s">
        <v>128</v>
      </c>
      <c r="B23" s="6">
        <f>B17</f>
        <v>1033285759.2</v>
      </c>
      <c r="C23" s="6"/>
      <c r="D23" s="43"/>
      <c r="E23" s="6"/>
      <c r="F23" s="6"/>
      <c r="G23" s="38"/>
      <c r="H23" s="22"/>
    </row>
    <row r="24" spans="1:8" x14ac:dyDescent="0.25">
      <c r="A24" s="20" t="s">
        <v>129</v>
      </c>
      <c r="B24" s="6">
        <f>'I Trimestre'!B24+'II Trimestre'!B24+'III Trimestre'!B24+'IV Trimestre'!B24</f>
        <v>715527378.52999997</v>
      </c>
      <c r="C24" s="6"/>
      <c r="D24" s="42"/>
      <c r="E24" s="6"/>
      <c r="F24" s="6"/>
      <c r="G24" s="6"/>
      <c r="H24" s="22"/>
    </row>
    <row r="25" spans="1:8" x14ac:dyDescent="0.25">
      <c r="B25" s="6"/>
      <c r="C25" s="6"/>
      <c r="D25" s="6"/>
      <c r="E25" s="6"/>
      <c r="F25" s="6"/>
      <c r="G25" s="6"/>
    </row>
    <row r="26" spans="1:8" x14ac:dyDescent="0.25">
      <c r="A26" s="16" t="s">
        <v>10</v>
      </c>
      <c r="B26" s="6"/>
      <c r="C26" s="6"/>
      <c r="D26" s="6"/>
      <c r="E26" s="6"/>
      <c r="F26" s="6"/>
      <c r="G26" s="6"/>
    </row>
    <row r="27" spans="1:8" x14ac:dyDescent="0.25">
      <c r="A27" s="16" t="s">
        <v>77</v>
      </c>
      <c r="B27" s="6">
        <v>0.98</v>
      </c>
      <c r="C27" s="6">
        <v>0.98</v>
      </c>
      <c r="D27" s="6">
        <v>0.98</v>
      </c>
      <c r="E27" s="6">
        <v>0.98</v>
      </c>
      <c r="F27" s="6">
        <v>0.98</v>
      </c>
      <c r="G27" s="6"/>
    </row>
    <row r="28" spans="1:8" x14ac:dyDescent="0.25">
      <c r="A28" s="16" t="s">
        <v>131</v>
      </c>
      <c r="B28" s="6">
        <v>0.99</v>
      </c>
      <c r="C28" s="6">
        <v>0.99</v>
      </c>
      <c r="D28" s="6">
        <v>0.99</v>
      </c>
      <c r="E28" s="6">
        <v>0.99</v>
      </c>
      <c r="F28" s="6">
        <v>0.99</v>
      </c>
      <c r="G28" s="6"/>
    </row>
    <row r="29" spans="1:8" x14ac:dyDescent="0.25">
      <c r="A29" s="16" t="s">
        <v>11</v>
      </c>
      <c r="B29" s="28" t="s">
        <v>48</v>
      </c>
      <c r="C29" s="28" t="s">
        <v>48</v>
      </c>
      <c r="D29" s="28" t="s">
        <v>48</v>
      </c>
      <c r="E29" s="28" t="s">
        <v>48</v>
      </c>
      <c r="F29" s="28" t="s">
        <v>48</v>
      </c>
      <c r="G29" s="6"/>
    </row>
    <row r="30" spans="1:8" x14ac:dyDescent="0.25">
      <c r="B30" s="6"/>
      <c r="C30" s="6"/>
      <c r="D30" s="6"/>
      <c r="E30" s="6"/>
      <c r="F30" s="6"/>
      <c r="G30" s="6"/>
    </row>
    <row r="31" spans="1:8" x14ac:dyDescent="0.25">
      <c r="A31" s="16" t="s">
        <v>12</v>
      </c>
      <c r="B31" s="6"/>
      <c r="C31" s="6"/>
      <c r="D31" s="6"/>
      <c r="E31" s="6"/>
      <c r="F31" s="6"/>
      <c r="G31" s="6"/>
    </row>
    <row r="32" spans="1:8" x14ac:dyDescent="0.25">
      <c r="A32" s="16" t="s">
        <v>78</v>
      </c>
      <c r="B32" s="6">
        <f>B16/B27</f>
        <v>357614545.6122449</v>
      </c>
      <c r="C32" s="6">
        <f t="shared" ref="C32:F32" si="0">C16/C27</f>
        <v>0</v>
      </c>
      <c r="D32" s="6">
        <f t="shared" si="0"/>
        <v>282055892.06122452</v>
      </c>
      <c r="E32" s="6">
        <f t="shared" si="0"/>
        <v>60252531.10204082</v>
      </c>
      <c r="F32" s="6">
        <f t="shared" si="0"/>
        <v>15306122.448979592</v>
      </c>
      <c r="G32" s="6"/>
    </row>
    <row r="33" spans="1:9" x14ac:dyDescent="0.25">
      <c r="A33" s="16" t="s">
        <v>132</v>
      </c>
      <c r="B33" s="6">
        <f>B18/B28</f>
        <v>729012339.37373745</v>
      </c>
      <c r="C33" s="6">
        <f t="shared" ref="C33:F33" si="1">C18/C28</f>
        <v>0</v>
      </c>
      <c r="D33" s="6">
        <f t="shared" si="1"/>
        <v>292098643.74747473</v>
      </c>
      <c r="E33" s="6">
        <f t="shared" si="1"/>
        <v>202164694.6868687</v>
      </c>
      <c r="F33" s="6">
        <f t="shared" si="1"/>
        <v>234749000.93939394</v>
      </c>
      <c r="G33" s="6"/>
    </row>
    <row r="34" spans="1:9" x14ac:dyDescent="0.25">
      <c r="A34" s="16" t="s">
        <v>79</v>
      </c>
      <c r="B34" s="6">
        <f>B32/B10</f>
        <v>728339.1967662829</v>
      </c>
      <c r="C34" s="25">
        <f>C32/C10</f>
        <v>0</v>
      </c>
      <c r="D34" s="44">
        <f>D32/$C$10</f>
        <v>609246.81932043808</v>
      </c>
      <c r="E34" s="44">
        <f t="shared" ref="E34:F34" si="2">E32/$C$10</f>
        <v>130146.76864809464</v>
      </c>
      <c r="F34" s="44">
        <f t="shared" si="2"/>
        <v>33061.555105346968</v>
      </c>
      <c r="G34" s="39"/>
      <c r="I34" s="46"/>
    </row>
    <row r="35" spans="1:9" x14ac:dyDescent="0.25">
      <c r="A35" s="16" t="s">
        <v>133</v>
      </c>
      <c r="B35" s="6">
        <f>B33/B12</f>
        <v>1591440.4352346461</v>
      </c>
      <c r="C35" s="25">
        <f>C33/C12</f>
        <v>0</v>
      </c>
      <c r="D35" s="44">
        <f>D33/$C$12</f>
        <v>637653.94305433822</v>
      </c>
      <c r="E35" s="44">
        <f t="shared" ref="E35:F35" si="3">E33/$C$12</f>
        <v>441327.3305880343</v>
      </c>
      <c r="F35" s="44">
        <f t="shared" si="3"/>
        <v>512459.16159227351</v>
      </c>
    </row>
    <row r="36" spans="1:9" x14ac:dyDescent="0.25">
      <c r="B36" s="6"/>
      <c r="C36" s="6"/>
      <c r="D36" s="6"/>
      <c r="E36" s="6"/>
      <c r="F36" s="6"/>
      <c r="G36" s="6"/>
    </row>
    <row r="37" spans="1:9" x14ac:dyDescent="0.25">
      <c r="A37" s="19" t="s">
        <v>13</v>
      </c>
      <c r="B37" s="6"/>
      <c r="C37" s="6"/>
      <c r="D37" s="6"/>
      <c r="E37" s="6"/>
      <c r="F37" s="6"/>
      <c r="G37" s="6"/>
    </row>
    <row r="38" spans="1:9" x14ac:dyDescent="0.25">
      <c r="B38" s="6"/>
      <c r="C38" s="6"/>
      <c r="D38" s="6"/>
      <c r="E38" s="6"/>
      <c r="F38" s="6"/>
      <c r="G38" s="6"/>
    </row>
    <row r="39" spans="1:9" x14ac:dyDescent="0.25">
      <c r="A39" s="16" t="s">
        <v>14</v>
      </c>
      <c r="B39" s="6"/>
      <c r="C39" s="6"/>
      <c r="D39" s="6"/>
      <c r="E39" s="6"/>
      <c r="F39" s="6"/>
      <c r="G39" s="6"/>
    </row>
    <row r="40" spans="1:9" x14ac:dyDescent="0.25">
      <c r="A40" s="16" t="s">
        <v>15</v>
      </c>
      <c r="B40" s="6" t="s">
        <v>47</v>
      </c>
      <c r="C40" s="6" t="s">
        <v>47</v>
      </c>
      <c r="D40" s="6" t="s">
        <v>47</v>
      </c>
      <c r="E40" s="6" t="s">
        <v>47</v>
      </c>
      <c r="F40" s="6" t="s">
        <v>47</v>
      </c>
      <c r="G40" s="6"/>
    </row>
    <row r="41" spans="1:9" x14ac:dyDescent="0.25">
      <c r="A41" s="16" t="s">
        <v>16</v>
      </c>
      <c r="B41" s="6" t="s">
        <v>47</v>
      </c>
      <c r="C41" s="6" t="s">
        <v>47</v>
      </c>
      <c r="D41" s="6" t="s">
        <v>47</v>
      </c>
      <c r="E41" s="6" t="s">
        <v>47</v>
      </c>
      <c r="F41" s="6" t="s">
        <v>47</v>
      </c>
      <c r="G41" s="6"/>
    </row>
    <row r="42" spans="1:9" x14ac:dyDescent="0.25">
      <c r="B42" s="6"/>
      <c r="C42" s="6"/>
      <c r="D42" s="6"/>
      <c r="E42" s="6"/>
      <c r="F42" s="6"/>
      <c r="G42" s="6"/>
    </row>
    <row r="43" spans="1:9" x14ac:dyDescent="0.25">
      <c r="A43" s="16" t="s">
        <v>17</v>
      </c>
      <c r="B43" s="6"/>
      <c r="C43" s="6"/>
      <c r="D43" s="6"/>
      <c r="E43" s="6"/>
      <c r="F43" s="6"/>
      <c r="G43" s="6"/>
    </row>
    <row r="44" spans="1:9" x14ac:dyDescent="0.25">
      <c r="A44" s="16" t="s">
        <v>18</v>
      </c>
      <c r="B44" s="6">
        <f>B12/B11*100</f>
        <v>94.450171821305844</v>
      </c>
      <c r="C44" s="6">
        <f t="shared" ref="C44" si="4">C12/C11*100</f>
        <v>94.450171821305844</v>
      </c>
      <c r="D44" s="6"/>
      <c r="E44" s="6"/>
      <c r="F44" s="6"/>
      <c r="G44" s="39"/>
    </row>
    <row r="45" spans="1:9" x14ac:dyDescent="0.25">
      <c r="A45" s="16" t="s">
        <v>19</v>
      </c>
      <c r="B45" s="6">
        <f>B18/B17*100</f>
        <v>69.847301151114124</v>
      </c>
      <c r="C45" s="6"/>
      <c r="D45" s="6">
        <f t="shared" ref="D45:F45" si="5">D18/D17*100</f>
        <v>98.96565958590007</v>
      </c>
      <c r="E45" s="6">
        <f t="shared" si="5"/>
        <v>99.718092436668172</v>
      </c>
      <c r="F45" s="6">
        <f t="shared" si="5"/>
        <v>43.007299495989926</v>
      </c>
      <c r="G45" s="6"/>
    </row>
    <row r="46" spans="1:9" x14ac:dyDescent="0.25">
      <c r="A46" s="16" t="s">
        <v>20</v>
      </c>
      <c r="B46" s="6">
        <f>AVERAGE(B44:B45)</f>
        <v>82.148736486209984</v>
      </c>
      <c r="C46" s="6">
        <f t="shared" ref="C46:F46" si="6">AVERAGE(C44:C45)</f>
        <v>94.450171821305844</v>
      </c>
      <c r="D46" s="6">
        <f t="shared" si="6"/>
        <v>98.96565958590007</v>
      </c>
      <c r="E46" s="6">
        <f t="shared" si="6"/>
        <v>99.718092436668172</v>
      </c>
      <c r="F46" s="6">
        <f t="shared" si="6"/>
        <v>43.007299495989926</v>
      </c>
      <c r="G46" s="6"/>
    </row>
    <row r="47" spans="1:9" x14ac:dyDescent="0.25">
      <c r="B47" s="6"/>
      <c r="C47" s="6"/>
      <c r="D47" s="6"/>
      <c r="E47" s="6"/>
      <c r="F47" s="6"/>
      <c r="G47" s="6"/>
    </row>
    <row r="48" spans="1:9" x14ac:dyDescent="0.25">
      <c r="A48" s="16" t="s">
        <v>21</v>
      </c>
      <c r="B48" s="6"/>
      <c r="C48" s="6"/>
      <c r="D48" s="6"/>
      <c r="E48" s="6"/>
      <c r="F48" s="6"/>
      <c r="G48" s="6"/>
    </row>
    <row r="49" spans="1:7" x14ac:dyDescent="0.25">
      <c r="A49" s="16" t="s">
        <v>22</v>
      </c>
      <c r="B49" s="6">
        <f>(B12/B13)*100</f>
        <v>94.450171821305844</v>
      </c>
      <c r="C49" s="6">
        <f t="shared" ref="C49" si="7">(C12/C13)*100</f>
        <v>94.450171821305844</v>
      </c>
      <c r="D49" s="6"/>
      <c r="E49" s="6"/>
      <c r="F49" s="6"/>
      <c r="G49" s="6"/>
    </row>
    <row r="50" spans="1:7" x14ac:dyDescent="0.25">
      <c r="A50" s="16" t="s">
        <v>23</v>
      </c>
      <c r="B50" s="6">
        <f>B18/B19*100</f>
        <v>69.847301151114124</v>
      </c>
      <c r="C50" s="6"/>
      <c r="D50" s="6">
        <f t="shared" ref="D50:F50" si="8">D18/D19*100</f>
        <v>98.96565958590007</v>
      </c>
      <c r="E50" s="6">
        <f t="shared" si="8"/>
        <v>99.718092436668172</v>
      </c>
      <c r="F50" s="6">
        <f t="shared" si="8"/>
        <v>43.007299495989926</v>
      </c>
      <c r="G50" s="6"/>
    </row>
    <row r="51" spans="1:7" x14ac:dyDescent="0.25">
      <c r="A51" s="16" t="s">
        <v>24</v>
      </c>
      <c r="B51" s="6">
        <f>AVERAGE(B49:B50)</f>
        <v>82.148736486209984</v>
      </c>
      <c r="C51" s="6">
        <f t="shared" ref="C51:F51" si="9">AVERAGE(C49:C50)</f>
        <v>94.450171821305844</v>
      </c>
      <c r="D51" s="6">
        <f t="shared" si="9"/>
        <v>98.96565958590007</v>
      </c>
      <c r="E51" s="6">
        <f t="shared" si="9"/>
        <v>99.718092436668172</v>
      </c>
      <c r="F51" s="6">
        <f t="shared" si="9"/>
        <v>43.007299495989926</v>
      </c>
      <c r="G51" s="6"/>
    </row>
    <row r="52" spans="1:7" x14ac:dyDescent="0.25">
      <c r="B52" s="6"/>
      <c r="C52" s="6"/>
      <c r="D52" s="6"/>
      <c r="E52" s="6"/>
      <c r="F52" s="6"/>
      <c r="G52" s="6"/>
    </row>
    <row r="53" spans="1:7" x14ac:dyDescent="0.25">
      <c r="A53" s="16" t="s">
        <v>36</v>
      </c>
      <c r="B53" s="6"/>
      <c r="C53" s="6"/>
      <c r="D53" s="6"/>
      <c r="E53" s="6"/>
      <c r="F53" s="6"/>
      <c r="G53" s="6"/>
    </row>
    <row r="54" spans="1:7" x14ac:dyDescent="0.25">
      <c r="A54" s="16" t="s">
        <v>25</v>
      </c>
      <c r="B54" s="6">
        <f>B20/B18*100</f>
        <v>40.067722858903039</v>
      </c>
      <c r="C54" s="6" t="e">
        <f t="shared" ref="C54:F54" si="10">C20/C18*100</f>
        <v>#DIV/0!</v>
      </c>
      <c r="D54" s="6">
        <f t="shared" si="10"/>
        <v>100</v>
      </c>
      <c r="E54" s="6">
        <f t="shared" si="10"/>
        <v>0</v>
      </c>
      <c r="F54" s="6">
        <f t="shared" si="10"/>
        <v>0</v>
      </c>
      <c r="G54" s="6"/>
    </row>
    <row r="55" spans="1:7" x14ac:dyDescent="0.25">
      <c r="B55" s="6"/>
      <c r="C55" s="6"/>
      <c r="D55" s="6"/>
      <c r="E55" s="6"/>
      <c r="F55" s="6"/>
      <c r="G55" s="6"/>
    </row>
    <row r="56" spans="1:7" x14ac:dyDescent="0.25">
      <c r="A56" s="16" t="s">
        <v>26</v>
      </c>
      <c r="B56" s="6"/>
      <c r="C56" s="6"/>
      <c r="D56" s="6"/>
      <c r="E56" s="6"/>
      <c r="F56" s="6"/>
      <c r="G56" s="6"/>
    </row>
    <row r="57" spans="1:7" x14ac:dyDescent="0.25">
      <c r="A57" s="16" t="s">
        <v>27</v>
      </c>
      <c r="B57" s="6">
        <f>((B12/B10)-1)*100</f>
        <v>-6.7040054310930071</v>
      </c>
      <c r="C57" s="6">
        <f t="shared" ref="C57:F57" si="11">((C12/C10)-1)*100</f>
        <v>-1.0530105301053139</v>
      </c>
      <c r="D57" s="6" t="e">
        <f t="shared" si="11"/>
        <v>#DIV/0!</v>
      </c>
      <c r="E57" s="6" t="e">
        <f t="shared" si="11"/>
        <v>#DIV/0!</v>
      </c>
      <c r="F57" s="6" t="e">
        <f t="shared" si="11"/>
        <v>#DIV/0!</v>
      </c>
      <c r="G57" s="6"/>
    </row>
    <row r="58" spans="1:7" x14ac:dyDescent="0.25">
      <c r="A58" s="16" t="s">
        <v>28</v>
      </c>
      <c r="B58" s="6">
        <f>((B33/B32)-1)*100</f>
        <v>103.85421910779672</v>
      </c>
      <c r="C58" s="6" t="e">
        <f t="shared" ref="C58:F58" si="12">((C33/C32)-1)*100</f>
        <v>#DIV/0!</v>
      </c>
      <c r="D58" s="6">
        <f t="shared" si="12"/>
        <v>3.5605537657303232</v>
      </c>
      <c r="E58" s="6">
        <f t="shared" si="12"/>
        <v>235.528966151633</v>
      </c>
      <c r="F58" s="6">
        <f t="shared" si="12"/>
        <v>1433.6934728040405</v>
      </c>
      <c r="G58" s="6"/>
    </row>
    <row r="59" spans="1:7" x14ac:dyDescent="0.25">
      <c r="A59" s="16" t="s">
        <v>29</v>
      </c>
      <c r="B59" s="6">
        <f>((B35/B34)-1)*100</f>
        <v>118.50264853249746</v>
      </c>
      <c r="C59" s="6" t="e">
        <f t="shared" ref="C59:F59" si="13">((C35/C34)-1)*100</f>
        <v>#DIV/0!</v>
      </c>
      <c r="D59" s="6">
        <f t="shared" si="13"/>
        <v>4.6626626242523228</v>
      </c>
      <c r="E59" s="6">
        <f t="shared" si="13"/>
        <v>239.0997219311256</v>
      </c>
      <c r="F59" s="6">
        <f t="shared" si="13"/>
        <v>1450.0152971007547</v>
      </c>
      <c r="G59" s="6"/>
    </row>
    <row r="60" spans="1:7" x14ac:dyDescent="0.25">
      <c r="B60" s="6"/>
      <c r="C60" s="6"/>
      <c r="D60" s="6"/>
      <c r="E60" s="6"/>
      <c r="F60" s="6"/>
      <c r="G60" s="6"/>
    </row>
    <row r="61" spans="1:7" x14ac:dyDescent="0.25">
      <c r="A61" s="16" t="s">
        <v>30</v>
      </c>
      <c r="B61" s="6"/>
      <c r="C61" s="6"/>
      <c r="D61" s="6"/>
      <c r="E61" s="6"/>
      <c r="F61" s="6"/>
      <c r="G61" s="6"/>
    </row>
    <row r="62" spans="1:7" x14ac:dyDescent="0.25">
      <c r="A62" s="16" t="s">
        <v>37</v>
      </c>
      <c r="B62" s="44">
        <f>B17/($B$11*11)</f>
        <v>193680.55467666354</v>
      </c>
      <c r="C62" s="44">
        <f>B17/(C11*11)</f>
        <v>193680.55467666354</v>
      </c>
      <c r="D62" s="44">
        <f>D17/($C$11*11)</f>
        <v>54770.38425492034</v>
      </c>
      <c r="E62" s="44">
        <f t="shared" ref="E62:F62" si="14">E17/($C$11*11)</f>
        <v>37621.154864104967</v>
      </c>
      <c r="F62" s="44">
        <f t="shared" si="14"/>
        <v>101289.01555763824</v>
      </c>
      <c r="G62" s="45"/>
    </row>
    <row r="63" spans="1:7" x14ac:dyDescent="0.25">
      <c r="A63" s="16" t="s">
        <v>38</v>
      </c>
      <c r="B63" s="44">
        <f>B18/($B$12*11)</f>
        <v>143229.63917111815</v>
      </c>
      <c r="C63" s="44">
        <f>B18/(C12*11)</f>
        <v>143229.63917111815</v>
      </c>
      <c r="D63" s="44">
        <f>D18/($C$12*11)</f>
        <v>57388.854874890443</v>
      </c>
      <c r="E63" s="44">
        <f t="shared" ref="E63:F63" si="15">E18/($C$12*11)</f>
        <v>39719.459752923089</v>
      </c>
      <c r="F63" s="44">
        <f t="shared" si="15"/>
        <v>46121.324543304618</v>
      </c>
      <c r="G63" s="22"/>
    </row>
    <row r="64" spans="1:7" x14ac:dyDescent="0.25">
      <c r="A64" s="16" t="s">
        <v>31</v>
      </c>
      <c r="B64" s="42">
        <f>(B62/B63)*B46</f>
        <v>111.08463960889841</v>
      </c>
      <c r="C64" s="42">
        <f>(C62/C63)*C46</f>
        <v>127.719107396491</v>
      </c>
      <c r="D64" s="42"/>
      <c r="E64" s="42"/>
      <c r="F64" s="42"/>
      <c r="G64" s="6"/>
    </row>
    <row r="65" spans="1:8" x14ac:dyDescent="0.25">
      <c r="A65" s="14" t="s">
        <v>43</v>
      </c>
      <c r="B65" s="47">
        <f>B17/($B$11)</f>
        <v>2130486.1014432991</v>
      </c>
      <c r="C65" s="47">
        <f>B17/C11</f>
        <v>2130486.1014432991</v>
      </c>
      <c r="D65" s="47">
        <f>D17/($C$11)</f>
        <v>602474.22680412373</v>
      </c>
      <c r="E65" s="47">
        <f t="shared" ref="E65:F65" si="16">E17/($C$11)</f>
        <v>413832.70350515464</v>
      </c>
      <c r="F65" s="47">
        <f t="shared" si="16"/>
        <v>1114179.1711340207</v>
      </c>
      <c r="G65" s="6"/>
    </row>
    <row r="66" spans="1:8" x14ac:dyDescent="0.25">
      <c r="A66" s="14" t="s">
        <v>44</v>
      </c>
      <c r="B66" s="47">
        <f>B18/($B$12)</f>
        <v>1575526.0308822996</v>
      </c>
      <c r="C66" s="47">
        <f>B18/C12</f>
        <v>1575526.0308822996</v>
      </c>
      <c r="D66" s="47">
        <f>D18/($C$12)</f>
        <v>631277.40362379479</v>
      </c>
      <c r="E66" s="47">
        <f t="shared" ref="E66:F66" si="17">E18/($C$12)</f>
        <v>436914.05728215392</v>
      </c>
      <c r="F66" s="47">
        <f t="shared" si="17"/>
        <v>507334.56997635076</v>
      </c>
      <c r="G66" s="6"/>
    </row>
    <row r="67" spans="1:8" x14ac:dyDescent="0.25">
      <c r="B67" s="6"/>
      <c r="C67" s="6"/>
      <c r="D67" s="6"/>
      <c r="E67" s="6"/>
      <c r="F67" s="6"/>
      <c r="G67" s="6"/>
    </row>
    <row r="68" spans="1:8" x14ac:dyDescent="0.25">
      <c r="A68" s="16" t="s">
        <v>32</v>
      </c>
      <c r="B68" s="6"/>
      <c r="C68" s="6"/>
      <c r="D68" s="6"/>
      <c r="E68" s="6"/>
      <c r="F68" s="6"/>
      <c r="G68" s="6"/>
    </row>
    <row r="69" spans="1:8" x14ac:dyDescent="0.25">
      <c r="A69" s="16" t="s">
        <v>33</v>
      </c>
      <c r="B69" s="42">
        <f>((B24+D24)/B23)*100</f>
        <v>69.247773150767316</v>
      </c>
      <c r="C69" s="6"/>
      <c r="D69" s="6"/>
      <c r="E69" s="6"/>
      <c r="F69" s="6"/>
      <c r="G69" s="39"/>
      <c r="H69" s="22"/>
    </row>
    <row r="70" spans="1:8" x14ac:dyDescent="0.25">
      <c r="A70" s="16" t="s">
        <v>34</v>
      </c>
      <c r="B70" s="42">
        <f>(B18/(B24+D24))*100</f>
        <v>100.86577224518325</v>
      </c>
      <c r="C70" s="6"/>
      <c r="D70" s="6"/>
      <c r="E70" s="6"/>
      <c r="F70" s="6"/>
      <c r="G70" s="6"/>
      <c r="H70" s="22"/>
    </row>
    <row r="71" spans="1:8" ht="15.75" thickBot="1" x14ac:dyDescent="0.3">
      <c r="A71" s="23"/>
      <c r="B71" s="23"/>
      <c r="C71" s="23"/>
      <c r="D71" s="23"/>
      <c r="E71" s="23"/>
      <c r="F71" s="23"/>
    </row>
    <row r="72" spans="1:8" ht="15.75" thickTop="1" x14ac:dyDescent="0.25"/>
    <row r="73" spans="1:8" x14ac:dyDescent="0.25">
      <c r="A73" s="10" t="s">
        <v>35</v>
      </c>
    </row>
    <row r="74" spans="1:8" x14ac:dyDescent="0.25">
      <c r="A74" s="10" t="s">
        <v>89</v>
      </c>
    </row>
    <row r="75" spans="1:8" x14ac:dyDescent="0.25">
      <c r="A75" s="11" t="s">
        <v>91</v>
      </c>
      <c r="B75" s="24"/>
      <c r="C75" s="24"/>
      <c r="D75" s="24"/>
      <c r="E75" s="24"/>
    </row>
    <row r="76" spans="1:8" x14ac:dyDescent="0.25">
      <c r="A76" s="34" t="s">
        <v>90</v>
      </c>
      <c r="B76" s="24"/>
      <c r="C76" s="24"/>
      <c r="D76" s="24"/>
      <c r="E76" s="24"/>
    </row>
    <row r="77" spans="1:8" x14ac:dyDescent="0.25">
      <c r="A77" s="11" t="s">
        <v>49</v>
      </c>
    </row>
    <row r="78" spans="1:8" x14ac:dyDescent="0.25">
      <c r="A78" s="33" t="s">
        <v>50</v>
      </c>
    </row>
    <row r="79" spans="1:8" x14ac:dyDescent="0.25">
      <c r="A79" s="15" t="s">
        <v>45</v>
      </c>
    </row>
    <row r="80" spans="1:8" x14ac:dyDescent="0.25">
      <c r="A80" s="15" t="s">
        <v>46</v>
      </c>
    </row>
    <row r="81" spans="1:1" x14ac:dyDescent="0.25">
      <c r="A81" s="51" t="s">
        <v>136</v>
      </c>
    </row>
    <row r="82" spans="1:1" x14ac:dyDescent="0.25">
      <c r="A82" t="s">
        <v>137</v>
      </c>
    </row>
    <row r="83" spans="1:1" x14ac:dyDescent="0.25">
      <c r="A83" t="s">
        <v>135</v>
      </c>
    </row>
  </sheetData>
  <mergeCells count="5">
    <mergeCell ref="A2:F2"/>
    <mergeCell ref="A4:A5"/>
    <mergeCell ref="B4:B5"/>
    <mergeCell ref="D4:F4"/>
    <mergeCell ref="C4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62"/>
  <sheetViews>
    <sheetView workbookViewId="0">
      <selection activeCell="I13" sqref="I13"/>
    </sheetView>
  </sheetViews>
  <sheetFormatPr baseColWidth="10" defaultRowHeight="15" x14ac:dyDescent="0.25"/>
  <sheetData>
    <row r="62" spans="7:7" x14ac:dyDescent="0.25">
      <c r="G6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2012-03-15T15:44:58Z</dcterms:created>
  <dcterms:modified xsi:type="dcterms:W3CDTF">2016-08-10T18:04:32Z</dcterms:modified>
</cp:coreProperties>
</file>