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dicadores 2015\IV trimestre\RNC\"/>
    </mc:Choice>
  </mc:AlternateContent>
  <bookViews>
    <workbookView xWindow="0" yWindow="0" windowWidth="21600" windowHeight="9735" activeTab="6"/>
  </bookViews>
  <sheets>
    <sheet name="I Trimestre" sheetId="4" r:id="rId1"/>
    <sheet name="II Trimestre" sheetId="5" r:id="rId2"/>
    <sheet name="III Trimestre" sheetId="6" r:id="rId3"/>
    <sheet name="IV Trimestre" sheetId="1" r:id="rId4"/>
    <sheet name="I Semestre" sheetId="2" r:id="rId5"/>
    <sheet name="III T Acumulado" sheetId="3" r:id="rId6"/>
    <sheet name="Anual" sheetId="7" r:id="rId7"/>
    <sheet name="Observaciones" sheetId="8" r:id="rId8"/>
  </sheets>
  <calcPr calcId="152511"/>
</workbook>
</file>

<file path=xl/calcChain.xml><?xml version="1.0" encoding="utf-8"?>
<calcChain xmlns="http://schemas.openxmlformats.org/spreadsheetml/2006/main">
  <c r="B41" i="7" l="1"/>
  <c r="B40" i="7"/>
  <c r="B41" i="3"/>
  <c r="B40" i="3"/>
  <c r="B41" i="2"/>
  <c r="B40" i="2"/>
  <c r="B41" i="1"/>
  <c r="B40" i="1"/>
  <c r="B41" i="6"/>
  <c r="B40" i="6"/>
  <c r="B41" i="5"/>
  <c r="B40" i="5"/>
  <c r="B41" i="4"/>
  <c r="B40" i="4"/>
  <c r="C20" i="6" l="1"/>
  <c r="C20" i="5"/>
  <c r="F41" i="1" l="1"/>
  <c r="D41" i="1"/>
  <c r="C19" i="7" l="1"/>
  <c r="C13" i="7"/>
  <c r="C11" i="7"/>
  <c r="D66" i="1"/>
  <c r="E66" i="1"/>
  <c r="F66" i="1"/>
  <c r="F65" i="1"/>
  <c r="D63" i="1"/>
  <c r="D64" i="1" s="1"/>
  <c r="E63" i="1"/>
  <c r="E64" i="1" s="1"/>
  <c r="F63" i="1"/>
  <c r="D57" i="1"/>
  <c r="E57" i="1"/>
  <c r="F57" i="1"/>
  <c r="F50" i="1"/>
  <c r="G50" i="1"/>
  <c r="G51" i="1" s="1"/>
  <c r="H50" i="1"/>
  <c r="H51" i="1" s="1"/>
  <c r="F49" i="1"/>
  <c r="F51" i="1" l="1"/>
  <c r="D33" i="6"/>
  <c r="D35" i="6" s="1"/>
  <c r="E33" i="6"/>
  <c r="E35" i="6" s="1"/>
  <c r="F33" i="6"/>
  <c r="F35" i="6" s="1"/>
  <c r="G33" i="6"/>
  <c r="H33" i="6"/>
  <c r="D32" i="6"/>
  <c r="D34" i="6" s="1"/>
  <c r="E32" i="6"/>
  <c r="E34" i="6" s="1"/>
  <c r="F32" i="6"/>
  <c r="F34" i="6" s="1"/>
  <c r="G32" i="6"/>
  <c r="H32" i="6"/>
  <c r="D40" i="1"/>
  <c r="B11" i="1" l="1"/>
  <c r="D66" i="6" l="1"/>
  <c r="F49" i="6"/>
  <c r="E66" i="5"/>
  <c r="D66" i="5"/>
  <c r="F49" i="5"/>
  <c r="D66" i="4"/>
  <c r="F49" i="4"/>
  <c r="D41" i="5"/>
  <c r="F40" i="5"/>
  <c r="C18" i="6" l="1"/>
  <c r="C33" i="6" s="1"/>
  <c r="C18" i="5" l="1"/>
  <c r="C19" i="3" l="1"/>
  <c r="C17" i="3"/>
  <c r="C13" i="3"/>
  <c r="C11" i="3"/>
  <c r="C19" i="2"/>
  <c r="C17" i="2"/>
  <c r="C13" i="2"/>
  <c r="C11" i="2"/>
  <c r="H50" i="4" l="1"/>
  <c r="H51" i="4" s="1"/>
  <c r="B19" i="4" l="1"/>
  <c r="C18" i="1" l="1"/>
  <c r="C12" i="1"/>
  <c r="C12" i="6"/>
  <c r="C12" i="5"/>
  <c r="C49" i="5" s="1"/>
  <c r="C18" i="4"/>
  <c r="C12" i="4"/>
  <c r="C49" i="4" s="1"/>
  <c r="C49" i="6" l="1"/>
  <c r="C35" i="6"/>
  <c r="C49" i="1"/>
  <c r="C44" i="1"/>
  <c r="C66" i="1"/>
  <c r="C50" i="1"/>
  <c r="C63" i="1"/>
  <c r="C65" i="1"/>
  <c r="C17" i="7"/>
  <c r="C62" i="1"/>
  <c r="B29" i="3"/>
  <c r="B29" i="2"/>
  <c r="B29" i="1"/>
  <c r="B29" i="6"/>
  <c r="B29" i="5"/>
  <c r="B29" i="4"/>
  <c r="D41" i="6"/>
  <c r="D40" i="6"/>
  <c r="D40" i="5"/>
  <c r="D41" i="4"/>
  <c r="D40" i="4"/>
  <c r="B29" i="7"/>
  <c r="C51" i="1" l="1"/>
  <c r="B19" i="1"/>
  <c r="G20" i="1" l="1"/>
  <c r="G20" i="6"/>
  <c r="G20" i="5"/>
  <c r="G20" i="4"/>
  <c r="F40" i="1" l="1"/>
  <c r="F41" i="6"/>
  <c r="F40" i="6"/>
  <c r="F41" i="5"/>
  <c r="D40" i="7"/>
  <c r="D40" i="2" l="1"/>
  <c r="C62" i="7"/>
  <c r="C62" i="2" l="1"/>
  <c r="F62" i="1"/>
  <c r="H45" i="1"/>
  <c r="H46" i="1" s="1"/>
  <c r="G45" i="1"/>
  <c r="G46" i="1" s="1"/>
  <c r="F45" i="1"/>
  <c r="F44" i="1"/>
  <c r="F66" i="6"/>
  <c r="E66" i="6"/>
  <c r="F65" i="6"/>
  <c r="F63" i="6"/>
  <c r="E63" i="6"/>
  <c r="E64" i="6" s="1"/>
  <c r="D63" i="6"/>
  <c r="D64" i="6" s="1"/>
  <c r="F62" i="6"/>
  <c r="F57" i="6"/>
  <c r="E57" i="6"/>
  <c r="D57" i="6"/>
  <c r="H50" i="6"/>
  <c r="H51" i="6" s="1"/>
  <c r="G50" i="6"/>
  <c r="G51" i="6" s="1"/>
  <c r="F50" i="6"/>
  <c r="H45" i="6"/>
  <c r="H46" i="6" s="1"/>
  <c r="G45" i="6"/>
  <c r="G46" i="6" s="1"/>
  <c r="F45" i="6"/>
  <c r="F44" i="6"/>
  <c r="F46" i="6" s="1"/>
  <c r="F66" i="5"/>
  <c r="F65" i="5"/>
  <c r="F63" i="5"/>
  <c r="E63" i="5"/>
  <c r="E64" i="5" s="1"/>
  <c r="D63" i="5"/>
  <c r="D64" i="5" s="1"/>
  <c r="F62" i="5"/>
  <c r="F57" i="5"/>
  <c r="E57" i="5"/>
  <c r="D57" i="5"/>
  <c r="H50" i="5"/>
  <c r="H51" i="5" s="1"/>
  <c r="G50" i="5"/>
  <c r="G51" i="5" s="1"/>
  <c r="F50" i="5"/>
  <c r="F51" i="5" s="1"/>
  <c r="H45" i="5"/>
  <c r="H46" i="5" s="1"/>
  <c r="G45" i="5"/>
  <c r="G46" i="5" s="1"/>
  <c r="F45" i="5"/>
  <c r="F44" i="5"/>
  <c r="F46" i="5" s="1"/>
  <c r="B17" i="1"/>
  <c r="B13" i="1"/>
  <c r="B19" i="6"/>
  <c r="B13" i="6"/>
  <c r="B11" i="6"/>
  <c r="B13" i="5"/>
  <c r="B11" i="5"/>
  <c r="B17" i="4"/>
  <c r="B62" i="4" s="1"/>
  <c r="B11" i="4"/>
  <c r="B13" i="4"/>
  <c r="C62" i="4"/>
  <c r="C65" i="4"/>
  <c r="F64" i="5" l="1"/>
  <c r="B62" i="1"/>
  <c r="B65" i="4"/>
  <c r="F46" i="1"/>
  <c r="F64" i="1" s="1"/>
  <c r="B65" i="1"/>
  <c r="F51" i="6"/>
  <c r="F64" i="6"/>
  <c r="C16" i="1" l="1"/>
  <c r="C10" i="1"/>
  <c r="C16" i="6"/>
  <c r="C32" i="6" s="1"/>
  <c r="C10" i="6"/>
  <c r="B10" i="6" s="1"/>
  <c r="C33" i="5"/>
  <c r="C16" i="5"/>
  <c r="B16" i="5" s="1"/>
  <c r="C10" i="5"/>
  <c r="B10" i="5" s="1"/>
  <c r="C16" i="4"/>
  <c r="B16" i="4" s="1"/>
  <c r="C45" i="4"/>
  <c r="C10" i="4"/>
  <c r="B10" i="4" s="1"/>
  <c r="D57" i="4"/>
  <c r="E57" i="4"/>
  <c r="F57" i="4"/>
  <c r="C34" i="6" l="1"/>
  <c r="B10" i="1"/>
  <c r="C57" i="1"/>
  <c r="C33" i="1"/>
  <c r="C33" i="4"/>
  <c r="C35" i="4" s="1"/>
  <c r="C32" i="4"/>
  <c r="C34" i="4" s="1"/>
  <c r="C44" i="4"/>
  <c r="C46" i="4" s="1"/>
  <c r="C32" i="5"/>
  <c r="C34" i="5" s="1"/>
  <c r="B12" i="4"/>
  <c r="C57" i="4"/>
  <c r="C35" i="5"/>
  <c r="C32" i="1"/>
  <c r="C34" i="1" s="1"/>
  <c r="B16" i="1"/>
  <c r="C44" i="5"/>
  <c r="C57" i="5"/>
  <c r="B12" i="5"/>
  <c r="B49" i="5" s="1"/>
  <c r="C66" i="4"/>
  <c r="C63" i="4"/>
  <c r="B18" i="4"/>
  <c r="C50" i="4"/>
  <c r="B18" i="5"/>
  <c r="C66" i="5"/>
  <c r="C63" i="5"/>
  <c r="B16" i="6"/>
  <c r="B18" i="1"/>
  <c r="B70" i="1" s="1"/>
  <c r="C45" i="1"/>
  <c r="C46" i="1" s="1"/>
  <c r="C64" i="1" s="1"/>
  <c r="B12" i="1"/>
  <c r="B49" i="1" s="1"/>
  <c r="C50" i="6"/>
  <c r="B18" i="6"/>
  <c r="B12" i="6"/>
  <c r="B49" i="6" s="1"/>
  <c r="C66" i="6"/>
  <c r="C63" i="6"/>
  <c r="C57" i="6"/>
  <c r="C44" i="6"/>
  <c r="B17" i="5"/>
  <c r="C62" i="5"/>
  <c r="C65" i="5"/>
  <c r="C45" i="5"/>
  <c r="C50" i="5"/>
  <c r="C51" i="5" s="1"/>
  <c r="B19" i="5"/>
  <c r="C62" i="6"/>
  <c r="C65" i="6"/>
  <c r="B17" i="6"/>
  <c r="C45" i="6"/>
  <c r="B49" i="4" l="1"/>
  <c r="B57" i="4"/>
  <c r="C35" i="1"/>
  <c r="C59" i="1" s="1"/>
  <c r="C58" i="1"/>
  <c r="C51" i="4"/>
  <c r="B66" i="4"/>
  <c r="C46" i="5"/>
  <c r="C64" i="5" s="1"/>
  <c r="C58" i="6"/>
  <c r="B50" i="5"/>
  <c r="B51" i="5" s="1"/>
  <c r="C59" i="4"/>
  <c r="C58" i="4"/>
  <c r="C58" i="5"/>
  <c r="C59" i="5"/>
  <c r="B66" i="5"/>
  <c r="B63" i="5"/>
  <c r="B70" i="5"/>
  <c r="C59" i="6"/>
  <c r="B44" i="5"/>
  <c r="B57" i="5"/>
  <c r="B63" i="4"/>
  <c r="C64" i="4"/>
  <c r="C46" i="6"/>
  <c r="C64" i="6" s="1"/>
  <c r="B45" i="1"/>
  <c r="B50" i="1"/>
  <c r="B51" i="1" s="1"/>
  <c r="B66" i="1"/>
  <c r="B63" i="1"/>
  <c r="B57" i="1"/>
  <c r="B44" i="1"/>
  <c r="B70" i="6"/>
  <c r="B50" i="6"/>
  <c r="C51" i="6"/>
  <c r="B63" i="6"/>
  <c r="B66" i="6"/>
  <c r="B57" i="6"/>
  <c r="B44" i="6"/>
  <c r="B45" i="5"/>
  <c r="B62" i="5"/>
  <c r="B65" i="5"/>
  <c r="B45" i="6"/>
  <c r="B46" i="6" s="1"/>
  <c r="B65" i="6"/>
  <c r="B62" i="6"/>
  <c r="E20" i="4"/>
  <c r="F20" i="4"/>
  <c r="D20" i="4"/>
  <c r="B46" i="5" l="1"/>
  <c r="B64" i="5" s="1"/>
  <c r="B46" i="1"/>
  <c r="B64" i="1" s="1"/>
  <c r="C20" i="4"/>
  <c r="B20" i="4" s="1"/>
  <c r="B51" i="6"/>
  <c r="B64" i="6"/>
  <c r="D63" i="4" l="1"/>
  <c r="E63" i="4"/>
  <c r="F63" i="4"/>
  <c r="F13" i="7"/>
  <c r="B13" i="7" s="1"/>
  <c r="F12" i="7"/>
  <c r="F11" i="7"/>
  <c r="F10" i="7"/>
  <c r="E12" i="7"/>
  <c r="E10" i="7"/>
  <c r="D12" i="7"/>
  <c r="D10" i="7"/>
  <c r="F12" i="3"/>
  <c r="F11" i="3"/>
  <c r="F10" i="3"/>
  <c r="E12" i="3"/>
  <c r="E11" i="3"/>
  <c r="E10" i="3"/>
  <c r="D12" i="3"/>
  <c r="D10" i="3"/>
  <c r="E13" i="3"/>
  <c r="F13" i="3"/>
  <c r="F13" i="2"/>
  <c r="B13" i="2" s="1"/>
  <c r="G13" i="2"/>
  <c r="H13" i="2"/>
  <c r="D57" i="7" l="1"/>
  <c r="F57" i="7"/>
  <c r="E57" i="7"/>
  <c r="C10" i="7"/>
  <c r="B10" i="7" s="1"/>
  <c r="C12" i="3"/>
  <c r="D40" i="3"/>
  <c r="C62" i="3"/>
  <c r="C12" i="7"/>
  <c r="C10" i="3"/>
  <c r="B10" i="3" s="1"/>
  <c r="D41" i="7"/>
  <c r="F41" i="3"/>
  <c r="F41" i="7"/>
  <c r="F40" i="7"/>
  <c r="B11" i="7"/>
  <c r="F40" i="3"/>
  <c r="D41" i="3"/>
  <c r="D57" i="3"/>
  <c r="F57" i="3"/>
  <c r="E57" i="3"/>
  <c r="F49" i="7"/>
  <c r="B13" i="3"/>
  <c r="F49" i="3"/>
  <c r="F44" i="3"/>
  <c r="B11" i="3"/>
  <c r="F44" i="7"/>
  <c r="C57" i="7" l="1"/>
  <c r="B12" i="7"/>
  <c r="C49" i="7"/>
  <c r="C44" i="7"/>
  <c r="C49" i="3"/>
  <c r="B12" i="3"/>
  <c r="B44" i="3" s="1"/>
  <c r="C57" i="3"/>
  <c r="C44" i="3"/>
  <c r="F11" i="2"/>
  <c r="F12" i="2"/>
  <c r="D12" i="2"/>
  <c r="E12" i="2"/>
  <c r="E10" i="2"/>
  <c r="D10" i="2"/>
  <c r="F10" i="2"/>
  <c r="C12" i="2" l="1"/>
  <c r="C10" i="2"/>
  <c r="B10" i="2" s="1"/>
  <c r="E57" i="2"/>
  <c r="B44" i="7"/>
  <c r="D41" i="2"/>
  <c r="F40" i="2"/>
  <c r="B11" i="2"/>
  <c r="F41" i="2"/>
  <c r="F49" i="2"/>
  <c r="F44" i="2"/>
  <c r="F57" i="2"/>
  <c r="D57" i="2"/>
  <c r="B57" i="3"/>
  <c r="B49" i="7"/>
  <c r="B57" i="7"/>
  <c r="B49" i="3"/>
  <c r="D32" i="1"/>
  <c r="D34" i="1" s="1"/>
  <c r="D33" i="1"/>
  <c r="D33" i="5"/>
  <c r="D32" i="5"/>
  <c r="D34" i="5" s="1"/>
  <c r="D33" i="4"/>
  <c r="D35" i="4" s="1"/>
  <c r="D32" i="4"/>
  <c r="D34" i="4" s="1"/>
  <c r="B70" i="4"/>
  <c r="D58" i="1" l="1"/>
  <c r="D59" i="4"/>
  <c r="D35" i="5"/>
  <c r="D59" i="5" s="1"/>
  <c r="D58" i="5"/>
  <c r="D58" i="6"/>
  <c r="B12" i="2"/>
  <c r="C49" i="2"/>
  <c r="C57" i="2"/>
  <c r="C44" i="2"/>
  <c r="D35" i="1"/>
  <c r="D59" i="1" s="1"/>
  <c r="D59" i="6"/>
  <c r="D64" i="4"/>
  <c r="D58" i="4"/>
  <c r="B50" i="4"/>
  <c r="B45" i="4"/>
  <c r="B44" i="4"/>
  <c r="B23" i="4"/>
  <c r="B69" i="4" s="1"/>
  <c r="E20" i="5"/>
  <c r="F20" i="5"/>
  <c r="D20" i="5"/>
  <c r="E20" i="6"/>
  <c r="F20" i="6"/>
  <c r="D20" i="6"/>
  <c r="E20" i="1"/>
  <c r="F20" i="1"/>
  <c r="D20" i="1"/>
  <c r="D18" i="2"/>
  <c r="D16" i="2"/>
  <c r="D32" i="2" s="1"/>
  <c r="D18" i="3"/>
  <c r="D16" i="3"/>
  <c r="D32" i="3" s="1"/>
  <c r="D18" i="7"/>
  <c r="D16" i="7"/>
  <c r="D32" i="7" s="1"/>
  <c r="D34" i="7" s="1"/>
  <c r="D33" i="3" l="1"/>
  <c r="D66" i="3"/>
  <c r="D63" i="7"/>
  <c r="D64" i="7" s="1"/>
  <c r="D66" i="7"/>
  <c r="D33" i="7"/>
  <c r="D33" i="2"/>
  <c r="D66" i="2"/>
  <c r="C20" i="1"/>
  <c r="B20" i="1" s="1"/>
  <c r="D63" i="2"/>
  <c r="D64" i="2" s="1"/>
  <c r="D63" i="3"/>
  <c r="D64" i="3" s="1"/>
  <c r="B20" i="6"/>
  <c r="B54" i="6" s="1"/>
  <c r="B57" i="2"/>
  <c r="B44" i="2"/>
  <c r="B49" i="2"/>
  <c r="B51" i="4"/>
  <c r="D34" i="3"/>
  <c r="D34" i="2"/>
  <c r="B46" i="4"/>
  <c r="B64" i="4" s="1"/>
  <c r="D20" i="7"/>
  <c r="D20" i="2"/>
  <c r="B54" i="4"/>
  <c r="D20" i="3"/>
  <c r="F19" i="2"/>
  <c r="G19" i="2"/>
  <c r="H19" i="2"/>
  <c r="F19" i="3"/>
  <c r="G19" i="3"/>
  <c r="H19" i="3"/>
  <c r="F19" i="7"/>
  <c r="G19" i="7"/>
  <c r="H19" i="7"/>
  <c r="D58" i="7" l="1"/>
  <c r="D35" i="7"/>
  <c r="D59" i="7" s="1"/>
  <c r="B19" i="2"/>
  <c r="B19" i="7"/>
  <c r="B20" i="5"/>
  <c r="B54" i="5" s="1"/>
  <c r="B54" i="1"/>
  <c r="D58" i="2"/>
  <c r="C65" i="2"/>
  <c r="B19" i="3"/>
  <c r="D35" i="3"/>
  <c r="D59" i="3" s="1"/>
  <c r="D58" i="3"/>
  <c r="D35" i="2"/>
  <c r="D59" i="2" s="1"/>
  <c r="F17" i="7"/>
  <c r="G17" i="7"/>
  <c r="H17" i="7"/>
  <c r="E18" i="7"/>
  <c r="F18" i="7"/>
  <c r="G18" i="7"/>
  <c r="G33" i="7" s="1"/>
  <c r="H18" i="7"/>
  <c r="F16" i="7"/>
  <c r="F32" i="7" s="1"/>
  <c r="F34" i="7" s="1"/>
  <c r="G16" i="7"/>
  <c r="G32" i="7" s="1"/>
  <c r="H16" i="7"/>
  <c r="H32" i="7" s="1"/>
  <c r="E16" i="7"/>
  <c r="F17" i="3"/>
  <c r="G17" i="3"/>
  <c r="H17" i="3"/>
  <c r="E18" i="3"/>
  <c r="E33" i="3" s="1"/>
  <c r="F18" i="3"/>
  <c r="F33" i="3" s="1"/>
  <c r="G18" i="3"/>
  <c r="H18" i="3"/>
  <c r="F16" i="3"/>
  <c r="F32" i="3" s="1"/>
  <c r="G16" i="3"/>
  <c r="G32" i="3" s="1"/>
  <c r="H16" i="3"/>
  <c r="H32" i="3" s="1"/>
  <c r="E16" i="3"/>
  <c r="F17" i="2"/>
  <c r="G17" i="2"/>
  <c r="H17" i="2"/>
  <c r="E18" i="2"/>
  <c r="E33" i="2" s="1"/>
  <c r="F18" i="2"/>
  <c r="G18" i="2"/>
  <c r="G33" i="2" s="1"/>
  <c r="H18" i="2"/>
  <c r="H33" i="2" s="1"/>
  <c r="F16" i="2"/>
  <c r="F32" i="2" s="1"/>
  <c r="G16" i="2"/>
  <c r="G32" i="2" s="1"/>
  <c r="H16" i="2"/>
  <c r="H32" i="2" s="1"/>
  <c r="E16" i="2"/>
  <c r="G11" i="2"/>
  <c r="H11" i="2"/>
  <c r="G12" i="2"/>
  <c r="H12" i="2"/>
  <c r="G10" i="2"/>
  <c r="H10" i="2"/>
  <c r="G58" i="7" l="1"/>
  <c r="C16" i="7"/>
  <c r="C32" i="7" s="1"/>
  <c r="C34" i="7" s="1"/>
  <c r="E32" i="7"/>
  <c r="E34" i="7" s="1"/>
  <c r="H50" i="7"/>
  <c r="H51" i="7" s="1"/>
  <c r="H33" i="7"/>
  <c r="H58" i="7" s="1"/>
  <c r="F63" i="7"/>
  <c r="F33" i="7"/>
  <c r="E63" i="7"/>
  <c r="E64" i="7" s="1"/>
  <c r="E33" i="7"/>
  <c r="C16" i="2"/>
  <c r="C32" i="2" s="1"/>
  <c r="C34" i="2" s="1"/>
  <c r="E32" i="2"/>
  <c r="G20" i="3"/>
  <c r="G33" i="3"/>
  <c r="H50" i="3"/>
  <c r="H51" i="3" s="1"/>
  <c r="H33" i="3"/>
  <c r="C16" i="3"/>
  <c r="C32" i="3" s="1"/>
  <c r="C34" i="3" s="1"/>
  <c r="E32" i="3"/>
  <c r="F63" i="2"/>
  <c r="F33" i="2"/>
  <c r="C18" i="7"/>
  <c r="E63" i="3"/>
  <c r="E64" i="3" s="1"/>
  <c r="C18" i="3"/>
  <c r="C33" i="3" s="1"/>
  <c r="E63" i="2"/>
  <c r="E64" i="2" s="1"/>
  <c r="C18" i="2"/>
  <c r="C33" i="2" s="1"/>
  <c r="B17" i="2"/>
  <c r="B62" i="2" s="1"/>
  <c r="F62" i="3"/>
  <c r="F50" i="3"/>
  <c r="F51" i="3" s="1"/>
  <c r="F63" i="3"/>
  <c r="F62" i="7"/>
  <c r="F62" i="2"/>
  <c r="B16" i="7"/>
  <c r="B32" i="7" s="1"/>
  <c r="F66" i="2"/>
  <c r="F50" i="2"/>
  <c r="F51" i="2" s="1"/>
  <c r="F45" i="2"/>
  <c r="F46" i="2" s="1"/>
  <c r="G20" i="2"/>
  <c r="G45" i="2"/>
  <c r="G46" i="2" s="1"/>
  <c r="G50" i="2"/>
  <c r="G51" i="2" s="1"/>
  <c r="H45" i="2"/>
  <c r="H46" i="2" s="1"/>
  <c r="H50" i="2"/>
  <c r="H51" i="2" s="1"/>
  <c r="E66" i="2"/>
  <c r="F65" i="2"/>
  <c r="G45" i="7"/>
  <c r="G46" i="7" s="1"/>
  <c r="H45" i="7"/>
  <c r="H46" i="7" s="1"/>
  <c r="G50" i="3"/>
  <c r="G51" i="3" s="1"/>
  <c r="G45" i="3"/>
  <c r="G46" i="3" s="1"/>
  <c r="H45" i="3"/>
  <c r="H46" i="3" s="1"/>
  <c r="G20" i="7"/>
  <c r="G50" i="7"/>
  <c r="G51" i="7" s="1"/>
  <c r="E66" i="7"/>
  <c r="F50" i="7"/>
  <c r="F51" i="7" s="1"/>
  <c r="F66" i="7"/>
  <c r="E66" i="3"/>
  <c r="F66" i="3"/>
  <c r="F45" i="3"/>
  <c r="F46" i="3" s="1"/>
  <c r="F65" i="3"/>
  <c r="F45" i="7"/>
  <c r="F46" i="7" s="1"/>
  <c r="F65" i="7"/>
  <c r="B17" i="7"/>
  <c r="B17" i="3"/>
  <c r="C65" i="7"/>
  <c r="C65" i="3"/>
  <c r="F20" i="2"/>
  <c r="F20" i="3"/>
  <c r="F20" i="7"/>
  <c r="E20" i="2"/>
  <c r="C20" i="2" s="1"/>
  <c r="E20" i="3"/>
  <c r="E20" i="7"/>
  <c r="C20" i="7" s="1"/>
  <c r="F64" i="7" l="1"/>
  <c r="B16" i="3"/>
  <c r="B32" i="3" s="1"/>
  <c r="E58" i="7"/>
  <c r="E35" i="7"/>
  <c r="E59" i="7" s="1"/>
  <c r="F58" i="7"/>
  <c r="F35" i="7"/>
  <c r="F59" i="7" s="1"/>
  <c r="C63" i="7"/>
  <c r="C33" i="7"/>
  <c r="B16" i="2"/>
  <c r="B32" i="2" s="1"/>
  <c r="B20" i="7"/>
  <c r="C20" i="3"/>
  <c r="B20" i="3" s="1"/>
  <c r="B65" i="2"/>
  <c r="C63" i="3"/>
  <c r="B65" i="3"/>
  <c r="B62" i="3"/>
  <c r="B65" i="7"/>
  <c r="B62" i="7"/>
  <c r="C63" i="2"/>
  <c r="B20" i="2"/>
  <c r="C66" i="2"/>
  <c r="B18" i="2"/>
  <c r="C50" i="2"/>
  <c r="C51" i="2" s="1"/>
  <c r="C45" i="2"/>
  <c r="C46" i="2" s="1"/>
  <c r="F64" i="3"/>
  <c r="F64" i="2"/>
  <c r="C45" i="3"/>
  <c r="C46" i="3" s="1"/>
  <c r="C50" i="7"/>
  <c r="C51" i="7" s="1"/>
  <c r="B18" i="7"/>
  <c r="C66" i="7"/>
  <c r="B18" i="3"/>
  <c r="B33" i="3" s="1"/>
  <c r="C66" i="3"/>
  <c r="C50" i="3"/>
  <c r="C51" i="3" s="1"/>
  <c r="C45" i="7"/>
  <c r="C46" i="7" s="1"/>
  <c r="F40" i="4"/>
  <c r="C58" i="7" l="1"/>
  <c r="C35" i="7"/>
  <c r="C59" i="7" s="1"/>
  <c r="C64" i="7"/>
  <c r="B63" i="7"/>
  <c r="B33" i="7"/>
  <c r="B63" i="2"/>
  <c r="B33" i="2"/>
  <c r="C64" i="2"/>
  <c r="B45" i="3"/>
  <c r="B46" i="3" s="1"/>
  <c r="B63" i="3"/>
  <c r="C35" i="2"/>
  <c r="C59" i="2" s="1"/>
  <c r="C58" i="2"/>
  <c r="B66" i="2"/>
  <c r="B50" i="2"/>
  <c r="B51" i="2" s="1"/>
  <c r="B45" i="2"/>
  <c r="B46" i="2" s="1"/>
  <c r="C35" i="3"/>
  <c r="C59" i="3" s="1"/>
  <c r="C58" i="3"/>
  <c r="C64" i="3"/>
  <c r="B54" i="2"/>
  <c r="B54" i="3"/>
  <c r="B50" i="7"/>
  <c r="B51" i="7" s="1"/>
  <c r="B66" i="7"/>
  <c r="B66" i="3"/>
  <c r="B50" i="3"/>
  <c r="B51" i="3" s="1"/>
  <c r="B45" i="7"/>
  <c r="B46" i="7" s="1"/>
  <c r="B54" i="7"/>
  <c r="G45" i="4"/>
  <c r="G46" i="4" s="1"/>
  <c r="B64" i="2" l="1"/>
  <c r="B64" i="3"/>
  <c r="B64" i="7"/>
  <c r="B32" i="5"/>
  <c r="F62" i="4"/>
  <c r="E66" i="4"/>
  <c r="F66" i="4"/>
  <c r="F65" i="4"/>
  <c r="F41" i="4" l="1"/>
  <c r="B33" i="4" l="1"/>
  <c r="B32" i="4"/>
  <c r="B34" i="4" s="1"/>
  <c r="B58" i="4" l="1"/>
  <c r="B24" i="7"/>
  <c r="B70" i="7" s="1"/>
  <c r="B24" i="3"/>
  <c r="B70" i="3" s="1"/>
  <c r="B24" i="2"/>
  <c r="B70" i="2" s="1"/>
  <c r="B23" i="2" l="1"/>
  <c r="B69" i="2" s="1"/>
  <c r="B23" i="7"/>
  <c r="B69" i="7" s="1"/>
  <c r="B23" i="1" l="1"/>
  <c r="B69" i="1" s="1"/>
  <c r="G58" i="3" l="1"/>
  <c r="H58" i="3"/>
  <c r="H58" i="2"/>
  <c r="G58" i="2"/>
  <c r="E35" i="2"/>
  <c r="F35" i="3"/>
  <c r="F35" i="2"/>
  <c r="E35" i="3"/>
  <c r="B23" i="3"/>
  <c r="B69" i="3" s="1"/>
  <c r="B35" i="2"/>
  <c r="B35" i="7" l="1"/>
  <c r="B35" i="3"/>
  <c r="H33" i="1" l="1"/>
  <c r="G33" i="1"/>
  <c r="F33" i="1"/>
  <c r="E33" i="1"/>
  <c r="B33" i="1"/>
  <c r="H32" i="1"/>
  <c r="G32" i="1"/>
  <c r="F32" i="1"/>
  <c r="F34" i="1" s="1"/>
  <c r="E32" i="1"/>
  <c r="E34" i="1" s="1"/>
  <c r="B32" i="1"/>
  <c r="B32" i="6"/>
  <c r="H33" i="5"/>
  <c r="G33" i="5"/>
  <c r="F33" i="5"/>
  <c r="E33" i="5"/>
  <c r="H32" i="5"/>
  <c r="G32" i="5"/>
  <c r="G50" i="4"/>
  <c r="G51" i="4" s="1"/>
  <c r="F50" i="4"/>
  <c r="H45" i="4"/>
  <c r="H46" i="4" s="1"/>
  <c r="F45" i="4"/>
  <c r="F44" i="4"/>
  <c r="H33" i="4"/>
  <c r="G33" i="4"/>
  <c r="F33" i="4"/>
  <c r="E33" i="4"/>
  <c r="B35" i="4"/>
  <c r="B59" i="4" s="1"/>
  <c r="H32" i="4"/>
  <c r="G32" i="4"/>
  <c r="F32" i="4"/>
  <c r="F34" i="4" s="1"/>
  <c r="E32" i="4"/>
  <c r="E34" i="4" s="1"/>
  <c r="E58" i="1" l="1"/>
  <c r="G58" i="1"/>
  <c r="F58" i="1"/>
  <c r="H58" i="1"/>
  <c r="H58" i="6"/>
  <c r="H58" i="5"/>
  <c r="G58" i="6"/>
  <c r="G58" i="5"/>
  <c r="E58" i="6"/>
  <c r="F58" i="6"/>
  <c r="B58" i="1"/>
  <c r="B34" i="1"/>
  <c r="E64" i="4"/>
  <c r="F46" i="4"/>
  <c r="F64" i="4" s="1"/>
  <c r="F35" i="4"/>
  <c r="F59" i="4" s="1"/>
  <c r="F58" i="4"/>
  <c r="B23" i="6"/>
  <c r="B69" i="6" s="1"/>
  <c r="B35" i="1"/>
  <c r="F35" i="1"/>
  <c r="F59" i="1" s="1"/>
  <c r="E35" i="4"/>
  <c r="E59" i="4" s="1"/>
  <c r="E58" i="4"/>
  <c r="B33" i="5"/>
  <c r="B58" i="5" s="1"/>
  <c r="E59" i="6"/>
  <c r="E35" i="1"/>
  <c r="E59" i="1" s="1"/>
  <c r="G58" i="4"/>
  <c r="H58" i="4"/>
  <c r="E35" i="5"/>
  <c r="F51" i="4"/>
  <c r="B34" i="6"/>
  <c r="B33" i="6"/>
  <c r="B58" i="6" s="1"/>
  <c r="F59" i="6"/>
  <c r="B23" i="5"/>
  <c r="B69" i="5" s="1"/>
  <c r="E32" i="5"/>
  <c r="E58" i="5" s="1"/>
  <c r="F35" i="5"/>
  <c r="B59" i="1" l="1"/>
  <c r="B34" i="5"/>
  <c r="E34" i="5"/>
  <c r="E59" i="5" s="1"/>
  <c r="B35" i="5"/>
  <c r="E58" i="3"/>
  <c r="F32" i="5"/>
  <c r="F58" i="5" s="1"/>
  <c r="E58" i="2"/>
  <c r="B35" i="6"/>
  <c r="B59" i="6" s="1"/>
  <c r="B59" i="5" l="1"/>
  <c r="E34" i="3"/>
  <c r="E59" i="3" s="1"/>
  <c r="E34" i="2"/>
  <c r="E59" i="2" s="1"/>
  <c r="B58" i="2"/>
  <c r="F58" i="2"/>
  <c r="F34" i="5"/>
  <c r="F59" i="5" s="1"/>
  <c r="B58" i="7"/>
  <c r="F58" i="3"/>
  <c r="F34" i="3" l="1"/>
  <c r="F59" i="3" s="1"/>
  <c r="F34" i="2"/>
  <c r="F59" i="2" s="1"/>
  <c r="B34" i="7"/>
  <c r="B59" i="7" s="1"/>
  <c r="B34" i="2"/>
  <c r="B59" i="2" s="1"/>
  <c r="B58" i="3"/>
  <c r="B34" i="3" l="1"/>
  <c r="B59" i="3" s="1"/>
</calcChain>
</file>

<file path=xl/sharedStrings.xml><?xml version="1.0" encoding="utf-8"?>
<sst xmlns="http://schemas.openxmlformats.org/spreadsheetml/2006/main" count="519" uniqueCount="133">
  <si>
    <t>Indicador</t>
  </si>
  <si>
    <t>Productos</t>
  </si>
  <si>
    <t>Cuotas SS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</si>
  <si>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</si>
  <si>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</si>
  <si>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</si>
  <si>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</si>
  <si>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</si>
  <si>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</si>
  <si>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</si>
  <si>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</si>
  <si>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</si>
  <si>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</si>
  <si>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</si>
  <si>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</si>
  <si>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</si>
  <si>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</si>
  <si>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</si>
  <si>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</si>
  <si>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</si>
  <si>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</si>
  <si>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</si>
  <si>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</si>
  <si>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</si>
  <si>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</si>
  <si>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</si>
  <si>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</si>
  <si>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</si>
  <si>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</si>
  <si>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</si>
  <si>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</si>
  <si>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</si>
  <si>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</si>
  <si>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</si>
  <si>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</si>
  <si>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</si>
  <si>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</si>
  <si>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</si>
  <si>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</si>
  <si>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>Pensión Ordinaria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</si>
  <si>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</si>
  <si>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</si>
  <si>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</si>
  <si>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</si>
  <si>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</si>
  <si>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</si>
  <si>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 xml:space="preserve">Beneficiarios: personas (promedio mensual) </t>
  </si>
  <si>
    <t>En el cuarto Trimestre se incluyen los gastos de aguinaldo</t>
  </si>
  <si>
    <t>Notas:</t>
  </si>
  <si>
    <t>Para cobertura se utiliza el promedio de beneficiarios atendidos en el período.</t>
  </si>
  <si>
    <t>los beneficiarios son los mismos de un mes a otro en su mayoría, sin embargo, puede haber entradas y salidas de algunos beneficiarios</t>
  </si>
  <si>
    <t>Adultos Mayores</t>
  </si>
  <si>
    <t>Otros</t>
  </si>
  <si>
    <t>n.d.</t>
  </si>
  <si>
    <t>Población objetivo:</t>
  </si>
  <si>
    <t>Pensiones ordinarias: adultos mayores de 64 años pobres sin pensión contributiva ni seguro contributivo.</t>
  </si>
  <si>
    <t>Pensiones parálisis cerebral severa: personas pobres que no pueden hablar, caminar ni mover los brazos o manos (dos de tres opciones)</t>
  </si>
  <si>
    <t>Pensión Especial</t>
  </si>
  <si>
    <t>Total</t>
  </si>
  <si>
    <t>Efectivos 1T 2014</t>
  </si>
  <si>
    <t>IPC (1T 2014)</t>
  </si>
  <si>
    <t>Gasto efectivo real 1T 2014</t>
  </si>
  <si>
    <t>Gasto efectivo real por beneficiario 1T 2014</t>
  </si>
  <si>
    <t>Efectivos 2T 2014</t>
  </si>
  <si>
    <t>IPC (2T 2014)</t>
  </si>
  <si>
    <t>Gasto efectivo real 2T 2014</t>
  </si>
  <si>
    <t>Gasto efectivo real por beneficiario 2T 2014</t>
  </si>
  <si>
    <t>Efectivos 3T 2014</t>
  </si>
  <si>
    <t>IPC (3T 2014)</t>
  </si>
  <si>
    <t>Gasto efectivo real 3T 2014</t>
  </si>
  <si>
    <t>Gasto efectivo real por beneficiario 3T 2014</t>
  </si>
  <si>
    <t>Efectivos 4T 2014</t>
  </si>
  <si>
    <t>IPC (4T 2014)</t>
  </si>
  <si>
    <t>Gasto efectivo real 4T 2014</t>
  </si>
  <si>
    <t>Gasto efectivo real por beneficiario 4T 2014</t>
  </si>
  <si>
    <t>Efectivos 1S 2014</t>
  </si>
  <si>
    <t>IPC (1S 2014)</t>
  </si>
  <si>
    <t>Gasto efectivo real 1S 2014</t>
  </si>
  <si>
    <t>Gasto efectivo real por beneficiario 1S 2014</t>
  </si>
  <si>
    <t>Efectivos  2014</t>
  </si>
  <si>
    <t>IPC ( 2014)</t>
  </si>
  <si>
    <t>Gasto efectivo real  2014</t>
  </si>
  <si>
    <t>Gasto efectivo real por beneficiario  2014</t>
  </si>
  <si>
    <t>Indicadores propuestos aplicado a RNC. Primer trimestre 2015</t>
  </si>
  <si>
    <t>Programados 1T 2015</t>
  </si>
  <si>
    <t>Efectivos 1T 2015</t>
  </si>
  <si>
    <t>Programados año 2015</t>
  </si>
  <si>
    <t>En transferencias 1T 2015</t>
  </si>
  <si>
    <t>IPC (1T 2015)</t>
  </si>
  <si>
    <t>Gasto efectivo real 1T 2015</t>
  </si>
  <si>
    <t>Gasto efectivo real por beneficiario 1T 2015</t>
  </si>
  <si>
    <t>Informes trimestrales RNC 2014 y 2015</t>
  </si>
  <si>
    <t>Metas RNC 2015</t>
  </si>
  <si>
    <t>ENAHO 2014</t>
  </si>
  <si>
    <t>Indicadores propuestos aplicado a RNC. Segundo trimestre 2015</t>
  </si>
  <si>
    <t>Programados 2T 2015</t>
  </si>
  <si>
    <t>Efectivos 2T 2015</t>
  </si>
  <si>
    <t>En transferencias 2T 2015</t>
  </si>
  <si>
    <t>IPC (2T 2015)</t>
  </si>
  <si>
    <t>Gasto efectivo real 2T 2015</t>
  </si>
  <si>
    <t>Gasto efectivo real por beneficiario 2T 2015</t>
  </si>
  <si>
    <t>Indicadores propuestos aplicado a RNC. Tercer trimestre 2015</t>
  </si>
  <si>
    <t>Programados 3T 2015</t>
  </si>
  <si>
    <t>Efectivos 3T 2015</t>
  </si>
  <si>
    <t>En transferencias 3T 2015</t>
  </si>
  <si>
    <t>IPC (3T 2015)</t>
  </si>
  <si>
    <t>Gasto efectivo real 3T 2015</t>
  </si>
  <si>
    <t>Gasto efectivo real por beneficiario 3T 2015</t>
  </si>
  <si>
    <t>Indicadores propuestos aplicado a RNC. Cuarto trimestre 2015</t>
  </si>
  <si>
    <t>Programados 4T 2015</t>
  </si>
  <si>
    <t>Efectivos 4T 2015</t>
  </si>
  <si>
    <t>En transferencias 4T 2015</t>
  </si>
  <si>
    <t>IPC (4T 2015)</t>
  </si>
  <si>
    <t>Gasto efectivo real 4T 2015</t>
  </si>
  <si>
    <t>Gasto efectivo real por beneficiario 4T 2015</t>
  </si>
  <si>
    <t>Indicadores propuestos aplicado a RNC. Primer Semestre 2015</t>
  </si>
  <si>
    <t>Programados 1S 2015</t>
  </si>
  <si>
    <t>Efectivos 1S 2015</t>
  </si>
  <si>
    <t>En transferencias 1S 2015</t>
  </si>
  <si>
    <t>IPC (1S 2015)</t>
  </si>
  <si>
    <t>Gasto efectivo real 1S 2015</t>
  </si>
  <si>
    <t>Gasto efectivo real por beneficiario 1S 2015</t>
  </si>
  <si>
    <t>Indicadores propuestos aplicado a RNC. Tercer trimestre ACUMULADO 2015</t>
  </si>
  <si>
    <t>Indicadores propuestos aplicado a RNC. Año 2015</t>
  </si>
  <si>
    <t>Programados  2015</t>
  </si>
  <si>
    <t>Efectivos  2015</t>
  </si>
  <si>
    <t>En transferencias  2015</t>
  </si>
  <si>
    <t>IPC ( 2015)</t>
  </si>
  <si>
    <t>Gasto efectivo real  2015</t>
  </si>
  <si>
    <t>Gasto efectivo real por beneficiario  2015</t>
  </si>
  <si>
    <t>Fecha de actualización: 09/11/2015</t>
  </si>
  <si>
    <t>Fecha de actualización: 08/01/2016</t>
  </si>
  <si>
    <t>Fecha de actualización: 04/03/2016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</si>
</sst>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___"/>
    <numFmt numFmtId="165" formatCode="#,##0.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3" fontId="0" fillId="2" borderId="0" xfId="0" applyNumberFormat="1" applyFill="1"/>
    <xf numFmtId="0" fontId="0" fillId="2" borderId="0" xfId="0" applyFill="1" applyAlignment="1">
      <alignment horizontal="left" indent="1"/>
    </xf>
    <xf numFmtId="0" fontId="0" fillId="3" borderId="0" xfId="0" applyFill="1" applyAlignment="1">
      <alignment horizontal="left" indent="1"/>
    </xf>
    <xf numFmtId="0" fontId="2" fillId="3" borderId="0" xfId="0" applyFont="1" applyFill="1"/>
    <xf numFmtId="0" fontId="0" fillId="3" borderId="0" xfId="0" applyFill="1"/>
    <xf numFmtId="3" fontId="0" fillId="3" borderId="0" xfId="0" applyNumberFormat="1" applyFill="1"/>
    <xf numFmtId="164" fontId="0" fillId="0" borderId="0" xfId="0" applyNumberFormat="1"/>
    <xf numFmtId="164" fontId="0" fillId="3" borderId="0" xfId="0" applyNumberFormat="1" applyFill="1"/>
    <xf numFmtId="164" fontId="0" fillId="0" borderId="0" xfId="0" applyNumberFormat="1" applyFill="1"/>
    <xf numFmtId="0" fontId="0" fillId="2" borderId="0" xfId="0" applyFill="1"/>
    <xf numFmtId="164" fontId="0" fillId="2" borderId="0" xfId="0" applyNumberFormat="1" applyFill="1"/>
    <xf numFmtId="0" fontId="0" fillId="0" borderId="3" xfId="0" applyBorder="1"/>
    <xf numFmtId="165" fontId="0" fillId="0" borderId="0" xfId="0" applyNumberFormat="1"/>
    <xf numFmtId="43" fontId="0" fillId="0" borderId="0" xfId="1" applyFont="1" applyFill="1"/>
    <xf numFmtId="3" fontId="0" fillId="0" borderId="0" xfId="0" applyNumberFormat="1" applyFill="1"/>
    <xf numFmtId="2" fontId="0" fillId="3" borderId="0" xfId="0" applyNumberFormat="1" applyFill="1"/>
    <xf numFmtId="166" fontId="0" fillId="0" borderId="0" xfId="1" applyNumberFormat="1" applyFont="1" applyFill="1"/>
    <xf numFmtId="0" fontId="0" fillId="0" borderId="0" xfId="0" applyFill="1"/>
    <xf numFmtId="2" fontId="0" fillId="0" borderId="0" xfId="0" applyNumberFormat="1"/>
    <xf numFmtId="165" fontId="0" fillId="3" borderId="0" xfId="0" applyNumberFormat="1" applyFill="1"/>
    <xf numFmtId="166" fontId="4" fillId="0" borderId="0" xfId="1" applyNumberFormat="1" applyFont="1" applyAlignment="1">
      <alignment horizontal="center"/>
    </xf>
    <xf numFmtId="0" fontId="0" fillId="0" borderId="2" xfId="0" applyBorder="1" applyAlignment="1"/>
    <xf numFmtId="0" fontId="5" fillId="0" borderId="0" xfId="0" applyFont="1" applyFill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66" fontId="0" fillId="0" borderId="0" xfId="1" applyNumberFormat="1" applyFont="1"/>
    <xf numFmtId="166" fontId="0" fillId="0" borderId="0" xfId="1" applyNumberFormat="1" applyFont="1" applyAlignment="1">
      <alignment horizontal="left" indent="3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4" fillId="0" borderId="0" xfId="0" applyFont="1" applyAlignment="1">
      <alignment horizontal="center"/>
    </xf>
    <xf numFmtId="166" fontId="5" fillId="0" borderId="0" xfId="1" applyNumberFormat="1" applyFont="1" applyFill="1"/>
    <xf numFmtId="164" fontId="5" fillId="0" borderId="0" xfId="0" applyNumberFormat="1" applyFont="1"/>
    <xf numFmtId="3" fontId="6" fillId="0" borderId="0" xfId="0" applyNumberFormat="1" applyFont="1"/>
    <xf numFmtId="165" fontId="0" fillId="0" borderId="0" xfId="0" applyNumberFormat="1" applyFill="1"/>
    <xf numFmtId="0" fontId="5" fillId="0" borderId="0" xfId="0" applyFont="1"/>
    <xf numFmtId="3" fontId="6" fillId="0" borderId="0" xfId="0" applyNumberFormat="1" applyFont="1" applyFill="1"/>
    <xf numFmtId="0" fontId="0" fillId="3" borderId="0" xfId="0" applyFill="1" applyAlignment="1">
      <alignment horizontal="right" indent="1"/>
    </xf>
    <xf numFmtId="164" fontId="6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Fill="1"/>
    <xf numFmtId="0" fontId="6" fillId="3" borderId="0" xfId="0" applyFont="1" applyFill="1" applyAlignment="1">
      <alignment horizontal="right" inden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cobertura potencial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(Anual!$B$4,Anual!$D$6,Anual!$F$5)</c:f>
              <c:strCache>
                <c:ptCount val="3"/>
                <c:pt idx="0">
                  <c:v>Total Programa</c:v>
                </c:pt>
                <c:pt idx="1">
                  <c:v>Adultos Mayores</c:v>
                </c:pt>
                <c:pt idx="2">
                  <c:v>Pensión Especial</c:v>
                </c:pt>
              </c:strCache>
            </c:strRef>
          </c:cat>
          <c:val>
            <c:numRef>
              <c:f>(Anual!$B$40,Anual!$D$40,Anual!$F$40)</c:f>
              <c:numCache>
                <c:formatCode>#,##0.0____</c:formatCode>
                <c:ptCount val="3"/>
                <c:pt idx="0">
                  <c:v>97.774227098906834</c:v>
                </c:pt>
                <c:pt idx="1">
                  <c:v>102.42739333094299</c:v>
                </c:pt>
                <c:pt idx="2">
                  <c:v>44.134781924106441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(Anual!$B$4,Anual!$D$6,Anual!$F$5)</c:f>
              <c:strCache>
                <c:ptCount val="3"/>
                <c:pt idx="0">
                  <c:v>Total Programa</c:v>
                </c:pt>
                <c:pt idx="1">
                  <c:v>Adultos Mayores</c:v>
                </c:pt>
                <c:pt idx="2">
                  <c:v>Pensión Especial</c:v>
                </c:pt>
              </c:strCache>
            </c:strRef>
          </c:cat>
          <c:val>
            <c:numRef>
              <c:f>(Anual!$B$41,Anual!$D$41,Anual!$F$41)</c:f>
              <c:numCache>
                <c:formatCode>#,##0.0____</c:formatCode>
                <c:ptCount val="3"/>
                <c:pt idx="0">
                  <c:v>99.907383840954722</c:v>
                </c:pt>
                <c:pt idx="1">
                  <c:v>76.112619303727229</c:v>
                </c:pt>
                <c:pt idx="2">
                  <c:v>42.09081247047709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59939288"/>
        <c:axId val="259939680"/>
      </c:barChart>
      <c:catAx>
        <c:axId val="25993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939680"/>
        <c:crosses val="autoZero"/>
        <c:auto val="1"/>
        <c:lblAlgn val="ctr"/>
        <c:lblOffset val="100"/>
        <c:noMultiLvlLbl val="0"/>
      </c:catAx>
      <c:valAx>
        <c:axId val="25993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93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resultado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(Anual!$B$44:$C$44,Anual!$F$44:$H$44)</c:f>
              <c:numCache>
                <c:formatCode>#,##0.0____</c:formatCode>
                <c:ptCount val="5"/>
                <c:pt idx="0">
                  <c:v>102.1817168034374</c:v>
                </c:pt>
                <c:pt idx="1">
                  <c:v>102.43637763853397</c:v>
                </c:pt>
                <c:pt idx="2">
                  <c:v>95.368801284338204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(Anual!$B$45:$C$45,Anual!$F$45:$H$45)</c:f>
              <c:numCache>
                <c:formatCode>#,##0.0____</c:formatCode>
                <c:ptCount val="5"/>
                <c:pt idx="0">
                  <c:v>99.434633801306276</c:v>
                </c:pt>
                <c:pt idx="1">
                  <c:v>96.326868569507411</c:v>
                </c:pt>
                <c:pt idx="2">
                  <c:v>88.892616974021948</c:v>
                </c:pt>
                <c:pt idx="3">
                  <c:v>116.27085372355315</c:v>
                </c:pt>
                <c:pt idx="4">
                  <c:v>196.45436787967424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(Anual!$B$46:$C$46,Anual!$F$46:$H$46)</c:f>
              <c:numCache>
                <c:formatCode>#,##0.0____</c:formatCode>
                <c:ptCount val="5"/>
                <c:pt idx="0">
                  <c:v>100.80817530237184</c:v>
                </c:pt>
                <c:pt idx="1">
                  <c:v>99.38162310402069</c:v>
                </c:pt>
                <c:pt idx="2">
                  <c:v>92.130709129180076</c:v>
                </c:pt>
                <c:pt idx="3">
                  <c:v>116.27085372355315</c:v>
                </c:pt>
                <c:pt idx="4">
                  <c:v>196.45436787967424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59940464"/>
        <c:axId val="357372864"/>
      </c:barChart>
      <c:catAx>
        <c:axId val="25994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2864"/>
        <c:crosses val="autoZero"/>
        <c:auto val="1"/>
        <c:lblAlgn val="ctr"/>
        <c:lblOffset val="100"/>
        <c:noMultiLvlLbl val="0"/>
      </c:catAx>
      <c:valAx>
        <c:axId val="35737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5994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avance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(Anual!$B$49:$C$49,Anual!$F$49:$H$49)</c:f>
              <c:numCache>
                <c:formatCode>#,##0.0____</c:formatCode>
                <c:ptCount val="5"/>
                <c:pt idx="0">
                  <c:v>102.1817168034374</c:v>
                </c:pt>
                <c:pt idx="1">
                  <c:v>102.43637763853397</c:v>
                </c:pt>
                <c:pt idx="2">
                  <c:v>95.368801284338204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(Anual!$B$50:$C$50,Anual!$F$50:$H$50)</c:f>
              <c:numCache>
                <c:formatCode>#,##0.0____</c:formatCode>
                <c:ptCount val="5"/>
                <c:pt idx="0">
                  <c:v>99.434633801306276</c:v>
                </c:pt>
                <c:pt idx="1">
                  <c:v>96.326868569507411</c:v>
                </c:pt>
                <c:pt idx="2">
                  <c:v>88.892616974021948</c:v>
                </c:pt>
                <c:pt idx="3">
                  <c:v>116.27085372355313</c:v>
                </c:pt>
                <c:pt idx="4">
                  <c:v>196.45436787967421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(Anual!$B$51:$C$51,Anual!$F$51:$H$51)</c:f>
              <c:numCache>
                <c:formatCode>#,##0.0____</c:formatCode>
                <c:ptCount val="5"/>
                <c:pt idx="0">
                  <c:v>100.80817530237184</c:v>
                </c:pt>
                <c:pt idx="1">
                  <c:v>99.38162310402069</c:v>
                </c:pt>
                <c:pt idx="2">
                  <c:v>92.130709129180076</c:v>
                </c:pt>
                <c:pt idx="3">
                  <c:v>116.27085372355313</c:v>
                </c:pt>
                <c:pt idx="4">
                  <c:v>196.45436787967421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57373648"/>
        <c:axId val="357374040"/>
      </c:barChart>
      <c:catAx>
        <c:axId val="35737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4040"/>
        <c:crosses val="autoZero"/>
        <c:auto val="1"/>
        <c:lblAlgn val="ctr"/>
        <c:lblOffset val="100"/>
        <c:noMultiLvlLbl val="0"/>
      </c:catAx>
      <c:valAx>
        <c:axId val="35737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RNC: Índice transferencia efectiva del gasto (ITG)</a:t>
            </a:r>
            <a:r>
              <a:rPr lang="en-US" baseline="0"/>
              <a:t> 2015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Anual!$B$54</c:f>
              <c:numCache>
                <c:formatCode>#,##0.0____</c:formatCode>
                <c:ptCount val="1"/>
                <c:pt idx="0">
                  <c:v>96.238822669750661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57374824"/>
        <c:axId val="357375216"/>
      </c:barChart>
      <c:catAx>
        <c:axId val="357374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5216"/>
        <c:crosses val="autoZero"/>
        <c:auto val="1"/>
        <c:lblAlgn val="ctr"/>
        <c:lblOffset val="100"/>
        <c:noMultiLvlLbl val="0"/>
      </c:catAx>
      <c:valAx>
        <c:axId val="35737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4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expansión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(Anual!$B$4,Anual!$C$6:$E$6,Anual!$F$5,Anual!$G$4,Anual!$H$4)</c:f>
              <c:strCache>
                <c:ptCount val="7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  <c:pt idx="5">
                  <c:v>Cuotas SS</c:v>
                </c:pt>
                <c:pt idx="6">
                  <c:v>Otros gastos</c:v>
                </c:pt>
              </c:strCache>
            </c:strRef>
          </c:cat>
          <c:val>
            <c:numRef>
              <c:f>Anual!$B$57:$H$57</c:f>
              <c:numCache>
                <c:formatCode>#,##0.0____</c:formatCode>
                <c:ptCount val="7"/>
                <c:pt idx="0">
                  <c:v>4.0600722470636841</c:v>
                </c:pt>
                <c:pt idx="1">
                  <c:v>3.9826662560534576</c:v>
                </c:pt>
                <c:pt idx="2">
                  <c:v>4.5876639373108485</c:v>
                </c:pt>
                <c:pt idx="3">
                  <c:v>2.4175143849086034</c:v>
                </c:pt>
                <c:pt idx="4">
                  <c:v>6.3346841359421369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(Anual!$B$4,Anual!$C$6:$E$6,Anual!$F$5,Anual!$G$4,Anual!$H$4)</c:f>
              <c:strCache>
                <c:ptCount val="7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  <c:pt idx="5">
                  <c:v>Cuotas SS</c:v>
                </c:pt>
                <c:pt idx="6">
                  <c:v>Otros gastos</c:v>
                </c:pt>
              </c:strCache>
            </c:strRef>
          </c:cat>
          <c:val>
            <c:numRef>
              <c:f>Anual!$B$58:$H$58</c:f>
              <c:numCache>
                <c:formatCode>#,##0.0____</c:formatCode>
                <c:ptCount val="7"/>
                <c:pt idx="0">
                  <c:v>3.4928868402922086</c:v>
                </c:pt>
                <c:pt idx="1">
                  <c:v>2.5704115842777764</c:v>
                </c:pt>
                <c:pt idx="2">
                  <c:v>3.1756004170943708</c:v>
                </c:pt>
                <c:pt idx="3">
                  <c:v>1.0044344186548315</c:v>
                </c:pt>
                <c:pt idx="4">
                  <c:v>10.826959990025763</c:v>
                </c:pt>
                <c:pt idx="5">
                  <c:v>4.3052745731499753</c:v>
                </c:pt>
                <c:pt idx="6">
                  <c:v>4.0760121080733347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(Anual!$B$4,Anual!$C$6:$E$6,Anual!$F$5,Anual!$G$4,Anual!$H$4)</c:f>
              <c:strCache>
                <c:ptCount val="7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  <c:pt idx="5">
                  <c:v>Cuotas SS</c:v>
                </c:pt>
                <c:pt idx="6">
                  <c:v>Otros gastos</c:v>
                </c:pt>
              </c:strCache>
            </c:strRef>
          </c:cat>
          <c:val>
            <c:numRef>
              <c:f>Anual!$B$59:$H$59</c:f>
              <c:numCache>
                <c:formatCode>#,##0.0____</c:formatCode>
                <c:ptCount val="7"/>
                <c:pt idx="0">
                  <c:v>-0.54505574955284741</c:v>
                </c:pt>
                <c:pt idx="1">
                  <c:v>-1.3581635503537193</c:v>
                </c:pt>
                <c:pt idx="2">
                  <c:v>-1.3501243522016537</c:v>
                </c:pt>
                <c:pt idx="3">
                  <c:v>-1.3797249178915671</c:v>
                </c:pt>
                <c:pt idx="4">
                  <c:v>4.2246571667439614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57376000"/>
        <c:axId val="357376392"/>
      </c:barChart>
      <c:catAx>
        <c:axId val="35737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6392"/>
        <c:crosses val="autoZero"/>
        <c:auto val="1"/>
        <c:lblAlgn val="ctr"/>
        <c:lblOffset val="100"/>
        <c:noMultiLvlLbl val="0"/>
      </c:catAx>
      <c:valAx>
        <c:axId val="35737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gasto medio 2015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(Anual!$B$4,Anual!$C$6:$E$6,Anual!$F$5)</c:f>
              <c:strCache>
                <c:ptCount val="5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1224173.7458000968</c:v>
                </c:pt>
                <c:pt idx="1">
                  <c:v>999339.23758182523</c:v>
                </c:pt>
                <c:pt idx="4">
                  <c:v>3311153.9846307524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(Anual!$B$4,Anual!$C$6:$E$6,Anual!$F$5)</c:f>
              <c:strCache>
                <c:ptCount val="5"/>
                <c:pt idx="0">
                  <c:v>Total Programa</c:v>
                </c:pt>
                <c:pt idx="1">
                  <c:v>Total</c:v>
                </c:pt>
                <c:pt idx="2">
                  <c:v>Adultos Mayores</c:v>
                </c:pt>
                <c:pt idx="3">
                  <c:v>Otros</c:v>
                </c:pt>
                <c:pt idx="4">
                  <c:v>Pensión Especial</c:v>
                </c:pt>
              </c:strCache>
            </c:strRef>
          </c:cat>
          <c:val>
            <c:numRef>
              <c:f>Anual!$B$66:$F$66</c:f>
              <c:numCache>
                <c:formatCode>#,##0</c:formatCode>
                <c:ptCount val="5"/>
                <c:pt idx="0">
                  <c:v>1191262.7026708086</c:v>
                </c:pt>
                <c:pt idx="1">
                  <c:v>939736.66010115168</c:v>
                </c:pt>
                <c:pt idx="2">
                  <c:v>939868.59311246849</c:v>
                </c:pt>
                <c:pt idx="3">
                  <c:v>939388.11219274369</c:v>
                </c:pt>
                <c:pt idx="4">
                  <c:v>3086304.3147646771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357377568"/>
        <c:axId val="357377960"/>
      </c:barChart>
      <c:catAx>
        <c:axId val="35737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7960"/>
        <c:crosses val="autoZero"/>
        <c:auto val="1"/>
        <c:lblAlgn val="ctr"/>
        <c:lblOffset val="100"/>
        <c:noMultiLvlLbl val="0"/>
      </c:catAx>
      <c:valAx>
        <c:axId val="35737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RNC: Índice de eficiencia (IE) 2015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(Anual!$B$4,Anual!$C$5,Anual!$F$5)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(Anual!$B$64:$C$64,Anual!$F$64)</c:f>
              <c:numCache>
                <c:formatCode>#,##0.0</c:formatCode>
                <c:ptCount val="3"/>
                <c:pt idx="0">
                  <c:v>103.59320516834759</c:v>
                </c:pt>
                <c:pt idx="1">
                  <c:v>105.68487926365046</c:v>
                </c:pt>
                <c:pt idx="2">
                  <c:v>98.842801463407028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57378744"/>
        <c:axId val="357379136"/>
      </c:barChart>
      <c:catAx>
        <c:axId val="35737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9136"/>
        <c:crosses val="autoZero"/>
        <c:auto val="1"/>
        <c:lblAlgn val="ctr"/>
        <c:lblOffset val="100"/>
        <c:noMultiLvlLbl val="0"/>
      </c:catAx>
      <c:valAx>
        <c:axId val="3573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RNC: Indicadores de giro de recursos 2015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#,##0.0____</c:formatCode>
                <c:ptCount val="2"/>
                <c:pt idx="0">
                  <c:v>99.838765479278024</c:v>
                </c:pt>
                <c:pt idx="1">
                  <c:v>99.595215669953745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57377176"/>
        <c:axId val="357379920"/>
      </c:barChart>
      <c:catAx>
        <c:axId val="35737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9920"/>
        <c:crosses val="autoZero"/>
        <c:auto val="1"/>
        <c:lblAlgn val="ctr"/>
        <c:lblOffset val="100"/>
        <c:noMultiLvlLbl val="0"/>
      </c:catAx>
      <c:valAx>
        <c:axId val="35737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5737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21166</xdr:colOff>
      <xdr:row>16</xdr:row>
      <xdr:rowOff>189440</xdr:rowOff>
    </xdr:from>
    <xdr:to>
      <xdr:col>15</xdr:col>
      <xdr:colOff>21166</xdr:colOff>
      <xdr:row>31</xdr:row>
      <xdr:rowOff>75140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761999</xdr:colOff>
      <xdr:row>32</xdr:row>
      <xdr:rowOff>189441</xdr:rowOff>
    </xdr:from>
    <xdr:to>
      <xdr:col>14</xdr:col>
      <xdr:colOff>761999</xdr:colOff>
      <xdr:row>47</xdr:row>
      <xdr:rowOff>75141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48</xdr:row>
      <xdr:rowOff>20108</xdr:rowOff>
    </xdr:from>
    <xdr:to>
      <xdr:col>15</xdr:col>
      <xdr:colOff>0</xdr:colOff>
      <xdr:row>62</xdr:row>
      <xdr:rowOff>96308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10583</xdr:colOff>
      <xdr:row>63</xdr:row>
      <xdr:rowOff>189440</xdr:rowOff>
    </xdr:from>
    <xdr:to>
      <xdr:col>15</xdr:col>
      <xdr:colOff>10583</xdr:colOff>
      <xdr:row>78</xdr:row>
      <xdr:rowOff>53973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3672416</xdr:colOff>
      <xdr:row>84</xdr:row>
      <xdr:rowOff>9524</xdr:rowOff>
    </xdr:from>
    <xdr:to>
      <xdr:col>5</xdr:col>
      <xdr:colOff>201083</xdr:colOff>
      <xdr:row>98</xdr:row>
      <xdr:rowOff>85724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814916</xdr:colOff>
      <xdr:row>83</xdr:row>
      <xdr:rowOff>189440</xdr:rowOff>
    </xdr:from>
    <xdr:to>
      <xdr:col>10</xdr:col>
      <xdr:colOff>603249</xdr:colOff>
      <xdr:row>98</xdr:row>
      <xdr:rowOff>75140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84666</xdr:colOff>
      <xdr:row>83</xdr:row>
      <xdr:rowOff>157690</xdr:rowOff>
    </xdr:from>
    <xdr:to>
      <xdr:col>17</xdr:col>
      <xdr:colOff>84666</xdr:colOff>
      <xdr:row>98</xdr:row>
      <xdr:rowOff>43390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10583</xdr:colOff>
      <xdr:row>101</xdr:row>
      <xdr:rowOff>20108</xdr:rowOff>
    </xdr:from>
    <xdr:to>
      <xdr:col>5</xdr:col>
      <xdr:colOff>211667</xdr:colOff>
      <xdr:row>115</xdr:row>
      <xdr:rowOff>96308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Régimen No Contributivo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gasto efectivo promedio para las Pensiones Ordinarias puede ser más bajo que el programado, debido a que se están reportando todos los beneficiarios (Fodesaf más otras fuentes) pero sólo el gasto Fodesaf. No se puede distinguir entre beneficiarios de acuerdo a la fuente de financiamiento.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último trimestre incluye el pago de aguinaldo.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son los mismos de un mes a otro en su mayoría; sin embargo, puede haber entradas y salidas de algunos beneficiarios.</a:t>
          </a:r>
          <a:r>
            <a:rPr lang="es-CR"/>
            <a:t> </a:t>
          </a:r>
          <a:endParaRPr lang="es-CR" sz="1100" baseline="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topLeftCell="A10" zoomScale="70" zoomScaleNormal="70" workbookViewId="0">
      <selection activeCell="D40" sqref="D40"/>
    </sheetView>
  </sheetViews>
  <sheetFormatPr baseColWidth="10" defaultColWidth="11.42578125" defaultRowHeight="15" x14ac:dyDescent="0.25"/>
  <cols>
    <col min="1" max="1" width="55" style="1" customWidth="1"/>
    <col min="2" max="3" width="20.5703125" style="1" customWidth="1"/>
    <col min="4" max="4" width="16.140625" style="1" customWidth="1"/>
    <col min="5" max="5" width="17" style="1" customWidth="1"/>
    <col min="6" max="6" width="20.28515625" style="1" customWidth="1"/>
    <col min="7" max="7" width="16.140625" style="1" customWidth="1"/>
    <col min="8" max="8" width="17.5703125" style="1" bestFit="1" customWidth="1"/>
    <col min="9" max="9" width="17.85546875" style="1" bestFit="1" customWidth="1"/>
    <col min="10" max="16384" width="11.42578125" style="1"/>
  </cols>
  <sheetData>
    <row r="1" spans="1:13" x14ac:dyDescent="0.25">
      <c r="F1" s="30"/>
      <c r="G1" s="25"/>
      <c r="H1" s="25"/>
      <c r="I1" s="21"/>
      <c r="J1" s="25"/>
      <c r="K1" s="25"/>
      <c r="L1" s="25"/>
      <c r="M1" s="25"/>
    </row>
    <row r="2" spans="1:13" ht="15.75" x14ac:dyDescent="0.25">
      <c r="A2" s="52" t="s">
        <v>83</v>
      </c>
      <c r="B2" s="52"/>
      <c r="C2" s="52"/>
      <c r="D2" s="52"/>
      <c r="E2" s="52"/>
      <c r="F2" s="52"/>
      <c r="G2" s="52"/>
      <c r="H2" s="52"/>
    </row>
    <row r="3" spans="1:13" x14ac:dyDescent="0.25">
      <c r="I3" s="43"/>
    </row>
    <row r="4" spans="1:13" x14ac:dyDescent="0.25">
      <c r="A4" s="50" t="s">
        <v>0</v>
      </c>
      <c r="B4" s="31"/>
      <c r="C4" s="31"/>
      <c r="D4" s="36"/>
      <c r="E4" s="37" t="s">
        <v>1</v>
      </c>
      <c r="F4" s="29"/>
      <c r="G4" s="50" t="s">
        <v>2</v>
      </c>
      <c r="H4" s="50" t="s">
        <v>3</v>
      </c>
      <c r="I4" s="43"/>
      <c r="J4" s="43"/>
    </row>
    <row r="5" spans="1:13" ht="15.75" thickBot="1" x14ac:dyDescent="0.3">
      <c r="A5" s="51"/>
      <c r="B5" s="32" t="s">
        <v>38</v>
      </c>
      <c r="C5" s="53" t="s">
        <v>39</v>
      </c>
      <c r="D5" s="53"/>
      <c r="E5" s="53"/>
      <c r="F5" s="2" t="s">
        <v>57</v>
      </c>
      <c r="G5" s="51"/>
      <c r="H5" s="51"/>
    </row>
    <row r="6" spans="1:13" ht="15.75" thickTop="1" x14ac:dyDescent="0.25">
      <c r="C6" s="38" t="s">
        <v>58</v>
      </c>
      <c r="D6" s="28" t="s">
        <v>51</v>
      </c>
      <c r="E6" s="28" t="s">
        <v>52</v>
      </c>
    </row>
    <row r="7" spans="1:13" x14ac:dyDescent="0.25">
      <c r="A7" s="3" t="s">
        <v>4</v>
      </c>
    </row>
    <row r="9" spans="1:13" x14ac:dyDescent="0.25">
      <c r="A9" s="1" t="s">
        <v>46</v>
      </c>
    </row>
    <row r="10" spans="1:13" x14ac:dyDescent="0.25">
      <c r="A10" s="4" t="s">
        <v>59</v>
      </c>
      <c r="B10" s="22">
        <f>+C10+F10</f>
        <v>100465.66666666667</v>
      </c>
      <c r="C10" s="22">
        <f>SUM(D10:E10)</f>
        <v>97178.666666666672</v>
      </c>
      <c r="D10" s="22">
        <v>70010.666666666672</v>
      </c>
      <c r="E10" s="5">
        <v>27168</v>
      </c>
      <c r="F10" s="5">
        <v>3287</v>
      </c>
      <c r="G10" s="5"/>
    </row>
    <row r="11" spans="1:13" x14ac:dyDescent="0.25">
      <c r="A11" s="4" t="s">
        <v>84</v>
      </c>
      <c r="B11" s="22">
        <f t="shared" ref="B11:B13" si="0">+C11+F11</f>
        <v>102198.33333333333</v>
      </c>
      <c r="C11" s="22">
        <v>98565</v>
      </c>
      <c r="D11" s="22"/>
      <c r="E11" s="22"/>
      <c r="F11" s="22">
        <v>3633.3333333333335</v>
      </c>
      <c r="G11" s="5"/>
    </row>
    <row r="12" spans="1:13" x14ac:dyDescent="0.25">
      <c r="A12" s="4" t="s">
        <v>85</v>
      </c>
      <c r="B12" s="22">
        <f t="shared" si="0"/>
        <v>104345.33333333333</v>
      </c>
      <c r="C12" s="22">
        <f t="shared" ref="C12" si="1">SUM(D12:E12)</f>
        <v>100868</v>
      </c>
      <c r="D12" s="22">
        <v>73015</v>
      </c>
      <c r="E12" s="5">
        <v>27853</v>
      </c>
      <c r="F12" s="5">
        <v>3477.3333333333335</v>
      </c>
      <c r="G12" s="5"/>
    </row>
    <row r="13" spans="1:13" x14ac:dyDescent="0.25">
      <c r="A13" s="4" t="s">
        <v>86</v>
      </c>
      <c r="B13" s="22">
        <f t="shared" si="0"/>
        <v>103721.83333333333</v>
      </c>
      <c r="C13" s="22">
        <v>99984.5</v>
      </c>
      <c r="D13" s="22"/>
      <c r="E13" s="22"/>
      <c r="F13" s="22">
        <v>3737.3333333333335</v>
      </c>
      <c r="G13" s="5"/>
    </row>
    <row r="14" spans="1:13" x14ac:dyDescent="0.25">
      <c r="C14" s="22"/>
    </row>
    <row r="15" spans="1:13" x14ac:dyDescent="0.25">
      <c r="A15" s="6" t="s">
        <v>5</v>
      </c>
      <c r="C15" s="22"/>
    </row>
    <row r="16" spans="1:13" x14ac:dyDescent="0.25">
      <c r="A16" s="4" t="s">
        <v>59</v>
      </c>
      <c r="B16" s="5">
        <f>+C16+F16+G16+H16</f>
        <v>26952764971.850002</v>
      </c>
      <c r="C16" s="22">
        <f t="shared" ref="C16:C20" si="2">SUM(D16:E16)</f>
        <v>20909066523.080002</v>
      </c>
      <c r="D16" s="5">
        <v>15059626163.111042</v>
      </c>
      <c r="E16" s="22">
        <v>5849440359.9689589</v>
      </c>
      <c r="F16" s="22">
        <v>2355942437</v>
      </c>
      <c r="G16" s="22">
        <v>2371839670.8599997</v>
      </c>
      <c r="H16" s="22">
        <v>1315916340.9099998</v>
      </c>
    </row>
    <row r="17" spans="1:8" x14ac:dyDescent="0.25">
      <c r="A17" s="4" t="s">
        <v>84</v>
      </c>
      <c r="B17" s="5">
        <f t="shared" ref="B17:B18" si="3">+C17+F17+G17+H17</f>
        <v>28612652968.59</v>
      </c>
      <c r="C17" s="22">
        <v>22177125000</v>
      </c>
      <c r="D17" s="5"/>
      <c r="E17" s="22"/>
      <c r="F17" s="22">
        <v>2765471700</v>
      </c>
      <c r="G17" s="22">
        <v>3065755629.3000002</v>
      </c>
      <c r="H17" s="22">
        <v>604300639.28999996</v>
      </c>
    </row>
    <row r="18" spans="1:8" x14ac:dyDescent="0.25">
      <c r="A18" s="4" t="s">
        <v>85</v>
      </c>
      <c r="B18" s="5">
        <f t="shared" si="3"/>
        <v>28243946388.869999</v>
      </c>
      <c r="C18" s="22">
        <f t="shared" si="2"/>
        <v>21229736098.25</v>
      </c>
      <c r="D18" s="5">
        <v>15368202913.89452</v>
      </c>
      <c r="E18" s="22">
        <v>5861533184.3554802</v>
      </c>
      <c r="F18" s="22">
        <v>2673683176</v>
      </c>
      <c r="G18" s="22">
        <v>3224027114.6199999</v>
      </c>
      <c r="H18" s="22">
        <v>1116500000</v>
      </c>
    </row>
    <row r="19" spans="1:8" x14ac:dyDescent="0.25">
      <c r="A19" s="4" t="s">
        <v>86</v>
      </c>
      <c r="B19" s="5">
        <f>+C19+F19+G19+H19</f>
        <v>126973545232.92</v>
      </c>
      <c r="C19" s="22">
        <v>99918434000</v>
      </c>
      <c r="D19" s="22"/>
      <c r="E19" s="22"/>
      <c r="F19" s="22">
        <v>12374886158.559999</v>
      </c>
      <c r="G19" s="22">
        <v>12263022517.200003</v>
      </c>
      <c r="H19" s="22">
        <v>2417202557.1600003</v>
      </c>
    </row>
    <row r="20" spans="1:8" x14ac:dyDescent="0.25">
      <c r="A20" s="4" t="s">
        <v>87</v>
      </c>
      <c r="B20" s="41">
        <f>C20+F20+G20</f>
        <v>27127446388.869999</v>
      </c>
      <c r="C20" s="22">
        <f t="shared" si="2"/>
        <v>21229736098.25</v>
      </c>
      <c r="D20" s="5">
        <f>D18</f>
        <v>15368202913.89452</v>
      </c>
      <c r="E20" s="5">
        <f t="shared" ref="E20:G20" si="4">E18</f>
        <v>5861533184.3554802</v>
      </c>
      <c r="F20" s="5">
        <f t="shared" si="4"/>
        <v>2673683176</v>
      </c>
      <c r="G20" s="41">
        <f t="shared" si="4"/>
        <v>3224027114.6199999</v>
      </c>
      <c r="H20" s="5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84</v>
      </c>
      <c r="B23" s="8">
        <f>+B17</f>
        <v>28612652968.59</v>
      </c>
      <c r="C23" s="8"/>
      <c r="D23" s="8"/>
      <c r="E23" s="8"/>
      <c r="F23" s="8"/>
      <c r="G23" s="8"/>
      <c r="H23" s="8"/>
    </row>
    <row r="24" spans="1:8" x14ac:dyDescent="0.25">
      <c r="A24" s="9" t="s">
        <v>85</v>
      </c>
      <c r="B24" s="8">
        <v>34329383836.799999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60</v>
      </c>
      <c r="B27" s="23">
        <v>0.96</v>
      </c>
      <c r="C27" s="23">
        <v>0.96</v>
      </c>
      <c r="D27" s="23">
        <v>0.96</v>
      </c>
      <c r="E27" s="23">
        <v>0.96</v>
      </c>
      <c r="F27" s="23">
        <v>0.96</v>
      </c>
      <c r="G27" s="23">
        <v>0.96</v>
      </c>
      <c r="H27" s="23">
        <v>0.96</v>
      </c>
    </row>
    <row r="28" spans="1:8" x14ac:dyDescent="0.25">
      <c r="A28" s="10" t="s">
        <v>88</v>
      </c>
      <c r="B28" s="23">
        <v>1</v>
      </c>
      <c r="C28" s="23">
        <v>1</v>
      </c>
      <c r="D28" s="23">
        <v>1</v>
      </c>
      <c r="E28" s="23">
        <v>1</v>
      </c>
      <c r="F28" s="23">
        <v>1</v>
      </c>
      <c r="G28" s="23">
        <v>1</v>
      </c>
      <c r="H28" s="23">
        <v>1</v>
      </c>
    </row>
    <row r="29" spans="1:8" x14ac:dyDescent="0.25">
      <c r="A29" s="4" t="s">
        <v>8</v>
      </c>
      <c r="B29" s="24">
        <f>+D29+F29</f>
        <v>106083</v>
      </c>
      <c r="C29" s="39"/>
      <c r="D29" s="24">
        <v>97615</v>
      </c>
      <c r="E29" s="24" t="s">
        <v>53</v>
      </c>
      <c r="F29" s="24">
        <v>8468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61</v>
      </c>
      <c r="B32" s="13">
        <f>B16/B27</f>
        <v>28075796845.677086</v>
      </c>
      <c r="C32" s="13">
        <f t="shared" ref="C32:D32" si="5">C16/C27</f>
        <v>21780277628.208336</v>
      </c>
      <c r="D32" s="13">
        <f t="shared" si="5"/>
        <v>15687110586.574003</v>
      </c>
      <c r="E32" s="13">
        <f t="shared" ref="E32:H32" si="6">E16/E27</f>
        <v>6093167041.6343327</v>
      </c>
      <c r="F32" s="13">
        <f t="shared" si="6"/>
        <v>2454106705.2083335</v>
      </c>
      <c r="G32" s="13">
        <f t="shared" si="6"/>
        <v>2470666323.8124995</v>
      </c>
      <c r="H32" s="13">
        <f t="shared" si="6"/>
        <v>1370746188.4479165</v>
      </c>
    </row>
    <row r="33" spans="1:8" x14ac:dyDescent="0.25">
      <c r="A33" s="12" t="s">
        <v>89</v>
      </c>
      <c r="B33" s="13">
        <f>B18/B28</f>
        <v>28243946388.869999</v>
      </c>
      <c r="C33" s="13">
        <f t="shared" ref="C33:D33" si="7">C18/C28</f>
        <v>21229736098.25</v>
      </c>
      <c r="D33" s="13">
        <f t="shared" si="7"/>
        <v>15368202913.89452</v>
      </c>
      <c r="E33" s="13">
        <f t="shared" ref="E33:H33" si="8">E18/E28</f>
        <v>5861533184.3554802</v>
      </c>
      <c r="F33" s="13">
        <f t="shared" si="8"/>
        <v>2673683176</v>
      </c>
      <c r="G33" s="13">
        <f t="shared" si="8"/>
        <v>3224027114.6199999</v>
      </c>
      <c r="H33" s="13">
        <f t="shared" si="8"/>
        <v>1116500000</v>
      </c>
    </row>
    <row r="34" spans="1:8" x14ac:dyDescent="0.25">
      <c r="A34" s="12" t="s">
        <v>62</v>
      </c>
      <c r="B34" s="13">
        <f>B32/B10</f>
        <v>279456.63207341562</v>
      </c>
      <c r="C34" s="13">
        <f t="shared" ref="C34:D34" si="9">C32/C10</f>
        <v>224126.12124960555</v>
      </c>
      <c r="D34" s="13">
        <f t="shared" si="9"/>
        <v>224067.43619887449</v>
      </c>
      <c r="E34" s="13">
        <f t="shared" ref="E34:F34" si="10">E32/E10</f>
        <v>224277.34988347808</v>
      </c>
      <c r="F34" s="13">
        <f t="shared" si="10"/>
        <v>746609.88901987637</v>
      </c>
      <c r="G34" s="13"/>
      <c r="H34" s="13"/>
    </row>
    <row r="35" spans="1:8" x14ac:dyDescent="0.25">
      <c r="A35" s="12" t="s">
        <v>90</v>
      </c>
      <c r="B35" s="13">
        <f>B33/B12</f>
        <v>270677.61908090446</v>
      </c>
      <c r="C35" s="13">
        <f t="shared" ref="C35:D35" si="11">C33/C12</f>
        <v>210470.47724005632</v>
      </c>
      <c r="D35" s="13">
        <f t="shared" si="11"/>
        <v>210480.07825644757</v>
      </c>
      <c r="E35" s="13">
        <f t="shared" ref="E35:F35" si="12">E33/E12</f>
        <v>210445.3087407274</v>
      </c>
      <c r="F35" s="13">
        <f t="shared" si="12"/>
        <v>768888.95015337423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(B11/B29)*100</f>
        <v>96.338087472387969</v>
      </c>
      <c r="C40" s="14"/>
      <c r="D40" s="14">
        <f>(C11)/D29*100</f>
        <v>100.97321108436203</v>
      </c>
      <c r="E40" s="14"/>
      <c r="F40" s="14">
        <f>(F11)/F29*100</f>
        <v>42.90662887734215</v>
      </c>
      <c r="G40" s="14"/>
    </row>
    <row r="41" spans="1:8" x14ac:dyDescent="0.25">
      <c r="A41" s="1" t="s">
        <v>13</v>
      </c>
      <c r="B41" s="14">
        <f>(B12/B29)*100</f>
        <v>98.361974428827736</v>
      </c>
      <c r="C41" s="40"/>
      <c r="D41" s="14">
        <f>(D12)/D29*100</f>
        <v>74.798955078625212</v>
      </c>
      <c r="E41" s="14"/>
      <c r="F41" s="14">
        <f t="shared" ref="F41" si="13">(F12)/F29*100</f>
        <v>41.064399307195721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102.1008170387645</v>
      </c>
      <c r="C44" s="14">
        <f>C12/C11*100</f>
        <v>102.33652919393295</v>
      </c>
      <c r="D44" s="14"/>
      <c r="E44" s="14"/>
      <c r="F44" s="14">
        <f>F12/F11*100</f>
        <v>95.706422018348619</v>
      </c>
      <c r="G44" s="14"/>
      <c r="H44" s="14"/>
    </row>
    <row r="45" spans="1:8" x14ac:dyDescent="0.25">
      <c r="A45" s="1" t="s">
        <v>16</v>
      </c>
      <c r="B45" s="14">
        <f>B18/B17*100</f>
        <v>98.711386252352213</v>
      </c>
      <c r="C45" s="14">
        <f>C18/C17*100</f>
        <v>95.728080615724537</v>
      </c>
      <c r="D45" s="14"/>
      <c r="E45" s="14"/>
      <c r="F45" s="14">
        <f>F18/F17*100</f>
        <v>96.680908938608923</v>
      </c>
      <c r="G45" s="14">
        <f>G18/G17*100</f>
        <v>105.16256037524224</v>
      </c>
      <c r="H45" s="14">
        <f>H18/H17*100</f>
        <v>184.75903009333058</v>
      </c>
    </row>
    <row r="46" spans="1:8" x14ac:dyDescent="0.25">
      <c r="A46" s="12" t="s">
        <v>17</v>
      </c>
      <c r="B46" s="15">
        <f>AVERAGE(B44:B45)</f>
        <v>100.40610164555835</v>
      </c>
      <c r="C46" s="15">
        <f>AVERAGE(C44:C45)</f>
        <v>99.032304904828749</v>
      </c>
      <c r="D46" s="15"/>
      <c r="E46" s="15"/>
      <c r="F46" s="15">
        <f t="shared" ref="F46:H46" si="14">AVERAGE(F44:F45)</f>
        <v>96.193665478478778</v>
      </c>
      <c r="G46" s="15">
        <f>AVERAGE(G44:G45)</f>
        <v>105.16256037524224</v>
      </c>
      <c r="H46" s="15">
        <f t="shared" si="14"/>
        <v>184.75903009333058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9" x14ac:dyDescent="0.25">
      <c r="A49" s="1" t="s">
        <v>19</v>
      </c>
      <c r="B49" s="16">
        <f>B12/(B13)*100</f>
        <v>100.601127052967</v>
      </c>
      <c r="C49" s="16">
        <f t="shared" ref="C49:F49" si="15">C12/(C13)*100</f>
        <v>100.88363696372937</v>
      </c>
      <c r="D49" s="16"/>
      <c r="E49" s="16"/>
      <c r="F49" s="16">
        <f t="shared" si="15"/>
        <v>93.043168034249021</v>
      </c>
      <c r="G49" s="16"/>
      <c r="H49" s="16"/>
      <c r="I49" s="43"/>
    </row>
    <row r="50" spans="1:9" x14ac:dyDescent="0.25">
      <c r="A50" s="1" t="s">
        <v>20</v>
      </c>
      <c r="B50" s="14">
        <f>B18/B19*100</f>
        <v>22.243961399250029</v>
      </c>
      <c r="C50" s="14">
        <f>C18/C19*100</f>
        <v>21.24706648049548</v>
      </c>
      <c r="D50" s="14"/>
      <c r="E50" s="14"/>
      <c r="F50" s="14">
        <f>F18/F19*100</f>
        <v>21.605719371814587</v>
      </c>
      <c r="G50" s="14">
        <f>G18/G19*100</f>
        <v>26.290640093810552</v>
      </c>
      <c r="H50" s="14">
        <f>H18/H19*100</f>
        <v>46.189757523332631</v>
      </c>
    </row>
    <row r="51" spans="1:9" x14ac:dyDescent="0.25">
      <c r="A51" s="1" t="s">
        <v>21</v>
      </c>
      <c r="B51" s="14">
        <f>(B49+B50)/2</f>
        <v>61.422544226108513</v>
      </c>
      <c r="C51" s="14">
        <f t="shared" ref="C51" si="16">(C49+C50)/2</f>
        <v>61.065351722112425</v>
      </c>
      <c r="D51" s="14"/>
      <c r="E51" s="14"/>
      <c r="F51" s="14">
        <f t="shared" ref="F51" si="17">(F49+F50)/2</f>
        <v>57.324443703031804</v>
      </c>
      <c r="G51" s="16">
        <f>AVERAGE(G49:G50)</f>
        <v>26.290640093810552</v>
      </c>
      <c r="H51" s="16">
        <f t="shared" ref="H51" si="18">AVERAGE(H49:H50)</f>
        <v>46.189757523332631</v>
      </c>
    </row>
    <row r="53" spans="1:9" x14ac:dyDescent="0.25">
      <c r="A53" s="1" t="s">
        <v>33</v>
      </c>
    </row>
    <row r="54" spans="1:9" x14ac:dyDescent="0.25">
      <c r="A54" s="1" t="s">
        <v>22</v>
      </c>
      <c r="B54" s="14">
        <f>(B20/B18)*100</f>
        <v>96.046940520889905</v>
      </c>
      <c r="C54" s="14"/>
      <c r="D54" s="14"/>
      <c r="E54" s="14"/>
      <c r="F54" s="14"/>
      <c r="G54" s="14"/>
      <c r="H54" s="14"/>
    </row>
    <row r="56" spans="1:9" x14ac:dyDescent="0.25">
      <c r="A56" s="1" t="s">
        <v>23</v>
      </c>
    </row>
    <row r="57" spans="1:9" x14ac:dyDescent="0.25">
      <c r="A57" s="1" t="s">
        <v>24</v>
      </c>
      <c r="B57" s="14">
        <f>((B12/B10)-1)*100</f>
        <v>3.8616840910825179</v>
      </c>
      <c r="C57" s="14">
        <f>((C12/C10)-1)*100</f>
        <v>3.7964436639042809</v>
      </c>
      <c r="D57" s="14">
        <f t="shared" ref="D57:F57" si="19">((D12/D10)-1)*100</f>
        <v>4.2912508570122521</v>
      </c>
      <c r="E57" s="14">
        <f t="shared" si="19"/>
        <v>2.5213486454652489</v>
      </c>
      <c r="F57" s="14">
        <f t="shared" si="19"/>
        <v>5.7904877801440158</v>
      </c>
      <c r="G57" s="14"/>
      <c r="H57" s="14"/>
    </row>
    <row r="58" spans="1:9" x14ac:dyDescent="0.25">
      <c r="A58" s="1" t="s">
        <v>25</v>
      </c>
      <c r="B58" s="14">
        <f>((B33/B32)-1)*100</f>
        <v>0.59891280777237821</v>
      </c>
      <c r="C58" s="14">
        <f>((C33/C32)-1)*100</f>
        <v>-2.5277066681891669</v>
      </c>
      <c r="D58" s="14">
        <f t="shared" ref="D58" si="20">((D33/D32)-1)*100</f>
        <v>-2.0329280584814868</v>
      </c>
      <c r="E58" s="14">
        <f t="shared" ref="E58:G58" si="21">((E33/E32)-1)*100</f>
        <v>-3.8015346649141413</v>
      </c>
      <c r="F58" s="14">
        <f t="shared" si="21"/>
        <v>8.9473073980711924</v>
      </c>
      <c r="G58" s="14">
        <f t="shared" si="21"/>
        <v>30.492211090852006</v>
      </c>
      <c r="H58" s="14">
        <f>((H33/H32)-1)*100</f>
        <v>-18.548013526544782</v>
      </c>
    </row>
    <row r="59" spans="1:9" x14ac:dyDescent="0.25">
      <c r="A59" s="12" t="s">
        <v>26</v>
      </c>
      <c r="B59" s="15">
        <f>((B35/B34)-1)*100</f>
        <v>-3.141458095796712</v>
      </c>
      <c r="C59" s="15">
        <f>((C35/C34)-1)*100</f>
        <v>-6.0928391271007465</v>
      </c>
      <c r="D59" s="15">
        <f t="shared" ref="D59:F59" si="22">((D35/D34)-1)*100</f>
        <v>-6.0639592137642246</v>
      </c>
      <c r="E59" s="15">
        <f t="shared" si="22"/>
        <v>-6.167382105209029</v>
      </c>
      <c r="F59" s="15">
        <f t="shared" si="22"/>
        <v>2.9840297404505334</v>
      </c>
      <c r="G59" s="15"/>
      <c r="H59" s="15"/>
    </row>
    <row r="60" spans="1:9" x14ac:dyDescent="0.25">
      <c r="B60" s="16"/>
      <c r="C60" s="16"/>
      <c r="D60" s="16"/>
      <c r="E60" s="16"/>
      <c r="F60" s="16"/>
      <c r="G60" s="16"/>
      <c r="H60" s="16"/>
    </row>
    <row r="61" spans="1:9" x14ac:dyDescent="0.25">
      <c r="A61" s="1" t="s">
        <v>27</v>
      </c>
    </row>
    <row r="62" spans="1:9" x14ac:dyDescent="0.25">
      <c r="A62" s="1" t="s">
        <v>34</v>
      </c>
      <c r="B62" s="5">
        <f>B17/(B11*3)</f>
        <v>93323.938644107053</v>
      </c>
      <c r="C62" s="5">
        <f>C17/(C11*3)</f>
        <v>75000</v>
      </c>
      <c r="D62" s="5"/>
      <c r="E62" s="5"/>
      <c r="F62" s="5">
        <f t="shared" ref="F62" si="23">F17/(F11*3)</f>
        <v>253713</v>
      </c>
      <c r="G62" s="5"/>
      <c r="H62" s="5"/>
    </row>
    <row r="63" spans="1:9" x14ac:dyDescent="0.25">
      <c r="A63" s="1" t="s">
        <v>35</v>
      </c>
      <c r="B63" s="5">
        <f>B18/(B12*3)</f>
        <v>90225.87302696814</v>
      </c>
      <c r="C63" s="5">
        <f>C18/(C12*3)</f>
        <v>70156.825746685441</v>
      </c>
      <c r="D63" s="5">
        <f t="shared" ref="D63:F63" si="24">D18/(D12*3)</f>
        <v>70160.026085482532</v>
      </c>
      <c r="E63" s="5">
        <f t="shared" si="24"/>
        <v>70148.436246909128</v>
      </c>
      <c r="F63" s="5">
        <f t="shared" si="24"/>
        <v>256296.3167177914</v>
      </c>
      <c r="G63" s="5"/>
      <c r="H63" s="5"/>
    </row>
    <row r="64" spans="1:9" x14ac:dyDescent="0.25">
      <c r="A64" s="12" t="s">
        <v>28</v>
      </c>
      <c r="B64" s="15">
        <f>(B62/B63)*B46</f>
        <v>103.85372349529189</v>
      </c>
      <c r="C64" s="15">
        <f>(C62/C63)*C46</f>
        <v>105.86885579288148</v>
      </c>
      <c r="D64" s="15">
        <f t="shared" ref="D64" si="25">(D62/D63)*D46</f>
        <v>0</v>
      </c>
      <c r="E64" s="15">
        <f t="shared" ref="E64:F64" si="26">(E62/E63)*E46</f>
        <v>0</v>
      </c>
      <c r="F64" s="15">
        <f t="shared" si="26"/>
        <v>95.224089686838312</v>
      </c>
      <c r="G64" s="15"/>
      <c r="H64" s="15"/>
    </row>
    <row r="65" spans="1:9" x14ac:dyDescent="0.25">
      <c r="A65" s="16" t="s">
        <v>36</v>
      </c>
      <c r="B65" s="5">
        <f>B17/B11</f>
        <v>279971.81593232113</v>
      </c>
      <c r="C65" s="5">
        <f>C17/C11</f>
        <v>225000</v>
      </c>
      <c r="D65" s="5"/>
      <c r="E65" s="5"/>
      <c r="F65" s="5">
        <f t="shared" ref="F65" si="27">F17/F11</f>
        <v>761139</v>
      </c>
      <c r="G65" s="16"/>
      <c r="H65" s="16"/>
    </row>
    <row r="66" spans="1:9" x14ac:dyDescent="0.25">
      <c r="A66" s="16" t="s">
        <v>37</v>
      </c>
      <c r="B66" s="5">
        <f>B18/B12</f>
        <v>270677.61908090446</v>
      </c>
      <c r="C66" s="5">
        <f>C18/C12</f>
        <v>210470.47724005632</v>
      </c>
      <c r="D66" s="44">
        <f>D18/D12</f>
        <v>210480.07825644757</v>
      </c>
      <c r="E66" s="5">
        <f t="shared" ref="E66:F66" si="28">E18/E12</f>
        <v>210445.3087407274</v>
      </c>
      <c r="F66" s="5">
        <f t="shared" si="28"/>
        <v>768888.95015337423</v>
      </c>
      <c r="G66" s="16"/>
      <c r="H66" s="16"/>
      <c r="I66" s="43"/>
    </row>
    <row r="67" spans="1:9" x14ac:dyDescent="0.25">
      <c r="B67" s="14"/>
      <c r="C67" s="14"/>
      <c r="D67" s="14"/>
      <c r="E67" s="14"/>
      <c r="F67" s="14"/>
      <c r="G67" s="14"/>
      <c r="H67" s="14"/>
    </row>
    <row r="68" spans="1:9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9" x14ac:dyDescent="0.25">
      <c r="A69" s="17" t="s">
        <v>30</v>
      </c>
      <c r="B69" s="18">
        <f>(B24/B23)*100</f>
        <v>119.97973020707178</v>
      </c>
      <c r="C69" s="18"/>
      <c r="D69" s="18"/>
      <c r="E69" s="18"/>
      <c r="F69" s="18"/>
      <c r="G69" s="18"/>
      <c r="H69" s="18"/>
    </row>
    <row r="70" spans="1:9" x14ac:dyDescent="0.25">
      <c r="A70" s="17" t="s">
        <v>31</v>
      </c>
      <c r="B70" s="18">
        <f>(B18/B24)*100</f>
        <v>82.273385747731936</v>
      </c>
      <c r="C70" s="18"/>
      <c r="D70" s="18"/>
      <c r="E70" s="18"/>
      <c r="F70" s="18"/>
      <c r="G70" s="18"/>
      <c r="H70" s="18"/>
    </row>
    <row r="71" spans="1:9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9" ht="15.75" thickTop="1" x14ac:dyDescent="0.25"/>
    <row r="73" spans="1:9" x14ac:dyDescent="0.25">
      <c r="A73" s="1" t="s">
        <v>32</v>
      </c>
    </row>
    <row r="74" spans="1:9" x14ac:dyDescent="0.25">
      <c r="A74" s="1" t="s">
        <v>91</v>
      </c>
    </row>
    <row r="75" spans="1:9" x14ac:dyDescent="0.25">
      <c r="A75" s="1" t="s">
        <v>92</v>
      </c>
      <c r="B75" s="20"/>
      <c r="C75" s="20"/>
      <c r="D75" s="20"/>
      <c r="E75" s="20"/>
      <c r="F75" s="20"/>
    </row>
    <row r="76" spans="1:9" x14ac:dyDescent="0.25">
      <c r="A76" s="1" t="s">
        <v>93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1" t="s">
        <v>130</v>
      </c>
    </row>
    <row r="148" spans="2:6" x14ac:dyDescent="0.25">
      <c r="B148" s="26"/>
      <c r="C148" s="26"/>
      <c r="D148" s="26"/>
      <c r="E148" s="26"/>
      <c r="F148" s="26"/>
    </row>
    <row r="149" spans="2:6" x14ac:dyDescent="0.25">
      <c r="B149" s="26"/>
      <c r="C149" s="26"/>
      <c r="D149" s="26"/>
      <c r="E149" s="26"/>
      <c r="F149" s="26"/>
    </row>
  </sheetData>
  <mergeCells count="5">
    <mergeCell ref="A4:A5"/>
    <mergeCell ref="A2:H2"/>
    <mergeCell ref="G4:G5"/>
    <mergeCell ref="H4:H5"/>
    <mergeCell ref="C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85"/>
  <sheetViews>
    <sheetView topLeftCell="A31" zoomScale="70" zoomScaleNormal="70" workbookViewId="0">
      <selection activeCell="D41" sqref="D41"/>
    </sheetView>
  </sheetViews>
  <sheetFormatPr baseColWidth="10" defaultColWidth="11.42578125" defaultRowHeight="15" x14ac:dyDescent="0.25"/>
  <cols>
    <col min="1" max="1" width="55.140625" style="1" customWidth="1"/>
    <col min="2" max="2" width="20.85546875" style="1" customWidth="1"/>
    <col min="3" max="3" width="20.140625" style="1" customWidth="1"/>
    <col min="4" max="4" width="16.140625" style="1" customWidth="1"/>
    <col min="5" max="5" width="17" style="1" bestFit="1" customWidth="1"/>
    <col min="6" max="6" width="16.42578125" style="1" bestFit="1" customWidth="1"/>
    <col min="7" max="7" width="19" style="1" customWidth="1"/>
    <col min="8" max="8" width="17.5703125" style="1" bestFit="1" customWidth="1"/>
    <col min="9" max="9" width="11.42578125" style="1"/>
    <col min="10" max="12" width="13.5703125" style="1" bestFit="1" customWidth="1"/>
    <col min="13" max="14" width="11.5703125" style="1" bestFit="1" customWidth="1"/>
    <col min="15" max="16384" width="11.42578125" style="1"/>
  </cols>
  <sheetData>
    <row r="2" spans="1:8" ht="15.75" x14ac:dyDescent="0.25">
      <c r="A2" s="52" t="s">
        <v>94</v>
      </c>
      <c r="B2" s="52"/>
      <c r="C2" s="52"/>
      <c r="D2" s="52"/>
      <c r="E2" s="52"/>
      <c r="F2" s="52"/>
      <c r="G2" s="52"/>
      <c r="H2" s="52"/>
    </row>
    <row r="4" spans="1:8" x14ac:dyDescent="0.25">
      <c r="A4" s="50" t="s">
        <v>0</v>
      </c>
      <c r="B4" s="50" t="s">
        <v>38</v>
      </c>
      <c r="C4" s="36"/>
      <c r="D4" s="36"/>
      <c r="E4" s="37" t="s">
        <v>1</v>
      </c>
      <c r="F4" s="29"/>
      <c r="G4" s="50" t="s">
        <v>2</v>
      </c>
      <c r="H4" s="50" t="s">
        <v>3</v>
      </c>
    </row>
    <row r="5" spans="1:8" ht="15.75" thickBot="1" x14ac:dyDescent="0.3">
      <c r="A5" s="51"/>
      <c r="B5" s="51"/>
      <c r="C5" s="53" t="s">
        <v>39</v>
      </c>
      <c r="D5" s="53"/>
      <c r="E5" s="53"/>
      <c r="F5" s="35" t="s">
        <v>57</v>
      </c>
      <c r="G5" s="51"/>
      <c r="H5" s="51"/>
    </row>
    <row r="6" spans="1:8" ht="15.75" thickTop="1" x14ac:dyDescent="0.25">
      <c r="C6" s="38" t="s">
        <v>58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63</v>
      </c>
      <c r="B10" s="22">
        <f>+C10+F10</f>
        <v>101387</v>
      </c>
      <c r="C10" s="22">
        <f>SUM(D10:E10)</f>
        <v>98065.333333333328</v>
      </c>
      <c r="D10" s="22">
        <v>70693.333333333328</v>
      </c>
      <c r="E10" s="5">
        <v>27372</v>
      </c>
      <c r="F10" s="5">
        <v>3321.6666666666665</v>
      </c>
      <c r="G10" s="5"/>
    </row>
    <row r="11" spans="1:8" x14ac:dyDescent="0.25">
      <c r="A11" s="4" t="s">
        <v>95</v>
      </c>
      <c r="B11" s="22">
        <f t="shared" ref="B11:B12" si="0">+C11+F11</f>
        <v>103214</v>
      </c>
      <c r="C11" s="22">
        <v>99511</v>
      </c>
      <c r="D11" s="22"/>
      <c r="E11" s="22"/>
      <c r="F11" s="22">
        <v>3703</v>
      </c>
      <c r="G11" s="5"/>
    </row>
    <row r="12" spans="1:8" x14ac:dyDescent="0.25">
      <c r="A12" s="4" t="s">
        <v>96</v>
      </c>
      <c r="B12" s="22">
        <f t="shared" si="0"/>
        <v>105344.66666666667</v>
      </c>
      <c r="C12" s="22">
        <f t="shared" ref="C12" si="1">SUM(D12:E12)</f>
        <v>101818</v>
      </c>
      <c r="D12" s="22">
        <v>73854.333333333328</v>
      </c>
      <c r="E12" s="5">
        <v>27963.666666666668</v>
      </c>
      <c r="F12" s="5">
        <v>3526.6666666666665</v>
      </c>
      <c r="G12" s="5"/>
    </row>
    <row r="13" spans="1:8" x14ac:dyDescent="0.25">
      <c r="A13" s="4" t="s">
        <v>86</v>
      </c>
      <c r="B13" s="22">
        <f>+C13+F13</f>
        <v>103721.83333333333</v>
      </c>
      <c r="C13" s="22">
        <v>99984.5</v>
      </c>
      <c r="D13" s="22"/>
      <c r="E13" s="22"/>
      <c r="F13" s="22">
        <v>3737.3333333333335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63</v>
      </c>
      <c r="B16" s="5">
        <f>+C16+F16+G16+H16</f>
        <v>29547403936.639999</v>
      </c>
      <c r="C16" s="22">
        <f t="shared" ref="C16" si="2">SUM(D16:E16)</f>
        <v>22767745618.18</v>
      </c>
      <c r="D16" s="5">
        <v>16412829250.658417</v>
      </c>
      <c r="E16" s="22">
        <v>6354916367.5215845</v>
      </c>
      <c r="F16" s="22">
        <v>2393023781.8499999</v>
      </c>
      <c r="G16" s="22">
        <v>3351352991.79</v>
      </c>
      <c r="H16" s="24">
        <v>1035281544.8200001</v>
      </c>
    </row>
    <row r="17" spans="1:9" x14ac:dyDescent="0.25">
      <c r="A17" s="4" t="s">
        <v>95</v>
      </c>
      <c r="B17" s="5">
        <f t="shared" ref="B17:B19" si="3">+C17+F17+G17+H17</f>
        <v>28878528985.59</v>
      </c>
      <c r="C17" s="22">
        <v>22389975000</v>
      </c>
      <c r="D17" s="5"/>
      <c r="E17" s="22"/>
      <c r="F17" s="22">
        <v>2818497717</v>
      </c>
      <c r="G17" s="22">
        <v>3065755629.3000002</v>
      </c>
      <c r="H17" s="22">
        <v>604300639.28999996</v>
      </c>
    </row>
    <row r="18" spans="1:9" x14ac:dyDescent="0.25">
      <c r="A18" s="4" t="s">
        <v>96</v>
      </c>
      <c r="B18" s="5">
        <f t="shared" si="3"/>
        <v>29260288440.110001</v>
      </c>
      <c r="C18" s="42">
        <f>D18+E18</f>
        <v>21663568258.579998</v>
      </c>
      <c r="D18" s="22">
        <v>15712851917.934532</v>
      </c>
      <c r="E18" s="22">
        <v>5950716340.6454659</v>
      </c>
      <c r="F18" s="22">
        <v>2689034370.1500001</v>
      </c>
      <c r="G18" s="22">
        <v>3508485807.3599997</v>
      </c>
      <c r="H18" s="24">
        <v>1399200004.02</v>
      </c>
    </row>
    <row r="19" spans="1:9" x14ac:dyDescent="0.25">
      <c r="A19" s="4" t="s">
        <v>86</v>
      </c>
      <c r="B19" s="5">
        <f t="shared" si="3"/>
        <v>126973545232.92</v>
      </c>
      <c r="C19" s="22">
        <v>99918434000</v>
      </c>
      <c r="D19" s="22"/>
      <c r="E19" s="22"/>
      <c r="F19" s="22">
        <v>12374886158.559999</v>
      </c>
      <c r="G19" s="22">
        <v>12263022517.200003</v>
      </c>
      <c r="H19" s="22">
        <v>2417202557.1600003</v>
      </c>
    </row>
    <row r="20" spans="1:9" x14ac:dyDescent="0.25">
      <c r="A20" s="4" t="s">
        <v>97</v>
      </c>
      <c r="B20" s="41">
        <f>C20+F20+G20</f>
        <v>27861088436.09</v>
      </c>
      <c r="C20" s="44">
        <f t="shared" ref="C20" si="4">SUM(D20:E20)</f>
        <v>21663568258.579998</v>
      </c>
      <c r="D20" s="22">
        <f>+D18</f>
        <v>15712851917.934532</v>
      </c>
      <c r="E20" s="22">
        <f t="shared" ref="E20:G20" si="5">+E18</f>
        <v>5950716340.6454659</v>
      </c>
      <c r="F20" s="5">
        <f t="shared" si="5"/>
        <v>2689034370.1500001</v>
      </c>
      <c r="G20" s="41">
        <f t="shared" si="5"/>
        <v>3508485807.3599997</v>
      </c>
      <c r="H20" s="5"/>
      <c r="I20" s="43"/>
    </row>
    <row r="21" spans="1:9" x14ac:dyDescent="0.25">
      <c r="B21" s="5"/>
      <c r="C21" s="5"/>
      <c r="D21" s="5"/>
      <c r="E21" s="5"/>
      <c r="F21" s="5"/>
      <c r="G21" s="5"/>
    </row>
    <row r="22" spans="1:9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9" x14ac:dyDescent="0.25">
      <c r="A23" s="9" t="s">
        <v>95</v>
      </c>
      <c r="B23" s="8">
        <f>B17</f>
        <v>28878528985.59</v>
      </c>
      <c r="C23" s="8"/>
      <c r="D23" s="8"/>
      <c r="E23" s="8"/>
      <c r="F23" s="8"/>
      <c r="G23" s="8"/>
      <c r="H23" s="8"/>
    </row>
    <row r="24" spans="1:9" x14ac:dyDescent="0.25">
      <c r="A24" s="9" t="s">
        <v>96</v>
      </c>
      <c r="B24" s="8">
        <v>25442008280.320004</v>
      </c>
      <c r="C24" s="8"/>
      <c r="D24" s="8"/>
      <c r="E24" s="8"/>
      <c r="F24" s="8"/>
      <c r="G24" s="8"/>
      <c r="H24" s="8"/>
    </row>
    <row r="26" spans="1:9" x14ac:dyDescent="0.25">
      <c r="A26" s="1" t="s">
        <v>7</v>
      </c>
    </row>
    <row r="27" spans="1:9" x14ac:dyDescent="0.25">
      <c r="A27" s="10" t="s">
        <v>64</v>
      </c>
      <c r="B27" s="23">
        <v>0.99</v>
      </c>
      <c r="C27" s="23">
        <v>0.99</v>
      </c>
      <c r="D27" s="23">
        <v>0.99</v>
      </c>
      <c r="E27" s="23">
        <v>0.99</v>
      </c>
      <c r="F27" s="23">
        <v>0.99</v>
      </c>
      <c r="G27" s="23">
        <v>0.99</v>
      </c>
      <c r="H27" s="23">
        <v>0.99</v>
      </c>
    </row>
    <row r="28" spans="1:9" x14ac:dyDescent="0.25">
      <c r="A28" s="10" t="s">
        <v>98</v>
      </c>
      <c r="B28" s="23">
        <v>1</v>
      </c>
      <c r="C28" s="23">
        <v>1</v>
      </c>
      <c r="D28" s="23">
        <v>1</v>
      </c>
      <c r="E28" s="23">
        <v>1</v>
      </c>
      <c r="F28" s="23">
        <v>1</v>
      </c>
      <c r="G28" s="23">
        <v>1</v>
      </c>
      <c r="H28" s="23">
        <v>1</v>
      </c>
    </row>
    <row r="29" spans="1:9" x14ac:dyDescent="0.25">
      <c r="A29" s="4" t="s">
        <v>8</v>
      </c>
      <c r="B29" s="24">
        <f>+D29+F29</f>
        <v>106083</v>
      </c>
      <c r="C29" s="39"/>
      <c r="D29" s="24">
        <v>97615</v>
      </c>
      <c r="E29" s="24" t="s">
        <v>53</v>
      </c>
      <c r="F29" s="24">
        <v>8468</v>
      </c>
      <c r="G29" s="24"/>
      <c r="H29" s="24"/>
    </row>
    <row r="31" spans="1:9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65</v>
      </c>
      <c r="B32" s="13">
        <f t="shared" ref="B32:H32" si="6">B16/B27</f>
        <v>29845862562.262627</v>
      </c>
      <c r="C32" s="13">
        <f t="shared" ref="C32" si="7">C16/C27</f>
        <v>22997722846.646465</v>
      </c>
      <c r="D32" s="13">
        <f t="shared" si="6"/>
        <v>16578615404.705471</v>
      </c>
      <c r="E32" s="13">
        <f t="shared" si="6"/>
        <v>6419107441.9409943</v>
      </c>
      <c r="F32" s="13">
        <f t="shared" si="6"/>
        <v>2417195739.242424</v>
      </c>
      <c r="G32" s="13">
        <f t="shared" si="6"/>
        <v>3385205042.212121</v>
      </c>
      <c r="H32" s="13">
        <f t="shared" si="6"/>
        <v>1045738934.1616162</v>
      </c>
    </row>
    <row r="33" spans="1:14" x14ac:dyDescent="0.25">
      <c r="A33" s="12" t="s">
        <v>99</v>
      </c>
      <c r="B33" s="13">
        <f>B18/B28</f>
        <v>29260288440.110001</v>
      </c>
      <c r="C33" s="13">
        <f>C18/C28</f>
        <v>21663568258.579998</v>
      </c>
      <c r="D33" s="13">
        <f t="shared" ref="D33" si="8">D18/D28</f>
        <v>15712851917.934532</v>
      </c>
      <c r="E33" s="13">
        <f>E18/E28</f>
        <v>5950716340.6454659</v>
      </c>
      <c r="F33" s="13">
        <f>F18/F28</f>
        <v>2689034370.1500001</v>
      </c>
      <c r="G33" s="13">
        <f>G18/G28</f>
        <v>3508485807.3599997</v>
      </c>
      <c r="H33" s="13">
        <f>H18/H28</f>
        <v>1399200004.02</v>
      </c>
    </row>
    <row r="34" spans="1:14" x14ac:dyDescent="0.25">
      <c r="A34" s="12" t="s">
        <v>66</v>
      </c>
      <c r="B34" s="13">
        <f>B32/B10</f>
        <v>294375.63555744453</v>
      </c>
      <c r="C34" s="13">
        <f>C32/C10</f>
        <v>234514.29842669307</v>
      </c>
      <c r="D34" s="13">
        <f>D32/D10</f>
        <v>234514.55212238975</v>
      </c>
      <c r="E34" s="13">
        <f>E32/E10</f>
        <v>234513.64320988581</v>
      </c>
      <c r="F34" s="13">
        <f>F32/F10</f>
        <v>727705.69169365498</v>
      </c>
      <c r="G34" s="13"/>
      <c r="H34" s="13"/>
    </row>
    <row r="35" spans="1:14" x14ac:dyDescent="0.25">
      <c r="A35" s="12" t="s">
        <v>100</v>
      </c>
      <c r="B35" s="13">
        <f>B33/B12</f>
        <v>277757.66316386842</v>
      </c>
      <c r="C35" s="13">
        <f>C33/C12</f>
        <v>212767.56819599675</v>
      </c>
      <c r="D35" s="13">
        <f>D33/D12</f>
        <v>212754.63752433212</v>
      </c>
      <c r="E35" s="13">
        <f>E33/E12</f>
        <v>212801.71915862724</v>
      </c>
      <c r="F35" s="13">
        <f>F33/F12</f>
        <v>762486.11629962199</v>
      </c>
      <c r="G35" s="13"/>
      <c r="H35" s="13"/>
    </row>
    <row r="37" spans="1:14" x14ac:dyDescent="0.25">
      <c r="A37" s="3" t="s">
        <v>10</v>
      </c>
    </row>
    <row r="39" spans="1:14" x14ac:dyDescent="0.25">
      <c r="A39" s="1" t="s">
        <v>11</v>
      </c>
    </row>
    <row r="40" spans="1:14" x14ac:dyDescent="0.25">
      <c r="A40" s="1" t="s">
        <v>12</v>
      </c>
      <c r="B40" s="14">
        <f>(B11/B29)*100</f>
        <v>97.295513890067213</v>
      </c>
      <c r="C40" s="14"/>
      <c r="D40" s="14">
        <f>(C11)/D29*100</f>
        <v>101.94232443784254</v>
      </c>
      <c r="E40" s="14"/>
      <c r="F40" s="14">
        <f>(F11)/F29*100</f>
        <v>43.729333963155412</v>
      </c>
      <c r="G40" s="14"/>
      <c r="J40" s="26"/>
      <c r="K40" s="26"/>
      <c r="L40" s="26"/>
      <c r="M40" s="26"/>
      <c r="N40" s="26"/>
    </row>
    <row r="41" spans="1:14" x14ac:dyDescent="0.25">
      <c r="A41" s="1" t="s">
        <v>13</v>
      </c>
      <c r="B41" s="14">
        <f>(B12/B29)*100</f>
        <v>99.304004097420574</v>
      </c>
      <c r="C41" s="40"/>
      <c r="D41" s="14">
        <f>(D12)/D29*100</f>
        <v>75.658795608598396</v>
      </c>
      <c r="E41" s="14"/>
      <c r="F41" s="14">
        <f t="shared" ref="F41" si="9">(F12)/F29*100</f>
        <v>41.646984726814672</v>
      </c>
      <c r="G41" s="14"/>
      <c r="J41" s="26"/>
      <c r="K41" s="26"/>
      <c r="L41" s="26"/>
      <c r="M41" s="26"/>
      <c r="N41" s="26"/>
    </row>
    <row r="42" spans="1:14" x14ac:dyDescent="0.25">
      <c r="J42" s="26"/>
      <c r="K42" s="26"/>
      <c r="L42" s="26"/>
      <c r="M42" s="26"/>
      <c r="N42" s="26"/>
    </row>
    <row r="43" spans="1:14" x14ac:dyDescent="0.25">
      <c r="A43" s="1" t="s">
        <v>14</v>
      </c>
      <c r="J43" s="26"/>
      <c r="K43" s="26"/>
      <c r="L43" s="26"/>
      <c r="M43" s="26"/>
      <c r="N43" s="26"/>
    </row>
    <row r="44" spans="1:14" x14ac:dyDescent="0.25">
      <c r="A44" s="1" t="s">
        <v>15</v>
      </c>
      <c r="B44" s="14">
        <f>B12/B11*100</f>
        <v>102.06431943986927</v>
      </c>
      <c r="C44" s="14">
        <f>C12/C11*100</f>
        <v>102.31833666629819</v>
      </c>
      <c r="D44" s="14"/>
      <c r="E44" s="14"/>
      <c r="F44" s="14">
        <f>F12/F11*100</f>
        <v>95.238095238095227</v>
      </c>
      <c r="G44" s="14"/>
      <c r="J44" s="26"/>
      <c r="K44" s="26"/>
      <c r="L44" s="26"/>
      <c r="M44" s="26"/>
      <c r="N44" s="26"/>
    </row>
    <row r="45" spans="1:14" x14ac:dyDescent="0.25">
      <c r="A45" s="1" t="s">
        <v>16</v>
      </c>
      <c r="B45" s="14">
        <f>B18/B17*100</f>
        <v>101.32194910173746</v>
      </c>
      <c r="C45" s="14">
        <f>C18/C17*100</f>
        <v>96.755660774878038</v>
      </c>
      <c r="D45" s="14"/>
      <c r="E45" s="14"/>
      <c r="F45" s="14">
        <f>F18/F17*100</f>
        <v>95.406654187827399</v>
      </c>
      <c r="G45" s="14">
        <f>G18/G17*100</f>
        <v>114.44114376986685</v>
      </c>
      <c r="H45" s="14">
        <f>H18/H17*100</f>
        <v>231.54038123539581</v>
      </c>
      <c r="J45" s="26"/>
      <c r="K45" s="26"/>
      <c r="L45" s="26"/>
      <c r="M45" s="26"/>
      <c r="N45" s="26"/>
    </row>
    <row r="46" spans="1:14" x14ac:dyDescent="0.25">
      <c r="A46" s="12" t="s">
        <v>17</v>
      </c>
      <c r="B46" s="15">
        <f>AVERAGE(B44:B45)</f>
        <v>101.69313427080337</v>
      </c>
      <c r="C46" s="15">
        <f>AVERAGE(C44:C45)</f>
        <v>99.536998720588116</v>
      </c>
      <c r="D46" s="15"/>
      <c r="E46" s="15"/>
      <c r="F46" s="15">
        <f t="shared" ref="F46:H46" si="10">AVERAGE(F44:F45)</f>
        <v>95.322374712961306</v>
      </c>
      <c r="G46" s="15">
        <f>AVERAGE(G44:G45)</f>
        <v>114.44114376986685</v>
      </c>
      <c r="H46" s="15">
        <f t="shared" si="10"/>
        <v>231.54038123539581</v>
      </c>
      <c r="J46" s="26"/>
      <c r="K46" s="26"/>
      <c r="L46" s="26"/>
      <c r="M46" s="26"/>
      <c r="N46" s="26"/>
    </row>
    <row r="47" spans="1:14" x14ac:dyDescent="0.25">
      <c r="B47" s="14"/>
      <c r="C47" s="14"/>
      <c r="D47" s="14"/>
      <c r="E47" s="14"/>
      <c r="F47" s="14"/>
      <c r="G47" s="14"/>
      <c r="H47" s="14"/>
      <c r="J47" s="26"/>
      <c r="K47" s="26"/>
      <c r="L47" s="26"/>
      <c r="M47" s="26"/>
      <c r="N47" s="26"/>
    </row>
    <row r="48" spans="1:14" x14ac:dyDescent="0.25">
      <c r="A48" s="1" t="s">
        <v>18</v>
      </c>
      <c r="J48" s="26"/>
      <c r="K48" s="26"/>
      <c r="L48" s="26"/>
      <c r="M48" s="26"/>
      <c r="N48" s="26"/>
    </row>
    <row r="49" spans="1:14" x14ac:dyDescent="0.25">
      <c r="A49" s="1" t="s">
        <v>19</v>
      </c>
      <c r="B49" s="16">
        <f>B12/(B13)*100</f>
        <v>101.56460147413515</v>
      </c>
      <c r="C49" s="16">
        <f t="shared" ref="C49:F49" si="11">C12/(C13)*100</f>
        <v>101.83378423655667</v>
      </c>
      <c r="D49" s="16"/>
      <c r="E49" s="16"/>
      <c r="F49" s="16">
        <f t="shared" si="11"/>
        <v>94.363182304673558</v>
      </c>
      <c r="G49" s="16"/>
      <c r="H49" s="16"/>
      <c r="I49" s="43"/>
      <c r="J49" s="26"/>
      <c r="K49" s="26"/>
      <c r="L49" s="26"/>
      <c r="M49" s="26"/>
      <c r="N49" s="26"/>
    </row>
    <row r="50" spans="1:14" x14ac:dyDescent="0.25">
      <c r="A50" s="1" t="s">
        <v>20</v>
      </c>
      <c r="B50" s="14">
        <f>B18/B19*100</f>
        <v>23.044397465972136</v>
      </c>
      <c r="C50" s="14">
        <f>C18/C19*100</f>
        <v>21.681252789230061</v>
      </c>
      <c r="D50" s="14"/>
      <c r="E50" s="14"/>
      <c r="F50" s="14">
        <f>F18/F19*100</f>
        <v>21.729770566737148</v>
      </c>
      <c r="G50" s="14">
        <f>G18/G19*100</f>
        <v>28.610285942466714</v>
      </c>
      <c r="H50" s="14">
        <f>H18/H19*100</f>
        <v>57.885095308848946</v>
      </c>
      <c r="J50" s="26"/>
      <c r="K50" s="26"/>
      <c r="L50" s="26"/>
      <c r="M50" s="26"/>
      <c r="N50" s="26"/>
    </row>
    <row r="51" spans="1:14" x14ac:dyDescent="0.25">
      <c r="A51" s="1" t="s">
        <v>21</v>
      </c>
      <c r="B51" s="14">
        <f>(B49+B50)/2</f>
        <v>62.304499470053642</v>
      </c>
      <c r="C51" s="14">
        <f t="shared" ref="C51" si="12">(C49+C50)/2</f>
        <v>61.757518512893363</v>
      </c>
      <c r="D51" s="14"/>
      <c r="E51" s="14"/>
      <c r="F51" s="14">
        <f t="shared" ref="F51" si="13">(F49+F50)/2</f>
        <v>58.046476435705351</v>
      </c>
      <c r="G51" s="16">
        <f>AVERAGE(G49:G50)</f>
        <v>28.610285942466714</v>
      </c>
      <c r="H51" s="16">
        <f t="shared" ref="H51" si="14">AVERAGE(H49:H50)</f>
        <v>57.885095308848946</v>
      </c>
      <c r="J51" s="26"/>
      <c r="K51" s="26"/>
      <c r="L51" s="26"/>
      <c r="M51" s="26"/>
      <c r="N51" s="26"/>
    </row>
    <row r="52" spans="1:14" x14ac:dyDescent="0.25">
      <c r="J52" s="26"/>
      <c r="K52" s="26"/>
      <c r="L52" s="26"/>
      <c r="M52" s="26"/>
      <c r="N52" s="26"/>
    </row>
    <row r="53" spans="1:14" x14ac:dyDescent="0.25">
      <c r="A53" s="1" t="s">
        <v>33</v>
      </c>
      <c r="J53" s="26"/>
      <c r="K53" s="26"/>
      <c r="L53" s="26"/>
      <c r="M53" s="26"/>
      <c r="N53" s="26"/>
    </row>
    <row r="54" spans="1:14" x14ac:dyDescent="0.25">
      <c r="A54" s="1" t="s">
        <v>22</v>
      </c>
      <c r="B54" s="14">
        <f>(B20/B18)*100</f>
        <v>95.218092238277535</v>
      </c>
      <c r="C54" s="14"/>
      <c r="D54" s="14"/>
      <c r="E54" s="14"/>
      <c r="F54" s="14"/>
      <c r="G54" s="14"/>
      <c r="H54" s="14"/>
      <c r="J54" s="26"/>
      <c r="K54" s="26"/>
      <c r="L54" s="26"/>
      <c r="M54" s="26"/>
      <c r="N54" s="26"/>
    </row>
    <row r="55" spans="1:14" x14ac:dyDescent="0.25">
      <c r="J55" s="26"/>
      <c r="K55" s="26"/>
      <c r="L55" s="26"/>
      <c r="M55" s="26"/>
      <c r="N55" s="26"/>
    </row>
    <row r="56" spans="1:14" x14ac:dyDescent="0.25">
      <c r="A56" s="1" t="s">
        <v>23</v>
      </c>
      <c r="J56" s="26"/>
      <c r="K56" s="26"/>
      <c r="L56" s="26"/>
      <c r="M56" s="26"/>
      <c r="N56" s="26"/>
    </row>
    <row r="57" spans="1:14" x14ac:dyDescent="0.25">
      <c r="A57" s="1" t="s">
        <v>24</v>
      </c>
      <c r="B57" s="14">
        <f>((B12/B10)-1)*100</f>
        <v>3.9035247779958704</v>
      </c>
      <c r="C57" s="14">
        <f>((C12/C10)-1)*100</f>
        <v>3.8267005669689658</v>
      </c>
      <c r="D57" s="14">
        <f t="shared" ref="D57:F57" si="15">((D12/D10)-1)*100</f>
        <v>4.471425877027535</v>
      </c>
      <c r="E57" s="14">
        <f t="shared" si="15"/>
        <v>2.1615763066880955</v>
      </c>
      <c r="F57" s="14">
        <f t="shared" si="15"/>
        <v>6.1716006021073744</v>
      </c>
      <c r="G57" s="14"/>
      <c r="H57" s="14"/>
      <c r="J57" s="26"/>
      <c r="K57" s="26"/>
      <c r="L57" s="26"/>
      <c r="M57" s="26"/>
      <c r="N57" s="26"/>
    </row>
    <row r="58" spans="1:14" x14ac:dyDescent="0.25">
      <c r="A58" s="1" t="s">
        <v>25</v>
      </c>
      <c r="B58" s="16">
        <f>((B33/B32)-1)*100</f>
        <v>-1.9619942996488615</v>
      </c>
      <c r="C58" s="16">
        <f>((C33/C32)-1)*100</f>
        <v>-5.8012464841101119</v>
      </c>
      <c r="D58" s="16">
        <f t="shared" ref="D58:G58" si="16">((D33/D32)-1)*100</f>
        <v>-5.2221700403594085</v>
      </c>
      <c r="E58" s="16">
        <f t="shared" si="16"/>
        <v>-7.2968260078522302</v>
      </c>
      <c r="F58" s="16">
        <f t="shared" si="16"/>
        <v>11.246033016456213</v>
      </c>
      <c r="G58" s="16">
        <f t="shared" si="16"/>
        <v>3.6417517878715833</v>
      </c>
      <c r="H58" s="16">
        <f>((H33/H32)-1)*100</f>
        <v>33.800125280958262</v>
      </c>
      <c r="J58" s="26"/>
      <c r="K58" s="26"/>
      <c r="L58" s="26"/>
      <c r="M58" s="26"/>
      <c r="N58" s="26"/>
    </row>
    <row r="59" spans="1:14" x14ac:dyDescent="0.25">
      <c r="A59" s="12" t="s">
        <v>26</v>
      </c>
      <c r="B59" s="15">
        <f>((B35/B34)-1)*100</f>
        <v>-5.645158901179947</v>
      </c>
      <c r="C59" s="15">
        <f>((C35/C34)-1)*100</f>
        <v>-9.2730935284503158</v>
      </c>
      <c r="D59" s="15">
        <f t="shared" ref="D59:F59" si="17">((D35/D34)-1)*100</f>
        <v>-9.2787054795224204</v>
      </c>
      <c r="E59" s="15">
        <f t="shared" si="17"/>
        <v>-9.2582775799644033</v>
      </c>
      <c r="F59" s="15">
        <f t="shared" si="17"/>
        <v>4.7794630443276365</v>
      </c>
      <c r="G59" s="15"/>
      <c r="H59" s="15"/>
      <c r="J59" s="26"/>
      <c r="K59" s="26"/>
      <c r="L59" s="26"/>
      <c r="M59" s="26"/>
      <c r="N59" s="26"/>
    </row>
    <row r="60" spans="1:14" x14ac:dyDescent="0.25">
      <c r="A60" s="25"/>
      <c r="B60" s="16"/>
      <c r="C60" s="16"/>
      <c r="D60" s="16"/>
      <c r="E60" s="16"/>
      <c r="F60" s="16"/>
      <c r="G60" s="16"/>
      <c r="H60" s="16"/>
      <c r="J60" s="26"/>
      <c r="K60" s="26"/>
      <c r="L60" s="26"/>
      <c r="M60" s="26"/>
      <c r="N60" s="26"/>
    </row>
    <row r="61" spans="1:14" x14ac:dyDescent="0.25">
      <c r="A61" s="1" t="s">
        <v>27</v>
      </c>
      <c r="J61" s="26"/>
      <c r="K61" s="26"/>
      <c r="L61" s="26"/>
      <c r="M61" s="26"/>
      <c r="N61" s="26"/>
    </row>
    <row r="62" spans="1:14" x14ac:dyDescent="0.25">
      <c r="A62" s="1" t="s">
        <v>34</v>
      </c>
      <c r="B62" s="5">
        <f>B17/(B11*3)</f>
        <v>93264.250281260291</v>
      </c>
      <c r="C62" s="5">
        <f>C17/(C11*3)</f>
        <v>75000</v>
      </c>
      <c r="D62" s="5"/>
      <c r="E62" s="5"/>
      <c r="F62" s="5">
        <f t="shared" ref="F62" si="18">F17/(F11*3)</f>
        <v>253713</v>
      </c>
      <c r="G62" s="5"/>
      <c r="H62" s="5"/>
      <c r="J62" s="26"/>
      <c r="K62" s="26"/>
      <c r="L62" s="26"/>
      <c r="M62" s="26"/>
      <c r="N62" s="26"/>
    </row>
    <row r="63" spans="1:14" x14ac:dyDescent="0.25">
      <c r="A63" s="1" t="s">
        <v>35</v>
      </c>
      <c r="B63" s="5">
        <f>B18/(B12*3)</f>
        <v>92585.887721289488</v>
      </c>
      <c r="C63" s="5">
        <f>C18/(C12*3)</f>
        <v>70922.522731998921</v>
      </c>
      <c r="D63" s="5">
        <f t="shared" ref="D63:F63" si="19">D18/(D12*3)</f>
        <v>70918.212508110708</v>
      </c>
      <c r="E63" s="5">
        <f t="shared" si="19"/>
        <v>70933.906386209084</v>
      </c>
      <c r="F63" s="5">
        <f t="shared" si="19"/>
        <v>254162.03876654065</v>
      </c>
      <c r="G63" s="5"/>
      <c r="H63" s="5"/>
      <c r="J63" s="26"/>
      <c r="K63" s="26"/>
      <c r="L63" s="26"/>
      <c r="M63" s="26"/>
      <c r="N63" s="26"/>
    </row>
    <row r="64" spans="1:14" x14ac:dyDescent="0.25">
      <c r="A64" s="12" t="s">
        <v>28</v>
      </c>
      <c r="B64" s="15">
        <f>(B62/B63)*B46</f>
        <v>102.43822422558202</v>
      </c>
      <c r="C64" s="15">
        <f>(C62/C63)*C46</f>
        <v>105.25957927714711</v>
      </c>
      <c r="D64" s="15">
        <f t="shared" ref="D64:F64" si="20">(D62/D63)*D46</f>
        <v>0</v>
      </c>
      <c r="E64" s="15">
        <f t="shared" si="20"/>
        <v>0</v>
      </c>
      <c r="F64" s="15">
        <f t="shared" si="20"/>
        <v>95.153964663323052</v>
      </c>
      <c r="G64" s="15"/>
      <c r="H64" s="15"/>
      <c r="J64" s="26"/>
      <c r="K64" s="26"/>
      <c r="L64" s="26"/>
      <c r="M64" s="26"/>
      <c r="N64" s="26"/>
    </row>
    <row r="65" spans="1:14" x14ac:dyDescent="0.25">
      <c r="A65" s="16" t="s">
        <v>36</v>
      </c>
      <c r="B65" s="5">
        <f>B17/B11</f>
        <v>279792.75084378087</v>
      </c>
      <c r="C65" s="5">
        <f>C17/C11</f>
        <v>225000</v>
      </c>
      <c r="D65" s="5"/>
      <c r="E65" s="5"/>
      <c r="F65" s="5">
        <f t="shared" ref="F65" si="21">F17/F11</f>
        <v>761139</v>
      </c>
      <c r="G65" s="16"/>
      <c r="H65" s="16"/>
      <c r="J65" s="26"/>
      <c r="K65" s="26"/>
      <c r="L65" s="26"/>
      <c r="M65" s="26"/>
      <c r="N65" s="26"/>
    </row>
    <row r="66" spans="1:14" x14ac:dyDescent="0.25">
      <c r="A66" s="16" t="s">
        <v>37</v>
      </c>
      <c r="B66" s="5">
        <f>B18/B12</f>
        <v>277757.66316386842</v>
      </c>
      <c r="C66" s="5">
        <f>C18/C12</f>
        <v>212767.56819599675</v>
      </c>
      <c r="D66" s="22">
        <f>D18/D12</f>
        <v>212754.63752433212</v>
      </c>
      <c r="E66" s="22">
        <f>E18/E12</f>
        <v>212801.71915862724</v>
      </c>
      <c r="F66" s="5">
        <f t="shared" ref="F66" si="22">F18/F12</f>
        <v>762486.11629962199</v>
      </c>
      <c r="G66" s="16"/>
      <c r="H66" s="16"/>
      <c r="I66" s="43"/>
      <c r="J66" s="26"/>
      <c r="K66" s="26"/>
      <c r="L66" s="26"/>
      <c r="M66" s="26"/>
      <c r="N66" s="26"/>
    </row>
    <row r="67" spans="1:14" x14ac:dyDescent="0.25">
      <c r="B67" s="14"/>
      <c r="C67" s="14"/>
      <c r="D67" s="14"/>
      <c r="E67" s="14"/>
      <c r="F67" s="14"/>
      <c r="G67" s="14"/>
      <c r="H67" s="14"/>
      <c r="J67" s="26"/>
      <c r="K67" s="26"/>
      <c r="L67" s="26"/>
      <c r="M67" s="26"/>
      <c r="N67" s="26"/>
    </row>
    <row r="68" spans="1:14" x14ac:dyDescent="0.25">
      <c r="A68" s="1" t="s">
        <v>29</v>
      </c>
      <c r="B68" s="14"/>
      <c r="C68" s="14"/>
      <c r="D68" s="14"/>
      <c r="E68" s="14"/>
      <c r="F68" s="14"/>
      <c r="G68" s="14"/>
      <c r="H68" s="14"/>
      <c r="J68" s="26"/>
      <c r="K68" s="26"/>
      <c r="L68" s="26"/>
      <c r="M68" s="26"/>
      <c r="N68" s="26"/>
    </row>
    <row r="69" spans="1:14" x14ac:dyDescent="0.25">
      <c r="A69" s="17" t="s">
        <v>30</v>
      </c>
      <c r="B69" s="18">
        <f>(B24/B23)*100</f>
        <v>88.100083951697215</v>
      </c>
      <c r="C69" s="18"/>
      <c r="D69" s="18"/>
      <c r="E69" s="18"/>
      <c r="F69" s="18"/>
      <c r="G69" s="18"/>
      <c r="H69" s="18"/>
      <c r="J69" s="26"/>
      <c r="K69" s="26"/>
      <c r="L69" s="26"/>
      <c r="M69" s="26"/>
      <c r="N69" s="26"/>
    </row>
    <row r="70" spans="1:14" x14ac:dyDescent="0.25">
      <c r="A70" s="17" t="s">
        <v>31</v>
      </c>
      <c r="B70" s="18">
        <f>(B18/B24)*100</f>
        <v>115.00777815068761</v>
      </c>
      <c r="C70" s="18"/>
      <c r="D70" s="18"/>
      <c r="E70" s="18"/>
      <c r="F70" s="18"/>
      <c r="G70" s="18"/>
      <c r="H70" s="18"/>
      <c r="J70" s="26"/>
      <c r="K70" s="26"/>
      <c r="L70" s="26"/>
      <c r="M70" s="26"/>
      <c r="N70" s="26"/>
    </row>
    <row r="71" spans="1:14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14" ht="15.75" thickTop="1" x14ac:dyDescent="0.25"/>
    <row r="73" spans="1:14" x14ac:dyDescent="0.25">
      <c r="A73" s="1" t="s">
        <v>32</v>
      </c>
    </row>
    <row r="74" spans="1:14" x14ac:dyDescent="0.25">
      <c r="A74" s="1" t="s">
        <v>91</v>
      </c>
    </row>
    <row r="75" spans="1:14" x14ac:dyDescent="0.25">
      <c r="A75" s="1" t="s">
        <v>92</v>
      </c>
      <c r="B75" s="20"/>
      <c r="C75" s="20"/>
      <c r="D75" s="20"/>
      <c r="E75" s="20"/>
      <c r="F75" s="20"/>
    </row>
    <row r="76" spans="1:14" x14ac:dyDescent="0.25">
      <c r="A76" s="1" t="s">
        <v>93</v>
      </c>
    </row>
    <row r="78" spans="1:14" x14ac:dyDescent="0.25">
      <c r="A78" s="1" t="s">
        <v>48</v>
      </c>
    </row>
    <row r="79" spans="1:14" x14ac:dyDescent="0.25">
      <c r="A79" s="1" t="s">
        <v>50</v>
      </c>
    </row>
    <row r="80" spans="1:14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1" t="s">
        <v>131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topLeftCell="A18" zoomScale="80" zoomScaleNormal="80" workbookViewId="0">
      <selection activeCell="B42" sqref="B42"/>
    </sheetView>
  </sheetViews>
  <sheetFormatPr baseColWidth="10" defaultColWidth="11.42578125" defaultRowHeight="15" x14ac:dyDescent="0.25"/>
  <cols>
    <col min="1" max="1" width="55.140625" style="1" customWidth="1"/>
    <col min="2" max="2" width="20.42578125" style="1" customWidth="1"/>
    <col min="3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52" t="s">
        <v>101</v>
      </c>
      <c r="B2" s="52"/>
      <c r="C2" s="52"/>
      <c r="D2" s="52"/>
      <c r="E2" s="52"/>
      <c r="F2" s="52"/>
      <c r="G2" s="52"/>
      <c r="H2" s="52"/>
    </row>
    <row r="4" spans="1:8" x14ac:dyDescent="0.25">
      <c r="A4" s="50" t="s">
        <v>0</v>
      </c>
      <c r="B4" s="50" t="s">
        <v>38</v>
      </c>
      <c r="C4" s="36"/>
      <c r="D4" s="54" t="s">
        <v>1</v>
      </c>
      <c r="E4" s="54"/>
      <c r="F4" s="55"/>
      <c r="G4" s="50" t="s">
        <v>2</v>
      </c>
      <c r="H4" s="50" t="s">
        <v>3</v>
      </c>
    </row>
    <row r="5" spans="1:8" ht="15.75" thickBot="1" x14ac:dyDescent="0.3">
      <c r="A5" s="51"/>
      <c r="B5" s="51"/>
      <c r="C5" s="53" t="s">
        <v>39</v>
      </c>
      <c r="D5" s="53"/>
      <c r="E5" s="53"/>
      <c r="F5" s="35" t="s">
        <v>57</v>
      </c>
      <c r="G5" s="51"/>
      <c r="H5" s="51"/>
    </row>
    <row r="6" spans="1:8" ht="15.75" thickTop="1" x14ac:dyDescent="0.25">
      <c r="C6" s="38" t="s">
        <v>58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67</v>
      </c>
      <c r="B10" s="22">
        <f>+C10+F10</f>
        <v>102121.99999999999</v>
      </c>
      <c r="C10" s="22">
        <f>SUM(D10:E10)</f>
        <v>98748.666666666657</v>
      </c>
      <c r="D10" s="5">
        <v>71200.333333333328</v>
      </c>
      <c r="E10" s="5">
        <v>27548.333333333332</v>
      </c>
      <c r="F10" s="5">
        <v>3373.3333333333335</v>
      </c>
      <c r="G10" s="5"/>
    </row>
    <row r="11" spans="1:8" x14ac:dyDescent="0.25">
      <c r="A11" s="4" t="s">
        <v>102</v>
      </c>
      <c r="B11" s="22">
        <f t="shared" ref="B11:B13" si="0">+C11+F11</f>
        <v>104227.33333333333</v>
      </c>
      <c r="C11" s="22">
        <v>100455.33333333333</v>
      </c>
      <c r="D11" s="22"/>
      <c r="E11" s="22"/>
      <c r="F11" s="22">
        <v>3772</v>
      </c>
      <c r="G11" s="5"/>
    </row>
    <row r="12" spans="1:8" x14ac:dyDescent="0.25">
      <c r="A12" s="4" t="s">
        <v>103</v>
      </c>
      <c r="B12" s="22">
        <f t="shared" si="0"/>
        <v>106552</v>
      </c>
      <c r="C12" s="22">
        <f t="shared" ref="C12" si="1">SUM(D12:E12)</f>
        <v>102962</v>
      </c>
      <c r="D12" s="5">
        <v>74751.333333333328</v>
      </c>
      <c r="E12" s="5">
        <v>28210.666666666668</v>
      </c>
      <c r="F12" s="5">
        <v>3590</v>
      </c>
      <c r="G12" s="5"/>
    </row>
    <row r="13" spans="1:8" x14ac:dyDescent="0.25">
      <c r="A13" s="4" t="s">
        <v>86</v>
      </c>
      <c r="B13" s="22">
        <f t="shared" si="0"/>
        <v>103721.83333333333</v>
      </c>
      <c r="C13" s="22">
        <v>99984.5</v>
      </c>
      <c r="D13" s="22"/>
      <c r="E13" s="22"/>
      <c r="F13" s="22">
        <v>3737.3333333333335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67</v>
      </c>
      <c r="B16" s="5">
        <f>+C16+F16+G16+H16</f>
        <v>27759058514.529999</v>
      </c>
      <c r="C16" s="22">
        <f t="shared" ref="C16" si="2">SUM(D16:E16)</f>
        <v>20828197396.739998</v>
      </c>
      <c r="D16" s="5">
        <v>15017767019.760778</v>
      </c>
      <c r="E16" s="22">
        <v>5810430376.9792194</v>
      </c>
      <c r="F16" s="22">
        <v>2511354893.9499998</v>
      </c>
      <c r="G16" s="22">
        <v>3383106224.8499999</v>
      </c>
      <c r="H16" s="24">
        <v>1036399998.9900001</v>
      </c>
    </row>
    <row r="17" spans="1:9" x14ac:dyDescent="0.25">
      <c r="A17" s="4" t="s">
        <v>102</v>
      </c>
      <c r="B17" s="5">
        <f t="shared" ref="B17:B19" si="3">+C17+F17+G17+H17</f>
        <v>30077483613.75</v>
      </c>
      <c r="C17" s="22">
        <v>23506548000</v>
      </c>
      <c r="D17" s="5"/>
      <c r="E17" s="22"/>
      <c r="F17" s="22">
        <v>2900879345.1599998</v>
      </c>
      <c r="G17" s="22">
        <v>3065755629.3000002</v>
      </c>
      <c r="H17" s="22">
        <v>604300639.28999996</v>
      </c>
    </row>
    <row r="18" spans="1:9" x14ac:dyDescent="0.25">
      <c r="A18" s="4" t="s">
        <v>103</v>
      </c>
      <c r="B18" s="5">
        <f t="shared" si="3"/>
        <v>28863812026.75</v>
      </c>
      <c r="C18" s="22">
        <f>D18+E18</f>
        <v>21411780786.130001</v>
      </c>
      <c r="D18" s="22">
        <v>15545428755.462523</v>
      </c>
      <c r="E18" s="22">
        <v>5866352030.6674776</v>
      </c>
      <c r="F18" s="22">
        <v>2786181676.1500001</v>
      </c>
      <c r="G18" s="22">
        <v>3549349564.46</v>
      </c>
      <c r="H18" s="24">
        <v>1116500000.0099998</v>
      </c>
    </row>
    <row r="19" spans="1:9" x14ac:dyDescent="0.25">
      <c r="A19" s="4" t="s">
        <v>86</v>
      </c>
      <c r="B19" s="5">
        <f t="shared" si="3"/>
        <v>126973545232.92</v>
      </c>
      <c r="C19" s="22">
        <v>99918434000</v>
      </c>
      <c r="D19" s="22"/>
      <c r="E19" s="22"/>
      <c r="F19" s="22">
        <v>12374886158.559999</v>
      </c>
      <c r="G19" s="22">
        <v>12263022517.200003</v>
      </c>
      <c r="H19" s="22">
        <v>2417202557.1600003</v>
      </c>
    </row>
    <row r="20" spans="1:9" x14ac:dyDescent="0.25">
      <c r="A20" s="4" t="s">
        <v>104</v>
      </c>
      <c r="B20" s="41">
        <f>C20+F20+G20</f>
        <v>27747312026.740002</v>
      </c>
      <c r="C20" s="44">
        <f t="shared" ref="C20" si="4">SUM(D20:E20)</f>
        <v>21411780786.130001</v>
      </c>
      <c r="D20" s="22">
        <f>+D18</f>
        <v>15545428755.462523</v>
      </c>
      <c r="E20" s="22">
        <f t="shared" ref="E20:G20" si="5">+E18</f>
        <v>5866352030.6674776</v>
      </c>
      <c r="F20" s="5">
        <f t="shared" si="5"/>
        <v>2786181676.1500001</v>
      </c>
      <c r="G20" s="41">
        <f t="shared" si="5"/>
        <v>3549349564.46</v>
      </c>
      <c r="H20" s="5"/>
      <c r="I20" s="43"/>
    </row>
    <row r="21" spans="1:9" x14ac:dyDescent="0.25">
      <c r="B21" s="5"/>
      <c r="C21" s="5"/>
      <c r="D21" s="5"/>
      <c r="E21" s="5"/>
      <c r="F21" s="5"/>
      <c r="G21" s="5"/>
    </row>
    <row r="22" spans="1:9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9" x14ac:dyDescent="0.25">
      <c r="A23" s="9" t="s">
        <v>102</v>
      </c>
      <c r="B23" s="8">
        <f>B17</f>
        <v>30077483613.75</v>
      </c>
      <c r="C23" s="8"/>
      <c r="D23" s="8"/>
      <c r="E23" s="8"/>
      <c r="F23" s="8"/>
      <c r="G23" s="8"/>
      <c r="H23" s="8"/>
    </row>
    <row r="24" spans="1:9" x14ac:dyDescent="0.25">
      <c r="A24" s="9" t="s">
        <v>103</v>
      </c>
      <c r="B24" s="8">
        <v>37943178215.029999</v>
      </c>
      <c r="C24" s="8"/>
      <c r="D24" s="8"/>
      <c r="E24" s="8"/>
      <c r="F24" s="8"/>
      <c r="G24" s="8"/>
      <c r="H24" s="8"/>
    </row>
    <row r="26" spans="1:9" x14ac:dyDescent="0.25">
      <c r="A26" s="1" t="s">
        <v>7</v>
      </c>
    </row>
    <row r="27" spans="1:9" x14ac:dyDescent="0.25">
      <c r="A27" s="10" t="s">
        <v>68</v>
      </c>
      <c r="B27" s="23">
        <v>1</v>
      </c>
      <c r="C27" s="23">
        <v>1</v>
      </c>
      <c r="D27" s="23">
        <v>1</v>
      </c>
      <c r="E27" s="23">
        <v>1</v>
      </c>
      <c r="F27" s="23">
        <v>1</v>
      </c>
      <c r="G27" s="23">
        <v>1</v>
      </c>
      <c r="H27" s="23">
        <v>1</v>
      </c>
    </row>
    <row r="28" spans="1:9" x14ac:dyDescent="0.25">
      <c r="A28" s="10" t="s">
        <v>105</v>
      </c>
      <c r="B28" s="23">
        <v>0.99</v>
      </c>
      <c r="C28" s="23">
        <v>0.99</v>
      </c>
      <c r="D28" s="23">
        <v>0.99</v>
      </c>
      <c r="E28" s="23">
        <v>0.99</v>
      </c>
      <c r="F28" s="23">
        <v>0.99</v>
      </c>
      <c r="G28" s="23">
        <v>0.99</v>
      </c>
      <c r="H28" s="23">
        <v>0.99</v>
      </c>
    </row>
    <row r="29" spans="1:9" x14ac:dyDescent="0.25">
      <c r="A29" s="4" t="s">
        <v>8</v>
      </c>
      <c r="B29" s="24">
        <f>+D29+F29</f>
        <v>106083</v>
      </c>
      <c r="C29" s="39"/>
      <c r="D29" s="24">
        <v>97615</v>
      </c>
      <c r="E29" s="24" t="s">
        <v>53</v>
      </c>
      <c r="F29" s="24">
        <v>8468</v>
      </c>
      <c r="G29" s="24"/>
      <c r="H29" s="24"/>
    </row>
    <row r="31" spans="1:9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69</v>
      </c>
      <c r="B32" s="13">
        <f t="shared" ref="B32:H32" si="6">B16/B27</f>
        <v>27759058514.529999</v>
      </c>
      <c r="C32" s="13">
        <f t="shared" si="6"/>
        <v>20828197396.739998</v>
      </c>
      <c r="D32" s="13">
        <f t="shared" si="6"/>
        <v>15017767019.760778</v>
      </c>
      <c r="E32" s="13">
        <f t="shared" si="6"/>
        <v>5810430376.9792194</v>
      </c>
      <c r="F32" s="13">
        <f t="shared" si="6"/>
        <v>2511354893.9499998</v>
      </c>
      <c r="G32" s="13">
        <f t="shared" si="6"/>
        <v>3383106224.8499999</v>
      </c>
      <c r="H32" s="13">
        <f t="shared" si="6"/>
        <v>1036399998.9900001</v>
      </c>
    </row>
    <row r="33" spans="1:8" x14ac:dyDescent="0.25">
      <c r="A33" s="12" t="s">
        <v>106</v>
      </c>
      <c r="B33" s="13">
        <f t="shared" ref="B33:H33" si="7">B18/B28</f>
        <v>29155365683.585857</v>
      </c>
      <c r="C33" s="13">
        <f t="shared" si="7"/>
        <v>21628061400.131313</v>
      </c>
      <c r="D33" s="13">
        <f t="shared" si="7"/>
        <v>15702453288.345982</v>
      </c>
      <c r="E33" s="13">
        <f t="shared" si="7"/>
        <v>5925608111.7853308</v>
      </c>
      <c r="F33" s="13">
        <f t="shared" si="7"/>
        <v>2814324925.4040403</v>
      </c>
      <c r="G33" s="13">
        <f t="shared" si="7"/>
        <v>3585201580.2626262</v>
      </c>
      <c r="H33" s="13">
        <f t="shared" si="7"/>
        <v>1127777777.7878785</v>
      </c>
    </row>
    <row r="34" spans="1:8" x14ac:dyDescent="0.25">
      <c r="A34" s="12" t="s">
        <v>70</v>
      </c>
      <c r="B34" s="13">
        <f>B32/B10</f>
        <v>271822.5114522826</v>
      </c>
      <c r="C34" s="13">
        <f t="shared" ref="C34:F34" si="8">C32/C10</f>
        <v>210921.30253309748</v>
      </c>
      <c r="D34" s="13">
        <f t="shared" si="8"/>
        <v>210922.70663190875</v>
      </c>
      <c r="E34" s="13">
        <f t="shared" si="8"/>
        <v>210917.67355481468</v>
      </c>
      <c r="F34" s="13">
        <f t="shared" si="8"/>
        <v>744472.79464920936</v>
      </c>
      <c r="G34" s="13"/>
      <c r="H34" s="13"/>
    </row>
    <row r="35" spans="1:8" x14ac:dyDescent="0.25">
      <c r="A35" s="12" t="s">
        <v>107</v>
      </c>
      <c r="B35" s="13">
        <f>B33/B12</f>
        <v>273625.70091209793</v>
      </c>
      <c r="C35" s="13">
        <f t="shared" ref="C35:F35" si="9">C33/C12</f>
        <v>210058.67601766976</v>
      </c>
      <c r="D35" s="13">
        <f t="shared" si="9"/>
        <v>210062.51779249401</v>
      </c>
      <c r="E35" s="13">
        <f t="shared" si="9"/>
        <v>210048.49625857821</v>
      </c>
      <c r="F35" s="13">
        <f t="shared" si="9"/>
        <v>783934.51961115329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(B11/B29)*100</f>
        <v>98.250740772162672</v>
      </c>
      <c r="C40" s="14"/>
      <c r="D40" s="14">
        <f>(C11)/D29*100</f>
        <v>102.90973040345574</v>
      </c>
      <c r="E40" s="14"/>
      <c r="F40" s="14">
        <f>(F11)/F29*100</f>
        <v>44.544166273027869</v>
      </c>
      <c r="G40" s="14"/>
    </row>
    <row r="41" spans="1:8" x14ac:dyDescent="0.25">
      <c r="A41" s="1" t="s">
        <v>13</v>
      </c>
      <c r="B41" s="14">
        <f>(B12/B29)*100</f>
        <v>100.44210665233825</v>
      </c>
      <c r="C41" s="40"/>
      <c r="D41" s="14">
        <f>(D12)/D29*100</f>
        <v>76.577711758780239</v>
      </c>
      <c r="E41" s="14"/>
      <c r="F41" s="14">
        <f t="shared" ref="F41" si="10">(F12)/F29*100</f>
        <v>42.394898441190364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102.23038102609041</v>
      </c>
      <c r="C44" s="14">
        <f>C12/C11*100</f>
        <v>102.49530471254222</v>
      </c>
      <c r="D44" s="14"/>
      <c r="E44" s="14"/>
      <c r="F44" s="14">
        <f>F12/F11*100</f>
        <v>95.174973488865319</v>
      </c>
      <c r="G44" s="14"/>
    </row>
    <row r="45" spans="1:8" x14ac:dyDescent="0.25">
      <c r="A45" s="1" t="s">
        <v>16</v>
      </c>
      <c r="B45" s="14">
        <f>B18/B17*100</f>
        <v>95.964849976860549</v>
      </c>
      <c r="C45" s="14">
        <f>C18/C17*100</f>
        <v>91.088580025148744</v>
      </c>
      <c r="D45" s="14"/>
      <c r="E45" s="14"/>
      <c r="F45" s="14">
        <f>F18/F17*100</f>
        <v>96.046106874407982</v>
      </c>
      <c r="G45" s="14">
        <f>G18/G17*100</f>
        <v>115.77405356572461</v>
      </c>
      <c r="H45" s="14">
        <f>H18/H17*100</f>
        <v>184.75903009498532</v>
      </c>
    </row>
    <row r="46" spans="1:8" x14ac:dyDescent="0.25">
      <c r="A46" s="12" t="s">
        <v>17</v>
      </c>
      <c r="B46" s="15">
        <f>AVERAGE(B44:B45)</f>
        <v>99.097615501475474</v>
      </c>
      <c r="C46" s="15">
        <f>AVERAGE(C44:C45)</f>
        <v>96.791942368845483</v>
      </c>
      <c r="D46" s="15"/>
      <c r="E46" s="15"/>
      <c r="F46" s="15">
        <f t="shared" ref="F46:H46" si="11">AVERAGE(F44:F45)</f>
        <v>95.610540181636651</v>
      </c>
      <c r="G46" s="15">
        <f>AVERAGE(G44:G45)</f>
        <v>115.77405356572461</v>
      </c>
      <c r="H46" s="15">
        <f t="shared" si="11"/>
        <v>184.75903009498532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9" s="25" customFormat="1" x14ac:dyDescent="0.25">
      <c r="A49" s="25" t="s">
        <v>19</v>
      </c>
      <c r="B49" s="16">
        <f>B12/(B13)*100</f>
        <v>102.72861226581995</v>
      </c>
      <c r="C49" s="16">
        <f t="shared" ref="C49:F49" si="12">C12/(C13)*100</f>
        <v>102.97796158404553</v>
      </c>
      <c r="D49" s="16"/>
      <c r="E49" s="16"/>
      <c r="F49" s="16">
        <f t="shared" si="12"/>
        <v>96.057795219407765</v>
      </c>
      <c r="G49" s="16"/>
      <c r="H49" s="16"/>
      <c r="I49" s="30"/>
    </row>
    <row r="50" spans="1:9" x14ac:dyDescent="0.25">
      <c r="A50" s="1" t="s">
        <v>20</v>
      </c>
      <c r="B50" s="14">
        <f>B18/B19*100</f>
        <v>22.732146270155948</v>
      </c>
      <c r="C50" s="14">
        <f>C18/C19*100</f>
        <v>21.429259776159025</v>
      </c>
      <c r="D50" s="14"/>
      <c r="E50" s="14"/>
      <c r="F50" s="14">
        <f>F18/F19*100</f>
        <v>22.514806523878466</v>
      </c>
      <c r="G50" s="14">
        <f>G18/G19*100</f>
        <v>28.943513391431146</v>
      </c>
      <c r="H50" s="14">
        <f>H18/H19*100</f>
        <v>46.189757523746323</v>
      </c>
    </row>
    <row r="51" spans="1:9" x14ac:dyDescent="0.25">
      <c r="A51" s="1" t="s">
        <v>21</v>
      </c>
      <c r="B51" s="14">
        <f>(B49+B50)/2</f>
        <v>62.730379267987949</v>
      </c>
      <c r="C51" s="14">
        <f t="shared" ref="C51" si="13">(C49+C50)/2</f>
        <v>62.20361068010228</v>
      </c>
      <c r="D51" s="14"/>
      <c r="E51" s="14"/>
      <c r="F51" s="14">
        <f t="shared" ref="F51" si="14">(F49+F50)/2</f>
        <v>59.286300871643114</v>
      </c>
      <c r="G51" s="14">
        <f>AVERAGE(G49:G50)</f>
        <v>28.943513391431146</v>
      </c>
      <c r="H51" s="14">
        <f t="shared" ref="H51" si="15">AVERAGE(H49:H50)</f>
        <v>46.189757523746323</v>
      </c>
    </row>
    <row r="53" spans="1:9" x14ac:dyDescent="0.25">
      <c r="A53" s="1" t="s">
        <v>33</v>
      </c>
    </row>
    <row r="54" spans="1:9" x14ac:dyDescent="0.25">
      <c r="A54" s="1" t="s">
        <v>22</v>
      </c>
      <c r="B54" s="14">
        <f>(B20/B18)*100</f>
        <v>96.131834565111276</v>
      </c>
      <c r="C54" s="14"/>
      <c r="D54" s="14"/>
      <c r="E54" s="14"/>
      <c r="F54" s="14"/>
      <c r="G54" s="14"/>
      <c r="H54" s="14"/>
    </row>
    <row r="56" spans="1:9" x14ac:dyDescent="0.25">
      <c r="A56" s="1" t="s">
        <v>23</v>
      </c>
    </row>
    <row r="57" spans="1:9" x14ac:dyDescent="0.25">
      <c r="A57" s="1" t="s">
        <v>24</v>
      </c>
      <c r="B57" s="14">
        <f>((B12/B10)-1)*100</f>
        <v>4.3379487279920248</v>
      </c>
      <c r="C57" s="14">
        <f>((C12/C10)-1)*100</f>
        <v>4.2667242764459434</v>
      </c>
      <c r="D57" s="14">
        <f t="shared" ref="D57:F57" si="16">((D12/D10)-1)*100</f>
        <v>4.9873362016095379</v>
      </c>
      <c r="E57" s="14">
        <f t="shared" si="16"/>
        <v>2.4042591808336899</v>
      </c>
      <c r="F57" s="14">
        <f t="shared" si="16"/>
        <v>6.422924901185767</v>
      </c>
      <c r="G57" s="14"/>
      <c r="H57" s="14"/>
    </row>
    <row r="58" spans="1:9" x14ac:dyDescent="0.25">
      <c r="A58" s="1" t="s">
        <v>25</v>
      </c>
      <c r="B58" s="14">
        <f>((B33/B32)-1)*100</f>
        <v>5.0300955571853656</v>
      </c>
      <c r="C58" s="14">
        <f>((C33/C32)-1)*100</f>
        <v>3.8402939445758788</v>
      </c>
      <c r="D58" s="14">
        <f t="shared" ref="D58:G58" si="17">((D33/D32)-1)*100</f>
        <v>4.5591749271664428</v>
      </c>
      <c r="E58" s="14">
        <f t="shared" si="17"/>
        <v>1.9822582379171561</v>
      </c>
      <c r="F58" s="14">
        <f t="shared" si="17"/>
        <v>12.064007049896164</v>
      </c>
      <c r="G58" s="14">
        <f t="shared" si="17"/>
        <v>5.9736627223872185</v>
      </c>
      <c r="H58" s="14">
        <f>((H33/H32)-1)*100</f>
        <v>8.8168447401513426</v>
      </c>
    </row>
    <row r="59" spans="1:9" x14ac:dyDescent="0.25">
      <c r="A59" s="12" t="s">
        <v>26</v>
      </c>
      <c r="B59" s="15">
        <f>((B35/B34)-1)*100</f>
        <v>0.66337017128614839</v>
      </c>
      <c r="C59" s="15">
        <f>((C35/C34)-1)*100</f>
        <v>-0.40898027134663728</v>
      </c>
      <c r="D59" s="15">
        <f t="shared" ref="D59:F59" si="18">((D35/D34)-1)*100</f>
        <v>-0.40782182874027351</v>
      </c>
      <c r="E59" s="15">
        <f t="shared" si="18"/>
        <v>-0.41209315539438851</v>
      </c>
      <c r="F59" s="15">
        <f t="shared" si="18"/>
        <v>5.3006268658263078</v>
      </c>
      <c r="G59" s="15"/>
      <c r="H59" s="15"/>
    </row>
    <row r="60" spans="1:9" x14ac:dyDescent="0.25">
      <c r="A60" s="25"/>
      <c r="B60" s="16"/>
      <c r="C60" s="16"/>
      <c r="D60" s="16"/>
      <c r="E60" s="16"/>
      <c r="F60" s="16"/>
      <c r="G60" s="16"/>
      <c r="H60" s="16"/>
    </row>
    <row r="61" spans="1:9" x14ac:dyDescent="0.25">
      <c r="A61" s="1" t="s">
        <v>27</v>
      </c>
    </row>
    <row r="62" spans="1:9" x14ac:dyDescent="0.25">
      <c r="A62" s="1" t="s">
        <v>34</v>
      </c>
      <c r="B62" s="5">
        <f>B17/(B11*3)</f>
        <v>96191.92538665481</v>
      </c>
      <c r="C62" s="5">
        <f>C17/(C11*3)</f>
        <v>78000</v>
      </c>
      <c r="D62" s="5"/>
      <c r="E62" s="5"/>
      <c r="F62" s="5">
        <f t="shared" ref="F62" si="19">F17/(F11*3)</f>
        <v>256352.00999999998</v>
      </c>
      <c r="G62" s="5"/>
      <c r="H62" s="5"/>
    </row>
    <row r="63" spans="1:9" x14ac:dyDescent="0.25">
      <c r="A63" s="1" t="s">
        <v>35</v>
      </c>
      <c r="B63" s="5">
        <f>B18/(B12*3)</f>
        <v>90296.481300992324</v>
      </c>
      <c r="C63" s="5">
        <f>C18/(C12*3)</f>
        <v>69319.363085831021</v>
      </c>
      <c r="D63" s="5">
        <f t="shared" ref="D63:F63" si="20">D18/(D12*3)</f>
        <v>69320.630871523012</v>
      </c>
      <c r="E63" s="5">
        <f t="shared" si="20"/>
        <v>69316.00376533081</v>
      </c>
      <c r="F63" s="5">
        <f t="shared" si="20"/>
        <v>258698.3914716806</v>
      </c>
      <c r="G63" s="5"/>
      <c r="H63" s="5"/>
    </row>
    <row r="64" spans="1:9" x14ac:dyDescent="0.25">
      <c r="A64" s="12" t="s">
        <v>28</v>
      </c>
      <c r="B64" s="15">
        <f>(B62/B63)*B46</f>
        <v>105.56768435459044</v>
      </c>
      <c r="C64" s="15">
        <f>(C62/C63)*C46</f>
        <v>108.91288045191419</v>
      </c>
      <c r="D64" s="15">
        <f t="shared" ref="D64:F64" si="21">(D62/D63)*D46</f>
        <v>0</v>
      </c>
      <c r="E64" s="15">
        <f t="shared" si="21"/>
        <v>0</v>
      </c>
      <c r="F64" s="15">
        <f t="shared" si="21"/>
        <v>94.743357364212272</v>
      </c>
      <c r="G64" s="15"/>
      <c r="H64" s="15"/>
    </row>
    <row r="65" spans="1:9" x14ac:dyDescent="0.25">
      <c r="A65" s="16" t="s">
        <v>36</v>
      </c>
      <c r="B65" s="5">
        <f>B17/B11</f>
        <v>288575.77615996444</v>
      </c>
      <c r="C65" s="5">
        <f>C17/C11</f>
        <v>234000</v>
      </c>
      <c r="D65" s="5"/>
      <c r="E65" s="5"/>
      <c r="F65" s="5">
        <f t="shared" ref="F65" si="22">F17/F11</f>
        <v>769056.02999999991</v>
      </c>
      <c r="G65" s="16"/>
      <c r="H65" s="16"/>
    </row>
    <row r="66" spans="1:9" x14ac:dyDescent="0.25">
      <c r="A66" s="16" t="s">
        <v>37</v>
      </c>
      <c r="B66" s="5">
        <f>B18/B12</f>
        <v>270889.44390297693</v>
      </c>
      <c r="C66" s="5">
        <f>C18/C12</f>
        <v>207958.08925749306</v>
      </c>
      <c r="D66" s="22">
        <f>D18/D12</f>
        <v>207961.89261456905</v>
      </c>
      <c r="E66" s="5">
        <f t="shared" ref="E66:F66" si="23">E18/E12</f>
        <v>207948.01129599244</v>
      </c>
      <c r="F66" s="5">
        <f t="shared" si="23"/>
        <v>776095.17441504181</v>
      </c>
      <c r="G66" s="16"/>
      <c r="H66" s="16"/>
      <c r="I66" s="43"/>
    </row>
    <row r="67" spans="1:9" x14ac:dyDescent="0.25">
      <c r="B67" s="14"/>
      <c r="C67" s="14"/>
      <c r="D67" s="14"/>
      <c r="E67" s="14"/>
      <c r="F67" s="14"/>
      <c r="G67" s="14"/>
      <c r="H67" s="14"/>
    </row>
    <row r="68" spans="1:9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9" x14ac:dyDescent="0.25">
      <c r="A69" s="17" t="s">
        <v>30</v>
      </c>
      <c r="B69" s="18">
        <f>(B24/B23)*100</f>
        <v>126.15143840585179</v>
      </c>
      <c r="C69" s="18"/>
      <c r="D69" s="18"/>
      <c r="E69" s="18"/>
      <c r="F69" s="18"/>
      <c r="G69" s="18"/>
      <c r="H69" s="18"/>
    </row>
    <row r="70" spans="1:9" x14ac:dyDescent="0.25">
      <c r="A70" s="17" t="s">
        <v>31</v>
      </c>
      <c r="B70" s="18">
        <f>(B18/B24)*100</f>
        <v>76.07115003169794</v>
      </c>
      <c r="C70" s="18"/>
      <c r="D70" s="18"/>
      <c r="E70" s="18"/>
      <c r="F70" s="18"/>
      <c r="G70" s="18"/>
      <c r="H70" s="18"/>
    </row>
    <row r="71" spans="1:9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9" ht="15.75" thickTop="1" x14ac:dyDescent="0.25"/>
    <row r="73" spans="1:9" x14ac:dyDescent="0.25">
      <c r="A73" s="1" t="s">
        <v>32</v>
      </c>
    </row>
    <row r="74" spans="1:9" x14ac:dyDescent="0.25">
      <c r="A74" s="1" t="s">
        <v>91</v>
      </c>
    </row>
    <row r="75" spans="1:9" x14ac:dyDescent="0.25">
      <c r="A75" s="1" t="s">
        <v>92</v>
      </c>
      <c r="B75" s="20"/>
      <c r="C75" s="20"/>
      <c r="D75" s="20"/>
      <c r="E75" s="20"/>
      <c r="F75" s="20"/>
    </row>
    <row r="76" spans="1:9" x14ac:dyDescent="0.25">
      <c r="A76" s="1" t="s">
        <v>93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1" t="s">
        <v>131</v>
      </c>
    </row>
  </sheetData>
  <mergeCells count="7">
    <mergeCell ref="A2:H2"/>
    <mergeCell ref="A4:A5"/>
    <mergeCell ref="B4:B5"/>
    <mergeCell ref="G4:G5"/>
    <mergeCell ref="H4:H5"/>
    <mergeCell ref="D4:F4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7"/>
  <sheetViews>
    <sheetView topLeftCell="A10" zoomScale="90" zoomScaleNormal="90" workbookViewId="0">
      <selection activeCell="F41" sqref="F41"/>
    </sheetView>
  </sheetViews>
  <sheetFormatPr baseColWidth="10" defaultColWidth="11.42578125" defaultRowHeight="15" x14ac:dyDescent="0.25"/>
  <cols>
    <col min="1" max="1" width="55.140625" style="1" customWidth="1"/>
    <col min="2" max="2" width="21" style="1" customWidth="1"/>
    <col min="3" max="3" width="27" style="1" customWidth="1"/>
    <col min="4" max="4" width="22.28515625" style="1" customWidth="1"/>
    <col min="5" max="5" width="17" style="1" bestFit="1" customWidth="1"/>
    <col min="6" max="6" width="20.7109375" style="1" customWidth="1"/>
    <col min="7" max="7" width="21.28515625" style="1" customWidth="1"/>
    <col min="8" max="8" width="17.5703125" style="1" bestFit="1" customWidth="1"/>
    <col min="9" max="16384" width="11.42578125" style="1"/>
  </cols>
  <sheetData>
    <row r="2" spans="1:8" ht="15.75" x14ac:dyDescent="0.25">
      <c r="A2" s="52" t="s">
        <v>108</v>
      </c>
      <c r="B2" s="52"/>
      <c r="C2" s="52"/>
      <c r="D2" s="52"/>
      <c r="E2" s="52"/>
      <c r="F2" s="52"/>
      <c r="G2" s="52"/>
      <c r="H2" s="52"/>
    </row>
    <row r="4" spans="1:8" x14ac:dyDescent="0.25">
      <c r="A4" s="50" t="s">
        <v>0</v>
      </c>
      <c r="B4" s="50" t="s">
        <v>38</v>
      </c>
      <c r="C4" s="36"/>
      <c r="D4" s="54" t="s">
        <v>1</v>
      </c>
      <c r="E4" s="54"/>
      <c r="F4" s="55"/>
      <c r="G4" s="50" t="s">
        <v>2</v>
      </c>
      <c r="H4" s="50" t="s">
        <v>3</v>
      </c>
    </row>
    <row r="5" spans="1:8" ht="15.75" thickBot="1" x14ac:dyDescent="0.3">
      <c r="A5" s="51"/>
      <c r="B5" s="51"/>
      <c r="C5" s="53" t="s">
        <v>39</v>
      </c>
      <c r="D5" s="53"/>
      <c r="E5" s="53"/>
      <c r="F5" s="35" t="s">
        <v>57</v>
      </c>
      <c r="G5" s="51"/>
      <c r="H5" s="51"/>
    </row>
    <row r="6" spans="1:8" ht="15.75" thickTop="1" x14ac:dyDescent="0.25">
      <c r="C6" s="38" t="s">
        <v>58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71</v>
      </c>
      <c r="B10" s="22">
        <f>+C10+F10</f>
        <v>103423.66666666667</v>
      </c>
      <c r="C10" s="22">
        <f>SUM(D10:E10)</f>
        <v>99998</v>
      </c>
      <c r="D10" s="22">
        <v>72249</v>
      </c>
      <c r="E10" s="5">
        <v>27749</v>
      </c>
      <c r="F10" s="5">
        <v>3425.6666666666665</v>
      </c>
      <c r="G10" s="5"/>
    </row>
    <row r="11" spans="1:8" x14ac:dyDescent="0.25">
      <c r="A11" s="4" t="s">
        <v>109</v>
      </c>
      <c r="B11" s="22">
        <f>C11+F11</f>
        <v>105247.66666666667</v>
      </c>
      <c r="C11" s="22">
        <v>101406.66666666667</v>
      </c>
      <c r="E11" s="22"/>
      <c r="F11" s="22">
        <v>3841</v>
      </c>
      <c r="G11" s="5"/>
    </row>
    <row r="12" spans="1:8" x14ac:dyDescent="0.25">
      <c r="A12" s="4" t="s">
        <v>110</v>
      </c>
      <c r="B12" s="22">
        <f t="shared" ref="B12:B13" si="0">+C12+F12</f>
        <v>107697</v>
      </c>
      <c r="C12" s="22">
        <f t="shared" ref="C12" si="1">SUM(D12:E12)</f>
        <v>104034</v>
      </c>
      <c r="D12" s="22">
        <v>75568.666666666672</v>
      </c>
      <c r="E12" s="5">
        <v>28465.333333333332</v>
      </c>
      <c r="F12" s="5">
        <v>3663</v>
      </c>
      <c r="G12" s="5"/>
    </row>
    <row r="13" spans="1:8" x14ac:dyDescent="0.25">
      <c r="A13" s="4" t="s">
        <v>86</v>
      </c>
      <c r="B13" s="22">
        <f t="shared" si="0"/>
        <v>103721.83333333333</v>
      </c>
      <c r="C13" s="22">
        <v>99984.5</v>
      </c>
      <c r="D13" s="22"/>
      <c r="E13" s="22"/>
      <c r="F13" s="22">
        <v>3737.3333333333335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71</v>
      </c>
      <c r="B16" s="5">
        <f>+C16+F16+G16+H16</f>
        <v>36503052619.980003</v>
      </c>
      <c r="C16" s="22">
        <f t="shared" ref="C16:C20" si="2">SUM(D16:E16)</f>
        <v>28383467838.619999</v>
      </c>
      <c r="D16" s="5">
        <v>20506605365.825287</v>
      </c>
      <c r="E16" s="22">
        <v>7876862472.794713</v>
      </c>
      <c r="F16" s="22">
        <v>2565126960.3499999</v>
      </c>
      <c r="G16" s="22">
        <v>4425420948</v>
      </c>
      <c r="H16" s="24">
        <v>1129036873.01</v>
      </c>
    </row>
    <row r="17" spans="1:9" x14ac:dyDescent="0.25">
      <c r="A17" s="4" t="s">
        <v>109</v>
      </c>
      <c r="B17" s="5">
        <f t="shared" ref="B17:B18" si="3">+C17+F17+G17+H17</f>
        <v>39404879664.990005</v>
      </c>
      <c r="C17" s="22">
        <v>31844786000</v>
      </c>
      <c r="D17" s="5"/>
      <c r="E17" s="22"/>
      <c r="F17" s="22">
        <v>3890037396.4000001</v>
      </c>
      <c r="G17" s="22">
        <v>3065755629.3000002</v>
      </c>
      <c r="H17" s="24">
        <v>604300639.28999996</v>
      </c>
    </row>
    <row r="18" spans="1:9" x14ac:dyDescent="0.25">
      <c r="A18" s="4" t="s">
        <v>110</v>
      </c>
      <c r="B18" s="47">
        <f t="shared" si="3"/>
        <v>39887632871.160011</v>
      </c>
      <c r="C18" s="48">
        <f t="shared" si="2"/>
        <v>31943213452.930004</v>
      </c>
      <c r="D18" s="47">
        <v>23203246564.71653</v>
      </c>
      <c r="E18" s="48">
        <v>8739966888.2134743</v>
      </c>
      <c r="F18" s="48">
        <v>2851460931.5999999</v>
      </c>
      <c r="G18" s="48">
        <v>3976458486.6199999</v>
      </c>
      <c r="H18" s="24">
        <v>1116500000.0099998</v>
      </c>
      <c r="I18" s="43"/>
    </row>
    <row r="19" spans="1:9" x14ac:dyDescent="0.25">
      <c r="A19" s="4" t="s">
        <v>86</v>
      </c>
      <c r="B19" s="5">
        <f>+C19+F19+G19+H19</f>
        <v>126973545232.92</v>
      </c>
      <c r="C19" s="22">
        <v>99918434000</v>
      </c>
      <c r="D19" s="22"/>
      <c r="E19" s="22"/>
      <c r="F19" s="22">
        <v>12374886158.559999</v>
      </c>
      <c r="G19" s="22">
        <v>12263022517.200003</v>
      </c>
      <c r="H19" s="22">
        <v>2417202557.1600003</v>
      </c>
    </row>
    <row r="20" spans="1:9" x14ac:dyDescent="0.25">
      <c r="A20" s="4" t="s">
        <v>111</v>
      </c>
      <c r="B20" s="41">
        <f>C20+F20+G20</f>
        <v>38771132871.150009</v>
      </c>
      <c r="C20" s="22">
        <f t="shared" si="2"/>
        <v>31943213452.930004</v>
      </c>
      <c r="D20" s="5">
        <f>+D18</f>
        <v>23203246564.71653</v>
      </c>
      <c r="E20" s="5">
        <f t="shared" ref="E20:G20" si="4">+E18</f>
        <v>8739966888.2134743</v>
      </c>
      <c r="F20" s="5">
        <f t="shared" si="4"/>
        <v>2851460931.5999999</v>
      </c>
      <c r="G20" s="41">
        <f t="shared" si="4"/>
        <v>3976458486.6199999</v>
      </c>
      <c r="H20" s="5"/>
    </row>
    <row r="21" spans="1:9" x14ac:dyDescent="0.25">
      <c r="B21" s="5"/>
      <c r="C21" s="5"/>
      <c r="D21" s="5"/>
      <c r="E21" s="5"/>
      <c r="F21" s="5"/>
      <c r="G21" s="5"/>
    </row>
    <row r="22" spans="1:9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9" x14ac:dyDescent="0.25">
      <c r="A23" s="9" t="s">
        <v>109</v>
      </c>
      <c r="B23" s="8">
        <f>B17</f>
        <v>39404879664.990005</v>
      </c>
      <c r="C23" s="8"/>
      <c r="D23" s="8"/>
      <c r="E23" s="8"/>
      <c r="F23" s="8"/>
      <c r="G23" s="8"/>
      <c r="H23" s="8"/>
    </row>
    <row r="24" spans="1:9" x14ac:dyDescent="0.25">
      <c r="A24" s="9" t="s">
        <v>110</v>
      </c>
      <c r="B24" s="8">
        <v>29054249713.669998</v>
      </c>
      <c r="C24" s="8"/>
      <c r="D24" s="8"/>
      <c r="E24" s="8"/>
      <c r="F24" s="8"/>
      <c r="G24" s="8"/>
      <c r="H24" s="8"/>
    </row>
    <row r="26" spans="1:9" x14ac:dyDescent="0.25">
      <c r="A26" s="1" t="s">
        <v>7</v>
      </c>
    </row>
    <row r="27" spans="1:9" x14ac:dyDescent="0.25">
      <c r="A27" s="10" t="s">
        <v>72</v>
      </c>
      <c r="B27" s="23">
        <v>0.99</v>
      </c>
      <c r="C27" s="23">
        <v>0.99</v>
      </c>
      <c r="D27" s="23">
        <v>0.99</v>
      </c>
      <c r="E27" s="23">
        <v>0.99</v>
      </c>
      <c r="F27" s="23">
        <v>0.99</v>
      </c>
      <c r="G27" s="23">
        <v>0.99</v>
      </c>
      <c r="H27" s="23">
        <v>0.99</v>
      </c>
    </row>
    <row r="28" spans="1:9" x14ac:dyDescent="0.25">
      <c r="A28" s="10" t="s">
        <v>112</v>
      </c>
      <c r="B28" s="23">
        <v>0.99</v>
      </c>
      <c r="C28" s="23">
        <v>0.99</v>
      </c>
      <c r="D28" s="23">
        <v>0.99</v>
      </c>
      <c r="E28" s="23">
        <v>0.99</v>
      </c>
      <c r="F28" s="23">
        <v>0.99</v>
      </c>
      <c r="G28" s="23">
        <v>0.99</v>
      </c>
      <c r="H28" s="23">
        <v>0.99</v>
      </c>
    </row>
    <row r="29" spans="1:9" x14ac:dyDescent="0.25">
      <c r="A29" s="4" t="s">
        <v>8</v>
      </c>
      <c r="B29" s="24">
        <f>+D29+F29</f>
        <v>106083</v>
      </c>
      <c r="C29" s="39"/>
      <c r="D29" s="24">
        <v>97615</v>
      </c>
      <c r="E29" s="24" t="s">
        <v>53</v>
      </c>
      <c r="F29" s="24">
        <v>8468</v>
      </c>
      <c r="G29" s="24"/>
      <c r="H29" s="24"/>
    </row>
    <row r="31" spans="1:9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73</v>
      </c>
      <c r="B32" s="13">
        <f>B16/B27</f>
        <v>36871770323.212128</v>
      </c>
      <c r="C32" s="13">
        <f>C16/C27</f>
        <v>28670169533.959595</v>
      </c>
      <c r="D32" s="13">
        <f>D16/D27</f>
        <v>20713742793.762917</v>
      </c>
      <c r="E32" s="13">
        <f t="shared" ref="E32:H32" si="5">E16/E27</f>
        <v>7956426740.1966801</v>
      </c>
      <c r="F32" s="13">
        <f t="shared" si="5"/>
        <v>2591037333.6868687</v>
      </c>
      <c r="G32" s="13">
        <f t="shared" si="5"/>
        <v>4470122169.69697</v>
      </c>
      <c r="H32" s="13">
        <f t="shared" si="5"/>
        <v>1140441285.8686869</v>
      </c>
    </row>
    <row r="33" spans="1:8" x14ac:dyDescent="0.25">
      <c r="A33" s="12" t="s">
        <v>113</v>
      </c>
      <c r="B33" s="13">
        <f>B18/B28</f>
        <v>40290538253.696983</v>
      </c>
      <c r="C33" s="13">
        <f>C18/C28</f>
        <v>32265872174.676773</v>
      </c>
      <c r="D33" s="13">
        <f>D18/D28</f>
        <v>23437622792.64296</v>
      </c>
      <c r="E33" s="13">
        <f t="shared" ref="E33:H33" si="6">E18/E28</f>
        <v>8828249382.0338116</v>
      </c>
      <c r="F33" s="13">
        <f t="shared" si="6"/>
        <v>2880263567.272727</v>
      </c>
      <c r="G33" s="13">
        <f t="shared" si="6"/>
        <v>4016624733.9595957</v>
      </c>
      <c r="H33" s="13">
        <f t="shared" si="6"/>
        <v>1127777777.7878785</v>
      </c>
    </row>
    <row r="34" spans="1:8" x14ac:dyDescent="0.25">
      <c r="A34" s="12" t="s">
        <v>74</v>
      </c>
      <c r="B34" s="13">
        <f>B32/B10</f>
        <v>356511.92334970518</v>
      </c>
      <c r="C34" s="13">
        <f>C32/C10</f>
        <v>286707.42948818573</v>
      </c>
      <c r="D34" s="13">
        <f>D32/D10</f>
        <v>286699.37014717044</v>
      </c>
      <c r="E34" s="13">
        <f t="shared" ref="E34:F34" si="7">E32/E10</f>
        <v>286728.41328324191</v>
      </c>
      <c r="F34" s="13">
        <f t="shared" si="7"/>
        <v>756360.02734850696</v>
      </c>
      <c r="G34" s="13"/>
      <c r="H34" s="13"/>
    </row>
    <row r="35" spans="1:8" x14ac:dyDescent="0.25">
      <c r="A35" s="12" t="s">
        <v>114</v>
      </c>
      <c r="B35" s="13">
        <f>B33/B12</f>
        <v>374110.12612883351</v>
      </c>
      <c r="C35" s="13">
        <f>C33/C12</f>
        <v>310147.37657570385</v>
      </c>
      <c r="D35" s="13">
        <f>D33/D12</f>
        <v>310150.01093014242</v>
      </c>
      <c r="E35" s="13">
        <f t="shared" ref="E35:F35" si="8">E33/E12</f>
        <v>310140.38299336546</v>
      </c>
      <c r="F35" s="13">
        <f t="shared" si="8"/>
        <v>786312.7401781946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(B11/B29)*100</f>
        <v>99.212566261009457</v>
      </c>
      <c r="C40" s="14"/>
      <c r="D40" s="14">
        <f>C11/D29*100</f>
        <v>103.88430739811163</v>
      </c>
      <c r="E40" s="14"/>
      <c r="F40" s="14">
        <f>(F11)/F29*100</f>
        <v>45.358998582900327</v>
      </c>
      <c r="G40" s="14"/>
    </row>
    <row r="41" spans="1:8" x14ac:dyDescent="0.25">
      <c r="A41" s="1" t="s">
        <v>13</v>
      </c>
      <c r="B41" s="14">
        <f>(B12/B29)*100</f>
        <v>101.52145018523231</v>
      </c>
      <c r="C41" s="40"/>
      <c r="D41" s="14">
        <f>(D12)/D29*100</f>
        <v>77.415014768905053</v>
      </c>
      <c r="E41" s="14"/>
      <c r="F41" s="14">
        <f>(F12)/F29*100</f>
        <v>43.256967406707602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102.32720915428052</v>
      </c>
      <c r="C44" s="14">
        <f>C12/C11*100</f>
        <v>102.59088817303268</v>
      </c>
      <c r="D44" s="14"/>
      <c r="E44" s="14"/>
      <c r="F44" s="14">
        <f>F12/F11*100</f>
        <v>95.365790158812814</v>
      </c>
      <c r="G44" s="14"/>
    </row>
    <row r="45" spans="1:8" x14ac:dyDescent="0.25">
      <c r="A45" s="1" t="s">
        <v>16</v>
      </c>
      <c r="B45" s="14">
        <f>B18/B17*100</f>
        <v>101.2251102154714</v>
      </c>
      <c r="C45" s="14">
        <f>C18/C17*100</f>
        <v>100.30908498782188</v>
      </c>
      <c r="D45" s="14"/>
      <c r="E45" s="14"/>
      <c r="F45" s="14">
        <f>F18/F17*100</f>
        <v>73.301632890183996</v>
      </c>
      <c r="G45" s="14">
        <f>G18/G17*100</f>
        <v>129.70565718337895</v>
      </c>
      <c r="H45" s="14">
        <f>H18/H17*100</f>
        <v>184.75903009498532</v>
      </c>
    </row>
    <row r="46" spans="1:8" x14ac:dyDescent="0.25">
      <c r="A46" s="12" t="s">
        <v>17</v>
      </c>
      <c r="B46" s="15">
        <f>AVERAGE(B44:B45)</f>
        <v>101.77615968487596</v>
      </c>
      <c r="C46" s="15">
        <f>AVERAGE(C44:C45)</f>
        <v>101.44998658042728</v>
      </c>
      <c r="D46" s="15"/>
      <c r="E46" s="15"/>
      <c r="F46" s="15">
        <f t="shared" ref="F46:H46" si="9">AVERAGE(F44:F45)</f>
        <v>84.333711524498398</v>
      </c>
      <c r="G46" s="15">
        <f>AVERAGE(G44:G45)</f>
        <v>129.70565718337895</v>
      </c>
      <c r="H46" s="15">
        <f t="shared" si="9"/>
        <v>184.75903009498532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B12/B13*100</f>
        <v>103.83252642082749</v>
      </c>
      <c r="C49" s="16">
        <f t="shared" ref="C49:F49" si="10">C12/C13*100</f>
        <v>104.05012776980431</v>
      </c>
      <c r="D49" s="16"/>
      <c r="E49" s="16"/>
      <c r="F49" s="16">
        <f t="shared" si="10"/>
        <v>98.011059579022472</v>
      </c>
      <c r="G49" s="16"/>
      <c r="H49" s="16"/>
    </row>
    <row r="50" spans="1:8" x14ac:dyDescent="0.25">
      <c r="A50" s="1" t="s">
        <v>20</v>
      </c>
      <c r="B50" s="14">
        <f>B18/B19*100</f>
        <v>31.414128665928189</v>
      </c>
      <c r="C50" s="14">
        <f t="shared" ref="C50:H50" si="11">C18/C19*100</f>
        <v>31.969289523622841</v>
      </c>
      <c r="D50" s="14"/>
      <c r="E50" s="14"/>
      <c r="F50" s="14">
        <f t="shared" si="11"/>
        <v>23.042320511591758</v>
      </c>
      <c r="G50" s="14">
        <f t="shared" si="11"/>
        <v>32.426414295844729</v>
      </c>
      <c r="H50" s="14">
        <f t="shared" si="11"/>
        <v>46.189757523746323</v>
      </c>
    </row>
    <row r="51" spans="1:8" x14ac:dyDescent="0.25">
      <c r="A51" s="1" t="s">
        <v>21</v>
      </c>
      <c r="B51" s="14">
        <f>(B49+B50)/2</f>
        <v>67.62332754337784</v>
      </c>
      <c r="C51" s="14">
        <f t="shared" ref="C51:F51" si="12">(C49+C50)/2</f>
        <v>68.009708646713577</v>
      </c>
      <c r="D51" s="14"/>
      <c r="E51" s="14"/>
      <c r="F51" s="14">
        <f t="shared" si="12"/>
        <v>60.526690045307113</v>
      </c>
      <c r="G51" s="14">
        <f>AVERAGE(G49:G50)</f>
        <v>32.426414295844729</v>
      </c>
      <c r="H51" s="14">
        <f>AVERAGE(H49:H50)</f>
        <v>46.189757523746323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97.20088679211328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4.1318718152840495</v>
      </c>
      <c r="C57" s="14">
        <f t="shared" ref="C57:F57" si="13">((C12/C10)-1)*100</f>
        <v>4.0360807216144323</v>
      </c>
      <c r="D57" s="14">
        <f t="shared" si="13"/>
        <v>4.5947579435932306</v>
      </c>
      <c r="E57" s="14">
        <f t="shared" si="13"/>
        <v>2.5814744074861506</v>
      </c>
      <c r="F57" s="14">
        <f t="shared" si="13"/>
        <v>6.9280918555998827</v>
      </c>
      <c r="G57" s="14"/>
      <c r="H57" s="14"/>
    </row>
    <row r="58" spans="1:8" x14ac:dyDescent="0.25">
      <c r="A58" s="1" t="s">
        <v>25</v>
      </c>
      <c r="B58" s="14">
        <f>((B33/B32)-1)*100</f>
        <v>9.2720471529207149</v>
      </c>
      <c r="C58" s="14">
        <f t="shared" ref="C58:H58" si="14">((C33/C32)-1)*100</f>
        <v>12.541616248407927</v>
      </c>
      <c r="D58" s="14">
        <f t="shared" si="14"/>
        <v>13.150110175647377</v>
      </c>
      <c r="E58" s="14">
        <f t="shared" si="14"/>
        <v>10.957464579326736</v>
      </c>
      <c r="F58" s="14">
        <f t="shared" si="14"/>
        <v>11.16256527165933</v>
      </c>
      <c r="G58" s="14">
        <f t="shared" si="14"/>
        <v>-10.145079228743247</v>
      </c>
      <c r="H58" s="14">
        <f t="shared" si="14"/>
        <v>-1.1104042126256819</v>
      </c>
    </row>
    <row r="59" spans="1:8" x14ac:dyDescent="0.25">
      <c r="A59" s="12" t="s">
        <v>26</v>
      </c>
      <c r="B59" s="15">
        <f>((B35/B34)-1)*100</f>
        <v>4.9362171715828129</v>
      </c>
      <c r="C59" s="15">
        <f t="shared" ref="C59:F59" si="15">((C35/C34)-1)*100</f>
        <v>8.1755631967269871</v>
      </c>
      <c r="D59" s="15">
        <f t="shared" si="15"/>
        <v>8.1795229514924017</v>
      </c>
      <c r="E59" s="15">
        <f t="shared" si="15"/>
        <v>8.1652074316737711</v>
      </c>
      <c r="F59" s="15">
        <f t="shared" si="15"/>
        <v>3.9601131401258316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5">
        <f>B17/(B11*3)</f>
        <v>124800.48541057127</v>
      </c>
      <c r="C62" s="5">
        <f>C17/(C11*3)</f>
        <v>104676.83255538755</v>
      </c>
      <c r="D62" s="5"/>
      <c r="E62" s="5"/>
      <c r="F62" s="5">
        <f t="shared" ref="F62:F63" si="16">F17/(F11*3)</f>
        <v>337588.94353900896</v>
      </c>
      <c r="G62" s="5"/>
      <c r="H62" s="5"/>
    </row>
    <row r="63" spans="1:8" x14ac:dyDescent="0.25">
      <c r="A63" s="1" t="s">
        <v>35</v>
      </c>
      <c r="B63" s="5">
        <f>B18/(B12*3)</f>
        <v>123456.34162251506</v>
      </c>
      <c r="C63" s="5">
        <f t="shared" ref="C63:E63" si="17">C18/(C12*3)</f>
        <v>102348.63426998226</v>
      </c>
      <c r="D63" s="5">
        <f t="shared" si="17"/>
        <v>102349.50360694701</v>
      </c>
      <c r="E63" s="5">
        <f t="shared" si="17"/>
        <v>102346.32638781061</v>
      </c>
      <c r="F63" s="5">
        <f t="shared" si="16"/>
        <v>259483.20425880424</v>
      </c>
      <c r="G63" s="5"/>
      <c r="H63" s="5"/>
    </row>
    <row r="64" spans="1:8" x14ac:dyDescent="0.25">
      <c r="A64" s="12" t="s">
        <v>28</v>
      </c>
      <c r="B64" s="15">
        <f>(B62/B63)*B46</f>
        <v>102.88425823222263</v>
      </c>
      <c r="C64" s="15">
        <f t="shared" ref="C64:F64" si="18">(C62/C63)*C46</f>
        <v>103.75774267796236</v>
      </c>
      <c r="D64" s="15">
        <f t="shared" si="18"/>
        <v>0</v>
      </c>
      <c r="E64" s="15">
        <f t="shared" si="18"/>
        <v>0</v>
      </c>
      <c r="F64" s="15">
        <f t="shared" si="18"/>
        <v>109.71857951115528</v>
      </c>
      <c r="G64" s="15"/>
      <c r="H64" s="15"/>
    </row>
    <row r="65" spans="1:8" x14ac:dyDescent="0.25">
      <c r="A65" s="16" t="s">
        <v>36</v>
      </c>
      <c r="B65" s="5">
        <f>B17/B11</f>
        <v>374401.45623171382</v>
      </c>
      <c r="C65" s="5">
        <f t="shared" ref="C65:F65" si="19">C17/C11</f>
        <v>314030.49766616261</v>
      </c>
      <c r="D65" s="5"/>
      <c r="E65" s="5"/>
      <c r="F65" s="5">
        <f t="shared" si="19"/>
        <v>1012766.8306170269</v>
      </c>
      <c r="G65" s="16"/>
      <c r="H65" s="16"/>
    </row>
    <row r="66" spans="1:8" x14ac:dyDescent="0.25">
      <c r="A66" s="16" t="s">
        <v>37</v>
      </c>
      <c r="B66" s="5">
        <f>B18/B12</f>
        <v>370369.02486754517</v>
      </c>
      <c r="C66" s="5">
        <f t="shared" ref="C66:F66" si="20">C18/C12</f>
        <v>307045.9028099468</v>
      </c>
      <c r="D66" s="5">
        <f t="shared" si="20"/>
        <v>307048.51082084101</v>
      </c>
      <c r="E66" s="5">
        <f t="shared" si="20"/>
        <v>307038.9791634318</v>
      </c>
      <c r="F66" s="5">
        <f t="shared" si="20"/>
        <v>778449.61277641275</v>
      </c>
      <c r="G66" s="16"/>
      <c r="H66" s="16"/>
    </row>
    <row r="67" spans="1:8" x14ac:dyDescent="0.25">
      <c r="B67" s="14"/>
      <c r="C67" s="14"/>
      <c r="D67" s="14"/>
      <c r="E67" s="14"/>
      <c r="F67" s="14"/>
      <c r="G67" s="14"/>
      <c r="H67" s="14"/>
    </row>
    <row r="68" spans="1:8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8" x14ac:dyDescent="0.25">
      <c r="A69" s="17" t="s">
        <v>30</v>
      </c>
      <c r="B69" s="18">
        <f>(B24/B23)*100</f>
        <v>73.732618804274082</v>
      </c>
      <c r="C69" s="18"/>
      <c r="D69" s="18"/>
      <c r="E69" s="18"/>
      <c r="F69" s="18"/>
      <c r="G69" s="18"/>
      <c r="H69" s="18"/>
    </row>
    <row r="70" spans="1:8" x14ac:dyDescent="0.25">
      <c r="A70" s="17" t="s">
        <v>31</v>
      </c>
      <c r="B70" s="18">
        <f>(B18/B24)*100</f>
        <v>137.2867420919595</v>
      </c>
      <c r="C70" s="18"/>
      <c r="D70" s="18"/>
      <c r="E70" s="18"/>
      <c r="F70" s="18"/>
      <c r="G70" s="18"/>
      <c r="H70" s="18"/>
    </row>
    <row r="71" spans="1:8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8" ht="15.75" thickTop="1" x14ac:dyDescent="0.25"/>
    <row r="74" spans="1:8" x14ac:dyDescent="0.25">
      <c r="A74" s="1" t="s">
        <v>32</v>
      </c>
    </row>
    <row r="75" spans="1:8" x14ac:dyDescent="0.25">
      <c r="A75" s="1" t="s">
        <v>91</v>
      </c>
      <c r="B75" s="20"/>
      <c r="C75" s="20"/>
      <c r="D75" s="20"/>
      <c r="E75" s="20"/>
      <c r="F75" s="20"/>
    </row>
    <row r="76" spans="1:8" x14ac:dyDescent="0.25">
      <c r="A76" s="1" t="s">
        <v>92</v>
      </c>
    </row>
    <row r="77" spans="1:8" x14ac:dyDescent="0.25">
      <c r="A77" s="1" t="s">
        <v>93</v>
      </c>
    </row>
    <row r="79" spans="1:8" x14ac:dyDescent="0.25">
      <c r="A79" s="1" t="s">
        <v>48</v>
      </c>
    </row>
    <row r="80" spans="1:8" x14ac:dyDescent="0.25">
      <c r="A80" s="1" t="s">
        <v>50</v>
      </c>
    </row>
    <row r="81" spans="1:1" x14ac:dyDescent="0.25">
      <c r="A81" s="1" t="s">
        <v>49</v>
      </c>
    </row>
    <row r="82" spans="1:1" x14ac:dyDescent="0.25">
      <c r="A82" s="1" t="s">
        <v>47</v>
      </c>
    </row>
    <row r="83" spans="1:1" x14ac:dyDescent="0.25">
      <c r="A83" s="33" t="s">
        <v>54</v>
      </c>
    </row>
    <row r="84" spans="1:1" x14ac:dyDescent="0.25">
      <c r="A84" s="34" t="s">
        <v>55</v>
      </c>
    </row>
    <row r="85" spans="1:1" x14ac:dyDescent="0.25">
      <c r="A85" s="34" t="s">
        <v>56</v>
      </c>
    </row>
    <row r="87" spans="1:1" x14ac:dyDescent="0.25">
      <c r="A87" s="24" t="s">
        <v>132</v>
      </c>
    </row>
  </sheetData>
  <mergeCells count="7">
    <mergeCell ref="A4:A5"/>
    <mergeCell ref="A2:H2"/>
    <mergeCell ref="B4:B5"/>
    <mergeCell ref="G4:G5"/>
    <mergeCell ref="H4:H5"/>
    <mergeCell ref="D4:F4"/>
    <mergeCell ref="C5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topLeftCell="A16" zoomScale="90" zoomScaleNormal="90" workbookViewId="0">
      <selection activeCell="B42" sqref="B42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52" t="s">
        <v>115</v>
      </c>
      <c r="B2" s="52"/>
      <c r="C2" s="52"/>
      <c r="D2" s="52"/>
      <c r="E2" s="52"/>
      <c r="F2" s="52"/>
      <c r="G2" s="52"/>
      <c r="H2" s="52"/>
    </row>
    <row r="4" spans="1:8" x14ac:dyDescent="0.25">
      <c r="A4" s="50" t="s">
        <v>0</v>
      </c>
      <c r="B4" s="50" t="s">
        <v>38</v>
      </c>
      <c r="C4" s="36"/>
      <c r="D4" s="36"/>
      <c r="E4" s="37" t="s">
        <v>1</v>
      </c>
      <c r="F4" s="29"/>
      <c r="G4" s="50" t="s">
        <v>2</v>
      </c>
      <c r="H4" s="50" t="s">
        <v>3</v>
      </c>
    </row>
    <row r="5" spans="1:8" ht="15.75" thickBot="1" x14ac:dyDescent="0.3">
      <c r="A5" s="51"/>
      <c r="B5" s="51"/>
      <c r="C5" s="53" t="s">
        <v>39</v>
      </c>
      <c r="D5" s="53"/>
      <c r="E5" s="53"/>
      <c r="F5" s="35" t="s">
        <v>57</v>
      </c>
      <c r="G5" s="51"/>
      <c r="H5" s="51"/>
    </row>
    <row r="6" spans="1:8" ht="15.75" thickTop="1" x14ac:dyDescent="0.25">
      <c r="C6" s="38" t="s">
        <v>58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75</v>
      </c>
      <c r="B10" s="22">
        <f>+C10+F10</f>
        <v>100926.33333333333</v>
      </c>
      <c r="C10" s="22">
        <f>SUM(D10:E10)</f>
        <v>97622</v>
      </c>
      <c r="D10" s="22">
        <f>(+'I Trimestre'!D10+'II Trimestre'!D10)/2</f>
        <v>70352</v>
      </c>
      <c r="E10" s="5">
        <f>(+'I Trimestre'!E10+'II Trimestre'!E10)/2</f>
        <v>27270</v>
      </c>
      <c r="F10" s="5">
        <f>(+'I Trimestre'!F10+'II Trimestre'!F10)/2</f>
        <v>3304.333333333333</v>
      </c>
      <c r="G10" s="5">
        <f>+'I Trimestre'!G10+'II Trimestre'!G10/2</f>
        <v>0</v>
      </c>
      <c r="H10" s="5">
        <f>+'I Trimestre'!H10+'II Trimestre'!H10/2</f>
        <v>0</v>
      </c>
    </row>
    <row r="11" spans="1:8" x14ac:dyDescent="0.25">
      <c r="A11" s="4" t="s">
        <v>116</v>
      </c>
      <c r="B11" s="22">
        <f t="shared" ref="B11:B13" si="0">+C11+F11</f>
        <v>102706.16666666667</v>
      </c>
      <c r="C11" s="22">
        <f>('I Trimestre'!C11+'II Trimestre'!C11)/2</f>
        <v>99038</v>
      </c>
      <c r="D11" s="22"/>
      <c r="E11" s="5"/>
      <c r="F11" s="5">
        <f>(+'I Trimestre'!F11+'II Trimestre'!F11)/2</f>
        <v>3668.166666666667</v>
      </c>
      <c r="G11" s="5">
        <f>+'I Trimestre'!G11+'II Trimestre'!G11/2</f>
        <v>0</v>
      </c>
      <c r="H11" s="5">
        <f>+'I Trimestre'!H11+'II Trimestre'!H11/2</f>
        <v>0</v>
      </c>
    </row>
    <row r="12" spans="1:8" x14ac:dyDescent="0.25">
      <c r="A12" s="4" t="s">
        <v>117</v>
      </c>
      <c r="B12" s="22">
        <f t="shared" si="0"/>
        <v>104845</v>
      </c>
      <c r="C12" s="22">
        <f t="shared" ref="C12" si="1">SUM(D12:E12)</f>
        <v>101343</v>
      </c>
      <c r="D12" s="22">
        <f>(+'I Trimestre'!D12+'II Trimestre'!D12)/2</f>
        <v>73434.666666666657</v>
      </c>
      <c r="E12" s="5">
        <f>(+'I Trimestre'!E12+'II Trimestre'!E12)/2</f>
        <v>27908.333333333336</v>
      </c>
      <c r="F12" s="5">
        <f>(+'I Trimestre'!F12+'II Trimestre'!F12)/2</f>
        <v>3502</v>
      </c>
      <c r="G12" s="5">
        <f>+'I Trimestre'!G12+'II Trimestre'!G12/2</f>
        <v>0</v>
      </c>
      <c r="H12" s="5">
        <f>+'I Trimestre'!H12+'II Trimestre'!H12/2</f>
        <v>0</v>
      </c>
    </row>
    <row r="13" spans="1:8" x14ac:dyDescent="0.25">
      <c r="A13" s="4" t="s">
        <v>86</v>
      </c>
      <c r="B13" s="22">
        <f t="shared" si="0"/>
        <v>103721.83333333333</v>
      </c>
      <c r="C13" s="22">
        <f>'II Trimestre'!C13</f>
        <v>99984.5</v>
      </c>
      <c r="D13" s="22"/>
      <c r="E13" s="22"/>
      <c r="F13" s="22">
        <f>'II Trimestre'!F13</f>
        <v>3737.3333333333335</v>
      </c>
      <c r="G13" s="22">
        <f>'II Trimestre'!G13</f>
        <v>0</v>
      </c>
      <c r="H13" s="22">
        <f>'II Trimestre'!H13</f>
        <v>0</v>
      </c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75</v>
      </c>
      <c r="B16" s="5">
        <f>+C16+F16+G16+H16</f>
        <v>56500168908.490005</v>
      </c>
      <c r="C16" s="22">
        <f t="shared" ref="C16:C20" si="2">SUM(D16:E16)</f>
        <v>43676812141.260002</v>
      </c>
      <c r="D16" s="5">
        <f>+'I Trimestre'!D16+'II Trimestre'!D16</f>
        <v>31472455413.769459</v>
      </c>
      <c r="E16" s="22">
        <f>+'I Trimestre'!E16+'II Trimestre'!E16</f>
        <v>12204356727.490543</v>
      </c>
      <c r="F16" s="22">
        <f>+'I Trimestre'!F16+'II Trimestre'!F16</f>
        <v>4748966218.8500004</v>
      </c>
      <c r="G16" s="22">
        <f>+'I Trimestre'!G16+'II Trimestre'!G16</f>
        <v>5723192662.6499996</v>
      </c>
      <c r="H16" s="22">
        <f>+'I Trimestre'!H16+'II Trimestre'!H16</f>
        <v>2351197885.73</v>
      </c>
    </row>
    <row r="17" spans="1:8" x14ac:dyDescent="0.25">
      <c r="A17" s="4" t="s">
        <v>116</v>
      </c>
      <c r="B17" s="5">
        <f t="shared" ref="B17:B19" si="3">+C17+F17+G17+H17</f>
        <v>57491181954.18</v>
      </c>
      <c r="C17" s="22">
        <f>'I Trimestre'!C17+'II Trimestre'!C17</f>
        <v>44567100000</v>
      </c>
      <c r="D17" s="5"/>
      <c r="E17" s="22"/>
      <c r="F17" s="22">
        <f>+'I Trimestre'!F17+'II Trimestre'!F17</f>
        <v>5583969417</v>
      </c>
      <c r="G17" s="22">
        <f>+'I Trimestre'!G17+'II Trimestre'!G17</f>
        <v>6131511258.6000004</v>
      </c>
      <c r="H17" s="22">
        <f>+'I Trimestre'!H17+'II Trimestre'!H17</f>
        <v>1208601278.5799999</v>
      </c>
    </row>
    <row r="18" spans="1:8" x14ac:dyDescent="0.25">
      <c r="A18" s="4" t="s">
        <v>117</v>
      </c>
      <c r="B18" s="5">
        <f t="shared" si="3"/>
        <v>57504234828.980003</v>
      </c>
      <c r="C18" s="22">
        <f t="shared" si="2"/>
        <v>42893304356.830002</v>
      </c>
      <c r="D18" s="5">
        <f>+'I Trimestre'!D18+'II Trimestre'!D18</f>
        <v>31081054831.829052</v>
      </c>
      <c r="E18" s="22">
        <f>+'I Trimestre'!E18+'II Trimestre'!E18</f>
        <v>11812249525.000946</v>
      </c>
      <c r="F18" s="22">
        <f>+'I Trimestre'!F18+'II Trimestre'!F18</f>
        <v>5362717546.1499996</v>
      </c>
      <c r="G18" s="22">
        <f>+'I Trimestre'!G18+'II Trimestre'!G18</f>
        <v>6732512921.9799995</v>
      </c>
      <c r="H18" s="22">
        <f>+'I Trimestre'!H18+'II Trimestre'!H18</f>
        <v>2515700004.02</v>
      </c>
    </row>
    <row r="19" spans="1:8" x14ac:dyDescent="0.25">
      <c r="A19" s="4" t="s">
        <v>86</v>
      </c>
      <c r="B19" s="5">
        <f t="shared" si="3"/>
        <v>126973545232.92</v>
      </c>
      <c r="C19" s="22">
        <f>'II Trimestre'!C19</f>
        <v>99918434000</v>
      </c>
      <c r="D19" s="5"/>
      <c r="E19" s="22"/>
      <c r="F19" s="22">
        <f>+'II Trimestre'!F19</f>
        <v>12374886158.559999</v>
      </c>
      <c r="G19" s="22">
        <f>+'II Trimestre'!G19</f>
        <v>12263022517.200003</v>
      </c>
      <c r="H19" s="22">
        <f>+'II Trimestre'!H19</f>
        <v>2417202557.1600003</v>
      </c>
    </row>
    <row r="20" spans="1:8" x14ac:dyDescent="0.25">
      <c r="A20" s="4" t="s">
        <v>118</v>
      </c>
      <c r="B20" s="41">
        <f>+C20+F20+G20</f>
        <v>54988534824.960007</v>
      </c>
      <c r="C20" s="22">
        <f t="shared" si="2"/>
        <v>42893304356.830002</v>
      </c>
      <c r="D20" s="5">
        <f>+D18</f>
        <v>31081054831.829052</v>
      </c>
      <c r="E20" s="22">
        <f>+E18</f>
        <v>11812249525.000946</v>
      </c>
      <c r="F20" s="22">
        <f t="shared" ref="F20:G20" si="4">+F18</f>
        <v>5362717546.1499996</v>
      </c>
      <c r="G20" s="22">
        <f t="shared" si="4"/>
        <v>6732512921.9799995</v>
      </c>
      <c r="H20" s="22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116</v>
      </c>
      <c r="B23" s="8">
        <f>B17</f>
        <v>57491181954.18</v>
      </c>
      <c r="C23" s="8"/>
      <c r="D23" s="8"/>
      <c r="E23" s="8"/>
      <c r="F23" s="8"/>
      <c r="G23" s="8"/>
      <c r="H23" s="8"/>
    </row>
    <row r="24" spans="1:8" x14ac:dyDescent="0.25">
      <c r="A24" s="9" t="s">
        <v>117</v>
      </c>
      <c r="B24" s="8">
        <f>+'I Trimestre'!B24+'II Trimestre'!B24</f>
        <v>59771392117.120003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76</v>
      </c>
      <c r="B27" s="23">
        <v>0.97</v>
      </c>
      <c r="C27" s="23">
        <v>0.97</v>
      </c>
      <c r="D27" s="23">
        <v>0.97</v>
      </c>
      <c r="E27" s="23">
        <v>0.97</v>
      </c>
      <c r="F27" s="23">
        <v>0.97</v>
      </c>
      <c r="G27" s="23">
        <v>0.97</v>
      </c>
      <c r="H27" s="23">
        <v>0.97</v>
      </c>
    </row>
    <row r="28" spans="1:8" x14ac:dyDescent="0.25">
      <c r="A28" s="10" t="s">
        <v>119</v>
      </c>
      <c r="B28" s="23">
        <v>1</v>
      </c>
      <c r="C28" s="23">
        <v>1</v>
      </c>
      <c r="D28" s="23">
        <v>1</v>
      </c>
      <c r="E28" s="23">
        <v>1</v>
      </c>
      <c r="F28" s="23">
        <v>1</v>
      </c>
      <c r="G28" s="23">
        <v>1</v>
      </c>
      <c r="H28" s="23">
        <v>1</v>
      </c>
    </row>
    <row r="29" spans="1:8" x14ac:dyDescent="0.25">
      <c r="A29" s="4" t="s">
        <v>8</v>
      </c>
      <c r="B29" s="24">
        <f>+D29+F29</f>
        <v>106083</v>
      </c>
      <c r="C29" s="39"/>
      <c r="D29" s="24">
        <v>97615</v>
      </c>
      <c r="E29" s="24" t="s">
        <v>53</v>
      </c>
      <c r="F29" s="24">
        <v>8468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77</v>
      </c>
      <c r="B32" s="13">
        <f>B16/B27</f>
        <v>58247596812.876297</v>
      </c>
      <c r="C32" s="13">
        <f>C16/C27</f>
        <v>45027641382.742271</v>
      </c>
      <c r="D32" s="13">
        <f>D16/D27</f>
        <v>32445830323.473671</v>
      </c>
      <c r="E32" s="13">
        <f t="shared" ref="E32:H32" si="5">E16/E27</f>
        <v>12581811059.268602</v>
      </c>
      <c r="F32" s="13">
        <f t="shared" si="5"/>
        <v>4895841462.7319593</v>
      </c>
      <c r="G32" s="13">
        <f t="shared" si="5"/>
        <v>5900198621.2886591</v>
      </c>
      <c r="H32" s="13">
        <f t="shared" si="5"/>
        <v>2423915346.1134024</v>
      </c>
    </row>
    <row r="33" spans="1:8" x14ac:dyDescent="0.25">
      <c r="A33" s="12" t="s">
        <v>120</v>
      </c>
      <c r="B33" s="13">
        <f>B18/B28</f>
        <v>57504234828.980003</v>
      </c>
      <c r="C33" s="13">
        <f t="shared" ref="C33:H33" si="6">C18/C28</f>
        <v>42893304356.830002</v>
      </c>
      <c r="D33" s="13">
        <f t="shared" si="6"/>
        <v>31081054831.829052</v>
      </c>
      <c r="E33" s="13">
        <f t="shared" si="6"/>
        <v>11812249525.000946</v>
      </c>
      <c r="F33" s="13">
        <f t="shared" si="6"/>
        <v>5362717546.1499996</v>
      </c>
      <c r="G33" s="13">
        <f t="shared" si="6"/>
        <v>6732512921.9799995</v>
      </c>
      <c r="H33" s="13">
        <f t="shared" si="6"/>
        <v>2515700004.02</v>
      </c>
    </row>
    <row r="34" spans="1:8" x14ac:dyDescent="0.25">
      <c r="A34" s="12" t="s">
        <v>78</v>
      </c>
      <c r="B34" s="13">
        <f>B32/B10</f>
        <v>577129.8222090333</v>
      </c>
      <c r="C34" s="13">
        <f>C32/C10</f>
        <v>461244.81554098742</v>
      </c>
      <c r="D34" s="13">
        <f>D32/D10</f>
        <v>461192.721222903</v>
      </c>
      <c r="E34" s="13">
        <f t="shared" ref="E34:F34" si="7">E32/E10</f>
        <v>461379.21009419148</v>
      </c>
      <c r="F34" s="13">
        <f t="shared" si="7"/>
        <v>1481642.7305755955</v>
      </c>
      <c r="G34" s="13"/>
      <c r="H34" s="13"/>
    </row>
    <row r="35" spans="1:8" x14ac:dyDescent="0.25">
      <c r="A35" s="12" t="s">
        <v>121</v>
      </c>
      <c r="B35" s="13">
        <f>B33/B12</f>
        <v>548469.02407344175</v>
      </c>
      <c r="C35" s="13">
        <f>C33/C12</f>
        <v>423248.81202283339</v>
      </c>
      <c r="D35" s="13">
        <f>D33/D12</f>
        <v>423247.71450126718</v>
      </c>
      <c r="E35" s="13">
        <f t="shared" ref="E35:F35" si="8">E33/E12</f>
        <v>423251.69991045486</v>
      </c>
      <c r="F35" s="13">
        <f t="shared" si="8"/>
        <v>1531329.9674900055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(B11/B29)*100</f>
        <v>96.816800681227605</v>
      </c>
      <c r="C40" s="14"/>
      <c r="D40" s="14">
        <f>(C11)/D29*100</f>
        <v>101.45776776110229</v>
      </c>
      <c r="E40" s="14"/>
      <c r="F40" s="14">
        <f>(F11)/F29*100</f>
        <v>43.317981420248785</v>
      </c>
      <c r="G40" s="14"/>
    </row>
    <row r="41" spans="1:8" x14ac:dyDescent="0.25">
      <c r="A41" s="1" t="s">
        <v>13</v>
      </c>
      <c r="B41" s="14">
        <f>(B12/B29)*100</f>
        <v>98.832989263124162</v>
      </c>
      <c r="C41" s="40"/>
      <c r="D41" s="14">
        <f>(D12)/D29*100</f>
        <v>75.228875343611804</v>
      </c>
      <c r="E41" s="14"/>
      <c r="F41" s="14">
        <f t="shared" ref="F41" si="9">(F12)/F29*100</f>
        <v>41.355692017005197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102.08247800764964</v>
      </c>
      <c r="C44" s="14">
        <f>C12/C11*100</f>
        <v>102.32738948686362</v>
      </c>
      <c r="D44" s="14"/>
      <c r="E44" s="14"/>
      <c r="F44" s="14">
        <f>F12/F11*100</f>
        <v>95.470034985687676</v>
      </c>
      <c r="G44" s="14"/>
    </row>
    <row r="45" spans="1:8" x14ac:dyDescent="0.25">
      <c r="A45" s="1" t="s">
        <v>16</v>
      </c>
      <c r="B45" s="14">
        <f>B18/B17*100</f>
        <v>100.02270413367116</v>
      </c>
      <c r="C45" s="14">
        <f>C18/C17*100</f>
        <v>96.244324528250672</v>
      </c>
      <c r="D45" s="14"/>
      <c r="E45" s="14"/>
      <c r="F45" s="14">
        <f>F18/F17*100</f>
        <v>96.037731328248071</v>
      </c>
      <c r="G45" s="14">
        <f>G18/G17*100</f>
        <v>109.80185207255455</v>
      </c>
      <c r="H45" s="14">
        <f>H18/H17*100</f>
        <v>208.14970566436318</v>
      </c>
    </row>
    <row r="46" spans="1:8" x14ac:dyDescent="0.25">
      <c r="A46" s="12" t="s">
        <v>17</v>
      </c>
      <c r="B46" s="15">
        <f>AVERAGE(B44:B45)</f>
        <v>101.0525910706604</v>
      </c>
      <c r="C46" s="15">
        <f>AVERAGE(C44:C45)</f>
        <v>99.285857007557155</v>
      </c>
      <c r="D46" s="15"/>
      <c r="E46" s="15"/>
      <c r="F46" s="15">
        <f t="shared" ref="F46:H46" si="10">AVERAGE(F44:F45)</f>
        <v>95.753883156967873</v>
      </c>
      <c r="G46" s="15">
        <f>AVERAGE(G44:G45)</f>
        <v>109.80185207255455</v>
      </c>
      <c r="H46" s="15">
        <f t="shared" si="10"/>
        <v>208.14970566436318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B12/B13*100</f>
        <v>101.08286426355106</v>
      </c>
      <c r="C49" s="16">
        <f>C12/C13*100</f>
        <v>101.35871060014303</v>
      </c>
      <c r="D49" s="16"/>
      <c r="E49" s="16"/>
      <c r="F49" s="16">
        <f>F12/F13*100</f>
        <v>93.703175169461289</v>
      </c>
      <c r="G49" s="16"/>
      <c r="H49" s="16"/>
    </row>
    <row r="50" spans="1:8" x14ac:dyDescent="0.25">
      <c r="A50" s="1" t="s">
        <v>20</v>
      </c>
      <c r="B50" s="14">
        <f>B18/B19*100</f>
        <v>45.288358865222165</v>
      </c>
      <c r="C50" s="14">
        <f>C18/C19*100</f>
        <v>42.928319269725549</v>
      </c>
      <c r="D50" s="14"/>
      <c r="E50" s="14"/>
      <c r="F50" s="14">
        <f>F18/F19*100</f>
        <v>43.335489938551738</v>
      </c>
      <c r="G50" s="14">
        <f>G18/G19*100</f>
        <v>54.900926036277262</v>
      </c>
      <c r="H50" s="14">
        <f>H18/H19*100</f>
        <v>104.07485283218156</v>
      </c>
    </row>
    <row r="51" spans="1:8" x14ac:dyDescent="0.25">
      <c r="A51" s="1" t="s">
        <v>21</v>
      </c>
      <c r="B51" s="14">
        <f>(B49+B50)/2</f>
        <v>73.185611564386619</v>
      </c>
      <c r="C51" s="14">
        <f t="shared" ref="C51" si="11">(C49+C50)/2</f>
        <v>72.143514934934288</v>
      </c>
      <c r="D51" s="14"/>
      <c r="E51" s="14"/>
      <c r="F51" s="14">
        <f t="shared" ref="F51" si="12">(F49+F50)/2</f>
        <v>68.51933255400651</v>
      </c>
      <c r="G51" s="14">
        <f>AVERAGE(G49:G50)</f>
        <v>54.900926036277262</v>
      </c>
      <c r="H51" s="14">
        <f t="shared" ref="H51" si="13">AVERAGE(H49:H50)</f>
        <v>104.07485283218156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95.625191759351651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3.8826999230461956</v>
      </c>
      <c r="C57" s="14">
        <f>((C12/C10)-1)*100</f>
        <v>3.8116408186679163</v>
      </c>
      <c r="D57" s="14">
        <f t="shared" ref="D57:F57" si="14">((D12/D10)-1)*100</f>
        <v>4.3817754529603459</v>
      </c>
      <c r="E57" s="14">
        <f t="shared" si="14"/>
        <v>2.3407896345190249</v>
      </c>
      <c r="F57" s="14">
        <f t="shared" si="14"/>
        <v>5.9820437808937754</v>
      </c>
      <c r="G57" s="14"/>
      <c r="H57" s="14"/>
    </row>
    <row r="58" spans="1:8" x14ac:dyDescent="0.25">
      <c r="A58" s="1" t="s">
        <v>25</v>
      </c>
      <c r="B58" s="14">
        <f>((B33/B32)-1)*100</f>
        <v>-1.2762105641617949</v>
      </c>
      <c r="C58" s="14">
        <f>((C33/C32)-1)*100</f>
        <v>-4.7400595731187822</v>
      </c>
      <c r="D58" s="14">
        <f t="shared" ref="D58:G58" si="15">((D33/D32)-1)*100</f>
        <v>-4.2063201281590912</v>
      </c>
      <c r="E58" s="14">
        <f t="shared" si="15"/>
        <v>-6.11646074354889</v>
      </c>
      <c r="F58" s="14">
        <f t="shared" si="15"/>
        <v>9.5361765075929519</v>
      </c>
      <c r="G58" s="14">
        <f t="shared" si="15"/>
        <v>14.106547153993176</v>
      </c>
      <c r="H58" s="14">
        <f>((H33/H32)-1)*100</f>
        <v>3.7866280294717614</v>
      </c>
    </row>
    <row r="59" spans="1:8" x14ac:dyDescent="0.25">
      <c r="A59" s="12" t="s">
        <v>26</v>
      </c>
      <c r="B59" s="15">
        <f>((B35/B34)-1)*100</f>
        <v>-4.9660920355647065</v>
      </c>
      <c r="C59" s="15">
        <f>((C35/C34)-1)*100</f>
        <v>-8.2377085309000346</v>
      </c>
      <c r="D59" s="15">
        <f t="shared" ref="D59:F59" si="16">((D35/D34)-1)*100</f>
        <v>-8.2275814373263483</v>
      </c>
      <c r="E59" s="15">
        <f t="shared" si="16"/>
        <v>-8.2638119251088114</v>
      </c>
      <c r="F59" s="15">
        <f t="shared" si="16"/>
        <v>3.3535234837015926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41">
        <f>B17/(B11*6)</f>
        <v>93293.946897346308</v>
      </c>
      <c r="C62" s="41">
        <f t="shared" ref="C62:F62" si="17">C17/(C11*6)</f>
        <v>75000</v>
      </c>
      <c r="D62" s="41"/>
      <c r="E62" s="41"/>
      <c r="F62" s="41">
        <f t="shared" si="17"/>
        <v>253713</v>
      </c>
      <c r="G62" s="5"/>
      <c r="H62" s="5"/>
    </row>
    <row r="63" spans="1:8" x14ac:dyDescent="0.25">
      <c r="A63" s="1" t="s">
        <v>35</v>
      </c>
      <c r="B63" s="41">
        <f>B18/(B12*6)</f>
        <v>91411.504012240301</v>
      </c>
      <c r="C63" s="41">
        <f t="shared" ref="C63:F63" si="18">C18/(C12*6)</f>
        <v>70541.468670472226</v>
      </c>
      <c r="D63" s="41">
        <f t="shared" si="18"/>
        <v>70541.285750211202</v>
      </c>
      <c r="E63" s="41">
        <f t="shared" si="18"/>
        <v>70541.949985075815</v>
      </c>
      <c r="F63" s="41">
        <f t="shared" si="18"/>
        <v>255221.66124833428</v>
      </c>
      <c r="G63" s="5"/>
      <c r="H63" s="5"/>
    </row>
    <row r="64" spans="1:8" x14ac:dyDescent="0.25">
      <c r="A64" s="12" t="s">
        <v>28</v>
      </c>
      <c r="B64" s="15">
        <f>(B62/B63)*B46</f>
        <v>103.13357347148622</v>
      </c>
      <c r="C64" s="15">
        <f>(C62/C63)*C46</f>
        <v>105.561160207085</v>
      </c>
      <c r="D64" s="15">
        <f t="shared" ref="D64:F64" si="19">(D62/D63)*D46</f>
        <v>0</v>
      </c>
      <c r="E64" s="15">
        <f t="shared" si="19"/>
        <v>0</v>
      </c>
      <c r="F64" s="15">
        <f t="shared" si="19"/>
        <v>95.187864692117103</v>
      </c>
      <c r="G64" s="15"/>
      <c r="H64" s="15"/>
    </row>
    <row r="65" spans="1:9" s="25" customFormat="1" x14ac:dyDescent="0.25">
      <c r="A65" s="16" t="s">
        <v>40</v>
      </c>
      <c r="B65" s="5">
        <f>B17/B11</f>
        <v>559763.68138407788</v>
      </c>
      <c r="C65" s="5">
        <f>C17/C11</f>
        <v>450000</v>
      </c>
      <c r="D65" s="5"/>
      <c r="E65" s="5"/>
      <c r="F65" s="5">
        <f t="shared" ref="F65" si="20">F17/F11</f>
        <v>1522277.9999999998</v>
      </c>
      <c r="G65" s="16"/>
      <c r="H65" s="16"/>
    </row>
    <row r="66" spans="1:9" s="25" customFormat="1" x14ac:dyDescent="0.25">
      <c r="A66" s="16" t="s">
        <v>41</v>
      </c>
      <c r="B66" s="5">
        <f>B18/B12</f>
        <v>548469.02407344175</v>
      </c>
      <c r="C66" s="5">
        <f>C18/C12</f>
        <v>423248.81202283339</v>
      </c>
      <c r="D66" s="22">
        <f>D18/D12</f>
        <v>423247.71450126718</v>
      </c>
      <c r="E66" s="5">
        <f t="shared" ref="E66:F66" si="21">E18/E12</f>
        <v>423251.69991045486</v>
      </c>
      <c r="F66" s="5">
        <f t="shared" si="21"/>
        <v>1531329.9674900055</v>
      </c>
      <c r="G66" s="16"/>
      <c r="H66" s="16"/>
      <c r="I66" s="43"/>
    </row>
    <row r="67" spans="1:9" x14ac:dyDescent="0.25">
      <c r="B67" s="14"/>
      <c r="C67" s="14"/>
      <c r="D67" s="14"/>
      <c r="E67" s="14"/>
      <c r="F67" s="14"/>
      <c r="G67" s="14"/>
      <c r="H67" s="14"/>
    </row>
    <row r="68" spans="1:9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9" x14ac:dyDescent="0.25">
      <c r="A69" s="17" t="s">
        <v>30</v>
      </c>
      <c r="B69" s="18">
        <f>(B24/B23)*100</f>
        <v>103.96619113650736</v>
      </c>
      <c r="C69" s="18"/>
      <c r="D69" s="18"/>
      <c r="E69" s="18"/>
      <c r="F69" s="18"/>
      <c r="G69" s="18"/>
      <c r="H69" s="18"/>
    </row>
    <row r="70" spans="1:9" x14ac:dyDescent="0.25">
      <c r="A70" s="17" t="s">
        <v>31</v>
      </c>
      <c r="B70" s="18">
        <f>(B18/B24)*100</f>
        <v>96.206952510496023</v>
      </c>
      <c r="C70" s="18"/>
      <c r="D70" s="18"/>
      <c r="E70" s="18"/>
      <c r="F70" s="18"/>
      <c r="G70" s="18"/>
      <c r="H70" s="18"/>
    </row>
    <row r="71" spans="1:9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9" ht="15.75" thickTop="1" x14ac:dyDescent="0.25"/>
    <row r="73" spans="1:9" x14ac:dyDescent="0.25">
      <c r="A73" s="1" t="s">
        <v>32</v>
      </c>
    </row>
    <row r="74" spans="1:9" x14ac:dyDescent="0.25">
      <c r="A74" s="1" t="s">
        <v>91</v>
      </c>
    </row>
    <row r="75" spans="1:9" x14ac:dyDescent="0.25">
      <c r="A75" s="1" t="s">
        <v>92</v>
      </c>
      <c r="B75" s="20"/>
      <c r="C75" s="20"/>
      <c r="D75" s="20"/>
      <c r="E75" s="20"/>
      <c r="F75" s="20"/>
    </row>
    <row r="76" spans="1:9" x14ac:dyDescent="0.25">
      <c r="A76" s="1" t="s">
        <v>93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1" t="s">
        <v>130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5"/>
  <sheetViews>
    <sheetView topLeftCell="A25" workbookViewId="0">
      <selection activeCell="B41" sqref="B41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52" t="s">
        <v>122</v>
      </c>
      <c r="B2" s="52"/>
      <c r="C2" s="52"/>
      <c r="D2" s="52"/>
      <c r="E2" s="52"/>
      <c r="F2" s="52"/>
      <c r="G2" s="52"/>
      <c r="H2" s="52"/>
    </row>
    <row r="4" spans="1:8" x14ac:dyDescent="0.25">
      <c r="A4" s="50" t="s">
        <v>0</v>
      </c>
      <c r="B4" s="50" t="s">
        <v>38</v>
      </c>
      <c r="C4" s="36"/>
      <c r="D4" s="36"/>
      <c r="E4" s="37" t="s">
        <v>1</v>
      </c>
      <c r="F4" s="29"/>
      <c r="G4" s="50" t="s">
        <v>2</v>
      </c>
      <c r="H4" s="50" t="s">
        <v>3</v>
      </c>
    </row>
    <row r="5" spans="1:8" ht="15.75" thickBot="1" x14ac:dyDescent="0.3">
      <c r="A5" s="51"/>
      <c r="B5" s="51"/>
      <c r="C5" s="53" t="s">
        <v>39</v>
      </c>
      <c r="D5" s="53"/>
      <c r="E5" s="53"/>
      <c r="F5" s="35" t="s">
        <v>57</v>
      </c>
      <c r="G5" s="51"/>
      <c r="H5" s="51"/>
    </row>
    <row r="6" spans="1:8" ht="15.75" thickTop="1" x14ac:dyDescent="0.25">
      <c r="C6" s="38" t="s">
        <v>58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67</v>
      </c>
      <c r="B10" s="22">
        <f>+C10+F10</f>
        <v>101324.88888888888</v>
      </c>
      <c r="C10" s="22">
        <f>SUM(D10:E10)</f>
        <v>97997.555555555547</v>
      </c>
      <c r="D10" s="22">
        <f>(+'I Trimestre'!D10+'II Trimestre'!D10+'III Trimestre'!D10)/3</f>
        <v>70634.777777777766</v>
      </c>
      <c r="E10" s="5">
        <f>(+'I Trimestre'!E10+'II Trimestre'!E10+'III Trimestre'!E10)/3</f>
        <v>27362.777777777777</v>
      </c>
      <c r="F10" s="5">
        <f>(+'I Trimestre'!F10+'II Trimestre'!F10+'III Trimestre'!F10)/3</f>
        <v>3327.3333333333335</v>
      </c>
      <c r="G10" s="5"/>
      <c r="H10" s="5"/>
    </row>
    <row r="11" spans="1:8" x14ac:dyDescent="0.25">
      <c r="A11" s="4" t="s">
        <v>102</v>
      </c>
      <c r="B11" s="22">
        <f t="shared" ref="B11:B13" si="0">+C11+F11</f>
        <v>103213.22222222222</v>
      </c>
      <c r="C11" s="22">
        <f>('I Trimestre'!C11+'II Trimestre'!C11+'III Trimestre'!C11)/3</f>
        <v>99510.444444444438</v>
      </c>
      <c r="D11" s="22"/>
      <c r="E11" s="5">
        <f>(+'I Trimestre'!E11+'II Trimestre'!E11+'III Trimestre'!E11)/3</f>
        <v>0</v>
      </c>
      <c r="F11" s="5">
        <f>(+'I Trimestre'!F11+'II Trimestre'!F11+'III Trimestre'!F11)/3</f>
        <v>3702.7777777777778</v>
      </c>
      <c r="G11" s="5"/>
      <c r="H11" s="5"/>
    </row>
    <row r="12" spans="1:8" x14ac:dyDescent="0.25">
      <c r="A12" s="4" t="s">
        <v>103</v>
      </c>
      <c r="B12" s="22">
        <f t="shared" si="0"/>
        <v>105413.99999999999</v>
      </c>
      <c r="C12" s="22">
        <f t="shared" ref="C12" si="1">SUM(D12:E12)</f>
        <v>101882.66666666666</v>
      </c>
      <c r="D12" s="22">
        <f>(+'I Trimestre'!D12+'II Trimestre'!D12+'III Trimestre'!D12)/3</f>
        <v>73873.555555555547</v>
      </c>
      <c r="E12" s="5">
        <f>(+'I Trimestre'!E12+'II Trimestre'!E12+'III Trimestre'!E12)/3</f>
        <v>28009.111111111113</v>
      </c>
      <c r="F12" s="5">
        <f>(+'I Trimestre'!F12+'II Trimestre'!F12+'III Trimestre'!F12)/3</f>
        <v>3531.3333333333335</v>
      </c>
      <c r="G12" s="5"/>
      <c r="H12" s="5"/>
    </row>
    <row r="13" spans="1:8" x14ac:dyDescent="0.25">
      <c r="A13" s="4" t="s">
        <v>86</v>
      </c>
      <c r="B13" s="22">
        <f t="shared" si="0"/>
        <v>103721.83333333333</v>
      </c>
      <c r="C13" s="22">
        <f>'III Trimestre'!C13</f>
        <v>99984.5</v>
      </c>
      <c r="D13" s="22"/>
      <c r="E13" s="22">
        <f>'III Trimestre'!E13</f>
        <v>0</v>
      </c>
      <c r="F13" s="22">
        <f>'III Trimestre'!F13</f>
        <v>3737.3333333333335</v>
      </c>
      <c r="G13" s="22"/>
      <c r="H13" s="22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67</v>
      </c>
      <c r="B16" s="5">
        <f>+C16+F16+G16+H16</f>
        <v>84259227423.020004</v>
      </c>
      <c r="C16" s="22">
        <f t="shared" ref="C16:C20" si="2">SUM(D16:E16)</f>
        <v>64505009538</v>
      </c>
      <c r="D16" s="5">
        <f>+'I Trimestre'!D16+'II Trimestre'!D16+'III Trimestre'!D16</f>
        <v>46490222433.530235</v>
      </c>
      <c r="E16" s="22">
        <f>+'I Trimestre'!E16+'II Trimestre'!E16+'III Trimestre'!E16</f>
        <v>18014787104.469765</v>
      </c>
      <c r="F16" s="22">
        <f>+'I Trimestre'!F16+'II Trimestre'!F16+'III Trimestre'!F16</f>
        <v>7260321112.8000002</v>
      </c>
      <c r="G16" s="22">
        <f>+'I Trimestre'!G16+'II Trimestre'!G16+'III Trimestre'!G16</f>
        <v>9106298887.5</v>
      </c>
      <c r="H16" s="22">
        <f>+'I Trimestre'!H16+'II Trimestre'!H16+'III Trimestre'!H16</f>
        <v>3387597884.7200003</v>
      </c>
    </row>
    <row r="17" spans="1:9" x14ac:dyDescent="0.25">
      <c r="A17" s="4" t="s">
        <v>102</v>
      </c>
      <c r="B17" s="5">
        <f t="shared" ref="B17:B19" si="3">+C17+F17+G17+H17</f>
        <v>87568665567.929993</v>
      </c>
      <c r="C17" s="22">
        <f>'I Trimestre'!C17+'II Trimestre'!C17+'III Trimestre'!C17</f>
        <v>68073648000</v>
      </c>
      <c r="D17" s="5"/>
      <c r="E17" s="22"/>
      <c r="F17" s="22">
        <f>+'I Trimestre'!F17+'II Trimestre'!F17+'III Trimestre'!F17</f>
        <v>8484848762.1599998</v>
      </c>
      <c r="G17" s="22">
        <f>+'I Trimestre'!G17+'II Trimestre'!G17+'III Trimestre'!G17</f>
        <v>9197266887.9000015</v>
      </c>
      <c r="H17" s="22">
        <f>+'I Trimestre'!H17+'II Trimestre'!H17+'III Trimestre'!H17</f>
        <v>1812901917.8699999</v>
      </c>
    </row>
    <row r="18" spans="1:9" x14ac:dyDescent="0.25">
      <c r="A18" s="4" t="s">
        <v>103</v>
      </c>
      <c r="B18" s="5">
        <f t="shared" si="3"/>
        <v>86368046855.729996</v>
      </c>
      <c r="C18" s="22">
        <f t="shared" si="2"/>
        <v>64305085142.959991</v>
      </c>
      <c r="D18" s="5">
        <f>+'I Trimestre'!D18+'II Trimestre'!D18+'III Trimestre'!D18</f>
        <v>46626483587.291573</v>
      </c>
      <c r="E18" s="22">
        <f>+'I Trimestre'!E18+'II Trimestre'!E18+'III Trimestre'!E18</f>
        <v>17678601555.668423</v>
      </c>
      <c r="F18" s="22">
        <f>+'I Trimestre'!F18+'II Trimestre'!F18+'III Trimestre'!F18</f>
        <v>8148899222.2999992</v>
      </c>
      <c r="G18" s="22">
        <f>+'I Trimestre'!G18+'II Trimestre'!G18+'III Trimestre'!G18</f>
        <v>10281862486.439999</v>
      </c>
      <c r="H18" s="22">
        <f>+'I Trimestre'!H18+'II Trimestre'!H18+'III Trimestre'!H18</f>
        <v>3632200004.0299997</v>
      </c>
    </row>
    <row r="19" spans="1:9" x14ac:dyDescent="0.25">
      <c r="A19" s="4" t="s">
        <v>86</v>
      </c>
      <c r="B19" s="5">
        <f t="shared" si="3"/>
        <v>126973545232.92</v>
      </c>
      <c r="C19" s="22">
        <f>'III Trimestre'!C19</f>
        <v>99918434000</v>
      </c>
      <c r="D19" s="22"/>
      <c r="E19" s="22"/>
      <c r="F19" s="22">
        <f>+'III Trimestre'!F19</f>
        <v>12374886158.559999</v>
      </c>
      <c r="G19" s="22">
        <f>+'III Trimestre'!G19</f>
        <v>12263022517.200003</v>
      </c>
      <c r="H19" s="22">
        <f>+'III Trimestre'!H19</f>
        <v>2417202557.1600003</v>
      </c>
    </row>
    <row r="20" spans="1:9" x14ac:dyDescent="0.25">
      <c r="A20" s="4" t="s">
        <v>104</v>
      </c>
      <c r="B20" s="41">
        <f>+C20+F20+G20</f>
        <v>82735846851.699997</v>
      </c>
      <c r="C20" s="22">
        <f t="shared" si="2"/>
        <v>64305085142.959991</v>
      </c>
      <c r="D20" s="5">
        <f>+D18</f>
        <v>46626483587.291573</v>
      </c>
      <c r="E20" s="22">
        <f>+E18</f>
        <v>17678601555.668423</v>
      </c>
      <c r="F20" s="22">
        <f t="shared" ref="F20:G20" si="4">+F18</f>
        <v>8148899222.2999992</v>
      </c>
      <c r="G20" s="22">
        <f t="shared" si="4"/>
        <v>10281862486.439999</v>
      </c>
      <c r="H20" s="22"/>
    </row>
    <row r="21" spans="1:9" x14ac:dyDescent="0.25">
      <c r="B21" s="5"/>
      <c r="C21" s="5"/>
      <c r="D21" s="5"/>
      <c r="E21" s="5"/>
      <c r="F21" s="5"/>
      <c r="G21" s="5"/>
    </row>
    <row r="22" spans="1:9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9" x14ac:dyDescent="0.25">
      <c r="A23" s="9" t="s">
        <v>102</v>
      </c>
      <c r="B23" s="8">
        <f>B17</f>
        <v>87568665567.929993</v>
      </c>
      <c r="C23" s="8"/>
      <c r="D23" s="8"/>
      <c r="E23" s="8"/>
      <c r="F23" s="8"/>
      <c r="G23" s="8"/>
      <c r="H23" s="8"/>
    </row>
    <row r="24" spans="1:9" x14ac:dyDescent="0.25">
      <c r="A24" s="9" t="s">
        <v>103</v>
      </c>
      <c r="B24" s="8">
        <f>+'I Trimestre'!B24+'II Trimestre'!B24+'III Trimestre'!B24</f>
        <v>97714570332.149994</v>
      </c>
      <c r="C24" s="8"/>
      <c r="D24" s="8"/>
      <c r="E24" s="8"/>
      <c r="F24" s="8"/>
      <c r="G24" s="8"/>
      <c r="H24" s="8"/>
    </row>
    <row r="26" spans="1:9" x14ac:dyDescent="0.25">
      <c r="A26" s="1" t="s">
        <v>7</v>
      </c>
    </row>
    <row r="27" spans="1:9" x14ac:dyDescent="0.25">
      <c r="A27" s="10" t="s">
        <v>68</v>
      </c>
      <c r="B27" s="45">
        <v>0.98</v>
      </c>
      <c r="C27" s="45">
        <v>0.98</v>
      </c>
      <c r="D27" s="45">
        <v>0.98</v>
      </c>
      <c r="E27" s="45">
        <v>0.98</v>
      </c>
      <c r="F27" s="45">
        <v>0.98</v>
      </c>
      <c r="G27" s="45">
        <v>0.98</v>
      </c>
      <c r="H27" s="45">
        <v>0.98</v>
      </c>
    </row>
    <row r="28" spans="1:9" x14ac:dyDescent="0.25">
      <c r="A28" s="10" t="s">
        <v>105</v>
      </c>
      <c r="B28" s="49">
        <v>1</v>
      </c>
      <c r="C28" s="49">
        <v>1</v>
      </c>
      <c r="D28" s="49">
        <v>1</v>
      </c>
      <c r="E28" s="49">
        <v>1</v>
      </c>
      <c r="F28" s="49">
        <v>1</v>
      </c>
      <c r="G28" s="49">
        <v>1</v>
      </c>
      <c r="H28" s="49">
        <v>1</v>
      </c>
      <c r="I28" s="43"/>
    </row>
    <row r="29" spans="1:9" x14ac:dyDescent="0.25">
      <c r="A29" s="4" t="s">
        <v>8</v>
      </c>
      <c r="B29" s="24">
        <f>+D29+F29</f>
        <v>106083</v>
      </c>
      <c r="C29" s="39"/>
      <c r="D29" s="24">
        <v>97615</v>
      </c>
      <c r="E29" s="24" t="s">
        <v>53</v>
      </c>
      <c r="F29" s="24">
        <v>8468</v>
      </c>
      <c r="G29" s="24"/>
      <c r="H29" s="24"/>
    </row>
    <row r="31" spans="1:9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9" x14ac:dyDescent="0.25">
      <c r="A32" s="12" t="s">
        <v>69</v>
      </c>
      <c r="B32" s="13">
        <f>B16/B27</f>
        <v>85978803492.877563</v>
      </c>
      <c r="C32" s="13">
        <f t="shared" ref="C32:H32" si="5">C16/C27</f>
        <v>65821438304.081635</v>
      </c>
      <c r="D32" s="13">
        <f t="shared" si="5"/>
        <v>47439002483.194122</v>
      </c>
      <c r="E32" s="13">
        <f t="shared" si="5"/>
        <v>18382435820.887516</v>
      </c>
      <c r="F32" s="13">
        <f t="shared" si="5"/>
        <v>7408490931.4285717</v>
      </c>
      <c r="G32" s="13">
        <f t="shared" si="5"/>
        <v>9292141721.938776</v>
      </c>
      <c r="H32" s="13">
        <f t="shared" si="5"/>
        <v>3456732535.4285717</v>
      </c>
    </row>
    <row r="33" spans="1:8" x14ac:dyDescent="0.25">
      <c r="A33" s="12" t="s">
        <v>106</v>
      </c>
      <c r="B33" s="13">
        <f>B18/B28</f>
        <v>86368046855.729996</v>
      </c>
      <c r="C33" s="13">
        <f t="shared" ref="C33:H33" si="6">C18/C28</f>
        <v>64305085142.959991</v>
      </c>
      <c r="D33" s="13">
        <f t="shared" si="6"/>
        <v>46626483587.291573</v>
      </c>
      <c r="E33" s="13">
        <f t="shared" si="6"/>
        <v>17678601555.668423</v>
      </c>
      <c r="F33" s="13">
        <f t="shared" si="6"/>
        <v>8148899222.2999992</v>
      </c>
      <c r="G33" s="13">
        <f t="shared" si="6"/>
        <v>10281862486.439999</v>
      </c>
      <c r="H33" s="13">
        <f t="shared" si="6"/>
        <v>3632200004.0299997</v>
      </c>
    </row>
    <row r="34" spans="1:8" x14ac:dyDescent="0.25">
      <c r="A34" s="12" t="s">
        <v>70</v>
      </c>
      <c r="B34" s="13">
        <f>B32/B10</f>
        <v>848545.74661473779</v>
      </c>
      <c r="C34" s="13">
        <f>C32/C10</f>
        <v>671664.08315936988</v>
      </c>
      <c r="D34" s="13">
        <f>D32/D10</f>
        <v>671609.70807384339</v>
      </c>
      <c r="E34" s="13">
        <f t="shared" ref="E34:F34" si="7">E32/E10</f>
        <v>671804.44800514751</v>
      </c>
      <c r="F34" s="13">
        <f t="shared" si="7"/>
        <v>2226555.0785699976</v>
      </c>
      <c r="G34" s="13"/>
      <c r="H34" s="13"/>
    </row>
    <row r="35" spans="1:8" x14ac:dyDescent="0.25">
      <c r="A35" s="12" t="s">
        <v>107</v>
      </c>
      <c r="B35" s="13">
        <f>B33/B12</f>
        <v>819322.35619301046</v>
      </c>
      <c r="C35" s="13">
        <f>C33/C12</f>
        <v>631168.06073941267</v>
      </c>
      <c r="D35" s="13">
        <f>D33/D12</f>
        <v>631166.09504773049</v>
      </c>
      <c r="E35" s="13">
        <f t="shared" ref="E35:F35" si="8">E33/E12</f>
        <v>631173.24521788862</v>
      </c>
      <c r="F35" s="13">
        <f t="shared" si="8"/>
        <v>2307598.4205116099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(B11/B29)*100</f>
        <v>97.294780711539289</v>
      </c>
      <c r="C40" s="14"/>
      <c r="D40" s="14">
        <f>(C11)/D29*100</f>
        <v>101.94175530855343</v>
      </c>
      <c r="E40" s="14"/>
      <c r="F40" s="14">
        <f>(F11)/F29*100</f>
        <v>43.72670970450848</v>
      </c>
      <c r="G40" s="14"/>
    </row>
    <row r="41" spans="1:8" x14ac:dyDescent="0.25">
      <c r="A41" s="1" t="s">
        <v>13</v>
      </c>
      <c r="B41" s="14">
        <f>(B12/B29)*100</f>
        <v>99.369361726195521</v>
      </c>
      <c r="C41" s="40"/>
      <c r="D41" s="14">
        <f>(D12)/D29*100</f>
        <v>75.678487482001273</v>
      </c>
      <c r="E41" s="14"/>
      <c r="F41" s="14">
        <f t="shared" ref="F41" si="9">(F12)/F29*100</f>
        <v>41.702094158400257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102.13226341586295</v>
      </c>
      <c r="C44" s="14">
        <f>C12/C11*100</f>
        <v>102.3838927013803</v>
      </c>
      <c r="D44" s="14"/>
      <c r="E44" s="14"/>
      <c r="F44" s="14">
        <f>F12/F11*100</f>
        <v>95.36984246061516</v>
      </c>
      <c r="G44" s="14"/>
    </row>
    <row r="45" spans="1:8" x14ac:dyDescent="0.25">
      <c r="A45" s="1" t="s">
        <v>16</v>
      </c>
      <c r="B45" s="14">
        <f>B18/B17*100</f>
        <v>98.62894026714541</v>
      </c>
      <c r="C45" s="14">
        <f>C18/C17*100</f>
        <v>94.463991621192378</v>
      </c>
      <c r="D45" s="14"/>
      <c r="E45" s="14"/>
      <c r="F45" s="14">
        <f>F18/F17*100</f>
        <v>96.040594838198658</v>
      </c>
      <c r="G45" s="14">
        <f>G18/G17*100</f>
        <v>111.79258590361121</v>
      </c>
      <c r="H45" s="14">
        <f>H18/H17*100</f>
        <v>200.35281380790391</v>
      </c>
    </row>
    <row r="46" spans="1:8" x14ac:dyDescent="0.25">
      <c r="A46" s="12" t="s">
        <v>17</v>
      </c>
      <c r="B46" s="15">
        <f>AVERAGE(B44:B45)</f>
        <v>100.38060184150419</v>
      </c>
      <c r="C46" s="15">
        <f>AVERAGE(C44:C45)</f>
        <v>98.423942161286334</v>
      </c>
      <c r="D46" s="15"/>
      <c r="E46" s="15"/>
      <c r="F46" s="15">
        <f t="shared" ref="F46:H46" si="10">AVERAGE(F44:F45)</f>
        <v>95.705218649406902</v>
      </c>
      <c r="G46" s="15">
        <f>AVERAGE(G44:G45)</f>
        <v>111.79258590361121</v>
      </c>
      <c r="H46" s="15">
        <f t="shared" si="10"/>
        <v>200.35281380790391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B12/B13*100</f>
        <v>101.63144693097401</v>
      </c>
      <c r="C49" s="16">
        <f>C12/C13*100</f>
        <v>101.89846092811052</v>
      </c>
      <c r="D49" s="16"/>
      <c r="E49" s="16"/>
      <c r="F49" s="16">
        <f>F12/F13*100</f>
        <v>94.488048519443453</v>
      </c>
      <c r="G49" s="16"/>
      <c r="H49" s="16"/>
    </row>
    <row r="50" spans="1:8" x14ac:dyDescent="0.25">
      <c r="A50" s="1" t="s">
        <v>20</v>
      </c>
      <c r="B50" s="14">
        <f>B18/B19*100</f>
        <v>68.020505135378102</v>
      </c>
      <c r="C50" s="14">
        <f>C18/C19*100</f>
        <v>64.357579045884563</v>
      </c>
      <c r="D50" s="14"/>
      <c r="E50" s="14"/>
      <c r="F50" s="14">
        <f>F18/F19*100</f>
        <v>65.850296462430194</v>
      </c>
      <c r="G50" s="14">
        <f>G18/G19*100</f>
        <v>83.844439427708409</v>
      </c>
      <c r="H50" s="14">
        <f>H18/H19*100</f>
        <v>150.26461035592789</v>
      </c>
    </row>
    <row r="51" spans="1:8" x14ac:dyDescent="0.25">
      <c r="A51" s="1" t="s">
        <v>21</v>
      </c>
      <c r="B51" s="14">
        <f>(B49+B50)/2</f>
        <v>84.825976033176062</v>
      </c>
      <c r="C51" s="14">
        <f t="shared" ref="C51" si="11">(C49+C50)/2</f>
        <v>83.128019986997543</v>
      </c>
      <c r="D51" s="14"/>
      <c r="E51" s="14"/>
      <c r="F51" s="14">
        <f t="shared" ref="F51" si="12">(F49+F50)/2</f>
        <v>80.16917249093683</v>
      </c>
      <c r="G51" s="14">
        <f>AVERAGE(G49:G50)</f>
        <v>83.844439427708409</v>
      </c>
      <c r="H51" s="14">
        <f t="shared" ref="H51" si="13">AVERAGE(H49:H50)</f>
        <v>150.26461035592789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95.794509501763699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4.0356433211539589</v>
      </c>
      <c r="C57" s="14">
        <f>((C12/C10)-1)*100</f>
        <v>3.9644979806752634</v>
      </c>
      <c r="D57" s="14">
        <f t="shared" ref="D57:F57" si="14">((D12/D10)-1)*100</f>
        <v>4.5852452285858547</v>
      </c>
      <c r="E57" s="14">
        <f t="shared" si="14"/>
        <v>2.3620896189064711</v>
      </c>
      <c r="F57" s="14">
        <f t="shared" si="14"/>
        <v>6.1310358645562113</v>
      </c>
      <c r="G57" s="14"/>
      <c r="H57" s="14"/>
    </row>
    <row r="58" spans="1:8" x14ac:dyDescent="0.25">
      <c r="A58" s="1" t="s">
        <v>25</v>
      </c>
      <c r="B58" s="14">
        <f>((B33/B32)-1)*100</f>
        <v>0.45272014384880599</v>
      </c>
      <c r="C58" s="14">
        <f>((C33/C32)-1)*100</f>
        <v>-2.303737505881287</v>
      </c>
      <c r="D58" s="14">
        <f t="shared" ref="D58:G58" si="15">((D33/D32)-1)*100</f>
        <v>-1.7127655586569146</v>
      </c>
      <c r="E58" s="14">
        <f t="shared" si="15"/>
        <v>-3.8288411398632149</v>
      </c>
      <c r="F58" s="14">
        <f t="shared" si="15"/>
        <v>9.9940500396705758</v>
      </c>
      <c r="G58" s="14">
        <f t="shared" si="15"/>
        <v>10.651158733023713</v>
      </c>
      <c r="H58" s="14">
        <f>((H33/H32)-1)*100</f>
        <v>5.0761077637056173</v>
      </c>
    </row>
    <row r="59" spans="1:8" x14ac:dyDescent="0.25">
      <c r="A59" s="12" t="s">
        <v>26</v>
      </c>
      <c r="B59" s="15">
        <f>((B35/B34)-1)*100</f>
        <v>-3.4439381186357587</v>
      </c>
      <c r="C59" s="15">
        <f>((C35/C34)-1)*100</f>
        <v>-6.0292076702199493</v>
      </c>
      <c r="D59" s="15">
        <f t="shared" ref="D59:F59" si="16">((D35/D34)-1)*100</f>
        <v>-6.0218922597328088</v>
      </c>
      <c r="E59" s="15">
        <f t="shared" si="16"/>
        <v>-6.0480699268825822</v>
      </c>
      <c r="F59" s="15">
        <f t="shared" si="16"/>
        <v>3.639853454407338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41">
        <f>B17/(B11*9)</f>
        <v>94269.430992293186</v>
      </c>
      <c r="C62" s="41">
        <f t="shared" ref="C62:F62" si="17">C17/(C11*9)</f>
        <v>76009.495374019927</v>
      </c>
      <c r="D62" s="41"/>
      <c r="E62" s="41"/>
      <c r="F62" s="41">
        <f t="shared" si="17"/>
        <v>254609.11514358589</v>
      </c>
      <c r="G62" s="5"/>
      <c r="H62" s="5"/>
    </row>
    <row r="63" spans="1:8" x14ac:dyDescent="0.25">
      <c r="A63" s="1" t="s">
        <v>35</v>
      </c>
      <c r="B63" s="41">
        <f>B18/(B12*9)</f>
        <v>91035.817354778948</v>
      </c>
      <c r="C63" s="41">
        <f t="shared" ref="C63:F63" si="18">C18/(C12*9)</f>
        <v>70129.784526601405</v>
      </c>
      <c r="D63" s="41">
        <f t="shared" si="18"/>
        <v>70129.566116414499</v>
      </c>
      <c r="E63" s="41">
        <f t="shared" si="18"/>
        <v>70130.360579765402</v>
      </c>
      <c r="F63" s="41">
        <f t="shared" si="18"/>
        <v>256399.82450129002</v>
      </c>
      <c r="G63" s="5"/>
      <c r="H63" s="5"/>
    </row>
    <row r="64" spans="1:8" x14ac:dyDescent="0.25">
      <c r="A64" s="12" t="s">
        <v>28</v>
      </c>
      <c r="B64" s="15">
        <f>(B62/B63)*B46</f>
        <v>103.94614442120768</v>
      </c>
      <c r="C64" s="15">
        <f>(C62/C63)*C46</f>
        <v>106.67584717251444</v>
      </c>
      <c r="D64" s="15">
        <f t="shared" ref="D64:F64" si="19">(D62/D63)*D46</f>
        <v>0</v>
      </c>
      <c r="E64" s="15">
        <f t="shared" si="19"/>
        <v>0</v>
      </c>
      <c r="F64" s="15">
        <f t="shared" si="19"/>
        <v>95.036808556108454</v>
      </c>
      <c r="G64" s="15"/>
      <c r="H64" s="15"/>
    </row>
    <row r="65" spans="1:9" x14ac:dyDescent="0.25">
      <c r="A65" s="16" t="s">
        <v>42</v>
      </c>
      <c r="B65" s="5">
        <f>B17/B11</f>
        <v>848424.87893063866</v>
      </c>
      <c r="C65" s="5">
        <f>C17/C11</f>
        <v>684085.45836617937</v>
      </c>
      <c r="D65" s="5"/>
      <c r="E65" s="5"/>
      <c r="F65" s="5">
        <f t="shared" ref="F65" si="20">F17/F11</f>
        <v>2291482.0362922731</v>
      </c>
      <c r="G65" s="16"/>
      <c r="H65" s="16"/>
    </row>
    <row r="66" spans="1:9" x14ac:dyDescent="0.25">
      <c r="A66" s="16" t="s">
        <v>43</v>
      </c>
      <c r="B66" s="5">
        <f>B18/B12</f>
        <v>819322.35619301046</v>
      </c>
      <c r="C66" s="5">
        <f>C18/C12</f>
        <v>631168.06073941267</v>
      </c>
      <c r="D66" s="22">
        <f>D18/D12</f>
        <v>631166.09504773049</v>
      </c>
      <c r="E66" s="5">
        <f t="shared" ref="E66:F66" si="21">E18/E12</f>
        <v>631173.24521788862</v>
      </c>
      <c r="F66" s="5">
        <f t="shared" si="21"/>
        <v>2307598.4205116099</v>
      </c>
      <c r="G66" s="16"/>
      <c r="H66" s="16"/>
      <c r="I66" s="43"/>
    </row>
    <row r="67" spans="1:9" x14ac:dyDescent="0.25">
      <c r="B67" s="14"/>
      <c r="C67" s="14"/>
      <c r="D67" s="14"/>
      <c r="E67" s="14"/>
      <c r="F67" s="14"/>
      <c r="G67" s="14"/>
      <c r="H67" s="14"/>
    </row>
    <row r="68" spans="1:9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9" x14ac:dyDescent="0.25">
      <c r="A69" s="17" t="s">
        <v>30</v>
      </c>
      <c r="B69" s="18">
        <f>(B24/B23)*100</f>
        <v>111.5862274461057</v>
      </c>
      <c r="C69" s="18"/>
      <c r="D69" s="18"/>
      <c r="E69" s="18"/>
      <c r="F69" s="18"/>
      <c r="G69" s="18"/>
      <c r="H69" s="18"/>
    </row>
    <row r="70" spans="1:9" x14ac:dyDescent="0.25">
      <c r="A70" s="17" t="s">
        <v>31</v>
      </c>
      <c r="B70" s="18">
        <f>(B18/B24)*100</f>
        <v>88.388094592391838</v>
      </c>
      <c r="C70" s="18"/>
      <c r="D70" s="18"/>
      <c r="E70" s="18"/>
      <c r="F70" s="18"/>
      <c r="G70" s="18"/>
      <c r="H70" s="18"/>
    </row>
    <row r="71" spans="1:9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9" ht="15.75" thickTop="1" x14ac:dyDescent="0.25"/>
    <row r="73" spans="1:9" x14ac:dyDescent="0.25">
      <c r="A73" s="1" t="s">
        <v>32</v>
      </c>
    </row>
    <row r="74" spans="1:9" x14ac:dyDescent="0.25">
      <c r="A74" s="1" t="s">
        <v>91</v>
      </c>
    </row>
    <row r="75" spans="1:9" x14ac:dyDescent="0.25">
      <c r="A75" s="1" t="s">
        <v>92</v>
      </c>
      <c r="B75" s="20"/>
      <c r="C75" s="20"/>
      <c r="D75" s="20"/>
      <c r="E75" s="20"/>
      <c r="F75" s="20"/>
    </row>
    <row r="76" spans="1:9" x14ac:dyDescent="0.25">
      <c r="A76" s="1" t="s">
        <v>93</v>
      </c>
    </row>
    <row r="78" spans="1:9" x14ac:dyDescent="0.25">
      <c r="A78" s="1" t="s">
        <v>48</v>
      </c>
    </row>
    <row r="79" spans="1:9" x14ac:dyDescent="0.25">
      <c r="A79" s="1" t="s">
        <v>50</v>
      </c>
    </row>
    <row r="80" spans="1:9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1" t="s">
        <v>131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5"/>
  <sheetViews>
    <sheetView tabSelected="1" topLeftCell="A4" zoomScale="90" zoomScaleNormal="90" workbookViewId="0">
      <selection activeCell="F40" sqref="F40"/>
    </sheetView>
  </sheetViews>
  <sheetFormatPr baseColWidth="10" defaultColWidth="11.42578125" defaultRowHeight="15" x14ac:dyDescent="0.25"/>
  <cols>
    <col min="1" max="1" width="55.140625" style="1" customWidth="1"/>
    <col min="2" max="2" width="22.85546875" style="1" customWidth="1"/>
    <col min="3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52" t="s">
        <v>123</v>
      </c>
      <c r="B2" s="52"/>
      <c r="C2" s="52"/>
      <c r="D2" s="52"/>
      <c r="E2" s="52"/>
      <c r="F2" s="52"/>
      <c r="G2" s="52"/>
      <c r="H2" s="52"/>
    </row>
    <row r="4" spans="1:8" x14ac:dyDescent="0.25">
      <c r="A4" s="50" t="s">
        <v>0</v>
      </c>
      <c r="B4" s="50" t="s">
        <v>38</v>
      </c>
      <c r="C4" s="36"/>
      <c r="D4" s="36"/>
      <c r="E4" s="37" t="s">
        <v>1</v>
      </c>
      <c r="F4" s="29"/>
      <c r="G4" s="50" t="s">
        <v>2</v>
      </c>
      <c r="H4" s="50" t="s">
        <v>3</v>
      </c>
    </row>
    <row r="5" spans="1:8" ht="15.75" thickBot="1" x14ac:dyDescent="0.3">
      <c r="A5" s="51"/>
      <c r="B5" s="51"/>
      <c r="C5" s="53" t="s">
        <v>39</v>
      </c>
      <c r="D5" s="53"/>
      <c r="E5" s="53"/>
      <c r="F5" s="35" t="s">
        <v>57</v>
      </c>
      <c r="G5" s="51"/>
      <c r="H5" s="51"/>
    </row>
    <row r="6" spans="1:8" ht="15.75" thickTop="1" x14ac:dyDescent="0.25">
      <c r="C6" s="38" t="s">
        <v>58</v>
      </c>
      <c r="D6" s="28" t="s">
        <v>51</v>
      </c>
      <c r="E6" s="28" t="s">
        <v>52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79</v>
      </c>
      <c r="B10" s="22">
        <f>+C10+F10</f>
        <v>101849.58333333333</v>
      </c>
      <c r="C10" s="22">
        <f>SUM(D10:E10)</f>
        <v>98497.666666666657</v>
      </c>
      <c r="D10" s="22">
        <f>(+'I Trimestre'!D10+'II Trimestre'!D10+'III Trimestre'!D10+'IV Trimestre'!D10)/4</f>
        <v>71038.333333333328</v>
      </c>
      <c r="E10" s="5">
        <f>(+'I Trimestre'!E10+'II Trimestre'!E10+'III Trimestre'!E10+'IV Trimestre'!E10)/4</f>
        <v>27459.333333333332</v>
      </c>
      <c r="F10" s="5">
        <f>(+'I Trimestre'!F10+'II Trimestre'!F10+'III Trimestre'!F10+'IV Trimestre'!F10)/4</f>
        <v>3351.9166666666665</v>
      </c>
      <c r="G10" s="5"/>
      <c r="H10" s="5"/>
    </row>
    <row r="11" spans="1:8" x14ac:dyDescent="0.25">
      <c r="A11" s="4" t="s">
        <v>124</v>
      </c>
      <c r="B11" s="22">
        <f>+C11+F11</f>
        <v>103721.83333333333</v>
      </c>
      <c r="C11" s="22">
        <f>(+'I Trimestre'!C11+'II Trimestre'!C11+'III Trimestre'!C11+'IV Trimestre'!C11)/4</f>
        <v>99984.5</v>
      </c>
      <c r="D11" s="5"/>
      <c r="E11" s="5"/>
      <c r="F11" s="5">
        <f>(+'I Trimestre'!F11+'II Trimestre'!F11+'III Trimestre'!F11+'IV Trimestre'!F11)/4</f>
        <v>3737.3333333333335</v>
      </c>
      <c r="G11" s="5"/>
      <c r="H11" s="5"/>
    </row>
    <row r="12" spans="1:8" x14ac:dyDescent="0.25">
      <c r="A12" s="4" t="s">
        <v>125</v>
      </c>
      <c r="B12" s="22">
        <f t="shared" ref="B12" si="0">+C12+F12</f>
        <v>105984.75</v>
      </c>
      <c r="C12" s="22">
        <f t="shared" ref="C12" si="1">SUM(D12:E12)</f>
        <v>102420.5</v>
      </c>
      <c r="D12" s="22">
        <f>(+'I Trimestre'!D12+'II Trimestre'!D12+'III Trimestre'!D12+'IV Trimestre'!D12)/4</f>
        <v>74297.333333333328</v>
      </c>
      <c r="E12" s="5">
        <f>(+'I Trimestre'!E12+'II Trimestre'!E12+'III Trimestre'!E12+'IV Trimestre'!E12)/4</f>
        <v>28123.166666666668</v>
      </c>
      <c r="F12" s="5">
        <f>(+'I Trimestre'!F12+'II Trimestre'!F12+'III Trimestre'!F12+'IV Trimestre'!F12)/4</f>
        <v>3564.25</v>
      </c>
      <c r="G12" s="5"/>
      <c r="H12" s="5"/>
    </row>
    <row r="13" spans="1:8" x14ac:dyDescent="0.25">
      <c r="A13" s="4" t="s">
        <v>86</v>
      </c>
      <c r="B13" s="22">
        <f>+C13+F13</f>
        <v>103721.83333333333</v>
      </c>
      <c r="C13" s="22">
        <f>'IV Trimestre'!C13</f>
        <v>99984.5</v>
      </c>
      <c r="D13" s="22"/>
      <c r="E13" s="22"/>
      <c r="F13" s="22">
        <f>'IV Trimestre'!F13</f>
        <v>3737.3333333333335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79</v>
      </c>
      <c r="B16" s="5">
        <f>+C16+F16+G16+H16</f>
        <v>120762280042.99998</v>
      </c>
      <c r="C16" s="22">
        <f t="shared" ref="C16:C18" si="2">SUM(D16:E16)</f>
        <v>92888477376.619995</v>
      </c>
      <c r="D16" s="5">
        <f>+'I Trimestre'!D16+'II Trimestre'!D16+'III Trimestre'!D16+'IV Trimestre'!D16</f>
        <v>66996827799.355522</v>
      </c>
      <c r="E16" s="22">
        <f>+'I Trimestre'!E16+'II Trimestre'!E16+'III Trimestre'!E16+'IV Trimestre'!E16</f>
        <v>25891649577.264477</v>
      </c>
      <c r="F16" s="22">
        <f>+'I Trimestre'!F16+'II Trimestre'!F16+'III Trimestre'!F16+'IV Trimestre'!F16</f>
        <v>9825448073.1499996</v>
      </c>
      <c r="G16" s="22">
        <f>+'I Trimestre'!G16+'II Trimestre'!G16+'III Trimestre'!G16+'IV Trimestre'!G16</f>
        <v>13531719835.5</v>
      </c>
      <c r="H16" s="22">
        <f>+'I Trimestre'!H16+'II Trimestre'!H16+'III Trimestre'!H16+'IV Trimestre'!H16</f>
        <v>4516634757.7300005</v>
      </c>
    </row>
    <row r="17" spans="1:8" x14ac:dyDescent="0.25">
      <c r="A17" s="4" t="s">
        <v>124</v>
      </c>
      <c r="B17" s="5">
        <f t="shared" ref="B17:B18" si="3">+C17+F17+G17+H17</f>
        <v>126973545232.92</v>
      </c>
      <c r="C17" s="22">
        <f>'I Trimestre'!C17+'II Trimestre'!C17+'III Trimestre'!C17+'IV Trimestre'!C17</f>
        <v>99918434000</v>
      </c>
      <c r="D17" s="5"/>
      <c r="E17" s="22"/>
      <c r="F17" s="22">
        <f>+'I Trimestre'!F17+'II Trimestre'!F17+'III Trimestre'!F17+'IV Trimestre'!F17</f>
        <v>12374886158.559999</v>
      </c>
      <c r="G17" s="22">
        <f>+'I Trimestre'!G17+'II Trimestre'!G17+'III Trimestre'!G17+'IV Trimestre'!G17</f>
        <v>12263022517.200001</v>
      </c>
      <c r="H17" s="22">
        <f>+'I Trimestre'!H17+'II Trimestre'!H17+'III Trimestre'!H17+'IV Trimestre'!H17</f>
        <v>2417202557.1599998</v>
      </c>
    </row>
    <row r="18" spans="1:8" x14ac:dyDescent="0.25">
      <c r="A18" s="4" t="s">
        <v>125</v>
      </c>
      <c r="B18" s="5">
        <f t="shared" si="3"/>
        <v>126255679726.88998</v>
      </c>
      <c r="C18" s="22">
        <f t="shared" si="2"/>
        <v>96248298595.889999</v>
      </c>
      <c r="D18" s="5">
        <f>+'I Trimestre'!D18+'II Trimestre'!D18+'III Trimestre'!D18+'IV Trimestre'!D18</f>
        <v>69829730152.008102</v>
      </c>
      <c r="E18" s="22">
        <f>+'I Trimestre'!E18+'II Trimestre'!E18+'III Trimestre'!E18+'IV Trimestre'!E18</f>
        <v>26418568443.881897</v>
      </c>
      <c r="F18" s="22">
        <f>+'I Trimestre'!F18+'II Trimestre'!F18+'III Trimestre'!F18+'IV Trimestre'!F18</f>
        <v>11000360153.9</v>
      </c>
      <c r="G18" s="22">
        <f>+'I Trimestre'!G18+'II Trimestre'!G18+'III Trimestre'!G18+'IV Trimestre'!G18</f>
        <v>14258320973.059998</v>
      </c>
      <c r="H18" s="22">
        <f>+'I Trimestre'!H18+'II Trimestre'!H18+'III Trimestre'!H18+'IV Trimestre'!H18</f>
        <v>4748700004.039999</v>
      </c>
    </row>
    <row r="19" spans="1:8" x14ac:dyDescent="0.25">
      <c r="A19" s="4" t="s">
        <v>86</v>
      </c>
      <c r="B19" s="5">
        <f>+C19+F19+G19+H19</f>
        <v>126973545232.92</v>
      </c>
      <c r="C19" s="22">
        <f>'IV Trimestre'!C19</f>
        <v>99918434000</v>
      </c>
      <c r="D19" s="5"/>
      <c r="E19" s="22"/>
      <c r="F19" s="22">
        <f>+'IV Trimestre'!F19</f>
        <v>12374886158.559999</v>
      </c>
      <c r="G19" s="22">
        <f>+'IV Trimestre'!G19</f>
        <v>12263022517.200003</v>
      </c>
      <c r="H19" s="22">
        <f>+'IV Trimestre'!H19</f>
        <v>2417202557.1600003</v>
      </c>
    </row>
    <row r="20" spans="1:8" x14ac:dyDescent="0.25">
      <c r="A20" s="4" t="s">
        <v>126</v>
      </c>
      <c r="B20" s="41">
        <f>C20+F20+G20</f>
        <v>121506979722.84999</v>
      </c>
      <c r="C20" s="22">
        <f>SUM(D20:E20)</f>
        <v>96248298595.889999</v>
      </c>
      <c r="D20" s="5">
        <f>+D18</f>
        <v>69829730152.008102</v>
      </c>
      <c r="E20" s="22">
        <f>+E18</f>
        <v>26418568443.881897</v>
      </c>
      <c r="F20" s="22">
        <f t="shared" ref="F20:G20" si="4">+F18</f>
        <v>11000360153.9</v>
      </c>
      <c r="G20" s="22">
        <f t="shared" si="4"/>
        <v>14258320973.059998</v>
      </c>
      <c r="H20" s="22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124</v>
      </c>
      <c r="B23" s="8">
        <f>B17</f>
        <v>126973545232.92</v>
      </c>
      <c r="C23" s="8"/>
      <c r="D23" s="8"/>
      <c r="E23" s="8"/>
      <c r="F23" s="8"/>
      <c r="G23" s="8"/>
      <c r="H23" s="8"/>
    </row>
    <row r="24" spans="1:8" x14ac:dyDescent="0.25">
      <c r="A24" s="9" t="s">
        <v>125</v>
      </c>
      <c r="B24" s="8">
        <f>+'I Trimestre'!B24+'II Trimestre'!B24+'III Trimestre'!B24+'IV Trimestre'!B24</f>
        <v>126768820045.81999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80</v>
      </c>
      <c r="B27" s="12">
        <v>0.98</v>
      </c>
      <c r="C27" s="12">
        <v>0.98</v>
      </c>
      <c r="D27" s="12">
        <v>0.98</v>
      </c>
      <c r="E27" s="12">
        <v>0.98</v>
      </c>
      <c r="F27" s="12">
        <v>0.98</v>
      </c>
      <c r="G27" s="12">
        <v>0.98</v>
      </c>
      <c r="H27" s="12">
        <v>0.98</v>
      </c>
    </row>
    <row r="28" spans="1:8" x14ac:dyDescent="0.25">
      <c r="A28" s="10" t="s">
        <v>127</v>
      </c>
      <c r="B28" s="12">
        <v>0.99</v>
      </c>
      <c r="C28" s="12">
        <v>0.99</v>
      </c>
      <c r="D28" s="12">
        <v>0.99</v>
      </c>
      <c r="E28" s="12">
        <v>0.99</v>
      </c>
      <c r="F28" s="12">
        <v>0.99</v>
      </c>
      <c r="G28" s="12">
        <v>0.99</v>
      </c>
      <c r="H28" s="12">
        <v>0.99</v>
      </c>
    </row>
    <row r="29" spans="1:8" x14ac:dyDescent="0.25">
      <c r="A29" s="4" t="s">
        <v>8</v>
      </c>
      <c r="B29" s="24">
        <f>+D29+F29</f>
        <v>106083</v>
      </c>
      <c r="C29" s="39"/>
      <c r="D29" s="24">
        <v>97615</v>
      </c>
      <c r="E29" s="24" t="s">
        <v>53</v>
      </c>
      <c r="F29" s="24">
        <v>8468</v>
      </c>
      <c r="G29" s="21"/>
      <c r="H29" s="21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81</v>
      </c>
      <c r="B32" s="13">
        <f>B16/B27</f>
        <v>123226816370.40816</v>
      </c>
      <c r="C32" s="13">
        <f t="shared" ref="C32:H32" si="5">C16/C27</f>
        <v>94784160588.387756</v>
      </c>
      <c r="D32" s="13">
        <f t="shared" si="5"/>
        <v>68364109999.342369</v>
      </c>
      <c r="E32" s="13">
        <f t="shared" si="5"/>
        <v>26420050589.045383</v>
      </c>
      <c r="F32" s="13">
        <f t="shared" si="5"/>
        <v>10025967421.581633</v>
      </c>
      <c r="G32" s="13">
        <f t="shared" si="5"/>
        <v>13807877383.163265</v>
      </c>
      <c r="H32" s="13">
        <f t="shared" si="5"/>
        <v>4608810977.2755108</v>
      </c>
    </row>
    <row r="33" spans="1:9" x14ac:dyDescent="0.25">
      <c r="A33" s="12" t="s">
        <v>128</v>
      </c>
      <c r="B33" s="13">
        <f>B18/B28</f>
        <v>127530989623.1212</v>
      </c>
      <c r="C33" s="13">
        <f t="shared" ref="C33:H33" si="6">C18/C28</f>
        <v>97220503632.212128</v>
      </c>
      <c r="D33" s="13">
        <f t="shared" si="6"/>
        <v>70535080961.624344</v>
      </c>
      <c r="E33" s="13">
        <f t="shared" si="6"/>
        <v>26685422670.587776</v>
      </c>
      <c r="F33" s="13">
        <f t="shared" si="6"/>
        <v>11111474902.929293</v>
      </c>
      <c r="G33" s="13">
        <f t="shared" si="6"/>
        <v>14402344417.232321</v>
      </c>
      <c r="H33" s="13">
        <f t="shared" si="6"/>
        <v>4796666670.7474737</v>
      </c>
    </row>
    <row r="34" spans="1:9" x14ac:dyDescent="0.25">
      <c r="A34" s="12" t="s">
        <v>82</v>
      </c>
      <c r="B34" s="13">
        <f>B32/B10</f>
        <v>1209890.2355556176</v>
      </c>
      <c r="C34" s="13">
        <f t="shared" ref="C34:F34" si="7">C32/C10</f>
        <v>962298.53758012305</v>
      </c>
      <c r="D34" s="13">
        <f t="shared" si="7"/>
        <v>962355.20727319585</v>
      </c>
      <c r="E34" s="13">
        <f t="shared" si="7"/>
        <v>962151.93094195239</v>
      </c>
      <c r="F34" s="13">
        <f t="shared" si="7"/>
        <v>2991114.7616781341</v>
      </c>
      <c r="G34" s="13"/>
      <c r="H34" s="13"/>
    </row>
    <row r="35" spans="1:9" x14ac:dyDescent="0.25">
      <c r="A35" s="12" t="s">
        <v>129</v>
      </c>
      <c r="B35" s="13">
        <f>B33/B12</f>
        <v>1203295.6592634432</v>
      </c>
      <c r="C35" s="13">
        <f t="shared" ref="C35:F35" si="8">C33/C12</f>
        <v>949228.94959712296</v>
      </c>
      <c r="D35" s="13">
        <f t="shared" si="8"/>
        <v>949362.21526511968</v>
      </c>
      <c r="E35" s="13">
        <f t="shared" si="8"/>
        <v>948876.88100277144</v>
      </c>
      <c r="F35" s="13">
        <f t="shared" si="8"/>
        <v>3117479.1058229059</v>
      </c>
      <c r="G35" s="13"/>
      <c r="H35" s="13"/>
    </row>
    <row r="37" spans="1:9" x14ac:dyDescent="0.25">
      <c r="A37" s="3" t="s">
        <v>10</v>
      </c>
    </row>
    <row r="39" spans="1:9" x14ac:dyDescent="0.25">
      <c r="A39" s="1" t="s">
        <v>11</v>
      </c>
    </row>
    <row r="40" spans="1:9" x14ac:dyDescent="0.25">
      <c r="A40" s="1" t="s">
        <v>12</v>
      </c>
      <c r="B40" s="14">
        <f>(B11/B29)*100</f>
        <v>97.774227098906834</v>
      </c>
      <c r="C40" s="14"/>
      <c r="D40" s="14">
        <f>(C11)/D29*100</f>
        <v>102.42739333094299</v>
      </c>
      <c r="E40" s="14"/>
      <c r="F40" s="14">
        <f>(F11)/F29*100</f>
        <v>44.134781924106441</v>
      </c>
      <c r="G40" s="14"/>
      <c r="I40" s="30"/>
    </row>
    <row r="41" spans="1:9" x14ac:dyDescent="0.25">
      <c r="A41" s="1" t="s">
        <v>13</v>
      </c>
      <c r="B41" s="14">
        <f>(B12/B29)*100</f>
        <v>99.907383840954722</v>
      </c>
      <c r="C41" s="40"/>
      <c r="D41" s="14">
        <f>(D12)/D29*100</f>
        <v>76.112619303727229</v>
      </c>
      <c r="E41" s="14"/>
      <c r="F41" s="14">
        <f>(F12)/F29*100</f>
        <v>42.09081247047709</v>
      </c>
      <c r="G41" s="14"/>
      <c r="I41" s="30"/>
    </row>
    <row r="43" spans="1:9" x14ac:dyDescent="0.25">
      <c r="A43" s="1" t="s">
        <v>14</v>
      </c>
    </row>
    <row r="44" spans="1:9" x14ac:dyDescent="0.25">
      <c r="A44" s="1" t="s">
        <v>15</v>
      </c>
      <c r="B44" s="14">
        <f>B12/B11*100</f>
        <v>102.1817168034374</v>
      </c>
      <c r="C44" s="14">
        <f>C12/C11*100</f>
        <v>102.43637763853397</v>
      </c>
      <c r="D44" s="14"/>
      <c r="E44" s="14"/>
      <c r="F44" s="14">
        <f>F12/F11*100</f>
        <v>95.368801284338204</v>
      </c>
      <c r="G44" s="14"/>
    </row>
    <row r="45" spans="1:9" x14ac:dyDescent="0.25">
      <c r="A45" s="1" t="s">
        <v>16</v>
      </c>
      <c r="B45" s="14">
        <f>B18/B17*100</f>
        <v>99.434633801306276</v>
      </c>
      <c r="C45" s="14">
        <f>C18/C17*100</f>
        <v>96.326868569507411</v>
      </c>
      <c r="D45" s="14"/>
      <c r="E45" s="14"/>
      <c r="F45" s="14">
        <f>F18/F17*100</f>
        <v>88.892616974021948</v>
      </c>
      <c r="G45" s="14">
        <f>G18/G17*100</f>
        <v>116.27085372355315</v>
      </c>
      <c r="H45" s="14">
        <f>H18/H17*100</f>
        <v>196.45436787967424</v>
      </c>
    </row>
    <row r="46" spans="1:9" x14ac:dyDescent="0.25">
      <c r="A46" s="12" t="s">
        <v>17</v>
      </c>
      <c r="B46" s="15">
        <f>AVERAGE(B44:B45)</f>
        <v>100.80817530237184</v>
      </c>
      <c r="C46" s="15">
        <f>AVERAGE(C44:C45)</f>
        <v>99.38162310402069</v>
      </c>
      <c r="D46" s="15"/>
      <c r="E46" s="15"/>
      <c r="F46" s="15">
        <f t="shared" ref="F46:H46" si="9">AVERAGE(F44:F45)</f>
        <v>92.130709129180076</v>
      </c>
      <c r="G46" s="15">
        <f>AVERAGE(G44:G45)</f>
        <v>116.27085372355315</v>
      </c>
      <c r="H46" s="15">
        <f t="shared" si="9"/>
        <v>196.45436787967424</v>
      </c>
    </row>
    <row r="47" spans="1:9" x14ac:dyDescent="0.25">
      <c r="B47" s="14"/>
      <c r="C47" s="14"/>
      <c r="D47" s="14"/>
      <c r="E47" s="14"/>
      <c r="F47" s="14"/>
      <c r="G47" s="14"/>
      <c r="H47" s="14"/>
    </row>
    <row r="48" spans="1:9" x14ac:dyDescent="0.25">
      <c r="A48" s="1" t="s">
        <v>18</v>
      </c>
    </row>
    <row r="49" spans="1:16" x14ac:dyDescent="0.25">
      <c r="A49" s="1" t="s">
        <v>19</v>
      </c>
      <c r="B49" s="16">
        <f>B12/B13*100</f>
        <v>102.1817168034374</v>
      </c>
      <c r="C49" s="16">
        <f>C12/C13*100</f>
        <v>102.43637763853397</v>
      </c>
      <c r="D49" s="16"/>
      <c r="E49" s="16"/>
      <c r="F49" s="16">
        <f>F12/F13*100</f>
        <v>95.368801284338204</v>
      </c>
      <c r="G49" s="16"/>
      <c r="H49" s="16"/>
    </row>
    <row r="50" spans="1:16" x14ac:dyDescent="0.25">
      <c r="A50" s="1" t="s">
        <v>20</v>
      </c>
      <c r="B50" s="14">
        <f>B18/B19*100</f>
        <v>99.434633801306276</v>
      </c>
      <c r="C50" s="14">
        <f>C18/C19*100</f>
        <v>96.326868569507411</v>
      </c>
      <c r="D50" s="14"/>
      <c r="E50" s="14"/>
      <c r="F50" s="14">
        <f>F18/F19*100</f>
        <v>88.892616974021948</v>
      </c>
      <c r="G50" s="14">
        <f>G18/G19*100</f>
        <v>116.27085372355313</v>
      </c>
      <c r="H50" s="14">
        <f>H18/H19*100</f>
        <v>196.45436787967421</v>
      </c>
    </row>
    <row r="51" spans="1:16" x14ac:dyDescent="0.25">
      <c r="A51" s="1" t="s">
        <v>21</v>
      </c>
      <c r="B51" s="14">
        <f>(B49+B50)/2</f>
        <v>100.80817530237184</v>
      </c>
      <c r="C51" s="14">
        <f>(C49+C50)/2</f>
        <v>99.38162310402069</v>
      </c>
      <c r="D51" s="14"/>
      <c r="E51" s="14"/>
      <c r="F51" s="14">
        <f>(F49+F50)/2</f>
        <v>92.130709129180076</v>
      </c>
      <c r="G51" s="46">
        <f>AVERAGE(G49:G50)</f>
        <v>116.27085372355313</v>
      </c>
      <c r="H51" s="46">
        <f t="shared" ref="H51" si="10">AVERAGE(H49:H50)</f>
        <v>196.45436787967421</v>
      </c>
      <c r="I51" s="30"/>
      <c r="J51" s="25"/>
      <c r="K51" s="25"/>
      <c r="L51" s="25"/>
      <c r="M51" s="25"/>
      <c r="N51" s="25"/>
      <c r="O51" s="25"/>
      <c r="P51" s="25"/>
    </row>
    <row r="53" spans="1:16" x14ac:dyDescent="0.25">
      <c r="A53" s="1" t="s">
        <v>33</v>
      </c>
    </row>
    <row r="54" spans="1:16" x14ac:dyDescent="0.25">
      <c r="A54" s="1" t="s">
        <v>22</v>
      </c>
      <c r="B54" s="14">
        <f>(B20/B18)*100</f>
        <v>96.238822669750661</v>
      </c>
      <c r="C54" s="14"/>
      <c r="D54" s="14"/>
      <c r="E54" s="14"/>
      <c r="F54" s="14"/>
      <c r="G54" s="14"/>
      <c r="H54" s="14"/>
    </row>
    <row r="56" spans="1:16" x14ac:dyDescent="0.25">
      <c r="A56" s="25" t="s">
        <v>23</v>
      </c>
    </row>
    <row r="57" spans="1:16" x14ac:dyDescent="0.25">
      <c r="A57" s="1" t="s">
        <v>24</v>
      </c>
      <c r="B57" s="14">
        <f>((B12/B10)-1)*100</f>
        <v>4.0600722470636841</v>
      </c>
      <c r="C57" s="14">
        <f t="shared" ref="C57:F57" si="11">((C12/C10)-1)*100</f>
        <v>3.9826662560534576</v>
      </c>
      <c r="D57" s="14">
        <f t="shared" si="11"/>
        <v>4.5876639373108485</v>
      </c>
      <c r="E57" s="14">
        <f t="shared" si="11"/>
        <v>2.4175143849086034</v>
      </c>
      <c r="F57" s="14">
        <f t="shared" si="11"/>
        <v>6.3346841359421369</v>
      </c>
      <c r="G57" s="14"/>
      <c r="H57" s="14"/>
    </row>
    <row r="58" spans="1:16" x14ac:dyDescent="0.25">
      <c r="A58" s="1" t="s">
        <v>25</v>
      </c>
      <c r="B58" s="14">
        <f>((B33/B32)-1)*100</f>
        <v>3.4928868402922086</v>
      </c>
      <c r="C58" s="14">
        <f t="shared" ref="C58:H58" si="12">((C33/C32)-1)*100</f>
        <v>2.5704115842777764</v>
      </c>
      <c r="D58" s="14">
        <f t="shared" si="12"/>
        <v>3.1756004170943708</v>
      </c>
      <c r="E58" s="14">
        <f t="shared" si="12"/>
        <v>1.0044344186548315</v>
      </c>
      <c r="F58" s="14">
        <f t="shared" si="12"/>
        <v>10.826959990025763</v>
      </c>
      <c r="G58" s="14">
        <f t="shared" si="12"/>
        <v>4.3052745731499753</v>
      </c>
      <c r="H58" s="14">
        <f t="shared" si="12"/>
        <v>4.0760121080733347</v>
      </c>
    </row>
    <row r="59" spans="1:16" x14ac:dyDescent="0.25">
      <c r="A59" s="12" t="s">
        <v>26</v>
      </c>
      <c r="B59" s="15">
        <f>((B35/B34)-1)*100</f>
        <v>-0.54505574955284741</v>
      </c>
      <c r="C59" s="15">
        <f t="shared" ref="C59:F59" si="13">((C35/C34)-1)*100</f>
        <v>-1.3581635503537193</v>
      </c>
      <c r="D59" s="15">
        <f t="shared" si="13"/>
        <v>-1.3501243522016537</v>
      </c>
      <c r="E59" s="15">
        <f t="shared" si="13"/>
        <v>-1.3797249178915671</v>
      </c>
      <c r="F59" s="15">
        <f t="shared" si="13"/>
        <v>4.2246571667439614</v>
      </c>
      <c r="G59" s="15"/>
      <c r="H59" s="15"/>
    </row>
    <row r="60" spans="1:16" x14ac:dyDescent="0.25">
      <c r="A60" s="25"/>
      <c r="B60" s="16"/>
      <c r="C60" s="16"/>
      <c r="D60" s="16"/>
      <c r="E60" s="16"/>
      <c r="F60" s="16"/>
      <c r="G60" s="16"/>
      <c r="H60" s="16"/>
    </row>
    <row r="61" spans="1:16" x14ac:dyDescent="0.25">
      <c r="A61" s="1" t="s">
        <v>27</v>
      </c>
    </row>
    <row r="62" spans="1:16" x14ac:dyDescent="0.25">
      <c r="A62" s="1" t="s">
        <v>34</v>
      </c>
      <c r="B62" s="5">
        <f>B17/(B11*12)</f>
        <v>102014.47881667473</v>
      </c>
      <c r="C62" s="5">
        <f t="shared" ref="C62:F62" si="14">C17/(C11*12)</f>
        <v>83278.269798485431</v>
      </c>
      <c r="D62" s="5"/>
      <c r="E62" s="5"/>
      <c r="F62" s="5">
        <f t="shared" si="14"/>
        <v>275929.49871922936</v>
      </c>
      <c r="G62" s="5"/>
      <c r="H62" s="5"/>
    </row>
    <row r="63" spans="1:16" x14ac:dyDescent="0.25">
      <c r="A63" s="1" t="s">
        <v>35</v>
      </c>
      <c r="B63" s="5">
        <f>B18/(B12*12)</f>
        <v>99271.891889234059</v>
      </c>
      <c r="C63" s="5">
        <f t="shared" ref="C63:F63" si="15">C18/(C12*12)</f>
        <v>78311.388341762635</v>
      </c>
      <c r="D63" s="5">
        <f t="shared" si="15"/>
        <v>78322.382759372369</v>
      </c>
      <c r="E63" s="5">
        <f t="shared" si="15"/>
        <v>78282.342682728646</v>
      </c>
      <c r="F63" s="5">
        <f t="shared" si="15"/>
        <v>257192.02623038975</v>
      </c>
      <c r="G63" s="5"/>
      <c r="H63" s="5"/>
    </row>
    <row r="64" spans="1:16" x14ac:dyDescent="0.25">
      <c r="A64" s="12" t="s">
        <v>28</v>
      </c>
      <c r="B64" s="27">
        <f>(B62/B63)*B46</f>
        <v>103.59320516834759</v>
      </c>
      <c r="C64" s="27">
        <f t="shared" ref="C64:F64" si="16">(C62/C63)*C46</f>
        <v>105.68487926365046</v>
      </c>
      <c r="D64" s="27">
        <f t="shared" si="16"/>
        <v>0</v>
      </c>
      <c r="E64" s="27">
        <f t="shared" si="16"/>
        <v>0</v>
      </c>
      <c r="F64" s="27">
        <f t="shared" si="16"/>
        <v>98.842801463407028</v>
      </c>
      <c r="G64" s="15"/>
      <c r="H64" s="15"/>
    </row>
    <row r="65" spans="1:8" x14ac:dyDescent="0.25">
      <c r="A65" s="16" t="s">
        <v>44</v>
      </c>
      <c r="B65" s="5">
        <f>B17/B11</f>
        <v>1224173.7458000968</v>
      </c>
      <c r="C65" s="5">
        <f>C17/C11</f>
        <v>999339.23758182523</v>
      </c>
      <c r="D65" s="5"/>
      <c r="E65" s="5"/>
      <c r="F65" s="5">
        <f t="shared" ref="F65" si="17">F17/F11</f>
        <v>3311153.9846307524</v>
      </c>
      <c r="G65" s="16"/>
      <c r="H65" s="16"/>
    </row>
    <row r="66" spans="1:8" x14ac:dyDescent="0.25">
      <c r="A66" s="16" t="s">
        <v>45</v>
      </c>
      <c r="B66" s="5">
        <f>B18/B12</f>
        <v>1191262.7026708086</v>
      </c>
      <c r="C66" s="5">
        <f>C18/C12</f>
        <v>939736.66010115168</v>
      </c>
      <c r="D66" s="5">
        <f>D18/(D12)</f>
        <v>939868.59311246849</v>
      </c>
      <c r="E66" s="5">
        <f t="shared" ref="E66:F66" si="18">E18/E12</f>
        <v>939388.11219274369</v>
      </c>
      <c r="F66" s="5">
        <f t="shared" si="18"/>
        <v>3086304.3147646771</v>
      </c>
      <c r="G66" s="16"/>
      <c r="H66" s="16"/>
    </row>
    <row r="67" spans="1:8" x14ac:dyDescent="0.25">
      <c r="B67" s="14"/>
      <c r="C67" s="14"/>
      <c r="D67" s="14"/>
      <c r="E67" s="14"/>
      <c r="F67" s="14"/>
      <c r="G67" s="14"/>
      <c r="H67" s="14"/>
    </row>
    <row r="68" spans="1:8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8" x14ac:dyDescent="0.25">
      <c r="A69" s="17" t="s">
        <v>30</v>
      </c>
      <c r="B69" s="18">
        <f>(B24/B23)*100</f>
        <v>99.838765479278024</v>
      </c>
      <c r="C69" s="18"/>
      <c r="D69" s="18"/>
      <c r="E69" s="18"/>
      <c r="F69" s="18"/>
      <c r="G69" s="18"/>
      <c r="H69" s="18"/>
    </row>
    <row r="70" spans="1:8" x14ac:dyDescent="0.25">
      <c r="A70" s="17" t="s">
        <v>31</v>
      </c>
      <c r="B70" s="18">
        <f>(B18/B24)*100</f>
        <v>99.595215669953745</v>
      </c>
      <c r="C70" s="18"/>
      <c r="D70" s="18"/>
      <c r="E70" s="18"/>
      <c r="F70" s="18"/>
      <c r="G70" s="18"/>
      <c r="H70" s="18"/>
    </row>
    <row r="71" spans="1:8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8" ht="15.75" thickTop="1" x14ac:dyDescent="0.25"/>
    <row r="73" spans="1:8" x14ac:dyDescent="0.25">
      <c r="A73" s="1" t="s">
        <v>32</v>
      </c>
    </row>
    <row r="74" spans="1:8" x14ac:dyDescent="0.25">
      <c r="A74" s="1" t="s">
        <v>91</v>
      </c>
    </row>
    <row r="75" spans="1:8" x14ac:dyDescent="0.25">
      <c r="A75" s="1" t="s">
        <v>92</v>
      </c>
      <c r="B75" s="20"/>
      <c r="C75" s="20"/>
      <c r="D75" s="20"/>
      <c r="E75" s="20"/>
      <c r="F75" s="20"/>
    </row>
    <row r="76" spans="1:8" x14ac:dyDescent="0.25">
      <c r="A76" s="1" t="s">
        <v>93</v>
      </c>
    </row>
    <row r="78" spans="1:8" x14ac:dyDescent="0.25">
      <c r="A78" s="1" t="s">
        <v>48</v>
      </c>
    </row>
    <row r="79" spans="1:8" x14ac:dyDescent="0.25">
      <c r="A79" s="1" t="s">
        <v>50</v>
      </c>
    </row>
    <row r="80" spans="1:8" x14ac:dyDescent="0.25">
      <c r="A80" s="1" t="s">
        <v>49</v>
      </c>
    </row>
    <row r="81" spans="1:1" x14ac:dyDescent="0.25">
      <c r="A81" s="33" t="s">
        <v>54</v>
      </c>
    </row>
    <row r="82" spans="1:1" x14ac:dyDescent="0.25">
      <c r="A82" s="34" t="s">
        <v>55</v>
      </c>
    </row>
    <row r="83" spans="1:1" x14ac:dyDescent="0.25">
      <c r="A83" s="34" t="s">
        <v>56</v>
      </c>
    </row>
    <row r="85" spans="1:1" x14ac:dyDescent="0.25">
      <c r="A85" s="24" t="s">
        <v>132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1" sqref="N11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  <vt:lpstr>Observaciones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dcterms:created xsi:type="dcterms:W3CDTF">2012-04-23T14:39:07Z</dcterms:created>
  <dcterms:modified xsi:type="dcterms:W3CDTF">2016-05-20T20:28:26Z</dcterms:modified>
</cp:coreProperties>
</file>