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2015\Indicadores 2015\Indicadores 2015\IV trimestre\PFT\"/>
    </mc:Choice>
  </mc:AlternateContent>
  <bookViews>
    <workbookView xWindow="0" yWindow="0" windowWidth="21600" windowHeight="9735" firstSheet="1" activeTab="6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3 Trimestre Acumulado" sheetId="6" r:id="rId6"/>
    <sheet name="Anual" sheetId="7" r:id="rId7"/>
    <sheet name="Hoja1" sheetId="8" r:id="rId8"/>
  </sheets>
  <calcPr calcId="152511"/>
</workbook>
</file>

<file path=xl/calcChain.xml><?xml version="1.0" encoding="utf-8"?>
<calcChain xmlns="http://schemas.openxmlformats.org/spreadsheetml/2006/main">
  <c r="B14" i="7" l="1"/>
  <c r="C17" i="4"/>
  <c r="C16" i="4"/>
  <c r="C13" i="4"/>
  <c r="E39" i="6"/>
  <c r="D39" i="6"/>
  <c r="E38" i="6"/>
  <c r="D38" i="6"/>
  <c r="E39" i="5"/>
  <c r="D39" i="5"/>
  <c r="E38" i="5"/>
  <c r="D38" i="5"/>
  <c r="C17" i="1" l="1"/>
  <c r="C16" i="1"/>
  <c r="C13" i="1"/>
  <c r="C16" i="2" l="1"/>
  <c r="C17" i="3"/>
  <c r="C16" i="3"/>
  <c r="C13" i="3" l="1"/>
  <c r="C17" i="2" l="1"/>
  <c r="C13" i="2" l="1"/>
  <c r="B12" i="4" l="1"/>
  <c r="B13" i="4"/>
  <c r="B14" i="4"/>
  <c r="B15" i="4"/>
  <c r="B16" i="4"/>
  <c r="B17" i="4"/>
  <c r="B44" i="4" l="1"/>
  <c r="C61" i="7"/>
  <c r="C17" i="7" l="1"/>
  <c r="C16" i="7"/>
  <c r="C53" i="7" s="1"/>
  <c r="C70" i="4"/>
  <c r="C67" i="4"/>
  <c r="C66" i="4"/>
  <c r="C61" i="4"/>
  <c r="D55" i="4"/>
  <c r="E55" i="4"/>
  <c r="C54" i="4"/>
  <c r="D54" i="4"/>
  <c r="E54" i="4"/>
  <c r="C49" i="4"/>
  <c r="D49" i="4"/>
  <c r="D50" i="4" s="1"/>
  <c r="E49" i="4"/>
  <c r="E50" i="4" s="1"/>
  <c r="C48" i="4"/>
  <c r="C37" i="4"/>
  <c r="C62" i="4" s="1"/>
  <c r="D37" i="4"/>
  <c r="E37" i="4"/>
  <c r="C36" i="4"/>
  <c r="C38" i="4" s="1"/>
  <c r="D36" i="4"/>
  <c r="D38" i="4" s="1"/>
  <c r="E36" i="4"/>
  <c r="E38" i="4" s="1"/>
  <c r="C50" i="4" l="1"/>
  <c r="C69" i="4" s="1"/>
  <c r="E62" i="4"/>
  <c r="D62" i="4"/>
  <c r="C37" i="2"/>
  <c r="B21" i="1"/>
  <c r="B20" i="2" l="1"/>
  <c r="C61" i="6" l="1"/>
  <c r="D20" i="6"/>
  <c r="D36" i="6" s="1"/>
  <c r="E20" i="6"/>
  <c r="E36" i="6" s="1"/>
  <c r="B14" i="6"/>
  <c r="C61" i="5"/>
  <c r="D61" i="5"/>
  <c r="E61" i="5"/>
  <c r="E20" i="5"/>
  <c r="E36" i="5" s="1"/>
  <c r="B14" i="5"/>
  <c r="C37" i="1" l="1"/>
  <c r="D37" i="1"/>
  <c r="E37" i="1"/>
  <c r="C36" i="1"/>
  <c r="D36" i="1"/>
  <c r="E36" i="1"/>
  <c r="B15" i="1" l="1"/>
  <c r="C17" i="6"/>
  <c r="C16" i="6"/>
  <c r="B11" i="1"/>
  <c r="C37" i="3"/>
  <c r="D37" i="3"/>
  <c r="E37" i="3"/>
  <c r="C36" i="3"/>
  <c r="D36" i="3"/>
  <c r="E36" i="3"/>
  <c r="C16" i="5" l="1"/>
  <c r="C17" i="5"/>
  <c r="C36" i="2" l="1"/>
  <c r="D36" i="2"/>
  <c r="E36" i="2"/>
  <c r="B10" i="7" l="1"/>
  <c r="B61" i="7" s="1"/>
  <c r="B10" i="6"/>
  <c r="B11" i="3"/>
  <c r="B10" i="5"/>
  <c r="C70" i="3"/>
  <c r="C70" i="1"/>
  <c r="C70" i="2"/>
  <c r="B21" i="3" l="1"/>
  <c r="B21" i="4"/>
  <c r="B66" i="4" s="1"/>
  <c r="B21" i="2"/>
  <c r="B20" i="3"/>
  <c r="B36" i="3" s="1"/>
  <c r="B20" i="1"/>
  <c r="B36" i="1" s="1"/>
  <c r="B20" i="4"/>
  <c r="B36" i="4" s="1"/>
  <c r="B36" i="2"/>
  <c r="C53" i="6"/>
  <c r="C53" i="5"/>
  <c r="C53" i="4"/>
  <c r="C55" i="4" s="1"/>
  <c r="C53" i="1"/>
  <c r="C53" i="3"/>
  <c r="C53" i="2"/>
  <c r="C48" i="1"/>
  <c r="C48" i="3"/>
  <c r="C48" i="2"/>
  <c r="B17" i="7"/>
  <c r="B16" i="7"/>
  <c r="B53" i="7" s="1"/>
  <c r="B17" i="6"/>
  <c r="B16" i="6"/>
  <c r="B53" i="6" s="1"/>
  <c r="B17" i="5"/>
  <c r="B16" i="5"/>
  <c r="B53" i="5" s="1"/>
  <c r="B17" i="1"/>
  <c r="B16" i="1"/>
  <c r="B17" i="3"/>
  <c r="B16" i="3"/>
  <c r="B17" i="2"/>
  <c r="C67" i="1"/>
  <c r="C66" i="1"/>
  <c r="C67" i="3"/>
  <c r="C66" i="3"/>
  <c r="C66" i="2"/>
  <c r="C67" i="2"/>
  <c r="C13" i="7"/>
  <c r="B13" i="7" s="1"/>
  <c r="C13" i="6"/>
  <c r="B13" i="6" s="1"/>
  <c r="C13" i="5"/>
  <c r="B13" i="5" s="1"/>
  <c r="B13" i="1"/>
  <c r="B13" i="3"/>
  <c r="B13" i="2"/>
  <c r="E54" i="1" l="1"/>
  <c r="E54" i="3"/>
  <c r="E54" i="2"/>
  <c r="C15" i="7"/>
  <c r="C11" i="7"/>
  <c r="D38" i="1"/>
  <c r="E38" i="1"/>
  <c r="D39" i="1"/>
  <c r="E39" i="1"/>
  <c r="D38" i="3"/>
  <c r="E38" i="3"/>
  <c r="D39" i="3"/>
  <c r="E39" i="3"/>
  <c r="D38" i="2"/>
  <c r="E38" i="2"/>
  <c r="D37" i="2"/>
  <c r="D39" i="2" s="1"/>
  <c r="E37" i="2"/>
  <c r="E39" i="2" s="1"/>
  <c r="D39" i="4"/>
  <c r="D63" i="4" s="1"/>
  <c r="E39" i="4"/>
  <c r="E63" i="4" s="1"/>
  <c r="C24" i="4" l="1"/>
  <c r="B11" i="4"/>
  <c r="C15" i="6"/>
  <c r="C11" i="6" l="1"/>
  <c r="B11" i="6" s="1"/>
  <c r="C24" i="1" l="1"/>
  <c r="C11" i="5" l="1"/>
  <c r="C71" i="4"/>
  <c r="C68" i="4"/>
  <c r="C71" i="1"/>
  <c r="C68" i="1"/>
  <c r="E62" i="1"/>
  <c r="C61" i="1"/>
  <c r="D54" i="1"/>
  <c r="C54" i="1"/>
  <c r="E49" i="1"/>
  <c r="D49" i="1"/>
  <c r="C49" i="1"/>
  <c r="C71" i="3"/>
  <c r="C68" i="3"/>
  <c r="E62" i="3"/>
  <c r="C61" i="3"/>
  <c r="D54" i="3"/>
  <c r="C54" i="3"/>
  <c r="E49" i="3"/>
  <c r="D49" i="3"/>
  <c r="C49" i="3"/>
  <c r="C71" i="2" l="1"/>
  <c r="C55" i="1"/>
  <c r="C55" i="3"/>
  <c r="C12" i="6" l="1"/>
  <c r="C12" i="5"/>
  <c r="C12" i="7"/>
  <c r="C48" i="7" s="1"/>
  <c r="C50" i="1"/>
  <c r="C50" i="3"/>
  <c r="B11" i="2"/>
  <c r="C48" i="6" l="1"/>
  <c r="C48" i="5"/>
  <c r="B11" i="5"/>
  <c r="B11" i="7"/>
  <c r="C69" i="3"/>
  <c r="C69" i="1"/>
  <c r="C15" i="5"/>
  <c r="C61" i="2" l="1"/>
  <c r="C24" i="3" l="1"/>
  <c r="B15" i="3" l="1"/>
  <c r="C68" i="2" l="1"/>
  <c r="C24" i="2"/>
  <c r="B15" i="2"/>
  <c r="B15" i="7" l="1"/>
  <c r="B15" i="6"/>
  <c r="B15" i="5"/>
  <c r="E62" i="2" l="1"/>
  <c r="E22" i="6"/>
  <c r="E37" i="6" s="1"/>
  <c r="E23" i="6"/>
  <c r="E22" i="5"/>
  <c r="E37" i="5" s="1"/>
  <c r="E23" i="5"/>
  <c r="E20" i="7"/>
  <c r="E36" i="7" s="1"/>
  <c r="E38" i="7" s="1"/>
  <c r="E22" i="7"/>
  <c r="E23" i="7"/>
  <c r="E54" i="7" l="1"/>
  <c r="E55" i="7" s="1"/>
  <c r="E37" i="7"/>
  <c r="E62" i="5"/>
  <c r="E54" i="5"/>
  <c r="E54" i="6"/>
  <c r="B22" i="4"/>
  <c r="B37" i="4" s="1"/>
  <c r="B23" i="4"/>
  <c r="B22" i="1"/>
  <c r="B37" i="1" s="1"/>
  <c r="B23" i="1"/>
  <c r="B22" i="3"/>
  <c r="B37" i="3" s="1"/>
  <c r="B23" i="3"/>
  <c r="B22" i="2"/>
  <c r="B37" i="2" s="1"/>
  <c r="B23" i="2"/>
  <c r="E62" i="7" l="1"/>
  <c r="E39" i="7"/>
  <c r="E63" i="7" s="1"/>
  <c r="E62" i="6"/>
  <c r="B75" i="4"/>
  <c r="B54" i="4"/>
  <c r="B54" i="3"/>
  <c r="B75" i="3"/>
  <c r="B75" i="1"/>
  <c r="B54" i="1"/>
  <c r="B49" i="4"/>
  <c r="B49" i="3"/>
  <c r="E21" i="6" l="1"/>
  <c r="E49" i="6" s="1"/>
  <c r="E21" i="5"/>
  <c r="E49" i="5" s="1"/>
  <c r="E49" i="2"/>
  <c r="E21" i="7"/>
  <c r="E49" i="7" s="1"/>
  <c r="E50" i="7" s="1"/>
  <c r="C23" i="7"/>
  <c r="D23" i="7"/>
  <c r="C23" i="6"/>
  <c r="D23" i="6"/>
  <c r="B23" i="6"/>
  <c r="C23" i="5"/>
  <c r="D23" i="5"/>
  <c r="B23" i="5"/>
  <c r="B23" i="7" l="1"/>
  <c r="B49" i="1"/>
  <c r="C21" i="5"/>
  <c r="D21" i="5"/>
  <c r="C22" i="5"/>
  <c r="D22" i="5"/>
  <c r="D37" i="5" s="1"/>
  <c r="D20" i="5"/>
  <c r="D36" i="5" s="1"/>
  <c r="C20" i="5"/>
  <c r="C21" i="6"/>
  <c r="D21" i="6"/>
  <c r="C22" i="6"/>
  <c r="D22" i="6"/>
  <c r="D37" i="6" s="1"/>
  <c r="C20" i="6"/>
  <c r="C21" i="7"/>
  <c r="D21" i="7"/>
  <c r="C22" i="7"/>
  <c r="D22" i="7"/>
  <c r="D20" i="7"/>
  <c r="D36" i="7" s="1"/>
  <c r="D38" i="7" s="1"/>
  <c r="C20" i="7"/>
  <c r="C36" i="7" s="1"/>
  <c r="C38" i="7" s="1"/>
  <c r="C71" i="7" l="1"/>
  <c r="C67" i="7"/>
  <c r="C54" i="7"/>
  <c r="C55" i="7" s="1"/>
  <c r="C49" i="7"/>
  <c r="C50" i="7" s="1"/>
  <c r="C37" i="7"/>
  <c r="D54" i="7"/>
  <c r="D55" i="7" s="1"/>
  <c r="D49" i="7"/>
  <c r="D50" i="7" s="1"/>
  <c r="D37" i="7"/>
  <c r="C71" i="5"/>
  <c r="C67" i="5"/>
  <c r="C66" i="7"/>
  <c r="C70" i="7"/>
  <c r="C71" i="6"/>
  <c r="C67" i="6"/>
  <c r="C36" i="5"/>
  <c r="C38" i="5" s="1"/>
  <c r="B20" i="5"/>
  <c r="B36" i="5" s="1"/>
  <c r="B21" i="5"/>
  <c r="C36" i="6"/>
  <c r="C38" i="6" s="1"/>
  <c r="B20" i="6"/>
  <c r="B36" i="6" s="1"/>
  <c r="B22" i="5"/>
  <c r="C37" i="5"/>
  <c r="C39" i="5" s="1"/>
  <c r="C37" i="6"/>
  <c r="C39" i="6" s="1"/>
  <c r="B20" i="7"/>
  <c r="B36" i="7" s="1"/>
  <c r="C66" i="6"/>
  <c r="B21" i="6"/>
  <c r="C70" i="6"/>
  <c r="B21" i="7"/>
  <c r="C66" i="5"/>
  <c r="C70" i="5"/>
  <c r="C68" i="7"/>
  <c r="D49" i="6"/>
  <c r="B22" i="6"/>
  <c r="D54" i="6"/>
  <c r="B22" i="7"/>
  <c r="D54" i="5"/>
  <c r="D49" i="5"/>
  <c r="C54" i="5"/>
  <c r="C55" i="5" s="1"/>
  <c r="C68" i="5"/>
  <c r="C49" i="5"/>
  <c r="C50" i="5" s="1"/>
  <c r="C54" i="6"/>
  <c r="C55" i="6" s="1"/>
  <c r="C68" i="6"/>
  <c r="C49" i="6"/>
  <c r="C50" i="6" s="1"/>
  <c r="C24" i="7"/>
  <c r="B24" i="7" s="1"/>
  <c r="C24" i="6"/>
  <c r="B24" i="6" s="1"/>
  <c r="C24" i="5"/>
  <c r="B24" i="5" s="1"/>
  <c r="B12" i="7"/>
  <c r="B12" i="6"/>
  <c r="B12" i="5"/>
  <c r="B24" i="4"/>
  <c r="B58" i="4" s="1"/>
  <c r="B10" i="4"/>
  <c r="B24" i="1"/>
  <c r="B58" i="1" s="1"/>
  <c r="B14" i="1"/>
  <c r="B12" i="1"/>
  <c r="B10" i="1"/>
  <c r="B24" i="3"/>
  <c r="B58" i="3" s="1"/>
  <c r="B14" i="3"/>
  <c r="B12" i="3"/>
  <c r="B10" i="3"/>
  <c r="B24" i="2"/>
  <c r="B58" i="2" s="1"/>
  <c r="B16" i="2"/>
  <c r="B14" i="2"/>
  <c r="B12" i="2"/>
  <c r="B10" i="2"/>
  <c r="C62" i="7" l="1"/>
  <c r="C39" i="7"/>
  <c r="C63" i="7" s="1"/>
  <c r="C69" i="7"/>
  <c r="B67" i="7"/>
  <c r="B37" i="7"/>
  <c r="D62" i="7"/>
  <c r="D39" i="7"/>
  <c r="D63" i="7" s="1"/>
  <c r="B67" i="5"/>
  <c r="B37" i="5"/>
  <c r="B67" i="6"/>
  <c r="B37" i="6"/>
  <c r="B70" i="4"/>
  <c r="B53" i="4"/>
  <c r="B55" i="4" s="1"/>
  <c r="B67" i="4"/>
  <c r="B48" i="4"/>
  <c r="B50" i="4" s="1"/>
  <c r="B70" i="1"/>
  <c r="B44" i="1"/>
  <c r="B66" i="1"/>
  <c r="B53" i="1"/>
  <c r="B55" i="1" s="1"/>
  <c r="B67" i="1"/>
  <c r="B48" i="1"/>
  <c r="B67" i="3"/>
  <c r="B48" i="3"/>
  <c r="B50" i="3" s="1"/>
  <c r="B53" i="3"/>
  <c r="B55" i="3" s="1"/>
  <c r="B70" i="3"/>
  <c r="B44" i="3"/>
  <c r="B66" i="3"/>
  <c r="B53" i="2"/>
  <c r="B48" i="2"/>
  <c r="B71" i="2"/>
  <c r="B67" i="2"/>
  <c r="B44" i="7"/>
  <c r="B70" i="7"/>
  <c r="B48" i="7"/>
  <c r="B44" i="5"/>
  <c r="B70" i="5"/>
  <c r="B66" i="5"/>
  <c r="B48" i="5"/>
  <c r="B70" i="2"/>
  <c r="B66" i="2"/>
  <c r="B44" i="2"/>
  <c r="B44" i="6"/>
  <c r="B70" i="6"/>
  <c r="B48" i="6"/>
  <c r="B61" i="2"/>
  <c r="B66" i="7"/>
  <c r="B66" i="6"/>
  <c r="B71" i="7"/>
  <c r="B58" i="5"/>
  <c r="B45" i="4"/>
  <c r="B61" i="4"/>
  <c r="B71" i="4"/>
  <c r="B50" i="1"/>
  <c r="B54" i="5"/>
  <c r="B55" i="5" s="1"/>
  <c r="B49" i="5"/>
  <c r="B58" i="6"/>
  <c r="C69" i="5"/>
  <c r="B61" i="3"/>
  <c r="B45" i="3"/>
  <c r="B71" i="3"/>
  <c r="B54" i="7"/>
  <c r="B55" i="7" s="1"/>
  <c r="B54" i="6"/>
  <c r="B55" i="6" s="1"/>
  <c r="B58" i="7"/>
  <c r="C69" i="6"/>
  <c r="B49" i="6"/>
  <c r="B49" i="7"/>
  <c r="B45" i="7"/>
  <c r="B71" i="1"/>
  <c r="B61" i="1"/>
  <c r="B45" i="1"/>
  <c r="B61" i="6"/>
  <c r="B45" i="6"/>
  <c r="B71" i="6"/>
  <c r="B61" i="5"/>
  <c r="B45" i="5"/>
  <c r="B71" i="5"/>
  <c r="C54" i="2"/>
  <c r="B50" i="7" l="1"/>
  <c r="B69" i="7" s="1"/>
  <c r="B50" i="6"/>
  <c r="B69" i="6" s="1"/>
  <c r="B69" i="1"/>
  <c r="B69" i="4"/>
  <c r="B50" i="5"/>
  <c r="B69" i="5" s="1"/>
  <c r="B69" i="3"/>
  <c r="B28" i="5"/>
  <c r="B28" i="6"/>
  <c r="B75" i="6" s="1"/>
  <c r="B28" i="7"/>
  <c r="B75" i="7" s="1"/>
  <c r="D62" i="3"/>
  <c r="C38" i="3"/>
  <c r="C62" i="3" l="1"/>
  <c r="C39" i="3"/>
  <c r="C63" i="3" s="1"/>
  <c r="B75" i="5"/>
  <c r="B38" i="5"/>
  <c r="D62" i="5"/>
  <c r="B38" i="6"/>
  <c r="B38" i="7"/>
  <c r="D62" i="6"/>
  <c r="B38" i="4"/>
  <c r="B62" i="4"/>
  <c r="C39" i="4"/>
  <c r="C63" i="4" s="1"/>
  <c r="B38" i="3"/>
  <c r="B62" i="3"/>
  <c r="C49" i="2"/>
  <c r="C39" i="2"/>
  <c r="C38" i="2"/>
  <c r="D54" i="2"/>
  <c r="C55" i="2"/>
  <c r="C38" i="1"/>
  <c r="C62" i="1" l="1"/>
  <c r="C39" i="1"/>
  <c r="C63" i="1" s="1"/>
  <c r="C62" i="6"/>
  <c r="C63" i="6"/>
  <c r="B62" i="7"/>
  <c r="C62" i="5"/>
  <c r="D62" i="1"/>
  <c r="D62" i="2"/>
  <c r="B45" i="2"/>
  <c r="B62" i="6"/>
  <c r="B75" i="2"/>
  <c r="D49" i="2"/>
  <c r="C62" i="2"/>
  <c r="C63" i="5"/>
  <c r="B62" i="5"/>
  <c r="B39" i="7"/>
  <c r="B63" i="7" s="1"/>
  <c r="B39" i="4"/>
  <c r="B63" i="4" s="1"/>
  <c r="B27" i="4"/>
  <c r="B74" i="4" s="1"/>
  <c r="B39" i="3"/>
  <c r="B63" i="3" s="1"/>
  <c r="B27" i="3"/>
  <c r="B74" i="3" s="1"/>
  <c r="B38" i="2"/>
  <c r="B62" i="2"/>
  <c r="C63" i="2"/>
  <c r="C50" i="2"/>
  <c r="C69" i="2" s="1"/>
  <c r="B54" i="2"/>
  <c r="B38" i="1"/>
  <c r="B62" i="1"/>
  <c r="B39" i="6" l="1"/>
  <c r="B63" i="6" s="1"/>
  <c r="B39" i="5"/>
  <c r="B63" i="5" s="1"/>
  <c r="B55" i="2"/>
  <c r="B39" i="2"/>
  <c r="B63" i="2" s="1"/>
  <c r="B49" i="2"/>
  <c r="B27" i="2"/>
  <c r="B74" i="2" s="1"/>
  <c r="B27" i="1"/>
  <c r="B74" i="1" s="1"/>
  <c r="B39" i="1"/>
  <c r="B63" i="1" s="1"/>
  <c r="B27" i="6" l="1"/>
  <c r="B74" i="6" s="1"/>
  <c r="B27" i="5"/>
  <c r="B74" i="5" s="1"/>
  <c r="B27" i="7"/>
  <c r="B74" i="7" s="1"/>
  <c r="B50" i="2"/>
  <c r="B69" i="2" s="1"/>
</calcChain>
</file>

<file path=xl/sharedStrings.xml><?xml version="1.0" encoding="utf-8"?>
<sst xmlns="http://schemas.openxmlformats.org/spreadsheetml/2006/main" count="489" uniqueCount="171">
  <si>
    <t>Indicador</t>
  </si>
  <si>
    <t>Total</t>
  </si>
  <si>
    <t>Productos</t>
  </si>
  <si>
    <t>programa</t>
  </si>
  <si>
    <t>Subsidios</t>
  </si>
  <si>
    <t>Gastos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</si>
  <si>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</si>
  <si>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</si>
  <si>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</si>
  <si>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</si>
  <si>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</si>
  <si>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</si>
  <si>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</si>
  <si>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</si>
  <si>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</si>
  <si>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</si>
  <si>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</si>
  <si>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</si>
  <si>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</si>
  <si>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</si>
  <si>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</si>
  <si>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</si>
  <si>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</si>
  <si>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</si>
  <si>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</si>
  <si>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</si>
  <si>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</si>
  <si>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</si>
  <si>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</si>
  <si>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</si>
  <si>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</si>
  <si>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</si>
  <si>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</si>
  <si>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</si>
  <si>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</si>
  <si>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</si>
  <si>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</si>
  <si>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</si>
  <si>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</si>
  <si>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</si>
  <si>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</si>
  <si>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>Publicidad</t>
  </si>
  <si>
    <t>Total Programa</t>
  </si>
  <si>
    <t>Gasto</t>
  </si>
  <si>
    <t>Administrativo</t>
  </si>
  <si>
    <t xml:space="preserve">Gasto programado anual por beneficiario (GPB) </t>
  </si>
  <si>
    <t xml:space="preserve">Gasto efectivo anual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</si>
  <si>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</si>
  <si>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</si>
  <si>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</si>
  <si>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</si>
  <si>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>Gasto mensual efectivo por subsidio</t>
  </si>
  <si>
    <t>Efectivos 1T 2014 (personas)</t>
  </si>
  <si>
    <t>Efectivo 1T 2014</t>
  </si>
  <si>
    <t>IPC (1T 2014)</t>
  </si>
  <si>
    <t>Gasto efectivo real 1T 2014</t>
  </si>
  <si>
    <t>Gasto efectivo real por beneficiario 1T 2014</t>
  </si>
  <si>
    <t>Efectivos 2T 2014 (personas)</t>
  </si>
  <si>
    <t>Programado 2T 2014</t>
  </si>
  <si>
    <t>Efectivo 2T 2014</t>
  </si>
  <si>
    <t>IPC (2T 2014)</t>
  </si>
  <si>
    <t>Gasto efectivo real 2T 2014</t>
  </si>
  <si>
    <t>Gasto efectivo real por beneficiario 2T 2014</t>
  </si>
  <si>
    <t>Efectivos 3T 2014 (personas)</t>
  </si>
  <si>
    <t>Efectivo 3T 2014</t>
  </si>
  <si>
    <t>IPC (3T 2014)</t>
  </si>
  <si>
    <t>Gasto efectivo real 3T 2014</t>
  </si>
  <si>
    <t>Gasto efectivo real por beneficiario 3T 2014</t>
  </si>
  <si>
    <t>Efectivos 4T 2014 (personas)</t>
  </si>
  <si>
    <t>Efectivo 4T 2014</t>
  </si>
  <si>
    <t>IPC (4T 2014)</t>
  </si>
  <si>
    <t>Gasto efectivo real 4T 2014</t>
  </si>
  <si>
    <t>Gasto efectivo real por beneficiario 4T 2014</t>
  </si>
  <si>
    <t>Efectivos 1S 2014 (personas)</t>
  </si>
  <si>
    <t>Efectivo 1S 2014</t>
  </si>
  <si>
    <t>IPC (1S 2014)</t>
  </si>
  <si>
    <t>Gasto efectivo real 1S 2014</t>
  </si>
  <si>
    <t>Gasto efectivo real por beneficiario 1S 2014</t>
  </si>
  <si>
    <t>Efectivos 3TA 2014 (personas)</t>
  </si>
  <si>
    <t>Efectivo 3TA 2014</t>
  </si>
  <si>
    <t>IPC (3TA 2014)</t>
  </si>
  <si>
    <t>Gasto efectivo real 3TA 2014</t>
  </si>
  <si>
    <t>Gasto efectivo real por beneficiario 3TA 2014</t>
  </si>
  <si>
    <t>Efectivo  2014</t>
  </si>
  <si>
    <t>IPC ( 2014)</t>
  </si>
  <si>
    <t>Gasto efectivo real  2014</t>
  </si>
  <si>
    <t>Gasto efectivo real por beneficiario  2014</t>
  </si>
  <si>
    <t>Indicadores propuestos aplicado a Pacientes en Fase Terminal. Primer Trimestre 2015</t>
  </si>
  <si>
    <t>Programados 1T 2015 (personas)</t>
  </si>
  <si>
    <t>Efectivos 1T 2015 (personas)</t>
  </si>
  <si>
    <t>Programados año 2015 (personas)</t>
  </si>
  <si>
    <t>Programado 1T 2015</t>
  </si>
  <si>
    <t>Efectivo 1T 2015</t>
  </si>
  <si>
    <t>Programados año 2015</t>
  </si>
  <si>
    <t>En transferencias 1T 2015</t>
  </si>
  <si>
    <t>Programados 1T 2015</t>
  </si>
  <si>
    <t>Efectivos 1T 2015</t>
  </si>
  <si>
    <t>IPC (1T 2015)</t>
  </si>
  <si>
    <t>Gasto efectivo real 1T 2015</t>
  </si>
  <si>
    <t>Gasto efectivo real por beneficiario 1T 2015</t>
  </si>
  <si>
    <t>Informes Trimestrales PFT 2014 y 2015.</t>
  </si>
  <si>
    <t>Metas y Modificaciones, DESAF 2015</t>
  </si>
  <si>
    <t>Indicadores propuestos aplicado a Pacientes en Fase Terminal. Segundo Trimestre 2015</t>
  </si>
  <si>
    <t>Programados 2T 2015 (personas)</t>
  </si>
  <si>
    <t>Efectivos 2T 2015 (personas)</t>
  </si>
  <si>
    <t>Efectivo 2T 2015</t>
  </si>
  <si>
    <t>En transferencias 2T 2015</t>
  </si>
  <si>
    <t>Programados 2T 2015</t>
  </si>
  <si>
    <t>Efectivos 2T 2015</t>
  </si>
  <si>
    <t>IPC (2T 2015)</t>
  </si>
  <si>
    <t>Gasto efectivo real 2T 2015</t>
  </si>
  <si>
    <t>Gasto efectivo real por beneficiario 2T 2015</t>
  </si>
  <si>
    <t>Indicadores propuestos aplicado a Pacientes en Fase Terminal. Tercer trimestre 2015</t>
  </si>
  <si>
    <t>Programados 3T 2015 (personas)</t>
  </si>
  <si>
    <t>Efectivos 3T 2015 (personas)</t>
  </si>
  <si>
    <t>Programado 3T 2015</t>
  </si>
  <si>
    <t>Efectivo 3T 2015</t>
  </si>
  <si>
    <t>En transferencias 3T 2015</t>
  </si>
  <si>
    <t>Programados 3T 2015</t>
  </si>
  <si>
    <t>Efectivos 3T 2015</t>
  </si>
  <si>
    <t>IPC (3T 2015)</t>
  </si>
  <si>
    <t>Gasto efectivo real 3T 2015</t>
  </si>
  <si>
    <t>Gasto efectivo real por beneficiario 3T 2015</t>
  </si>
  <si>
    <t>Indicadores propuestos aplicado a Pacientes en Fase Terminal.Cuarto Trimestre 2015</t>
  </si>
  <si>
    <t>Programados 4T 2015 (personas)</t>
  </si>
  <si>
    <t>Efectivos 4T 2015 (personas)</t>
  </si>
  <si>
    <t>Programado 4T 2015</t>
  </si>
  <si>
    <t>Efectivo 4T 2015</t>
  </si>
  <si>
    <t>En transferencias 4T 2015</t>
  </si>
  <si>
    <t>Programados 4T 2015</t>
  </si>
  <si>
    <t>Efectivos 4T 2015</t>
  </si>
  <si>
    <t>IPC (4T 2015)</t>
  </si>
  <si>
    <t>Gasto efectivo real 4T 2015</t>
  </si>
  <si>
    <t>Gasto efectivo real por beneficiario 4T 2015</t>
  </si>
  <si>
    <t>Indicadores propuestos aplicado a Pacientes en Fase Terminal. Primer Semestre 2015</t>
  </si>
  <si>
    <t>Programados 1S 2015 (personas)</t>
  </si>
  <si>
    <t>Efectivos 1S 2015 (personas)</t>
  </si>
  <si>
    <t>Programado 1S 2015</t>
  </si>
  <si>
    <t>Efectivo 1S 2015</t>
  </si>
  <si>
    <t>En transferencias 1S 2015</t>
  </si>
  <si>
    <t>Programados 1S 2015</t>
  </si>
  <si>
    <t>Efectivos 1S 2015</t>
  </si>
  <si>
    <t>IPC (1S 2015)</t>
  </si>
  <si>
    <t>Gasto efectivo real 1S 2015</t>
  </si>
  <si>
    <t>Gasto efectivo real por beneficiario 1S 2015</t>
  </si>
  <si>
    <t>Indicadores propuestos aplicado a Pacientes en Fase Terminal. Tercer Trimestre Acumulado 2015</t>
  </si>
  <si>
    <t>Programados 3TA 2015 (personas)</t>
  </si>
  <si>
    <t>Efectivos 3TA 2015 (personas)</t>
  </si>
  <si>
    <t>Programado 3TA 2015</t>
  </si>
  <si>
    <t>Efectivo 3TA 2015</t>
  </si>
  <si>
    <t>En transferencias 3TA 2015</t>
  </si>
  <si>
    <t>Programados 3TA 2015</t>
  </si>
  <si>
    <t>Efectivos 3TA 2015</t>
  </si>
  <si>
    <t>IPC (3TA 2015)</t>
  </si>
  <si>
    <t>Gasto efectivo real 3TA 2015</t>
  </si>
  <si>
    <t>Gasto efectivo real por beneficiario 3TA 2015</t>
  </si>
  <si>
    <t>Indicadores propuestos aplicado a Pacientes en Fase Terminal. Año 2015</t>
  </si>
  <si>
    <t>Efectivos  2014 (personas)</t>
  </si>
  <si>
    <t>Programados  2015 (personas)</t>
  </si>
  <si>
    <t>Efectivos anual 2015 (personas)</t>
  </si>
  <si>
    <t>Programado  2015</t>
  </si>
  <si>
    <t>Efectivo  2015</t>
  </si>
  <si>
    <t>En transferencias  2015</t>
  </si>
  <si>
    <t>Programados  2015</t>
  </si>
  <si>
    <t>Efectivos  2015</t>
  </si>
  <si>
    <t>IPC ( 2015)</t>
  </si>
  <si>
    <t>Gasto efectivo real  2015</t>
  </si>
  <si>
    <t>Gasto efectivo real por beneficiario  2015</t>
  </si>
  <si>
    <t>Fecha de actualización: 30/10/2015</t>
  </si>
  <si>
    <t>Fecha de actualización: 09/09/2015</t>
  </si>
  <si>
    <t>Fecha de actualización: 28/03/2016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</si>
</sst>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#,##0.0____"/>
    <numFmt numFmtId="166" formatCode="#,##0.00____"/>
    <numFmt numFmtId="167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 indent="1"/>
    </xf>
    <xf numFmtId="164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Fill="1" applyAlignment="1">
      <alignment horizontal="left"/>
    </xf>
    <xf numFmtId="3" fontId="0" fillId="0" borderId="0" xfId="0" applyNumberFormat="1" applyFill="1"/>
    <xf numFmtId="0" fontId="0" fillId="0" borderId="0" xfId="0" applyFill="1" applyAlignment="1">
      <alignment horizontal="left" indent="1"/>
    </xf>
    <xf numFmtId="0" fontId="0" fillId="0" borderId="0" xfId="0" applyFill="1"/>
    <xf numFmtId="0" fontId="1" fillId="0" borderId="0" xfId="0" applyFont="1" applyFill="1"/>
    <xf numFmtId="165" fontId="0" fillId="0" borderId="0" xfId="0" applyNumberFormat="1" applyFill="1"/>
    <xf numFmtId="165" fontId="0" fillId="0" borderId="0" xfId="0" applyNumberFormat="1"/>
    <xf numFmtId="166" fontId="0" fillId="0" borderId="0" xfId="0" applyNumberFormat="1" applyFill="1"/>
    <xf numFmtId="0" fontId="0" fillId="0" borderId="3" xfId="0" applyBorder="1"/>
    <xf numFmtId="2" fontId="0" fillId="0" borderId="0" xfId="0" applyNumberFormat="1" applyFill="1"/>
    <xf numFmtId="0" fontId="0" fillId="0" borderId="2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Fill="1"/>
    <xf numFmtId="43" fontId="0" fillId="0" borderId="0" xfId="1" applyFont="1"/>
    <xf numFmtId="167" fontId="0" fillId="0" borderId="0" xfId="1" applyNumberFormat="1" applyFont="1"/>
    <xf numFmtId="1" fontId="0" fillId="0" borderId="0" xfId="0" applyNumberFormat="1"/>
    <xf numFmtId="0" fontId="4" fillId="0" borderId="0" xfId="0" applyFont="1" applyFill="1"/>
    <xf numFmtId="0" fontId="6" fillId="2" borderId="0" xfId="0" applyFont="1" applyFill="1" applyAlignment="1">
      <alignment horizontal="left" indent="4"/>
    </xf>
    <xf numFmtId="3" fontId="0" fillId="2" borderId="0" xfId="0" applyNumberFormat="1" applyFill="1"/>
    <xf numFmtId="164" fontId="0" fillId="2" borderId="0" xfId="0" applyNumberFormat="1" applyFill="1"/>
    <xf numFmtId="0" fontId="0" fillId="2" borderId="0" xfId="0" applyFill="1"/>
    <xf numFmtId="166" fontId="7" fillId="0" borderId="0" xfId="0" applyNumberFormat="1" applyFont="1" applyFill="1"/>
    <xf numFmtId="164" fontId="0" fillId="0" borderId="0" xfId="0" applyNumberFormat="1" applyFill="1"/>
    <xf numFmtId="14" fontId="0" fillId="0" borderId="0" xfId="0" applyNumberFormat="1"/>
    <xf numFmtId="3" fontId="4" fillId="0" borderId="0" xfId="0" applyNumberFormat="1" applyFont="1" applyFill="1"/>
    <xf numFmtId="3" fontId="7" fillId="0" borderId="0" xfId="0" applyNumberFormat="1" applyFont="1" applyFill="1"/>
    <xf numFmtId="167" fontId="8" fillId="0" borderId="0" xfId="1" applyNumberFormat="1" applyFont="1" applyFill="1" applyAlignment="1"/>
    <xf numFmtId="2" fontId="7" fillId="0" borderId="0" xfId="0" applyNumberFormat="1" applyFont="1"/>
    <xf numFmtId="2" fontId="7" fillId="0" borderId="0" xfId="0" applyNumberFormat="1" applyFont="1" applyFill="1"/>
    <xf numFmtId="0" fontId="7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</a:t>
            </a:r>
            <a:r>
              <a:rPr lang="es-CR" baseline="0"/>
              <a:t> en Fase Terminal: Indicadores de cobertura potencial 2015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Anual!$A$44:$A$45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Anual!$B$44:$B$45</c:f>
              <c:numCache>
                <c:formatCode>#,##0.00____</c:formatCode>
                <c:ptCount val="2"/>
                <c:pt idx="0">
                  <c:v>147.42520562704522</c:v>
                </c:pt>
                <c:pt idx="1">
                  <c:v>223.44132727849043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24537608"/>
        <c:axId val="324537216"/>
      </c:barChart>
      <c:catAx>
        <c:axId val="32453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24537216"/>
        <c:crosses val="autoZero"/>
        <c:auto val="1"/>
        <c:lblAlgn val="ctr"/>
        <c:lblOffset val="100"/>
        <c:noMultiLvlLbl val="0"/>
      </c:catAx>
      <c:valAx>
        <c:axId val="32453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24537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Indicadores de resultado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(Anual!$B$48:$C$48,Anual!$E$48)</c:f>
              <c:numCache>
                <c:formatCode>#,##0.0____</c:formatCode>
                <c:ptCount val="3"/>
                <c:pt idx="0">
                  <c:v>151.5625</c:v>
                </c:pt>
                <c:pt idx="1">
                  <c:v>151.5625</c:v>
                </c:pt>
                <c:pt idx="2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(Anual!$B$49:$C$49,Anual!$E$49)</c:f>
              <c:numCache>
                <c:formatCode>#,##0.0____</c:formatCode>
                <c:ptCount val="3"/>
                <c:pt idx="0">
                  <c:v>107.86867460953651</c:v>
                </c:pt>
                <c:pt idx="1">
                  <c:v>117.59304342606684</c:v>
                </c:pt>
                <c:pt idx="2">
                  <c:v>63.56953145333334</c:v>
                </c:pt>
              </c:numCache>
            </c:numRef>
          </c:val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(Anual!$B$50:$C$50,Anual!$E$50)</c:f>
              <c:numCache>
                <c:formatCode>#,##0.0____</c:formatCode>
                <c:ptCount val="3"/>
                <c:pt idx="0">
                  <c:v>129.71558730476826</c:v>
                </c:pt>
                <c:pt idx="1">
                  <c:v>134.57777171303343</c:v>
                </c:pt>
                <c:pt idx="2">
                  <c:v>31.78476572666667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24536040"/>
        <c:axId val="324535256"/>
      </c:barChart>
      <c:catAx>
        <c:axId val="32453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24535256"/>
        <c:crosses val="autoZero"/>
        <c:auto val="1"/>
        <c:lblAlgn val="ctr"/>
        <c:lblOffset val="100"/>
        <c:noMultiLvlLbl val="0"/>
      </c:catAx>
      <c:valAx>
        <c:axId val="324535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24536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Indicadores de avance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Anual!$A$53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(Anual!$B$53:$C$53,Anual!$E$53)</c:f>
              <c:numCache>
                <c:formatCode>#,##0.0____</c:formatCode>
                <c:ptCount val="3"/>
                <c:pt idx="0">
                  <c:v>151.5625</c:v>
                </c:pt>
                <c:pt idx="1">
                  <c:v>151.5625</c:v>
                </c:pt>
              </c:numCache>
            </c:numRef>
          </c:val>
        </c:ser>
        <c:ser>
          <c:idx val="1"/>
          <c:order val="1"/>
          <c:tx>
            <c:strRef>
              <c:f>Anual!$A$54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(Anual!$B$54:$C$54,Anual!$E$54)</c:f>
              <c:numCache>
                <c:formatCode>#,##0.0____</c:formatCode>
                <c:ptCount val="3"/>
                <c:pt idx="0">
                  <c:v>107.86867460953651</c:v>
                </c:pt>
                <c:pt idx="1">
                  <c:v>117.59304342606684</c:v>
                </c:pt>
                <c:pt idx="2">
                  <c:v>63.56953145333334</c:v>
                </c:pt>
              </c:numCache>
            </c:numRef>
          </c:val>
        </c:ser>
        <c:ser>
          <c:idx val="2"/>
          <c:order val="2"/>
          <c:tx>
            <c:strRef>
              <c:f>Anual!$A$55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(Anual!$B$55:$C$55,Anual!$E$55)</c:f>
              <c:numCache>
                <c:formatCode>#,##0.0____</c:formatCode>
                <c:ptCount val="3"/>
                <c:pt idx="0">
                  <c:v>129.71558730476826</c:v>
                </c:pt>
                <c:pt idx="1">
                  <c:v>134.57777171303343</c:v>
                </c:pt>
                <c:pt idx="2">
                  <c:v>31.78476572666667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24534080"/>
        <c:axId val="325901336"/>
      </c:barChart>
      <c:catAx>
        <c:axId val="32453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25901336"/>
        <c:crosses val="autoZero"/>
        <c:auto val="1"/>
        <c:lblAlgn val="ctr"/>
        <c:lblOffset val="100"/>
        <c:noMultiLvlLbl val="0"/>
      </c:catAx>
      <c:valAx>
        <c:axId val="325901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2453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Índice transferencia efectiva del gasto (ITG)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Anual!$A$58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Anual!$B$58</c:f>
              <c:numCache>
                <c:formatCode>#,##0.00____</c:formatCode>
                <c:ptCount val="1"/>
                <c:pt idx="0">
                  <c:v>96.736022674550256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25899768"/>
        <c:axId val="325900944"/>
      </c:barChart>
      <c:catAx>
        <c:axId val="325899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25900944"/>
        <c:crosses val="autoZero"/>
        <c:auto val="1"/>
        <c:lblAlgn val="ctr"/>
        <c:lblOffset val="100"/>
        <c:noMultiLvlLbl val="0"/>
      </c:catAx>
      <c:valAx>
        <c:axId val="32590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25899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Indicadores de expansión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Anual!$A$61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(Anual!$B$61:$C$61,Anual!$E$61)</c:f>
              <c:numCache>
                <c:formatCode>#,##0.0____</c:formatCode>
                <c:ptCount val="3"/>
                <c:pt idx="0">
                  <c:v>61.874197689345323</c:v>
                </c:pt>
                <c:pt idx="1">
                  <c:v>61.874197689345323</c:v>
                </c:pt>
              </c:numCache>
            </c:numRef>
          </c:val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(Anual!$B$62:$C$62,Anual!$E$62)</c:f>
              <c:numCache>
                <c:formatCode>#,##0.0____</c:formatCode>
                <c:ptCount val="3"/>
                <c:pt idx="0">
                  <c:v>12.609602750664916</c:v>
                </c:pt>
                <c:pt idx="1">
                  <c:v>15.232235285535189</c:v>
                </c:pt>
                <c:pt idx="2">
                  <c:v>-33.825078178118694</c:v>
                </c:pt>
              </c:numCache>
            </c:numRef>
          </c:val>
        </c:ser>
        <c:ser>
          <c:idx val="2"/>
          <c:order val="2"/>
          <c:tx>
            <c:strRef>
              <c:f>Anual!$A$63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(Anual!$B$63:$C$63,Anual!$E$63)</c:f>
              <c:numCache>
                <c:formatCode>#,##0.0____</c:formatCode>
                <c:ptCount val="3"/>
                <c:pt idx="0">
                  <c:v>-30.433877444276003</c:v>
                </c:pt>
                <c:pt idx="1">
                  <c:v>-28.813710319245111</c:v>
                </c:pt>
                <c:pt idx="2">
                  <c:v>-59.119536796791806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25006464"/>
        <c:axId val="525005680"/>
      </c:barChart>
      <c:catAx>
        <c:axId val="52500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25005680"/>
        <c:crosses val="autoZero"/>
        <c:auto val="1"/>
        <c:lblAlgn val="ctr"/>
        <c:lblOffset val="100"/>
        <c:noMultiLvlLbl val="0"/>
      </c:catAx>
      <c:valAx>
        <c:axId val="52500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2500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Indicadores de gasto medio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Anual!$A$70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Anual!$B$70:$C$70</c:f>
              <c:numCache>
                <c:formatCode>#,##0</c:formatCode>
                <c:ptCount val="2"/>
                <c:pt idx="0">
                  <c:v>1653987.437548077</c:v>
                </c:pt>
                <c:pt idx="1">
                  <c:v>1467689.360625</c:v>
                </c:pt>
              </c:numCache>
            </c:numRef>
          </c:val>
        </c:ser>
        <c:ser>
          <c:idx val="1"/>
          <c:order val="1"/>
          <c:tx>
            <c:strRef>
              <c:f>Anual!$A$71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Anual!$B$71:$C$71</c:f>
              <c:numCache>
                <c:formatCode>#,##0</c:formatCode>
                <c:ptCount val="2"/>
                <c:pt idx="0">
                  <c:v>1177160.7931324344</c:v>
                </c:pt>
                <c:pt idx="1">
                  <c:v>1138738.5317605075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"/>
        <c:axId val="537840256"/>
        <c:axId val="537839864"/>
      </c:barChart>
      <c:catAx>
        <c:axId val="53784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7839864"/>
        <c:crosses val="autoZero"/>
        <c:auto val="1"/>
        <c:lblAlgn val="ctr"/>
        <c:lblOffset val="100"/>
        <c:noMultiLvlLbl val="0"/>
      </c:catAx>
      <c:valAx>
        <c:axId val="537839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784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Índice de eficiencia (IE)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Anual!$B$69:$C$69</c:f>
              <c:numCache>
                <c:formatCode>#,##0</c:formatCode>
                <c:ptCount val="2"/>
                <c:pt idx="0">
                  <c:v>182.25883252987356</c:v>
                </c:pt>
                <c:pt idx="1">
                  <c:v>173.45365789499789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27567152"/>
        <c:axId val="527564800"/>
      </c:barChart>
      <c:catAx>
        <c:axId val="52756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27564800"/>
        <c:crosses val="autoZero"/>
        <c:auto val="1"/>
        <c:lblAlgn val="ctr"/>
        <c:lblOffset val="100"/>
        <c:noMultiLvlLbl val="0"/>
      </c:catAx>
      <c:valAx>
        <c:axId val="52756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2756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Indicadores de giro de recursos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Anual!$A$74:$A$75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Anual!$B$74:$B$75</c:f>
              <c:numCache>
                <c:formatCode>#,##0.0____</c:formatCode>
                <c:ptCount val="2"/>
                <c:pt idx="0">
                  <c:v>104.19824687667747</c:v>
                </c:pt>
                <c:pt idx="1">
                  <c:v>103.52254269421934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37839080"/>
        <c:axId val="524846448"/>
      </c:barChart>
      <c:catAx>
        <c:axId val="537839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24846448"/>
        <c:crosses val="autoZero"/>
        <c:auto val="1"/>
        <c:lblAlgn val="ctr"/>
        <c:lblOffset val="100"/>
        <c:noMultiLvlLbl val="0"/>
      </c:catAx>
      <c:valAx>
        <c:axId val="52484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7839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10583</xdr:colOff>
      <xdr:row>38</xdr:row>
      <xdr:rowOff>189441</xdr:rowOff>
    </xdr:from>
    <xdr:to>
      <xdr:col>13</xdr:col>
      <xdr:colOff>10583</xdr:colOff>
      <xdr:row>53</xdr:row>
      <xdr:rowOff>75141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10583</xdr:colOff>
      <xdr:row>54</xdr:row>
      <xdr:rowOff>9524</xdr:rowOff>
    </xdr:from>
    <xdr:to>
      <xdr:col>13</xdr:col>
      <xdr:colOff>10583</xdr:colOff>
      <xdr:row>68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21167</xdr:colOff>
      <xdr:row>69</xdr:row>
      <xdr:rowOff>20107</xdr:rowOff>
    </xdr:from>
    <xdr:to>
      <xdr:col>13</xdr:col>
      <xdr:colOff>21167</xdr:colOff>
      <xdr:row>83</xdr:row>
      <xdr:rowOff>75140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31748</xdr:colOff>
      <xdr:row>85</xdr:row>
      <xdr:rowOff>20108</xdr:rowOff>
    </xdr:from>
    <xdr:to>
      <xdr:col>5</xdr:col>
      <xdr:colOff>391582</xdr:colOff>
      <xdr:row>99</xdr:row>
      <xdr:rowOff>96308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10583</xdr:colOff>
      <xdr:row>84</xdr:row>
      <xdr:rowOff>189440</xdr:rowOff>
    </xdr:from>
    <xdr:to>
      <xdr:col>12</xdr:col>
      <xdr:colOff>10583</xdr:colOff>
      <xdr:row>99</xdr:row>
      <xdr:rowOff>75140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740833</xdr:colOff>
      <xdr:row>84</xdr:row>
      <xdr:rowOff>168274</xdr:rowOff>
    </xdr:from>
    <xdr:to>
      <xdr:col>18</xdr:col>
      <xdr:colOff>740833</xdr:colOff>
      <xdr:row>99</xdr:row>
      <xdr:rowOff>53974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814917</xdr:colOff>
      <xdr:row>101</xdr:row>
      <xdr:rowOff>30691</xdr:rowOff>
    </xdr:from>
    <xdr:to>
      <xdr:col>2</xdr:col>
      <xdr:colOff>635000</xdr:colOff>
      <xdr:row>115</xdr:row>
      <xdr:rowOff>106891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42333</xdr:colOff>
      <xdr:row>101</xdr:row>
      <xdr:rowOff>20108</xdr:rowOff>
    </xdr:from>
    <xdr:to>
      <xdr:col>8</xdr:col>
      <xdr:colOff>232833</xdr:colOff>
      <xdr:row>115</xdr:row>
      <xdr:rowOff>96308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0"/>
  <sheetViews>
    <sheetView topLeftCell="A16" zoomScale="90" zoomScaleNormal="90" workbookViewId="0">
      <selection activeCell="H27" sqref="H26:H27"/>
    </sheetView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4" customWidth="1"/>
    <col min="8" max="8" width="15.140625" bestFit="1" customWidth="1"/>
  </cols>
  <sheetData>
    <row r="2" spans="1:11" ht="15.75" x14ac:dyDescent="0.25">
      <c r="A2" s="39" t="s">
        <v>87</v>
      </c>
      <c r="B2" s="39"/>
      <c r="C2" s="39"/>
      <c r="D2" s="39"/>
    </row>
    <row r="4" spans="1:11" x14ac:dyDescent="0.25">
      <c r="A4" s="40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11" ht="15.75" thickBot="1" x14ac:dyDescent="0.3">
      <c r="A5" s="41"/>
      <c r="B5" s="2" t="s">
        <v>3</v>
      </c>
      <c r="C5" s="2" t="s">
        <v>4</v>
      </c>
      <c r="D5" s="2" t="s">
        <v>41</v>
      </c>
      <c r="E5" s="2" t="s">
        <v>44</v>
      </c>
      <c r="G5" s="25"/>
      <c r="H5" s="11"/>
      <c r="I5" s="11"/>
      <c r="J5" s="11"/>
      <c r="K5" s="11"/>
    </row>
    <row r="6" spans="1:11" ht="15.75" thickTop="1" x14ac:dyDescent="0.25"/>
    <row r="7" spans="1:11" x14ac:dyDescent="0.25">
      <c r="A7" s="3" t="s">
        <v>6</v>
      </c>
    </row>
    <row r="9" spans="1:11" x14ac:dyDescent="0.25">
      <c r="A9" t="s">
        <v>7</v>
      </c>
      <c r="H9" s="22"/>
    </row>
    <row r="10" spans="1:11" x14ac:dyDescent="0.25">
      <c r="A10" s="4" t="s">
        <v>52</v>
      </c>
      <c r="B10" s="7">
        <f t="shared" ref="B10:B17" si="0">C10</f>
        <v>313</v>
      </c>
      <c r="C10" s="7">
        <v>313</v>
      </c>
      <c r="D10" s="5"/>
    </row>
    <row r="11" spans="1:11" x14ac:dyDescent="0.25">
      <c r="A11" s="26" t="s">
        <v>4</v>
      </c>
      <c r="B11" s="27">
        <f t="shared" si="0"/>
        <v>554</v>
      </c>
      <c r="C11" s="27">
        <v>554</v>
      </c>
      <c r="D11" s="28"/>
      <c r="E11" s="29"/>
    </row>
    <row r="12" spans="1:11" x14ac:dyDescent="0.25">
      <c r="A12" s="10" t="s">
        <v>88</v>
      </c>
      <c r="B12" s="9">
        <f t="shared" si="0"/>
        <v>208</v>
      </c>
      <c r="C12" s="9">
        <v>208</v>
      </c>
      <c r="D12" s="31"/>
      <c r="E12" s="11"/>
    </row>
    <row r="13" spans="1:11" x14ac:dyDescent="0.25">
      <c r="A13" s="26" t="s">
        <v>4</v>
      </c>
      <c r="B13" s="27">
        <f t="shared" si="0"/>
        <v>624</v>
      </c>
      <c r="C13" s="27">
        <f>208*3</f>
        <v>624</v>
      </c>
      <c r="D13" s="28"/>
      <c r="E13" s="29"/>
    </row>
    <row r="14" spans="1:11" x14ac:dyDescent="0.25">
      <c r="A14" s="4" t="s">
        <v>89</v>
      </c>
      <c r="B14" s="9">
        <f t="shared" si="0"/>
        <v>312</v>
      </c>
      <c r="C14" s="9">
        <v>312</v>
      </c>
      <c r="D14" s="5"/>
    </row>
    <row r="15" spans="1:11" x14ac:dyDescent="0.25">
      <c r="A15" s="26" t="s">
        <v>4</v>
      </c>
      <c r="B15" s="27">
        <f t="shared" si="0"/>
        <v>604</v>
      </c>
      <c r="C15" s="27">
        <v>604</v>
      </c>
      <c r="D15" s="28"/>
      <c r="E15" s="29"/>
    </row>
    <row r="16" spans="1:11" x14ac:dyDescent="0.25">
      <c r="A16" s="10" t="s">
        <v>90</v>
      </c>
      <c r="B16" s="9">
        <f t="shared" si="0"/>
        <v>832</v>
      </c>
      <c r="C16" s="9">
        <f>208*4</f>
        <v>832</v>
      </c>
      <c r="D16" s="31"/>
      <c r="E16" s="11"/>
    </row>
    <row r="17" spans="1:8" x14ac:dyDescent="0.25">
      <c r="A17" s="26" t="s">
        <v>4</v>
      </c>
      <c r="B17" s="27">
        <f t="shared" si="0"/>
        <v>2496</v>
      </c>
      <c r="C17" s="27">
        <f>208*12</f>
        <v>2496</v>
      </c>
      <c r="D17" s="28"/>
      <c r="E17" s="29"/>
    </row>
    <row r="18" spans="1:8" x14ac:dyDescent="0.25">
      <c r="B18" s="5"/>
      <c r="C18" s="5"/>
      <c r="D18" s="5"/>
    </row>
    <row r="19" spans="1:8" x14ac:dyDescent="0.25">
      <c r="A19" s="6" t="s">
        <v>8</v>
      </c>
      <c r="B19" s="5"/>
      <c r="C19" s="5"/>
      <c r="D19" s="5"/>
    </row>
    <row r="20" spans="1:8" x14ac:dyDescent="0.25">
      <c r="A20" s="4" t="s">
        <v>53</v>
      </c>
      <c r="B20" s="7">
        <f>SUM(C20:E20)</f>
        <v>218166594.25</v>
      </c>
      <c r="C20" s="7">
        <v>218166594.25</v>
      </c>
      <c r="D20" s="7">
        <v>0</v>
      </c>
      <c r="E20">
        <v>0</v>
      </c>
    </row>
    <row r="21" spans="1:8" x14ac:dyDescent="0.25">
      <c r="A21" s="4" t="s">
        <v>91</v>
      </c>
      <c r="B21" s="7">
        <f>SUM(C21:E21)</f>
        <v>305279387.00999999</v>
      </c>
      <c r="C21" s="23">
        <v>305279387.00999999</v>
      </c>
      <c r="D21" s="7">
        <v>0</v>
      </c>
      <c r="E21" s="7">
        <v>0</v>
      </c>
    </row>
    <row r="22" spans="1:8" x14ac:dyDescent="0.25">
      <c r="A22" s="4" t="s">
        <v>92</v>
      </c>
      <c r="B22" s="7">
        <f t="shared" ref="B22:B23" si="1">SUM(C22:E22)</f>
        <v>330725730.43000001</v>
      </c>
      <c r="C22" s="7">
        <v>330725730.43000001</v>
      </c>
      <c r="D22" s="7">
        <v>0</v>
      </c>
      <c r="E22">
        <v>0</v>
      </c>
    </row>
    <row r="23" spans="1:8" x14ac:dyDescent="0.25">
      <c r="A23" s="4" t="s">
        <v>93</v>
      </c>
      <c r="B23" s="7">
        <f t="shared" si="1"/>
        <v>1376117548.04</v>
      </c>
      <c r="C23" s="23">
        <v>1221117548.04</v>
      </c>
      <c r="D23" s="7">
        <v>80000000</v>
      </c>
      <c r="E23" s="7">
        <v>75000000</v>
      </c>
    </row>
    <row r="24" spans="1:8" x14ac:dyDescent="0.25">
      <c r="A24" s="4" t="s">
        <v>94</v>
      </c>
      <c r="B24" s="7">
        <f>C24</f>
        <v>330725730.43000001</v>
      </c>
      <c r="C24" s="7">
        <f>C22</f>
        <v>330725730.43000001</v>
      </c>
      <c r="D24" s="7"/>
    </row>
    <row r="25" spans="1:8" x14ac:dyDescent="0.25">
      <c r="B25" s="7"/>
      <c r="C25" s="7"/>
      <c r="D25" s="7"/>
      <c r="H25" s="7"/>
    </row>
    <row r="26" spans="1:8" x14ac:dyDescent="0.25">
      <c r="A26" s="8" t="s">
        <v>9</v>
      </c>
      <c r="B26" s="9"/>
      <c r="C26" s="9"/>
      <c r="D26" s="9"/>
    </row>
    <row r="27" spans="1:8" x14ac:dyDescent="0.25">
      <c r="A27" s="10" t="s">
        <v>95</v>
      </c>
      <c r="B27" s="9">
        <f>B21</f>
        <v>305279387.00999999</v>
      </c>
      <c r="C27" s="9"/>
      <c r="D27" s="9"/>
      <c r="F27" s="7"/>
    </row>
    <row r="28" spans="1:8" x14ac:dyDescent="0.25">
      <c r="A28" s="10" t="s">
        <v>96</v>
      </c>
      <c r="B28" s="9">
        <v>233712944.70000002</v>
      </c>
      <c r="C28" s="9"/>
      <c r="D28" s="9"/>
    </row>
    <row r="29" spans="1:8" x14ac:dyDescent="0.25">
      <c r="A29" s="11"/>
      <c r="B29" s="11"/>
      <c r="C29" s="11"/>
      <c r="D29" s="11"/>
    </row>
    <row r="30" spans="1:8" x14ac:dyDescent="0.25">
      <c r="A30" s="11" t="s">
        <v>10</v>
      </c>
      <c r="B30" s="11"/>
      <c r="C30" s="11"/>
      <c r="D30" s="11"/>
    </row>
    <row r="31" spans="1:8" x14ac:dyDescent="0.25">
      <c r="A31" s="10" t="s">
        <v>54</v>
      </c>
      <c r="B31" s="36">
        <v>0.96</v>
      </c>
      <c r="C31" s="36">
        <v>0.96</v>
      </c>
      <c r="D31" s="36">
        <v>0.96</v>
      </c>
      <c r="E31" s="36">
        <v>0.96</v>
      </c>
      <c r="F31" s="19"/>
    </row>
    <row r="32" spans="1:8" x14ac:dyDescent="0.25">
      <c r="A32" s="10" t="s">
        <v>97</v>
      </c>
      <c r="B32" s="36">
        <v>1</v>
      </c>
      <c r="C32" s="36">
        <v>1</v>
      </c>
      <c r="D32" s="36">
        <v>1</v>
      </c>
      <c r="E32" s="36">
        <v>1</v>
      </c>
    </row>
    <row r="33" spans="1:8" x14ac:dyDescent="0.25">
      <c r="A33" s="10" t="s">
        <v>11</v>
      </c>
      <c r="B33" s="9">
        <v>564.35396950015797</v>
      </c>
      <c r="C33" s="9"/>
      <c r="D33" s="9"/>
      <c r="E33" s="11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55</v>
      </c>
      <c r="B36" s="9">
        <f>B20/B31</f>
        <v>227256869.01041669</v>
      </c>
      <c r="C36" s="9">
        <f t="shared" ref="C36:E36" si="2">C20/C31</f>
        <v>227256869.01041669</v>
      </c>
      <c r="D36" s="9">
        <f t="shared" si="2"/>
        <v>0</v>
      </c>
      <c r="E36" s="9">
        <f t="shared" si="2"/>
        <v>0</v>
      </c>
    </row>
    <row r="37" spans="1:8" x14ac:dyDescent="0.25">
      <c r="A37" s="11" t="s">
        <v>98</v>
      </c>
      <c r="B37" s="9">
        <f>B22/B32</f>
        <v>330725730.43000001</v>
      </c>
      <c r="C37" s="9">
        <f>C22/C32</f>
        <v>330725730.43000001</v>
      </c>
      <c r="D37" s="9">
        <f>D22/D31</f>
        <v>0</v>
      </c>
      <c r="E37" s="9">
        <f>E22/E31</f>
        <v>0</v>
      </c>
      <c r="F37" s="19"/>
    </row>
    <row r="38" spans="1:8" x14ac:dyDescent="0.25">
      <c r="A38" s="11" t="s">
        <v>56</v>
      </c>
      <c r="B38" s="9">
        <f>B36/B10</f>
        <v>726060.28437832813</v>
      </c>
      <c r="C38" s="9">
        <f>C36/$C10</f>
        <v>726060.28437832813</v>
      </c>
      <c r="D38" s="9">
        <f t="shared" ref="D38:E38" si="3">D36/$C10</f>
        <v>0</v>
      </c>
      <c r="E38" s="9">
        <f t="shared" si="3"/>
        <v>0</v>
      </c>
    </row>
    <row r="39" spans="1:8" x14ac:dyDescent="0.25">
      <c r="A39" s="11" t="s">
        <v>99</v>
      </c>
      <c r="B39" s="9">
        <f>B37/B14</f>
        <v>1060018.3667628206</v>
      </c>
      <c r="C39" s="9">
        <f>C37/$C14</f>
        <v>1060018.3667628206</v>
      </c>
      <c r="D39" s="9">
        <f t="shared" ref="D39:E39" si="4">D37/$C14</f>
        <v>0</v>
      </c>
      <c r="E39" s="9">
        <f t="shared" si="4"/>
        <v>0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36.856301406761304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55.284452110141963</v>
      </c>
      <c r="C45" s="15"/>
      <c r="D45" s="13"/>
    </row>
    <row r="46" spans="1:8" x14ac:dyDescent="0.25">
      <c r="B46" s="11"/>
    </row>
    <row r="47" spans="1:8" x14ac:dyDescent="0.25">
      <c r="A47" t="s">
        <v>17</v>
      </c>
    </row>
    <row r="48" spans="1:8" x14ac:dyDescent="0.25">
      <c r="A48" t="s">
        <v>18</v>
      </c>
      <c r="B48" s="14">
        <f>(B14/B12)*100</f>
        <v>150</v>
      </c>
      <c r="C48" s="14">
        <f>(C14/C12)*100</f>
        <v>150</v>
      </c>
      <c r="D48" s="14"/>
    </row>
    <row r="49" spans="1:5" x14ac:dyDescent="0.25">
      <c r="A49" t="s">
        <v>19</v>
      </c>
      <c r="B49" s="14">
        <f>B22/B21*100</f>
        <v>108.33542797279216</v>
      </c>
      <c r="C49" s="14">
        <f>C22/C21*100</f>
        <v>108.33542797279216</v>
      </c>
      <c r="D49" s="14" t="e">
        <f>D22/D21*100</f>
        <v>#DIV/0!</v>
      </c>
      <c r="E49" s="14" t="e">
        <f>E22/E21*100</f>
        <v>#DIV/0!</v>
      </c>
    </row>
    <row r="50" spans="1:5" x14ac:dyDescent="0.25">
      <c r="A50" s="11" t="s">
        <v>20</v>
      </c>
      <c r="B50" s="13">
        <f>AVERAGE(B48:B49)</f>
        <v>129.16771398639608</v>
      </c>
      <c r="C50" s="13">
        <f>AVERAGE(C48:C49)</f>
        <v>129.16771398639608</v>
      </c>
      <c r="D50" s="13"/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37.5</v>
      </c>
      <c r="C53" s="13">
        <f>(C14/C16)*100</f>
        <v>37.5</v>
      </c>
      <c r="D53" s="13"/>
    </row>
    <row r="54" spans="1:5" x14ac:dyDescent="0.25">
      <c r="A54" s="11" t="s">
        <v>23</v>
      </c>
      <c r="B54" s="13">
        <f>B22/B23*100</f>
        <v>24.033247079877125</v>
      </c>
      <c r="C54" s="13">
        <f>C22/C23*100</f>
        <v>27.08385699319804</v>
      </c>
      <c r="D54" s="13">
        <f>D22/D23*100</f>
        <v>0</v>
      </c>
      <c r="E54" s="13">
        <f>E22/E23*100</f>
        <v>0</v>
      </c>
    </row>
    <row r="55" spans="1:5" x14ac:dyDescent="0.25">
      <c r="A55" s="11" t="s">
        <v>24</v>
      </c>
      <c r="B55" s="13">
        <f>(B53+B54)/2</f>
        <v>30.766623539938564</v>
      </c>
      <c r="C55" s="13">
        <f>(C53+C54)/2</f>
        <v>32.29192849659902</v>
      </c>
      <c r="D55" s="13"/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100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-0.31948881789137795</v>
      </c>
      <c r="C61" s="14">
        <f>((C14/C10)-1)*100</f>
        <v>-0.31948881789137795</v>
      </c>
      <c r="D61" s="13"/>
    </row>
    <row r="62" spans="1:5" x14ac:dyDescent="0.25">
      <c r="A62" s="11" t="s">
        <v>28</v>
      </c>
      <c r="B62" s="14">
        <f>((B37/B36)-1)*100</f>
        <v>45.529475905452465</v>
      </c>
      <c r="C62" s="14">
        <f>((C37/C36)-1)*100</f>
        <v>45.529475905452465</v>
      </c>
      <c r="D62" s="14" t="e">
        <f t="shared" ref="D62:E62" si="5">((D37/D36)-1)*100</f>
        <v>#DIV/0!</v>
      </c>
      <c r="E62" s="14" t="e">
        <f t="shared" si="5"/>
        <v>#DIV/0!</v>
      </c>
    </row>
    <row r="63" spans="1:5" x14ac:dyDescent="0.25">
      <c r="A63" s="11" t="s">
        <v>29</v>
      </c>
      <c r="B63" s="14">
        <f>((B39/B38)-1)*100</f>
        <v>45.995916533354553</v>
      </c>
      <c r="C63" s="14">
        <f>((C39/C38)-1)*100</f>
        <v>45.995916533354553</v>
      </c>
      <c r="D63" s="13"/>
    </row>
    <row r="64" spans="1:5" x14ac:dyDescent="0.25">
      <c r="A64" s="11"/>
      <c r="B64" s="13"/>
      <c r="C64" s="13"/>
      <c r="D64" s="13"/>
    </row>
    <row r="65" spans="1:5" x14ac:dyDescent="0.25">
      <c r="A65" s="11" t="s">
        <v>30</v>
      </c>
      <c r="B65" s="11"/>
      <c r="C65" s="11"/>
      <c r="D65" s="11"/>
    </row>
    <row r="66" spans="1:5" x14ac:dyDescent="0.25">
      <c r="A66" t="s">
        <v>37</v>
      </c>
      <c r="B66" s="9">
        <f>B21/(B12*3)</f>
        <v>489229.78687499999</v>
      </c>
      <c r="C66" s="9">
        <f>C21/(C12*3)</f>
        <v>489229.78687499999</v>
      </c>
      <c r="D66" s="9"/>
    </row>
    <row r="67" spans="1:5" x14ac:dyDescent="0.25">
      <c r="A67" t="s">
        <v>38</v>
      </c>
      <c r="B67" s="9">
        <f>B22/(B14*3)</f>
        <v>353339.45558760682</v>
      </c>
      <c r="C67" s="9">
        <f>C22/(C14*3)</f>
        <v>353339.45558760682</v>
      </c>
      <c r="D67" s="9"/>
    </row>
    <row r="68" spans="1:5" x14ac:dyDescent="0.25">
      <c r="A68" t="s">
        <v>51</v>
      </c>
      <c r="B68" s="9"/>
      <c r="C68" s="9">
        <f>C22/C15</f>
        <v>547559.1563410596</v>
      </c>
      <c r="D68" s="9"/>
    </row>
    <row r="69" spans="1:5" x14ac:dyDescent="0.25">
      <c r="A69" s="11" t="s">
        <v>31</v>
      </c>
      <c r="B69" s="9">
        <f>(B66/B67)*B50</f>
        <v>178.84414600573115</v>
      </c>
      <c r="C69" s="9">
        <f>(C66/C67)*C50</f>
        <v>178.84414600573115</v>
      </c>
      <c r="D69" s="13"/>
    </row>
    <row r="70" spans="1:5" x14ac:dyDescent="0.25">
      <c r="A70" s="13" t="s">
        <v>39</v>
      </c>
      <c r="B70" s="9">
        <f>B21/B12</f>
        <v>1467689.360625</v>
      </c>
      <c r="C70" s="9">
        <f>C21/C12</f>
        <v>1467689.360625</v>
      </c>
      <c r="D70" s="13"/>
    </row>
    <row r="71" spans="1:5" x14ac:dyDescent="0.25">
      <c r="A71" s="13" t="s">
        <v>40</v>
      </c>
      <c r="B71" s="9">
        <f>B22/(B14)</f>
        <v>1060018.3667628206</v>
      </c>
      <c r="C71" s="9">
        <f>C22/(C14)</f>
        <v>1060018.3667628206</v>
      </c>
      <c r="D71" s="13"/>
    </row>
    <row r="72" spans="1:5" x14ac:dyDescent="0.25">
      <c r="B72" s="9"/>
      <c r="C72" s="9"/>
      <c r="D72" s="14"/>
    </row>
    <row r="73" spans="1:5" x14ac:dyDescent="0.25">
      <c r="A73" t="s">
        <v>32</v>
      </c>
      <c r="B73" s="14"/>
      <c r="C73" s="14"/>
      <c r="D73" s="14"/>
    </row>
    <row r="74" spans="1:5" x14ac:dyDescent="0.25">
      <c r="A74" s="11" t="s">
        <v>33</v>
      </c>
      <c r="B74" s="13">
        <f>(B28/B27)*100</f>
        <v>76.557066950722202</v>
      </c>
      <c r="C74" s="13"/>
      <c r="D74" s="13"/>
    </row>
    <row r="75" spans="1:5" x14ac:dyDescent="0.25">
      <c r="A75" s="11" t="s">
        <v>34</v>
      </c>
      <c r="B75" s="13">
        <f>(B22/B28)*100</f>
        <v>141.50937632253451</v>
      </c>
      <c r="C75" s="13"/>
      <c r="D75" s="13"/>
    </row>
    <row r="76" spans="1:5" ht="15.75" thickBot="1" x14ac:dyDescent="0.3">
      <c r="A76" s="16"/>
      <c r="B76" s="16"/>
      <c r="C76" s="16"/>
      <c r="D76" s="16"/>
      <c r="E76" s="16"/>
    </row>
    <row r="77" spans="1:5" ht="15.75" thickTop="1" x14ac:dyDescent="0.25"/>
    <row r="78" spans="1:5" x14ac:dyDescent="0.25">
      <c r="A78" t="s">
        <v>35</v>
      </c>
    </row>
    <row r="79" spans="1:5" x14ac:dyDescent="0.25">
      <c r="A79" t="s">
        <v>100</v>
      </c>
    </row>
    <row r="80" spans="1:5" x14ac:dyDescent="0.25">
      <c r="A80" t="s">
        <v>101</v>
      </c>
    </row>
    <row r="81" spans="1:4" x14ac:dyDescent="0.25">
      <c r="B81" s="5"/>
      <c r="C81" s="5"/>
      <c r="D81" s="5"/>
    </row>
    <row r="82" spans="1:4" x14ac:dyDescent="0.25">
      <c r="A82" s="35" t="s">
        <v>169</v>
      </c>
    </row>
    <row r="84" spans="1:4" x14ac:dyDescent="0.25">
      <c r="A84" s="20"/>
    </row>
    <row r="85" spans="1:4" s="11" customFormat="1" x14ac:dyDescent="0.25">
      <c r="A85" s="21"/>
    </row>
    <row r="86" spans="1:4" s="11" customFormat="1" x14ac:dyDescent="0.25">
      <c r="A86" s="21"/>
    </row>
    <row r="87" spans="1:4" s="11" customFormat="1" x14ac:dyDescent="0.25"/>
    <row r="88" spans="1:4" s="11" customFormat="1" x14ac:dyDescent="0.25"/>
    <row r="149" spans="5:8" x14ac:dyDescent="0.25">
      <c r="E149" s="24"/>
      <c r="F149" s="24"/>
      <c r="G149" s="24"/>
      <c r="H149" s="24"/>
    </row>
    <row r="150" spans="5:8" x14ac:dyDescent="0.25">
      <c r="E150" s="24"/>
      <c r="F150" s="24"/>
      <c r="G150" s="24"/>
      <c r="H150" s="24"/>
    </row>
  </sheetData>
  <mergeCells count="2">
    <mergeCell ref="A2:D2"/>
    <mergeCell ref="A4:A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topLeftCell="A28" workbookViewId="0">
      <selection activeCell="D39" sqref="D39"/>
    </sheetView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5.140625" bestFit="1" customWidth="1"/>
  </cols>
  <sheetData>
    <row r="2" spans="1:5" ht="15.75" x14ac:dyDescent="0.25">
      <c r="A2" s="39" t="s">
        <v>102</v>
      </c>
      <c r="B2" s="39"/>
      <c r="C2" s="39"/>
      <c r="D2" s="39"/>
    </row>
    <row r="4" spans="1:5" x14ac:dyDescent="0.25">
      <c r="A4" s="40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5" ht="15.75" thickBot="1" x14ac:dyDescent="0.3">
      <c r="A5" s="41"/>
      <c r="B5" s="2" t="s">
        <v>3</v>
      </c>
      <c r="C5" s="2" t="s">
        <v>4</v>
      </c>
      <c r="D5" s="2" t="s">
        <v>41</v>
      </c>
      <c r="E5" s="2" t="s">
        <v>44</v>
      </c>
    </row>
    <row r="6" spans="1:5" ht="15.75" thickTop="1" x14ac:dyDescent="0.25"/>
    <row r="7" spans="1:5" x14ac:dyDescent="0.25">
      <c r="A7" s="3" t="s">
        <v>6</v>
      </c>
    </row>
    <row r="9" spans="1:5" x14ac:dyDescent="0.25">
      <c r="A9" t="s">
        <v>7</v>
      </c>
    </row>
    <row r="10" spans="1:5" x14ac:dyDescent="0.25">
      <c r="A10" s="4" t="s">
        <v>57</v>
      </c>
      <c r="B10" s="7">
        <f t="shared" ref="B10:B15" si="0">C10</f>
        <v>302</v>
      </c>
      <c r="C10" s="7">
        <v>302</v>
      </c>
      <c r="D10" s="5"/>
    </row>
    <row r="11" spans="1:5" x14ac:dyDescent="0.25">
      <c r="A11" s="26" t="s">
        <v>4</v>
      </c>
      <c r="B11" s="27">
        <f t="shared" si="0"/>
        <v>599</v>
      </c>
      <c r="C11" s="27">
        <v>599</v>
      </c>
      <c r="D11" s="28"/>
      <c r="E11" s="29"/>
    </row>
    <row r="12" spans="1:5" ht="15.75" customHeight="1" x14ac:dyDescent="0.25">
      <c r="A12" s="10" t="s">
        <v>103</v>
      </c>
      <c r="B12" s="9">
        <f t="shared" si="0"/>
        <v>208</v>
      </c>
      <c r="C12" s="9">
        <v>208</v>
      </c>
      <c r="D12" s="31"/>
      <c r="E12" s="11"/>
    </row>
    <row r="13" spans="1:5" x14ac:dyDescent="0.25">
      <c r="A13" s="26" t="s">
        <v>4</v>
      </c>
      <c r="B13" s="27">
        <f t="shared" si="0"/>
        <v>624</v>
      </c>
      <c r="C13" s="27">
        <f>208*3</f>
        <v>624</v>
      </c>
      <c r="D13" s="28"/>
      <c r="E13" s="29"/>
    </row>
    <row r="14" spans="1:5" x14ac:dyDescent="0.25">
      <c r="A14" s="4" t="s">
        <v>104</v>
      </c>
      <c r="B14" s="9">
        <f t="shared" si="0"/>
        <v>293</v>
      </c>
      <c r="C14" s="9">
        <v>293</v>
      </c>
      <c r="D14" s="5"/>
    </row>
    <row r="15" spans="1:5" x14ac:dyDescent="0.25">
      <c r="A15" s="26" t="s">
        <v>4</v>
      </c>
      <c r="B15" s="27">
        <f t="shared" si="0"/>
        <v>617</v>
      </c>
      <c r="C15" s="27">
        <v>617</v>
      </c>
      <c r="D15" s="28"/>
      <c r="E15" s="29"/>
    </row>
    <row r="16" spans="1:5" x14ac:dyDescent="0.25">
      <c r="A16" s="10" t="s">
        <v>90</v>
      </c>
      <c r="B16" s="9">
        <f t="shared" ref="B16:B17" si="1">C16</f>
        <v>832</v>
      </c>
      <c r="C16" s="9">
        <f>208*4</f>
        <v>832</v>
      </c>
      <c r="D16" s="31"/>
      <c r="E16" s="11"/>
    </row>
    <row r="17" spans="1:6" x14ac:dyDescent="0.25">
      <c r="A17" s="26" t="s">
        <v>4</v>
      </c>
      <c r="B17" s="27">
        <f t="shared" si="1"/>
        <v>2496</v>
      </c>
      <c r="C17" s="27">
        <f>208*12</f>
        <v>2496</v>
      </c>
      <c r="D17" s="28"/>
      <c r="E17" s="29"/>
    </row>
    <row r="18" spans="1:6" x14ac:dyDescent="0.25">
      <c r="B18" s="5"/>
      <c r="C18" s="5"/>
      <c r="D18" s="5"/>
    </row>
    <row r="19" spans="1:6" x14ac:dyDescent="0.25">
      <c r="A19" s="6" t="s">
        <v>8</v>
      </c>
      <c r="B19" s="5"/>
      <c r="C19" s="5"/>
      <c r="D19" s="5"/>
    </row>
    <row r="20" spans="1:6" x14ac:dyDescent="0.25">
      <c r="A20" s="4" t="s">
        <v>59</v>
      </c>
      <c r="B20" s="7">
        <f>SUM(C20:E20)</f>
        <v>337034263.5</v>
      </c>
      <c r="C20" s="7">
        <v>337034263.5</v>
      </c>
      <c r="D20" s="7">
        <v>0</v>
      </c>
      <c r="E20" s="23">
        <v>0</v>
      </c>
    </row>
    <row r="21" spans="1:6" x14ac:dyDescent="0.25">
      <c r="A21" s="4" t="s">
        <v>58</v>
      </c>
      <c r="B21" s="7">
        <f>SUM(C21:E21)</f>
        <v>305279387.00999999</v>
      </c>
      <c r="C21" s="23">
        <v>305279387.00999999</v>
      </c>
      <c r="D21" s="7">
        <v>0</v>
      </c>
      <c r="E21" s="23">
        <v>0</v>
      </c>
    </row>
    <row r="22" spans="1:6" x14ac:dyDescent="0.25">
      <c r="A22" s="4" t="s">
        <v>105</v>
      </c>
      <c r="B22" s="7">
        <f t="shared" ref="B22:B23" si="2">SUM(C22:E22)</f>
        <v>327307190.76999998</v>
      </c>
      <c r="C22" s="7">
        <v>326507437.69999999</v>
      </c>
      <c r="D22" s="7">
        <v>0</v>
      </c>
      <c r="E22" s="23">
        <v>799753.0700000003</v>
      </c>
    </row>
    <row r="23" spans="1:6" x14ac:dyDescent="0.25">
      <c r="A23" s="4" t="s">
        <v>93</v>
      </c>
      <c r="B23" s="7">
        <f t="shared" si="2"/>
        <v>1376117548.04</v>
      </c>
      <c r="C23" s="23">
        <v>1221117548.04</v>
      </c>
      <c r="D23" s="7">
        <v>80000000</v>
      </c>
      <c r="E23" s="7">
        <v>75000000</v>
      </c>
    </row>
    <row r="24" spans="1:6" x14ac:dyDescent="0.25">
      <c r="A24" s="4" t="s">
        <v>106</v>
      </c>
      <c r="B24" s="7">
        <f>C24</f>
        <v>326507437.69999999</v>
      </c>
      <c r="C24" s="7">
        <f>C22</f>
        <v>326507437.69999999</v>
      </c>
      <c r="D24" s="7"/>
    </row>
    <row r="25" spans="1:6" x14ac:dyDescent="0.25">
      <c r="B25" s="7"/>
      <c r="C25" s="7"/>
      <c r="D25" s="7"/>
    </row>
    <row r="26" spans="1:6" x14ac:dyDescent="0.25">
      <c r="A26" s="8" t="s">
        <v>9</v>
      </c>
      <c r="B26" s="9"/>
      <c r="C26" s="9"/>
      <c r="D26" s="9"/>
    </row>
    <row r="27" spans="1:6" x14ac:dyDescent="0.25">
      <c r="A27" s="10" t="s">
        <v>107</v>
      </c>
      <c r="B27" s="9">
        <f>B21</f>
        <v>305279387.00999999</v>
      </c>
      <c r="C27" s="9"/>
      <c r="D27" s="9"/>
    </row>
    <row r="28" spans="1:6" x14ac:dyDescent="0.25">
      <c r="A28" s="10" t="s">
        <v>108</v>
      </c>
      <c r="B28" s="9">
        <v>337107626.11000001</v>
      </c>
      <c r="C28" s="9"/>
      <c r="D28" s="9"/>
    </row>
    <row r="29" spans="1:6" x14ac:dyDescent="0.25">
      <c r="A29" s="11"/>
      <c r="B29" s="11"/>
      <c r="C29" s="11"/>
      <c r="D29" s="11"/>
    </row>
    <row r="30" spans="1:6" x14ac:dyDescent="0.25">
      <c r="A30" s="11" t="s">
        <v>10</v>
      </c>
      <c r="B30" s="11"/>
      <c r="C30" s="11"/>
      <c r="D30" s="11"/>
    </row>
    <row r="31" spans="1:6" x14ac:dyDescent="0.25">
      <c r="A31" s="10" t="s">
        <v>60</v>
      </c>
      <c r="B31" s="37">
        <v>0.99</v>
      </c>
      <c r="C31" s="37">
        <v>0.99</v>
      </c>
      <c r="D31" s="37">
        <v>0.99</v>
      </c>
      <c r="E31" s="37">
        <v>0.99</v>
      </c>
      <c r="F31" s="19"/>
    </row>
    <row r="32" spans="1:6" x14ac:dyDescent="0.25">
      <c r="A32" s="10" t="s">
        <v>109</v>
      </c>
      <c r="B32" s="36">
        <v>1</v>
      </c>
      <c r="C32" s="36">
        <v>1</v>
      </c>
      <c r="D32" s="36">
        <v>1</v>
      </c>
      <c r="E32" s="36">
        <v>1</v>
      </c>
    </row>
    <row r="33" spans="1:8" x14ac:dyDescent="0.25">
      <c r="A33" s="10" t="s">
        <v>11</v>
      </c>
      <c r="B33" s="9">
        <v>564.35396950015797</v>
      </c>
      <c r="C33" s="9"/>
      <c r="D33" s="9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61</v>
      </c>
      <c r="B36" s="9">
        <f>B20/B31</f>
        <v>340438650</v>
      </c>
      <c r="C36" s="9">
        <f t="shared" ref="C36:E36" si="3">C20/C31</f>
        <v>340438650</v>
      </c>
      <c r="D36" s="9">
        <f t="shared" si="3"/>
        <v>0</v>
      </c>
      <c r="E36" s="9">
        <f t="shared" si="3"/>
        <v>0</v>
      </c>
    </row>
    <row r="37" spans="1:8" x14ac:dyDescent="0.25">
      <c r="A37" s="11" t="s">
        <v>110</v>
      </c>
      <c r="B37" s="9">
        <f>B22/B32</f>
        <v>327307190.76999998</v>
      </c>
      <c r="C37" s="9">
        <f t="shared" ref="C37:E37" si="4">C22/C32</f>
        <v>326507437.69999999</v>
      </c>
      <c r="D37" s="9">
        <f t="shared" si="4"/>
        <v>0</v>
      </c>
      <c r="E37" s="9">
        <f t="shared" si="4"/>
        <v>799753.0700000003</v>
      </c>
    </row>
    <row r="38" spans="1:8" x14ac:dyDescent="0.25">
      <c r="A38" s="11" t="s">
        <v>62</v>
      </c>
      <c r="B38" s="9">
        <f>B36/B10</f>
        <v>1127280.298013245</v>
      </c>
      <c r="C38" s="9">
        <f>C36/$C10</f>
        <v>1127280.298013245</v>
      </c>
      <c r="D38" s="9">
        <f t="shared" ref="D38:E38" si="5">D36/$C10</f>
        <v>0</v>
      </c>
      <c r="E38" s="9">
        <f t="shared" si="5"/>
        <v>0</v>
      </c>
    </row>
    <row r="39" spans="1:8" x14ac:dyDescent="0.25">
      <c r="A39" s="11" t="s">
        <v>111</v>
      </c>
      <c r="B39" s="9">
        <f>B37/B14</f>
        <v>1117089.3882935152</v>
      </c>
      <c r="C39" s="9">
        <f>C37/$C14</f>
        <v>1114359.8556313992</v>
      </c>
      <c r="D39" s="9">
        <f t="shared" ref="D39:E39" si="6">D37/$C14</f>
        <v>0</v>
      </c>
      <c r="E39" s="9">
        <f t="shared" si="6"/>
        <v>2729.532662116042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36.856301406761304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51.917770731639727</v>
      </c>
      <c r="C45" s="15"/>
      <c r="D45" s="13"/>
    </row>
    <row r="47" spans="1:8" x14ac:dyDescent="0.25">
      <c r="A47" t="s">
        <v>17</v>
      </c>
    </row>
    <row r="48" spans="1:8" x14ac:dyDescent="0.25">
      <c r="A48" t="s">
        <v>18</v>
      </c>
      <c r="B48" s="14">
        <f>(B14/B12)*100</f>
        <v>140.86538461538461</v>
      </c>
      <c r="C48" s="14">
        <f>(C14/C12)*100</f>
        <v>140.86538461538461</v>
      </c>
      <c r="D48" s="14"/>
    </row>
    <row r="49" spans="1:5" x14ac:dyDescent="0.25">
      <c r="A49" t="s">
        <v>19</v>
      </c>
      <c r="B49" s="14">
        <f>B22/B21*100</f>
        <v>107.21562106624593</v>
      </c>
      <c r="C49" s="14">
        <f>C22/C21*100</f>
        <v>106.95364691927418</v>
      </c>
      <c r="D49" s="14" t="e">
        <f>D22/D21*100</f>
        <v>#DIV/0!</v>
      </c>
      <c r="E49" s="14" t="e">
        <f>E22/E21*100</f>
        <v>#DIV/0!</v>
      </c>
    </row>
    <row r="50" spans="1:5" x14ac:dyDescent="0.25">
      <c r="A50" s="11" t="s">
        <v>20</v>
      </c>
      <c r="B50" s="13">
        <f>AVERAGE(B48:B49)</f>
        <v>124.04050284081526</v>
      </c>
      <c r="C50" s="13">
        <f>AVERAGE(C48:C49)</f>
        <v>123.9095157673294</v>
      </c>
      <c r="D50" s="13"/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35.216346153846153</v>
      </c>
      <c r="C53" s="13">
        <f>(C14/C16)*100</f>
        <v>35.216346153846153</v>
      </c>
      <c r="D53" s="13"/>
    </row>
    <row r="54" spans="1:5" x14ac:dyDescent="0.25">
      <c r="A54" s="11" t="s">
        <v>23</v>
      </c>
      <c r="B54" s="13">
        <f>B22/B23*100</f>
        <v>23.784827919401408</v>
      </c>
      <c r="C54" s="13">
        <f>C22/C23*100</f>
        <v>26.738411729818544</v>
      </c>
      <c r="D54" s="13">
        <f>D22/D23*100</f>
        <v>0</v>
      </c>
      <c r="E54" s="13">
        <f>E22/E23*100</f>
        <v>1.0663374266666672</v>
      </c>
    </row>
    <row r="55" spans="1:5" x14ac:dyDescent="0.25">
      <c r="A55" s="11" t="s">
        <v>24</v>
      </c>
      <c r="B55" s="13">
        <f>(B53+B54)/2</f>
        <v>29.500587036623781</v>
      </c>
      <c r="C55" s="13">
        <f>(C53+C54)/2</f>
        <v>30.977378941832349</v>
      </c>
      <c r="D55" s="13"/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99.755656736988101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-2.9801324503311299</v>
      </c>
      <c r="C61" s="14">
        <f>((C14/C10)-1)*100</f>
        <v>-2.9801324503311299</v>
      </c>
      <c r="D61" s="13"/>
    </row>
    <row r="62" spans="1:5" x14ac:dyDescent="0.25">
      <c r="A62" s="11" t="s">
        <v>28</v>
      </c>
      <c r="B62" s="14">
        <f>((B37/B36)-1)*100</f>
        <v>-3.8572175133463893</v>
      </c>
      <c r="C62" s="14">
        <f>((C37/C36)-1)*100</f>
        <v>-4.0921359252247047</v>
      </c>
      <c r="D62" s="14" t="e">
        <f t="shared" ref="D62:E62" si="7">((D37/D36)-1)*100</f>
        <v>#DIV/0!</v>
      </c>
      <c r="E62" s="14" t="e">
        <f t="shared" si="7"/>
        <v>#DIV/0!</v>
      </c>
    </row>
    <row r="63" spans="1:5" x14ac:dyDescent="0.25">
      <c r="A63" s="11" t="s">
        <v>29</v>
      </c>
      <c r="B63" s="14">
        <f>((B39/B38)-1)*100</f>
        <v>-0.90402624242529317</v>
      </c>
      <c r="C63" s="14">
        <f>((C39/C38)-1)*100</f>
        <v>-1.1461605782179585</v>
      </c>
      <c r="D63" s="13"/>
    </row>
    <row r="64" spans="1:5" x14ac:dyDescent="0.25">
      <c r="A64" s="11"/>
      <c r="B64" s="13"/>
      <c r="C64" s="13"/>
      <c r="D64" s="13"/>
    </row>
    <row r="65" spans="1:4" x14ac:dyDescent="0.25">
      <c r="A65" s="11" t="s">
        <v>30</v>
      </c>
      <c r="B65" s="11"/>
      <c r="C65" s="11"/>
      <c r="D65" s="11"/>
    </row>
    <row r="66" spans="1:4" x14ac:dyDescent="0.25">
      <c r="A66" t="s">
        <v>37</v>
      </c>
      <c r="B66" s="9">
        <f>B21/(B12*3)</f>
        <v>489229.78687499999</v>
      </c>
      <c r="C66" s="9">
        <f>C21/(C12*3)</f>
        <v>489229.78687499999</v>
      </c>
      <c r="D66" s="9"/>
    </row>
    <row r="67" spans="1:4" x14ac:dyDescent="0.25">
      <c r="A67" t="s">
        <v>38</v>
      </c>
      <c r="B67" s="9">
        <f>B22/(B14*3)</f>
        <v>372363.12943117175</v>
      </c>
      <c r="C67" s="9">
        <f>C22/(C14*3)</f>
        <v>371453.28521046642</v>
      </c>
      <c r="D67" s="9"/>
    </row>
    <row r="68" spans="1:4" x14ac:dyDescent="0.25">
      <c r="A68" t="s">
        <v>51</v>
      </c>
      <c r="B68" s="9"/>
      <c r="C68" s="9">
        <f>C22/C15</f>
        <v>529185.47439222038</v>
      </c>
      <c r="D68" s="9"/>
    </row>
    <row r="69" spans="1:4" x14ac:dyDescent="0.25">
      <c r="A69" s="11" t="s">
        <v>31</v>
      </c>
      <c r="B69" s="9">
        <f>(B66/B67)*B50</f>
        <v>162.9707776421964</v>
      </c>
      <c r="C69" s="9">
        <f>(C66/C67)*C50</f>
        <v>163.19744205866272</v>
      </c>
      <c r="D69" s="13"/>
    </row>
    <row r="70" spans="1:4" x14ac:dyDescent="0.25">
      <c r="A70" s="13" t="s">
        <v>39</v>
      </c>
      <c r="B70" s="9">
        <f>B21/B12</f>
        <v>1467689.360625</v>
      </c>
      <c r="C70" s="9">
        <f>C21/C12</f>
        <v>1467689.360625</v>
      </c>
      <c r="D70" s="13"/>
    </row>
    <row r="71" spans="1:4" x14ac:dyDescent="0.25">
      <c r="A71" s="13" t="s">
        <v>40</v>
      </c>
      <c r="B71" s="9">
        <f>B22/(B14)</f>
        <v>1117089.3882935152</v>
      </c>
      <c r="C71" s="9">
        <f>C22/(C14)</f>
        <v>1114359.8556313992</v>
      </c>
      <c r="D71" s="13"/>
    </row>
    <row r="72" spans="1:4" x14ac:dyDescent="0.25">
      <c r="B72" s="9"/>
      <c r="C72" s="9"/>
      <c r="D72" s="14"/>
    </row>
    <row r="73" spans="1:4" x14ac:dyDescent="0.25">
      <c r="A73" t="s">
        <v>32</v>
      </c>
      <c r="B73" s="14"/>
      <c r="C73" s="14"/>
      <c r="D73" s="14"/>
    </row>
    <row r="74" spans="1:4" x14ac:dyDescent="0.25">
      <c r="A74" s="11" t="s">
        <v>33</v>
      </c>
      <c r="B74" s="13">
        <f>(B28/B27)*100</f>
        <v>110.4259378308295</v>
      </c>
      <c r="C74" s="13"/>
      <c r="D74" s="13"/>
    </row>
    <row r="75" spans="1:4" x14ac:dyDescent="0.25">
      <c r="A75" s="11" t="s">
        <v>34</v>
      </c>
      <c r="B75" s="13">
        <f>(B22/B28)*100</f>
        <v>97.092787412408725</v>
      </c>
      <c r="C75" s="13"/>
      <c r="D75" s="13"/>
    </row>
    <row r="76" spans="1:4" ht="15.75" thickBot="1" x14ac:dyDescent="0.3">
      <c r="A76" s="16"/>
      <c r="B76" s="16"/>
      <c r="C76" s="16"/>
      <c r="D76" s="16"/>
    </row>
    <row r="77" spans="1:4" ht="15.75" thickTop="1" x14ac:dyDescent="0.25"/>
    <row r="78" spans="1:4" x14ac:dyDescent="0.25">
      <c r="A78" t="s">
        <v>35</v>
      </c>
    </row>
    <row r="79" spans="1:4" x14ac:dyDescent="0.25">
      <c r="A79" t="s">
        <v>100</v>
      </c>
    </row>
    <row r="80" spans="1:4" x14ac:dyDescent="0.25">
      <c r="A80" t="s">
        <v>101</v>
      </c>
      <c r="B80" s="5"/>
      <c r="C80" s="5"/>
      <c r="D80" s="5"/>
    </row>
    <row r="82" spans="1:1" x14ac:dyDescent="0.25">
      <c r="A82" t="s">
        <v>168</v>
      </c>
    </row>
    <row r="84" spans="1:1" x14ac:dyDescent="0.25">
      <c r="A84" s="20"/>
    </row>
    <row r="85" spans="1:1" x14ac:dyDescent="0.25">
      <c r="A85" s="21"/>
    </row>
    <row r="86" spans="1:1" x14ac:dyDescent="0.25">
      <c r="A86" s="21"/>
    </row>
  </sheetData>
  <mergeCells count="2">
    <mergeCell ref="A2:D2"/>
    <mergeCell ref="A4:A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topLeftCell="A58" workbookViewId="0">
      <selection activeCell="A82" sqref="A82"/>
    </sheetView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4.140625" bestFit="1" customWidth="1"/>
  </cols>
  <sheetData>
    <row r="2" spans="1:5" ht="15.75" x14ac:dyDescent="0.25">
      <c r="A2" s="39" t="s">
        <v>112</v>
      </c>
      <c r="B2" s="39"/>
      <c r="C2" s="39"/>
      <c r="D2" s="39"/>
    </row>
    <row r="4" spans="1:5" x14ac:dyDescent="0.25">
      <c r="A4" s="40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5" ht="15.75" thickBot="1" x14ac:dyDescent="0.3">
      <c r="A5" s="41"/>
      <c r="B5" s="2" t="s">
        <v>3</v>
      </c>
      <c r="C5" s="2" t="s">
        <v>4</v>
      </c>
      <c r="D5" s="2" t="s">
        <v>41</v>
      </c>
      <c r="E5" s="2" t="s">
        <v>44</v>
      </c>
    </row>
    <row r="6" spans="1:5" ht="15.75" thickTop="1" x14ac:dyDescent="0.25"/>
    <row r="7" spans="1:5" x14ac:dyDescent="0.25">
      <c r="A7" s="3" t="s">
        <v>6</v>
      </c>
    </row>
    <row r="9" spans="1:5" x14ac:dyDescent="0.25">
      <c r="A9" t="s">
        <v>7</v>
      </c>
    </row>
    <row r="10" spans="1:5" x14ac:dyDescent="0.25">
      <c r="A10" s="4" t="s">
        <v>63</v>
      </c>
      <c r="B10" s="7">
        <f t="shared" ref="B10:B15" si="0">C10</f>
        <v>320</v>
      </c>
      <c r="C10" s="7">
        <v>320</v>
      </c>
      <c r="D10" s="5"/>
    </row>
    <row r="11" spans="1:5" x14ac:dyDescent="0.25">
      <c r="A11" s="26" t="s">
        <v>4</v>
      </c>
      <c r="B11" s="27">
        <f t="shared" si="0"/>
        <v>657</v>
      </c>
      <c r="C11" s="27">
        <v>657</v>
      </c>
      <c r="D11" s="28"/>
      <c r="E11" s="29"/>
    </row>
    <row r="12" spans="1:5" x14ac:dyDescent="0.25">
      <c r="A12" s="10" t="s">
        <v>113</v>
      </c>
      <c r="B12" s="9">
        <f t="shared" si="0"/>
        <v>208</v>
      </c>
      <c r="C12" s="9">
        <v>208</v>
      </c>
      <c r="D12" s="31"/>
      <c r="E12" s="11"/>
    </row>
    <row r="13" spans="1:5" x14ac:dyDescent="0.25">
      <c r="A13" s="26" t="s">
        <v>4</v>
      </c>
      <c r="B13" s="27">
        <f t="shared" si="0"/>
        <v>624</v>
      </c>
      <c r="C13" s="27">
        <f>208*3</f>
        <v>624</v>
      </c>
      <c r="D13" s="28"/>
      <c r="E13" s="29"/>
    </row>
    <row r="14" spans="1:5" x14ac:dyDescent="0.25">
      <c r="A14" s="4" t="s">
        <v>114</v>
      </c>
      <c r="B14" s="9">
        <f t="shared" si="0"/>
        <v>317</v>
      </c>
      <c r="C14" s="9">
        <v>317</v>
      </c>
      <c r="D14" s="5"/>
    </row>
    <row r="15" spans="1:5" x14ac:dyDescent="0.25">
      <c r="A15" s="26" t="s">
        <v>4</v>
      </c>
      <c r="B15" s="27">
        <f t="shared" si="0"/>
        <v>679</v>
      </c>
      <c r="C15" s="27">
        <v>679</v>
      </c>
      <c r="D15" s="28"/>
      <c r="E15" s="29"/>
    </row>
    <row r="16" spans="1:5" x14ac:dyDescent="0.25">
      <c r="A16" s="10" t="s">
        <v>90</v>
      </c>
      <c r="B16" s="9">
        <f t="shared" ref="B16:B17" si="1">C16</f>
        <v>832</v>
      </c>
      <c r="C16" s="9">
        <f>208*4</f>
        <v>832</v>
      </c>
      <c r="D16" s="31"/>
      <c r="E16" s="11"/>
    </row>
    <row r="17" spans="1:5" x14ac:dyDescent="0.25">
      <c r="A17" s="26" t="s">
        <v>4</v>
      </c>
      <c r="B17" s="27">
        <f t="shared" si="1"/>
        <v>2496</v>
      </c>
      <c r="C17" s="27">
        <f>208*12</f>
        <v>2496</v>
      </c>
      <c r="D17" s="28"/>
      <c r="E17" s="29"/>
    </row>
    <row r="18" spans="1:5" x14ac:dyDescent="0.25">
      <c r="B18" s="5"/>
      <c r="C18" s="5"/>
      <c r="D18" s="5"/>
    </row>
    <row r="19" spans="1:5" x14ac:dyDescent="0.25">
      <c r="A19" s="6" t="s">
        <v>8</v>
      </c>
      <c r="B19" s="5"/>
      <c r="C19" s="5"/>
      <c r="D19" s="5"/>
    </row>
    <row r="20" spans="1:5" x14ac:dyDescent="0.25">
      <c r="A20" s="4" t="s">
        <v>64</v>
      </c>
      <c r="B20" s="7">
        <f>SUM(C20:E20)</f>
        <v>324243684.63999999</v>
      </c>
      <c r="C20" s="7">
        <v>324243684.63999999</v>
      </c>
      <c r="D20" s="7">
        <v>0</v>
      </c>
      <c r="E20" s="23">
        <v>0</v>
      </c>
    </row>
    <row r="21" spans="1:5" x14ac:dyDescent="0.25">
      <c r="A21" s="4" t="s">
        <v>115</v>
      </c>
      <c r="B21" s="7">
        <f>SUM(C21:E21)</f>
        <v>460279387.00999999</v>
      </c>
      <c r="C21" s="23">
        <v>305279387.00999999</v>
      </c>
      <c r="D21" s="7">
        <v>80000000</v>
      </c>
      <c r="E21" s="23">
        <v>75000000</v>
      </c>
    </row>
    <row r="22" spans="1:5" x14ac:dyDescent="0.25">
      <c r="A22" s="4" t="s">
        <v>116</v>
      </c>
      <c r="B22" s="7">
        <f t="shared" ref="B22:B23" si="2">SUM(C22:E22)</f>
        <v>442399254.50999999</v>
      </c>
      <c r="C22" s="7">
        <v>426566322.63</v>
      </c>
      <c r="D22" s="7">
        <v>372685</v>
      </c>
      <c r="E22" s="23">
        <v>15460246.880000001</v>
      </c>
    </row>
    <row r="23" spans="1:5" x14ac:dyDescent="0.25">
      <c r="A23" s="4" t="s">
        <v>93</v>
      </c>
      <c r="B23" s="7">
        <f t="shared" si="2"/>
        <v>1376117548.04</v>
      </c>
      <c r="C23" s="23">
        <v>1221117548.04</v>
      </c>
      <c r="D23" s="7">
        <v>80000000</v>
      </c>
      <c r="E23" s="7">
        <v>75000000</v>
      </c>
    </row>
    <row r="24" spans="1:5" x14ac:dyDescent="0.25">
      <c r="A24" s="4" t="s">
        <v>117</v>
      </c>
      <c r="B24" s="7">
        <f>C24</f>
        <v>426566322.63</v>
      </c>
      <c r="C24" s="7">
        <f>C22</f>
        <v>426566322.63</v>
      </c>
      <c r="D24" s="7"/>
    </row>
    <row r="25" spans="1:5" x14ac:dyDescent="0.25">
      <c r="B25" s="7"/>
      <c r="C25" s="7"/>
      <c r="D25" s="7"/>
    </row>
    <row r="26" spans="1:5" x14ac:dyDescent="0.25">
      <c r="A26" s="8" t="s">
        <v>9</v>
      </c>
      <c r="B26" s="9"/>
      <c r="C26" s="9"/>
      <c r="D26" s="9"/>
    </row>
    <row r="27" spans="1:5" x14ac:dyDescent="0.25">
      <c r="A27" s="10" t="s">
        <v>118</v>
      </c>
      <c r="B27" s="9">
        <f>B21</f>
        <v>460279387.00999999</v>
      </c>
      <c r="C27" s="9"/>
      <c r="D27" s="9"/>
    </row>
    <row r="28" spans="1:5" x14ac:dyDescent="0.25">
      <c r="A28" s="10" t="s">
        <v>119</v>
      </c>
      <c r="B28" s="9">
        <v>380738979.06000006</v>
      </c>
      <c r="C28" s="9"/>
      <c r="D28" s="9"/>
    </row>
    <row r="29" spans="1:5" x14ac:dyDescent="0.25">
      <c r="A29" s="11"/>
      <c r="B29" s="11"/>
      <c r="C29" s="11"/>
      <c r="D29" s="11"/>
    </row>
    <row r="30" spans="1:5" x14ac:dyDescent="0.25">
      <c r="A30" s="11" t="s">
        <v>10</v>
      </c>
      <c r="B30" s="11"/>
      <c r="C30" s="11"/>
      <c r="D30" s="11"/>
    </row>
    <row r="31" spans="1:5" x14ac:dyDescent="0.25">
      <c r="A31" s="10" t="s">
        <v>65</v>
      </c>
      <c r="B31" s="17">
        <v>1</v>
      </c>
      <c r="C31" s="17">
        <v>1</v>
      </c>
      <c r="D31" s="17">
        <v>1</v>
      </c>
      <c r="E31" s="17">
        <v>1</v>
      </c>
    </row>
    <row r="32" spans="1:5" x14ac:dyDescent="0.25">
      <c r="A32" s="10" t="s">
        <v>120</v>
      </c>
      <c r="B32">
        <v>0.99</v>
      </c>
      <c r="C32">
        <v>0.99</v>
      </c>
      <c r="D32">
        <v>0.99</v>
      </c>
      <c r="E32">
        <v>0.99</v>
      </c>
    </row>
    <row r="33" spans="1:8" x14ac:dyDescent="0.25">
      <c r="A33" s="10" t="s">
        <v>11</v>
      </c>
      <c r="B33" s="9">
        <v>564.35396950015797</v>
      </c>
      <c r="C33" s="9"/>
      <c r="D33" s="9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66</v>
      </c>
      <c r="B36" s="9">
        <f>B20/B31</f>
        <v>324243684.63999999</v>
      </c>
      <c r="C36" s="9">
        <f t="shared" ref="C36:E36" si="3">C20/C31</f>
        <v>324243684.63999999</v>
      </c>
      <c r="D36" s="9">
        <f t="shared" si="3"/>
        <v>0</v>
      </c>
      <c r="E36" s="9">
        <f t="shared" si="3"/>
        <v>0</v>
      </c>
    </row>
    <row r="37" spans="1:8" x14ac:dyDescent="0.25">
      <c r="A37" s="11" t="s">
        <v>121</v>
      </c>
      <c r="B37" s="9">
        <f>B22/B32</f>
        <v>446867933.84848481</v>
      </c>
      <c r="C37" s="9">
        <f t="shared" ref="C37:E37" si="4">C22/C32</f>
        <v>430875073.36363637</v>
      </c>
      <c r="D37" s="9">
        <f t="shared" si="4"/>
        <v>376449.49494949495</v>
      </c>
      <c r="E37" s="9">
        <f t="shared" si="4"/>
        <v>15616410.989898991</v>
      </c>
    </row>
    <row r="38" spans="1:8" x14ac:dyDescent="0.25">
      <c r="A38" s="11" t="s">
        <v>67</v>
      </c>
      <c r="B38" s="9">
        <f>B36/B10</f>
        <v>1013261.5144999999</v>
      </c>
      <c r="C38" s="9">
        <f>C36/$C10</f>
        <v>1013261.5144999999</v>
      </c>
      <c r="D38" s="9">
        <f t="shared" ref="D38:E38" si="5">D36/$C10</f>
        <v>0</v>
      </c>
      <c r="E38" s="9">
        <f t="shared" si="5"/>
        <v>0</v>
      </c>
    </row>
    <row r="39" spans="1:8" x14ac:dyDescent="0.25">
      <c r="A39" s="11" t="s">
        <v>122</v>
      </c>
      <c r="B39" s="9">
        <f>B37/B14</f>
        <v>1409678.0247586272</v>
      </c>
      <c r="C39" s="9">
        <f>C37/$C14</f>
        <v>1359227.3607685689</v>
      </c>
      <c r="D39" s="9">
        <f t="shared" ref="D39:E39" si="6">D37/$C14</f>
        <v>1187.5378389573973</v>
      </c>
      <c r="E39" s="9">
        <f t="shared" si="6"/>
        <v>49263.126151100914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36.856301406761304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56.170420893958337</v>
      </c>
      <c r="C45" s="15"/>
      <c r="D45" s="13"/>
    </row>
    <row r="47" spans="1:8" x14ac:dyDescent="0.25">
      <c r="A47" t="s">
        <v>17</v>
      </c>
    </row>
    <row r="48" spans="1:8" x14ac:dyDescent="0.25">
      <c r="A48" t="s">
        <v>18</v>
      </c>
      <c r="B48" s="14">
        <f>(B14/B12)*100</f>
        <v>152.40384615384613</v>
      </c>
      <c r="C48" s="14">
        <f>(C14/C12)*100</f>
        <v>152.40384615384613</v>
      </c>
      <c r="D48" s="14"/>
    </row>
    <row r="49" spans="1:5" x14ac:dyDescent="0.25">
      <c r="A49" t="s">
        <v>19</v>
      </c>
      <c r="B49" s="14">
        <f>B22/B21*100</f>
        <v>96.115374052235907</v>
      </c>
      <c r="C49" s="14">
        <f>C22/C21*100</f>
        <v>139.72981497634723</v>
      </c>
      <c r="D49" s="14">
        <f>D22/D21*100</f>
        <v>0.46585625000000003</v>
      </c>
      <c r="E49" s="14">
        <f>E22/E21*100</f>
        <v>20.613662506666667</v>
      </c>
    </row>
    <row r="50" spans="1:5" x14ac:dyDescent="0.25">
      <c r="A50" s="11" t="s">
        <v>20</v>
      </c>
      <c r="B50" s="13">
        <f>AVERAGE(B48:B49)</f>
        <v>124.25961010304101</v>
      </c>
      <c r="C50" s="13">
        <f>AVERAGE(C48:C49)</f>
        <v>146.06683056509667</v>
      </c>
      <c r="D50" s="13"/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38.100961538461533</v>
      </c>
      <c r="C53" s="13">
        <f>(C14/C16)*100</f>
        <v>38.100961538461533</v>
      </c>
      <c r="D53" s="13"/>
    </row>
    <row r="54" spans="1:5" x14ac:dyDescent="0.25">
      <c r="A54" s="11" t="s">
        <v>23</v>
      </c>
      <c r="B54" s="13">
        <f>B22/B23*100</f>
        <v>32.148362263100843</v>
      </c>
      <c r="C54" s="13">
        <f>C22/C23*100</f>
        <v>34.932453744086807</v>
      </c>
      <c r="D54" s="13">
        <f>D22/D23*100</f>
        <v>0.46585625000000003</v>
      </c>
      <c r="E54" s="13">
        <f>E22/E23*100</f>
        <v>20.613662506666667</v>
      </c>
    </row>
    <row r="55" spans="1:5" x14ac:dyDescent="0.25">
      <c r="A55" s="11" t="s">
        <v>24</v>
      </c>
      <c r="B55" s="13">
        <f>(B53+B54)/2</f>
        <v>35.124661900781192</v>
      </c>
      <c r="C55" s="13">
        <f>(C53+C54)/2</f>
        <v>36.516707641274166</v>
      </c>
      <c r="D55" s="13"/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96.421121482779952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-0.93750000000000222</v>
      </c>
      <c r="C61" s="14">
        <f>((C14/C10)-1)*100</f>
        <v>-0.93750000000000222</v>
      </c>
      <c r="D61" s="13"/>
    </row>
    <row r="62" spans="1:5" x14ac:dyDescent="0.25">
      <c r="A62" s="11" t="s">
        <v>28</v>
      </c>
      <c r="B62" s="14">
        <f>((B37/B36)-1)*100</f>
        <v>37.818546672584105</v>
      </c>
      <c r="C62" s="14">
        <f>((C37/C36)-1)*100</f>
        <v>32.886188312974141</v>
      </c>
      <c r="D62" s="14" t="e">
        <f t="shared" ref="D62:E62" si="7">((D37/D36)-1)*100</f>
        <v>#DIV/0!</v>
      </c>
      <c r="E62" s="14" t="e">
        <f t="shared" si="7"/>
        <v>#DIV/0!</v>
      </c>
    </row>
    <row r="63" spans="1:5" x14ac:dyDescent="0.25">
      <c r="A63" s="11" t="s">
        <v>29</v>
      </c>
      <c r="B63" s="14">
        <f>((B39/B38)-1)*100</f>
        <v>39.122823139517095</v>
      </c>
      <c r="C63" s="14">
        <f>((C39/C38)-1)*100</f>
        <v>34.14378630962689</v>
      </c>
      <c r="D63" s="13"/>
    </row>
    <row r="64" spans="1:5" x14ac:dyDescent="0.25">
      <c r="A64" s="11"/>
      <c r="B64" s="13"/>
      <c r="C64" s="13"/>
      <c r="D64" s="13"/>
    </row>
    <row r="65" spans="1:5" x14ac:dyDescent="0.25">
      <c r="A65" s="11" t="s">
        <v>30</v>
      </c>
      <c r="B65" s="11"/>
      <c r="C65" s="11"/>
      <c r="D65" s="11"/>
    </row>
    <row r="66" spans="1:5" x14ac:dyDescent="0.25">
      <c r="A66" t="s">
        <v>37</v>
      </c>
      <c r="B66" s="9">
        <f>B21/(B12*3)</f>
        <v>737627.22277243587</v>
      </c>
      <c r="C66" s="9">
        <f>C21/(C12*3)</f>
        <v>489229.78687499999</v>
      </c>
      <c r="D66" s="9"/>
    </row>
    <row r="67" spans="1:5" x14ac:dyDescent="0.25">
      <c r="A67" t="s">
        <v>38</v>
      </c>
      <c r="B67" s="9">
        <f>B22/(B14*3)</f>
        <v>465193.74817034701</v>
      </c>
      <c r="C67" s="9">
        <f>C22/(C14*3)</f>
        <v>448545.02905362775</v>
      </c>
      <c r="D67" s="9"/>
    </row>
    <row r="68" spans="1:5" x14ac:dyDescent="0.25">
      <c r="A68" t="s">
        <v>51</v>
      </c>
      <c r="B68" s="9"/>
      <c r="C68" s="9">
        <f>C22/C15</f>
        <v>628227.27927835053</v>
      </c>
      <c r="D68" s="9"/>
    </row>
    <row r="69" spans="1:5" x14ac:dyDescent="0.25">
      <c r="A69" s="11" t="s">
        <v>31</v>
      </c>
      <c r="B69" s="9">
        <f>(B66/B67)*B50</f>
        <v>197.03031578474338</v>
      </c>
      <c r="C69" s="9">
        <f>(C66/C67)*C50</f>
        <v>159.31565340862409</v>
      </c>
      <c r="D69" s="13"/>
    </row>
    <row r="70" spans="1:5" x14ac:dyDescent="0.25">
      <c r="A70" s="13" t="s">
        <v>39</v>
      </c>
      <c r="B70" s="9">
        <f>B21/B12</f>
        <v>2212881.6683173077</v>
      </c>
      <c r="C70" s="9">
        <f>C21/C12</f>
        <v>1467689.360625</v>
      </c>
      <c r="D70" s="13"/>
    </row>
    <row r="71" spans="1:5" x14ac:dyDescent="0.25">
      <c r="A71" s="13" t="s">
        <v>40</v>
      </c>
      <c r="B71" s="9">
        <f>B22/(B14)</f>
        <v>1395581.2445110411</v>
      </c>
      <c r="C71" s="9">
        <f>C22/(C14)</f>
        <v>1345635.0871608832</v>
      </c>
      <c r="D71" s="13"/>
    </row>
    <row r="72" spans="1:5" x14ac:dyDescent="0.25">
      <c r="B72" s="9"/>
      <c r="C72" s="9"/>
      <c r="D72" s="14"/>
    </row>
    <row r="73" spans="1:5" x14ac:dyDescent="0.25">
      <c r="A73" t="s">
        <v>32</v>
      </c>
      <c r="B73" s="14"/>
      <c r="C73" s="14"/>
      <c r="D73" s="14"/>
    </row>
    <row r="74" spans="1:5" x14ac:dyDescent="0.25">
      <c r="A74" s="11" t="s">
        <v>33</v>
      </c>
      <c r="B74" s="13">
        <f>(B28/B27)*100</f>
        <v>82.719102746117144</v>
      </c>
      <c r="C74" s="13"/>
      <c r="D74" s="13"/>
    </row>
    <row r="75" spans="1:5" x14ac:dyDescent="0.25">
      <c r="A75" s="11" t="s">
        <v>34</v>
      </c>
      <c r="B75" s="13">
        <f>(B22/B28)*100</f>
        <v>116.1948943610218</v>
      </c>
      <c r="C75" s="13"/>
      <c r="D75" s="13"/>
    </row>
    <row r="76" spans="1:5" ht="15.75" thickBot="1" x14ac:dyDescent="0.3">
      <c r="A76" s="16"/>
      <c r="B76" s="16"/>
      <c r="C76" s="16"/>
      <c r="D76" s="16"/>
      <c r="E76" s="16"/>
    </row>
    <row r="77" spans="1:5" ht="15.75" thickTop="1" x14ac:dyDescent="0.25"/>
    <row r="78" spans="1:5" x14ac:dyDescent="0.25">
      <c r="A78" t="s">
        <v>35</v>
      </c>
    </row>
    <row r="79" spans="1:5" x14ac:dyDescent="0.25">
      <c r="A79" t="s">
        <v>100</v>
      </c>
    </row>
    <row r="80" spans="1:5" x14ac:dyDescent="0.25">
      <c r="A80" t="s">
        <v>101</v>
      </c>
      <c r="B80" s="5"/>
      <c r="C80" s="5"/>
      <c r="D80" s="5"/>
    </row>
    <row r="82" spans="1:1" x14ac:dyDescent="0.25">
      <c r="A82" t="s">
        <v>170</v>
      </c>
    </row>
    <row r="84" spans="1:1" x14ac:dyDescent="0.25">
      <c r="A84" s="20"/>
    </row>
    <row r="85" spans="1:1" x14ac:dyDescent="0.25">
      <c r="A85" s="21"/>
    </row>
    <row r="86" spans="1:1" x14ac:dyDescent="0.25">
      <c r="A86" s="21"/>
    </row>
  </sheetData>
  <mergeCells count="2">
    <mergeCell ref="A2:D2"/>
    <mergeCell ref="A4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workbookViewId="0">
      <selection activeCell="A82" sqref="A82"/>
    </sheetView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4.140625" bestFit="1" customWidth="1"/>
  </cols>
  <sheetData>
    <row r="2" spans="1:5" ht="15.75" x14ac:dyDescent="0.25">
      <c r="A2" s="39" t="s">
        <v>123</v>
      </c>
      <c r="B2" s="39"/>
      <c r="C2" s="39"/>
      <c r="D2" s="39"/>
    </row>
    <row r="4" spans="1:5" x14ac:dyDescent="0.25">
      <c r="A4" s="40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5" ht="15.75" thickBot="1" x14ac:dyDescent="0.3">
      <c r="A5" s="41"/>
      <c r="B5" s="2" t="s">
        <v>3</v>
      </c>
      <c r="C5" s="2" t="s">
        <v>4</v>
      </c>
      <c r="D5" s="2" t="s">
        <v>41</v>
      </c>
      <c r="E5" s="2" t="s">
        <v>44</v>
      </c>
    </row>
    <row r="6" spans="1:5" ht="15.75" thickTop="1" x14ac:dyDescent="0.25"/>
    <row r="7" spans="1:5" x14ac:dyDescent="0.25">
      <c r="A7" s="3" t="s">
        <v>6</v>
      </c>
    </row>
    <row r="9" spans="1:5" x14ac:dyDescent="0.25">
      <c r="A9" t="s">
        <v>7</v>
      </c>
    </row>
    <row r="10" spans="1:5" x14ac:dyDescent="0.25">
      <c r="A10" s="4" t="s">
        <v>68</v>
      </c>
      <c r="B10" s="7">
        <f t="shared" ref="B10:B17" si="0">C10</f>
        <v>323</v>
      </c>
      <c r="C10" s="7">
        <v>323</v>
      </c>
      <c r="D10" s="5"/>
    </row>
    <row r="11" spans="1:5" x14ac:dyDescent="0.25">
      <c r="A11" s="26" t="s">
        <v>4</v>
      </c>
      <c r="B11" s="27">
        <f t="shared" si="0"/>
        <v>658</v>
      </c>
      <c r="C11" s="27">
        <v>658</v>
      </c>
      <c r="D11" s="28"/>
      <c r="E11" s="29"/>
    </row>
    <row r="12" spans="1:5" x14ac:dyDescent="0.25">
      <c r="A12" s="10" t="s">
        <v>124</v>
      </c>
      <c r="B12" s="9">
        <f t="shared" si="0"/>
        <v>208</v>
      </c>
      <c r="C12" s="9">
        <v>208</v>
      </c>
      <c r="D12" s="31"/>
      <c r="E12" s="11"/>
    </row>
    <row r="13" spans="1:5" x14ac:dyDescent="0.25">
      <c r="A13" s="26" t="s">
        <v>4</v>
      </c>
      <c r="B13" s="27">
        <f t="shared" si="0"/>
        <v>624</v>
      </c>
      <c r="C13" s="27">
        <f>208*3</f>
        <v>624</v>
      </c>
      <c r="D13" s="28"/>
      <c r="E13" s="29"/>
    </row>
    <row r="14" spans="1:5" x14ac:dyDescent="0.25">
      <c r="A14" s="4" t="s">
        <v>125</v>
      </c>
      <c r="B14" s="9">
        <f t="shared" si="0"/>
        <v>342</v>
      </c>
      <c r="C14" s="7">
        <v>342</v>
      </c>
      <c r="D14" s="5"/>
    </row>
    <row r="15" spans="1:5" x14ac:dyDescent="0.25">
      <c r="A15" s="26" t="s">
        <v>4</v>
      </c>
      <c r="B15" s="27">
        <f t="shared" si="0"/>
        <v>694</v>
      </c>
      <c r="C15" s="27">
        <v>694</v>
      </c>
      <c r="D15" s="28"/>
      <c r="E15" s="29"/>
    </row>
    <row r="16" spans="1:5" x14ac:dyDescent="0.25">
      <c r="A16" s="10" t="s">
        <v>90</v>
      </c>
      <c r="B16" s="9">
        <f t="shared" si="0"/>
        <v>832</v>
      </c>
      <c r="C16" s="9">
        <f>208*4</f>
        <v>832</v>
      </c>
      <c r="D16" s="31"/>
      <c r="E16" s="11"/>
    </row>
    <row r="17" spans="1:5" x14ac:dyDescent="0.25">
      <c r="A17" s="26" t="s">
        <v>4</v>
      </c>
      <c r="B17" s="27">
        <f t="shared" si="0"/>
        <v>2496</v>
      </c>
      <c r="C17" s="27">
        <f>208*12</f>
        <v>2496</v>
      </c>
      <c r="D17" s="28"/>
      <c r="E17" s="29"/>
    </row>
    <row r="18" spans="1:5" x14ac:dyDescent="0.25">
      <c r="B18" s="5"/>
      <c r="C18" s="5"/>
      <c r="D18" s="5"/>
    </row>
    <row r="19" spans="1:5" x14ac:dyDescent="0.25">
      <c r="A19" s="6" t="s">
        <v>8</v>
      </c>
      <c r="B19" s="5"/>
      <c r="C19" s="5"/>
      <c r="D19" s="5"/>
    </row>
    <row r="20" spans="1:5" x14ac:dyDescent="0.25">
      <c r="A20" s="4" t="s">
        <v>69</v>
      </c>
      <c r="B20" s="7">
        <f>SUM(C20:E20)</f>
        <v>425422704.51999998</v>
      </c>
      <c r="C20" s="9">
        <v>354103298.41999996</v>
      </c>
      <c r="D20" s="9">
        <v>0</v>
      </c>
      <c r="E20" s="23">
        <v>71319406.099999994</v>
      </c>
    </row>
    <row r="21" spans="1:5" x14ac:dyDescent="0.25">
      <c r="A21" s="4" t="s">
        <v>126</v>
      </c>
      <c r="B21" s="7">
        <f>SUM(C21:E21)</f>
        <v>305279387.00999999</v>
      </c>
      <c r="C21" s="23">
        <v>305279387.00999999</v>
      </c>
      <c r="D21" s="7">
        <v>0</v>
      </c>
      <c r="E21" s="23">
        <v>0</v>
      </c>
    </row>
    <row r="22" spans="1:5" x14ac:dyDescent="0.25">
      <c r="A22" s="4" t="s">
        <v>127</v>
      </c>
      <c r="B22" s="7">
        <f t="shared" ref="B22:B23" si="1">SUM(C22:E22)</f>
        <v>383967584.43000001</v>
      </c>
      <c r="C22" s="9">
        <v>352149797.79000002</v>
      </c>
      <c r="D22" s="9">
        <v>400638</v>
      </c>
      <c r="E22" s="23">
        <v>31417148.640000001</v>
      </c>
    </row>
    <row r="23" spans="1:5" x14ac:dyDescent="0.25">
      <c r="A23" s="4" t="s">
        <v>93</v>
      </c>
      <c r="B23" s="7">
        <f t="shared" si="1"/>
        <v>1376117548.04</v>
      </c>
      <c r="C23" s="23">
        <v>1221117548.04</v>
      </c>
      <c r="D23" s="7">
        <v>80000000</v>
      </c>
      <c r="E23" s="7">
        <v>75000000</v>
      </c>
    </row>
    <row r="24" spans="1:5" x14ac:dyDescent="0.25">
      <c r="A24" s="4" t="s">
        <v>128</v>
      </c>
      <c r="B24" s="7">
        <f>C24</f>
        <v>352149797.79000002</v>
      </c>
      <c r="C24" s="7">
        <f>C22</f>
        <v>352149797.79000002</v>
      </c>
      <c r="D24" s="7"/>
    </row>
    <row r="25" spans="1:5" x14ac:dyDescent="0.25">
      <c r="B25" s="7"/>
      <c r="C25" s="7"/>
      <c r="D25" s="7"/>
    </row>
    <row r="26" spans="1:5" x14ac:dyDescent="0.25">
      <c r="A26" s="8" t="s">
        <v>9</v>
      </c>
      <c r="B26" s="9"/>
      <c r="C26" s="9"/>
      <c r="D26" s="9"/>
    </row>
    <row r="27" spans="1:5" x14ac:dyDescent="0.25">
      <c r="A27" s="10" t="s">
        <v>129</v>
      </c>
      <c r="B27" s="9">
        <f>B21</f>
        <v>305279387.00999999</v>
      </c>
      <c r="C27" s="9"/>
      <c r="D27" s="9"/>
    </row>
    <row r="28" spans="1:5" x14ac:dyDescent="0.25">
      <c r="A28" s="10" t="s">
        <v>130</v>
      </c>
      <c r="B28" s="9">
        <v>482330810.14999998</v>
      </c>
      <c r="C28" s="9"/>
      <c r="D28" s="9"/>
    </row>
    <row r="29" spans="1:5" x14ac:dyDescent="0.25">
      <c r="A29" s="11"/>
      <c r="B29" s="11"/>
      <c r="C29" s="11"/>
      <c r="D29" s="11"/>
    </row>
    <row r="30" spans="1:5" x14ac:dyDescent="0.25">
      <c r="A30" s="11" t="s">
        <v>10</v>
      </c>
      <c r="B30" s="11"/>
      <c r="C30" s="11"/>
      <c r="D30" s="11"/>
    </row>
    <row r="31" spans="1:5" x14ac:dyDescent="0.25">
      <c r="A31" s="10" t="s">
        <v>70</v>
      </c>
      <c r="B31" s="17">
        <v>0.99</v>
      </c>
      <c r="C31" s="17">
        <v>0.99</v>
      </c>
      <c r="D31" s="17">
        <v>0.99</v>
      </c>
      <c r="E31" s="17">
        <v>0.99</v>
      </c>
    </row>
    <row r="32" spans="1:5" x14ac:dyDescent="0.25">
      <c r="A32" s="10" t="s">
        <v>131</v>
      </c>
      <c r="B32">
        <v>0.99</v>
      </c>
      <c r="C32">
        <v>0.99</v>
      </c>
      <c r="D32">
        <v>0.99</v>
      </c>
      <c r="E32">
        <v>0.99</v>
      </c>
    </row>
    <row r="33" spans="1:8" x14ac:dyDescent="0.25">
      <c r="A33" s="10" t="s">
        <v>11</v>
      </c>
      <c r="B33" s="9">
        <v>564.35396950015797</v>
      </c>
      <c r="C33" s="9"/>
      <c r="D33" s="9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71</v>
      </c>
      <c r="B36" s="9">
        <f>B20/B31</f>
        <v>429719903.55555552</v>
      </c>
      <c r="C36" s="9">
        <f>C20/C31</f>
        <v>357680099.41414136</v>
      </c>
      <c r="D36" s="9">
        <f>D20/D31</f>
        <v>0</v>
      </c>
      <c r="E36" s="9">
        <f>E20/E31</f>
        <v>72039804.141414136</v>
      </c>
    </row>
    <row r="37" spans="1:8" x14ac:dyDescent="0.25">
      <c r="A37" s="11" t="s">
        <v>132</v>
      </c>
      <c r="B37" s="9">
        <f>B22/B32</f>
        <v>387846044.87878788</v>
      </c>
      <c r="C37" s="9">
        <f>C22/C32</f>
        <v>355706866.4545455</v>
      </c>
      <c r="D37" s="9">
        <f>D22/D32</f>
        <v>404684.84848484851</v>
      </c>
      <c r="E37" s="9">
        <f>E22/E32</f>
        <v>31734493.575757578</v>
      </c>
    </row>
    <row r="38" spans="1:8" x14ac:dyDescent="0.25">
      <c r="A38" s="11" t="s">
        <v>72</v>
      </c>
      <c r="B38" s="9">
        <f>B36/B10</f>
        <v>1330402.1781905743</v>
      </c>
      <c r="C38" s="9">
        <f t="shared" ref="C38" si="2">C36/C10</f>
        <v>1107368.7288363508</v>
      </c>
      <c r="D38" s="34">
        <f>D36/C10</f>
        <v>0</v>
      </c>
      <c r="E38" s="34">
        <f>E36/C10</f>
        <v>223033.44935422332</v>
      </c>
      <c r="F38" s="19"/>
    </row>
    <row r="39" spans="1:8" x14ac:dyDescent="0.25">
      <c r="A39" s="11" t="s">
        <v>133</v>
      </c>
      <c r="B39" s="9">
        <f>B37/B14</f>
        <v>1134052.7628034733</v>
      </c>
      <c r="C39" s="9">
        <f>C37/C14</f>
        <v>1040078.5568846359</v>
      </c>
      <c r="D39" s="9">
        <f>D37/C14</f>
        <v>1183.2890306574518</v>
      </c>
      <c r="E39" s="9">
        <f>E37/C14</f>
        <v>92790.916888180058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36.856301406761304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60.600264813040226</v>
      </c>
      <c r="C45" s="15"/>
      <c r="D45" s="13"/>
    </row>
    <row r="47" spans="1:8" x14ac:dyDescent="0.25">
      <c r="A47" t="s">
        <v>17</v>
      </c>
    </row>
    <row r="48" spans="1:8" x14ac:dyDescent="0.25">
      <c r="A48" t="s">
        <v>18</v>
      </c>
      <c r="B48" s="14">
        <f>(B14/B12)*100</f>
        <v>164.42307692307691</v>
      </c>
      <c r="C48" s="14">
        <f>(C14/C12)*100</f>
        <v>164.42307692307691</v>
      </c>
      <c r="D48" s="14">
        <v>0</v>
      </c>
      <c r="E48">
        <v>0</v>
      </c>
    </row>
    <row r="49" spans="1:5" x14ac:dyDescent="0.25">
      <c r="A49" t="s">
        <v>19</v>
      </c>
      <c r="B49" s="14">
        <f>B22/B21*100</f>
        <v>125.77579776698859</v>
      </c>
      <c r="C49" s="14">
        <f t="shared" ref="C49:E49" si="3">C22/C21*100</f>
        <v>115.35328383585383</v>
      </c>
      <c r="D49" s="14" t="e">
        <f t="shared" si="3"/>
        <v>#DIV/0!</v>
      </c>
      <c r="E49" s="14" t="e">
        <f t="shared" si="3"/>
        <v>#DIV/0!</v>
      </c>
    </row>
    <row r="50" spans="1:5" x14ac:dyDescent="0.25">
      <c r="A50" s="11" t="s">
        <v>20</v>
      </c>
      <c r="B50" s="13">
        <f>AVERAGE(B48:B49)</f>
        <v>145.09943734503275</v>
      </c>
      <c r="C50" s="13">
        <f t="shared" ref="C50:E50" si="4">AVERAGE(C48:C49)</f>
        <v>139.88818037946538</v>
      </c>
      <c r="D50" s="13" t="e">
        <f t="shared" si="4"/>
        <v>#DIV/0!</v>
      </c>
      <c r="E50" s="13" t="e">
        <f t="shared" si="4"/>
        <v>#DIV/0!</v>
      </c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41.105769230769226</v>
      </c>
      <c r="C53" s="13">
        <f>(C14/C16)*100</f>
        <v>41.105769230769226</v>
      </c>
      <c r="D53" s="13">
        <v>0</v>
      </c>
      <c r="E53">
        <v>0</v>
      </c>
    </row>
    <row r="54" spans="1:5" x14ac:dyDescent="0.25">
      <c r="A54" s="11" t="s">
        <v>23</v>
      </c>
      <c r="B54" s="13">
        <f>B22/B23*100</f>
        <v>27.902237347157143</v>
      </c>
      <c r="C54" s="13">
        <f t="shared" ref="C54:E54" si="5">C22/C23*100</f>
        <v>28.838320958963457</v>
      </c>
      <c r="D54" s="13">
        <f t="shared" si="5"/>
        <v>0.50079750000000001</v>
      </c>
      <c r="E54" s="13">
        <f t="shared" si="5"/>
        <v>41.889531519999998</v>
      </c>
    </row>
    <row r="55" spans="1:5" x14ac:dyDescent="0.25">
      <c r="A55" s="11" t="s">
        <v>24</v>
      </c>
      <c r="B55" s="13">
        <f>(B53+B54)/2</f>
        <v>34.504003288963183</v>
      </c>
      <c r="C55" s="13">
        <f t="shared" ref="C55:E55" si="6">(C53+C54)/2</f>
        <v>34.972045094866345</v>
      </c>
      <c r="D55" s="13">
        <f t="shared" si="6"/>
        <v>0.25039875</v>
      </c>
      <c r="E55" s="13">
        <f t="shared" si="6"/>
        <v>20.944765759999999</v>
      </c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91.713418546194859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5.8823529411764719</v>
      </c>
      <c r="C61" s="14">
        <f>((C14/C10)-1)*100</f>
        <v>5.8823529411764719</v>
      </c>
      <c r="D61" s="13"/>
    </row>
    <row r="62" spans="1:5" x14ac:dyDescent="0.25">
      <c r="A62" s="11" t="s">
        <v>28</v>
      </c>
      <c r="B62" s="14">
        <f>((B37/B36)-1)*100</f>
        <v>-9.7444540805064364</v>
      </c>
      <c r="C62" s="14">
        <f t="shared" ref="C62:E62" si="7">((C37/C36)-1)*100</f>
        <v>-0.55167535538820367</v>
      </c>
      <c r="D62" s="14" t="e">
        <f t="shared" si="7"/>
        <v>#DIV/0!</v>
      </c>
      <c r="E62" s="14">
        <f t="shared" si="7"/>
        <v>-55.948667609558235</v>
      </c>
    </row>
    <row r="63" spans="1:5" x14ac:dyDescent="0.25">
      <c r="A63" s="11" t="s">
        <v>29</v>
      </c>
      <c r="B63" s="14">
        <f>((B39/B38)-1)*100</f>
        <v>-14.758651076033857</v>
      </c>
      <c r="C63" s="14">
        <f t="shared" ref="C63:E63" si="8">((C39/C38)-1)*100</f>
        <v>-6.0765822800888607</v>
      </c>
      <c r="D63" s="14" t="e">
        <f t="shared" si="8"/>
        <v>#DIV/0!</v>
      </c>
      <c r="E63" s="14">
        <f t="shared" si="8"/>
        <v>-58.395963853471656</v>
      </c>
    </row>
    <row r="64" spans="1:5" x14ac:dyDescent="0.25">
      <c r="A64" s="11"/>
      <c r="B64" s="13"/>
      <c r="C64" s="13"/>
      <c r="D64" s="13"/>
    </row>
    <row r="65" spans="1:5" x14ac:dyDescent="0.25">
      <c r="A65" s="11" t="s">
        <v>30</v>
      </c>
      <c r="B65" s="11"/>
      <c r="C65" s="11"/>
      <c r="D65" s="11"/>
    </row>
    <row r="66" spans="1:5" x14ac:dyDescent="0.25">
      <c r="A66" t="s">
        <v>37</v>
      </c>
      <c r="B66" s="9">
        <f>B21/(B12*3)</f>
        <v>489229.78687499999</v>
      </c>
      <c r="C66" s="9">
        <f>C21/(C12*3)</f>
        <v>489229.78687499999</v>
      </c>
      <c r="D66" s="9"/>
    </row>
    <row r="67" spans="1:5" x14ac:dyDescent="0.25">
      <c r="A67" t="s">
        <v>38</v>
      </c>
      <c r="B67" s="9">
        <f>B22/(B14*3)</f>
        <v>374237.41172514623</v>
      </c>
      <c r="C67" s="9">
        <f>C22/(C14*3)</f>
        <v>343225.92377192987</v>
      </c>
      <c r="D67" s="9"/>
    </row>
    <row r="68" spans="1:5" x14ac:dyDescent="0.25">
      <c r="A68" t="s">
        <v>51</v>
      </c>
      <c r="B68" s="9"/>
      <c r="C68" s="9">
        <f>C22/C15</f>
        <v>507420.45791066287</v>
      </c>
      <c r="D68" s="9"/>
    </row>
    <row r="69" spans="1:5" x14ac:dyDescent="0.25">
      <c r="A69" s="11" t="s">
        <v>31</v>
      </c>
      <c r="B69" s="9">
        <f>(B66/B67)*B50</f>
        <v>189.68431424522635</v>
      </c>
      <c r="C69" s="9">
        <f>(C66/C67)*C50</f>
        <v>199.39480072272571</v>
      </c>
      <c r="D69" s="13"/>
    </row>
    <row r="70" spans="1:5" x14ac:dyDescent="0.25">
      <c r="A70" s="13" t="s">
        <v>39</v>
      </c>
      <c r="B70" s="9">
        <f>B21/B12</f>
        <v>1467689.360625</v>
      </c>
      <c r="C70" s="9">
        <f>C21/C12</f>
        <v>1467689.360625</v>
      </c>
      <c r="D70" s="13"/>
    </row>
    <row r="71" spans="1:5" x14ac:dyDescent="0.25">
      <c r="A71" s="13" t="s">
        <v>40</v>
      </c>
      <c r="B71" s="9">
        <f>B22/(B14)</f>
        <v>1122712.2351754387</v>
      </c>
      <c r="C71" s="9">
        <f>C22/(C14)</f>
        <v>1029677.7713157895</v>
      </c>
      <c r="D71" s="13"/>
    </row>
    <row r="72" spans="1:5" x14ac:dyDescent="0.25">
      <c r="B72" s="9"/>
      <c r="C72" s="9"/>
      <c r="D72" s="14"/>
    </row>
    <row r="73" spans="1:5" x14ac:dyDescent="0.25">
      <c r="A73" t="s">
        <v>32</v>
      </c>
      <c r="B73" s="14"/>
      <c r="C73" s="14"/>
      <c r="D73" s="14"/>
    </row>
    <row r="74" spans="1:5" x14ac:dyDescent="0.25">
      <c r="A74" s="11" t="s">
        <v>33</v>
      </c>
      <c r="B74" s="13">
        <f>(B28/B27)*100</f>
        <v>157.99652078513913</v>
      </c>
      <c r="C74" s="13"/>
      <c r="D74" s="13"/>
    </row>
    <row r="75" spans="1:5" x14ac:dyDescent="0.25">
      <c r="A75" s="11" t="s">
        <v>34</v>
      </c>
      <c r="B75" s="13">
        <f>(B22/B28)*100</f>
        <v>79.606688262479025</v>
      </c>
      <c r="C75" s="13"/>
      <c r="D75" s="13"/>
    </row>
    <row r="76" spans="1:5" ht="15.75" thickBot="1" x14ac:dyDescent="0.3">
      <c r="A76" s="16"/>
      <c r="B76" s="16"/>
      <c r="C76" s="16"/>
      <c r="D76" s="16"/>
      <c r="E76" s="16"/>
    </row>
    <row r="77" spans="1:5" ht="15.75" thickTop="1" x14ac:dyDescent="0.25"/>
    <row r="78" spans="1:5" x14ac:dyDescent="0.25">
      <c r="A78" t="s">
        <v>35</v>
      </c>
    </row>
    <row r="79" spans="1:5" x14ac:dyDescent="0.25">
      <c r="A79" t="s">
        <v>100</v>
      </c>
    </row>
    <row r="80" spans="1:5" x14ac:dyDescent="0.25">
      <c r="A80" t="s">
        <v>101</v>
      </c>
      <c r="B80" s="5"/>
      <c r="C80" s="5"/>
      <c r="D80" s="5"/>
    </row>
    <row r="82" spans="1:1" x14ac:dyDescent="0.25">
      <c r="A82" t="s">
        <v>170</v>
      </c>
    </row>
    <row r="84" spans="1:1" x14ac:dyDescent="0.25">
      <c r="A84" s="20"/>
    </row>
    <row r="85" spans="1:1" x14ac:dyDescent="0.25">
      <c r="A85" s="21"/>
    </row>
    <row r="86" spans="1:1" x14ac:dyDescent="0.25">
      <c r="A86" s="21"/>
    </row>
  </sheetData>
  <mergeCells count="2">
    <mergeCell ref="A2:D2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6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2.7109375" bestFit="1" customWidth="1"/>
  </cols>
  <sheetData>
    <row r="2" spans="1:5" ht="15.75" x14ac:dyDescent="0.25">
      <c r="A2" s="39" t="s">
        <v>134</v>
      </c>
      <c r="B2" s="39"/>
      <c r="C2" s="39"/>
      <c r="D2" s="39"/>
    </row>
    <row r="4" spans="1:5" x14ac:dyDescent="0.25">
      <c r="A4" s="40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5" ht="15.75" thickBot="1" x14ac:dyDescent="0.3">
      <c r="A5" s="41"/>
      <c r="B5" s="2" t="s">
        <v>3</v>
      </c>
      <c r="C5" s="2" t="s">
        <v>4</v>
      </c>
      <c r="D5" s="2" t="s">
        <v>41</v>
      </c>
      <c r="E5" s="2" t="s">
        <v>44</v>
      </c>
    </row>
    <row r="6" spans="1:5" ht="15.75" thickTop="1" x14ac:dyDescent="0.25"/>
    <row r="7" spans="1:5" x14ac:dyDescent="0.25">
      <c r="A7" s="3" t="s">
        <v>6</v>
      </c>
    </row>
    <row r="9" spans="1:5" x14ac:dyDescent="0.25">
      <c r="A9" t="s">
        <v>7</v>
      </c>
    </row>
    <row r="10" spans="1:5" x14ac:dyDescent="0.25">
      <c r="A10" s="4" t="s">
        <v>73</v>
      </c>
      <c r="B10" s="7">
        <f>C10</f>
        <v>466</v>
      </c>
      <c r="C10" s="7">
        <v>466</v>
      </c>
      <c r="D10" s="5"/>
    </row>
    <row r="11" spans="1:5" x14ac:dyDescent="0.25">
      <c r="A11" s="26" t="s">
        <v>4</v>
      </c>
      <c r="B11" s="27">
        <f>+('I Trimestre'!B11+'II Trimestre'!B11)</f>
        <v>1153</v>
      </c>
      <c r="C11" s="27">
        <f>+('I Trimestre'!C11+'II Trimestre'!C11)</f>
        <v>1153</v>
      </c>
      <c r="D11" s="28"/>
      <c r="E11" s="29"/>
    </row>
    <row r="12" spans="1:5" x14ac:dyDescent="0.25">
      <c r="A12" s="10" t="s">
        <v>135</v>
      </c>
      <c r="B12" s="9">
        <f>C12</f>
        <v>416</v>
      </c>
      <c r="C12" s="9">
        <f>+('I Trimestre'!C12+'II Trimestre'!C12)</f>
        <v>416</v>
      </c>
      <c r="D12" s="31"/>
      <c r="E12" s="11"/>
    </row>
    <row r="13" spans="1:5" x14ac:dyDescent="0.25">
      <c r="A13" s="26" t="s">
        <v>4</v>
      </c>
      <c r="B13" s="27">
        <f>C13</f>
        <v>1248</v>
      </c>
      <c r="C13" s="27">
        <f>+('I Trimestre'!C13+'II Trimestre'!C13)</f>
        <v>1248</v>
      </c>
      <c r="D13" s="28"/>
      <c r="E13" s="29"/>
    </row>
    <row r="14" spans="1:5" x14ac:dyDescent="0.25">
      <c r="A14" s="4" t="s">
        <v>136</v>
      </c>
      <c r="B14" s="7">
        <f>C14</f>
        <v>605</v>
      </c>
      <c r="C14" s="7">
        <v>605</v>
      </c>
      <c r="D14" s="5"/>
    </row>
    <row r="15" spans="1:5" x14ac:dyDescent="0.25">
      <c r="A15" s="26" t="s">
        <v>4</v>
      </c>
      <c r="B15" s="27">
        <f>C15</f>
        <v>1221</v>
      </c>
      <c r="C15" s="27">
        <f>+('I Trimestre'!C15+'II Trimestre'!C15)</f>
        <v>1221</v>
      </c>
      <c r="D15" s="28"/>
      <c r="E15" s="29"/>
    </row>
    <row r="16" spans="1:5" x14ac:dyDescent="0.25">
      <c r="A16" s="10" t="s">
        <v>90</v>
      </c>
      <c r="B16" s="9">
        <f t="shared" ref="B16:B17" si="0">C16</f>
        <v>832</v>
      </c>
      <c r="C16" s="9">
        <f>'II Trimestre'!C16</f>
        <v>832</v>
      </c>
      <c r="D16" s="31"/>
      <c r="E16" s="11"/>
    </row>
    <row r="17" spans="1:6" x14ac:dyDescent="0.25">
      <c r="A17" s="26" t="s">
        <v>4</v>
      </c>
      <c r="B17" s="27">
        <f t="shared" si="0"/>
        <v>2496</v>
      </c>
      <c r="C17" s="27">
        <f>'II Trimestre'!C17</f>
        <v>2496</v>
      </c>
      <c r="D17" s="28"/>
      <c r="E17" s="29"/>
    </row>
    <row r="18" spans="1:6" x14ac:dyDescent="0.25">
      <c r="B18" s="5"/>
      <c r="C18" s="5"/>
      <c r="D18" s="5"/>
    </row>
    <row r="19" spans="1:6" x14ac:dyDescent="0.25">
      <c r="A19" s="6" t="s">
        <v>8</v>
      </c>
      <c r="B19" s="5"/>
      <c r="C19" s="5"/>
      <c r="D19" s="5"/>
    </row>
    <row r="20" spans="1:6" x14ac:dyDescent="0.25">
      <c r="A20" s="4" t="s">
        <v>74</v>
      </c>
      <c r="B20" s="9">
        <f>SUM(C20:E20)</f>
        <v>555200857.75</v>
      </c>
      <c r="C20" s="9">
        <f>+'I Trimestre'!C20+'II Trimestre'!C20</f>
        <v>555200857.75</v>
      </c>
      <c r="D20" s="9">
        <f>+'I Trimestre'!D20+'II Trimestre'!D20</f>
        <v>0</v>
      </c>
      <c r="E20" s="9">
        <f>+'I Trimestre'!E20+'II Trimestre'!E20</f>
        <v>0</v>
      </c>
    </row>
    <row r="21" spans="1:6" x14ac:dyDescent="0.25">
      <c r="A21" s="4" t="s">
        <v>137</v>
      </c>
      <c r="B21" s="9">
        <f>SUM(C21:E21)</f>
        <v>610558774.01999998</v>
      </c>
      <c r="C21" s="9">
        <f>+'I Trimestre'!C21+'II Trimestre'!C21</f>
        <v>610558774.01999998</v>
      </c>
      <c r="D21" s="9">
        <f>+'I Trimestre'!D21+'II Trimestre'!D21</f>
        <v>0</v>
      </c>
      <c r="E21" s="9">
        <f>+'I Trimestre'!E21+'II Trimestre'!E21</f>
        <v>0</v>
      </c>
    </row>
    <row r="22" spans="1:6" x14ac:dyDescent="0.25">
      <c r="A22" s="4" t="s">
        <v>138</v>
      </c>
      <c r="B22" s="9">
        <f>SUM(C22:E22)</f>
        <v>658032921.20000005</v>
      </c>
      <c r="C22" s="9">
        <f>+'I Trimestre'!C22+'II Trimestre'!C22</f>
        <v>657233168.13</v>
      </c>
      <c r="D22" s="9">
        <f>+'I Trimestre'!D22+'II Trimestre'!D22</f>
        <v>0</v>
      </c>
      <c r="E22" s="9">
        <f>+'I Trimestre'!E22+'II Trimestre'!E22</f>
        <v>799753.0700000003</v>
      </c>
    </row>
    <row r="23" spans="1:6" x14ac:dyDescent="0.25">
      <c r="A23" s="4" t="s">
        <v>93</v>
      </c>
      <c r="B23" s="7">
        <f>+'II Trimestre'!B23</f>
        <v>1376117548.04</v>
      </c>
      <c r="C23" s="7">
        <f>+'II Trimestre'!C23</f>
        <v>1221117548.04</v>
      </c>
      <c r="D23" s="7">
        <f>+'II Trimestre'!D23</f>
        <v>80000000</v>
      </c>
      <c r="E23" s="7">
        <f>+'II Trimestre'!E23</f>
        <v>75000000</v>
      </c>
    </row>
    <row r="24" spans="1:6" x14ac:dyDescent="0.25">
      <c r="A24" s="4" t="s">
        <v>139</v>
      </c>
      <c r="B24" s="7">
        <f>C24</f>
        <v>657233168.13</v>
      </c>
      <c r="C24" s="7">
        <f>C22</f>
        <v>657233168.13</v>
      </c>
      <c r="D24" s="7"/>
    </row>
    <row r="25" spans="1:6" x14ac:dyDescent="0.25">
      <c r="B25" s="7"/>
      <c r="C25" s="7"/>
      <c r="D25" s="7"/>
    </row>
    <row r="26" spans="1:6" x14ac:dyDescent="0.25">
      <c r="A26" s="8" t="s">
        <v>9</v>
      </c>
      <c r="B26" s="9"/>
      <c r="C26" s="9"/>
      <c r="D26" s="9"/>
    </row>
    <row r="27" spans="1:6" x14ac:dyDescent="0.25">
      <c r="A27" s="10" t="s">
        <v>140</v>
      </c>
      <c r="B27" s="9">
        <f>B21</f>
        <v>610558774.01999998</v>
      </c>
      <c r="C27" s="9"/>
      <c r="D27" s="9"/>
    </row>
    <row r="28" spans="1:6" x14ac:dyDescent="0.25">
      <c r="A28" s="10" t="s">
        <v>141</v>
      </c>
      <c r="B28" s="7">
        <f>'I Trimestre'!B28+'II Trimestre'!B28</f>
        <v>570820570.81000006</v>
      </c>
      <c r="C28" s="9"/>
      <c r="D28" s="9"/>
    </row>
    <row r="29" spans="1:6" x14ac:dyDescent="0.25">
      <c r="A29" s="11"/>
      <c r="B29" s="11"/>
      <c r="C29" s="11"/>
      <c r="D29" s="11"/>
    </row>
    <row r="30" spans="1:6" x14ac:dyDescent="0.25">
      <c r="A30" s="11" t="s">
        <v>10</v>
      </c>
      <c r="B30" s="11"/>
      <c r="C30" s="11"/>
      <c r="D30" s="11"/>
    </row>
    <row r="31" spans="1:6" x14ac:dyDescent="0.25">
      <c r="A31" s="10" t="s">
        <v>75</v>
      </c>
      <c r="B31" s="37">
        <v>0.97</v>
      </c>
      <c r="C31" s="37">
        <v>0.97</v>
      </c>
      <c r="D31" s="37">
        <v>0.97</v>
      </c>
      <c r="E31" s="37">
        <v>0.97</v>
      </c>
      <c r="F31" s="19"/>
    </row>
    <row r="32" spans="1:6" x14ac:dyDescent="0.25">
      <c r="A32" s="10" t="s">
        <v>142</v>
      </c>
      <c r="B32" s="38">
        <v>1</v>
      </c>
      <c r="C32" s="38">
        <v>1</v>
      </c>
      <c r="D32" s="38">
        <v>1</v>
      </c>
      <c r="E32" s="38">
        <v>1</v>
      </c>
    </row>
    <row r="33" spans="1:8" x14ac:dyDescent="0.25">
      <c r="A33" s="10" t="s">
        <v>11</v>
      </c>
      <c r="B33" s="9">
        <v>564.35396950015797</v>
      </c>
      <c r="C33" s="9"/>
      <c r="D33" s="9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76</v>
      </c>
      <c r="B36" s="9">
        <f>B20/B31</f>
        <v>572372018.29896903</v>
      </c>
      <c r="C36" s="9">
        <f t="shared" ref="C36:E36" si="1">C20/C31</f>
        <v>572372018.29896903</v>
      </c>
      <c r="D36" s="9">
        <f t="shared" si="1"/>
        <v>0</v>
      </c>
      <c r="E36" s="9">
        <f t="shared" si="1"/>
        <v>0</v>
      </c>
    </row>
    <row r="37" spans="1:8" x14ac:dyDescent="0.25">
      <c r="A37" s="11" t="s">
        <v>143</v>
      </c>
      <c r="B37" s="9">
        <f>B22/B32</f>
        <v>658032921.20000005</v>
      </c>
      <c r="C37" s="9">
        <f t="shared" ref="C37:E37" si="2">C22/C32</f>
        <v>657233168.13</v>
      </c>
      <c r="D37" s="9">
        <f t="shared" si="2"/>
        <v>0</v>
      </c>
      <c r="E37" s="9">
        <f t="shared" si="2"/>
        <v>799753.0700000003</v>
      </c>
    </row>
    <row r="38" spans="1:8" x14ac:dyDescent="0.25">
      <c r="A38" s="11" t="s">
        <v>77</v>
      </c>
      <c r="B38" s="9">
        <f>B36/B10</f>
        <v>1228266.1336887747</v>
      </c>
      <c r="C38" s="9">
        <f t="shared" ref="C38:E38" si="3">C36/C10</f>
        <v>1228266.1336887747</v>
      </c>
      <c r="D38" s="9">
        <f>D36/C10</f>
        <v>0</v>
      </c>
      <c r="E38" s="9">
        <f>E36/C10</f>
        <v>0</v>
      </c>
    </row>
    <row r="39" spans="1:8" x14ac:dyDescent="0.25">
      <c r="A39" s="11" t="s">
        <v>144</v>
      </c>
      <c r="B39" s="9">
        <f>B37/B14</f>
        <v>1087657.7209917356</v>
      </c>
      <c r="C39" s="9">
        <f t="shared" ref="C39:E39" si="4">C37/C14</f>
        <v>1086335.8150909091</v>
      </c>
      <c r="D39" s="9">
        <f>D37/C14</f>
        <v>0</v>
      </c>
      <c r="E39" s="9">
        <f>E37/C14</f>
        <v>1321.9059008264467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73.712602813522608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107.20222284178169</v>
      </c>
      <c r="C45" s="15"/>
      <c r="D45" s="13"/>
    </row>
    <row r="47" spans="1:8" x14ac:dyDescent="0.25">
      <c r="A47" t="s">
        <v>17</v>
      </c>
    </row>
    <row r="48" spans="1:8" x14ac:dyDescent="0.25">
      <c r="A48" t="s">
        <v>18</v>
      </c>
      <c r="B48" s="14">
        <f>(B14/B12)*100</f>
        <v>145.43269230769232</v>
      </c>
      <c r="C48" s="14">
        <f>(C10/C12)*100</f>
        <v>112.01923076923077</v>
      </c>
      <c r="D48" s="14"/>
    </row>
    <row r="49" spans="1:5" x14ac:dyDescent="0.25">
      <c r="A49" t="s">
        <v>19</v>
      </c>
      <c r="B49" s="14">
        <f>B22/B21*100</f>
        <v>107.77552451951907</v>
      </c>
      <c r="C49" s="14">
        <f>C22/C21*100</f>
        <v>107.64453744603317</v>
      </c>
      <c r="D49" s="14" t="e">
        <f>D22/D21*100</f>
        <v>#DIV/0!</v>
      </c>
      <c r="E49" s="14" t="e">
        <f>E22/E21*100</f>
        <v>#DIV/0!</v>
      </c>
    </row>
    <row r="50" spans="1:5" x14ac:dyDescent="0.25">
      <c r="A50" s="11" t="s">
        <v>20</v>
      </c>
      <c r="B50" s="13">
        <f>AVERAGE(B48:B49)</f>
        <v>126.6041084136057</v>
      </c>
      <c r="C50" s="13">
        <f>AVERAGE(C48:C49)</f>
        <v>109.83188410763196</v>
      </c>
      <c r="D50" s="13"/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72.71634615384616</v>
      </c>
      <c r="C53" s="13">
        <f>(C10/C16)*100</f>
        <v>56.009615384615387</v>
      </c>
      <c r="D53" s="13"/>
    </row>
    <row r="54" spans="1:5" x14ac:dyDescent="0.25">
      <c r="A54" s="11" t="s">
        <v>23</v>
      </c>
      <c r="B54" s="13">
        <f>B22/B23*100</f>
        <v>47.818074999278537</v>
      </c>
      <c r="C54" s="13">
        <f>C22/C23*100</f>
        <v>53.822268723016585</v>
      </c>
      <c r="D54" s="13">
        <f>D22/D23*100</f>
        <v>0</v>
      </c>
      <c r="E54" s="13">
        <f>E22/E23*100</f>
        <v>1.0663374266666672</v>
      </c>
    </row>
    <row r="55" spans="1:5" x14ac:dyDescent="0.25">
      <c r="A55" s="11" t="s">
        <v>24</v>
      </c>
      <c r="B55" s="13">
        <f>(B53+B54)/2</f>
        <v>60.267210576562348</v>
      </c>
      <c r="C55" s="13">
        <f>(C53+C54)/2</f>
        <v>54.915942053815982</v>
      </c>
      <c r="D55" s="13"/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99.878463061005888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29.828326180257502</v>
      </c>
      <c r="C61" s="14">
        <f t="shared" ref="C61:E61" si="5">((C14/C10)-1)*100</f>
        <v>29.828326180257502</v>
      </c>
      <c r="D61" s="14" t="e">
        <f t="shared" si="5"/>
        <v>#DIV/0!</v>
      </c>
      <c r="E61" s="14" t="e">
        <f t="shared" si="5"/>
        <v>#DIV/0!</v>
      </c>
    </row>
    <row r="62" spans="1:5" x14ac:dyDescent="0.25">
      <c r="A62" s="11" t="s">
        <v>28</v>
      </c>
      <c r="B62" s="14">
        <f>((B37/B36)-1)*100</f>
        <v>14.965948747041558</v>
      </c>
      <c r="C62" s="14">
        <f>((C37/C36)-1)*100</f>
        <v>14.826222652048848</v>
      </c>
      <c r="D62" s="14" t="e">
        <f t="shared" ref="D62:E62" si="6">((D37/D36)-1)*100</f>
        <v>#DIV/0!</v>
      </c>
      <c r="E62" s="14" t="e">
        <f t="shared" si="6"/>
        <v>#DIV/0!</v>
      </c>
    </row>
    <row r="63" spans="1:5" x14ac:dyDescent="0.25">
      <c r="A63" s="11" t="s">
        <v>29</v>
      </c>
      <c r="B63" s="14">
        <f>((B39/B38)-1)*100</f>
        <v>-11.447715510543199</v>
      </c>
      <c r="C63" s="14">
        <f>((C39/C38)-1)*100</f>
        <v>-11.555339246521035</v>
      </c>
      <c r="D63" s="13"/>
    </row>
    <row r="64" spans="1:5" x14ac:dyDescent="0.25">
      <c r="A64" s="11"/>
      <c r="B64" s="13"/>
      <c r="C64" s="13"/>
      <c r="D64" s="13"/>
    </row>
    <row r="65" spans="1:10" x14ac:dyDescent="0.25">
      <c r="A65" s="11" t="s">
        <v>30</v>
      </c>
      <c r="B65" s="11"/>
      <c r="C65" s="11"/>
      <c r="D65" s="11"/>
    </row>
    <row r="66" spans="1:10" x14ac:dyDescent="0.25">
      <c r="A66" t="s">
        <v>37</v>
      </c>
      <c r="B66" s="9">
        <f>B21/(B12*3)</f>
        <v>489229.78687499999</v>
      </c>
      <c r="C66" s="9">
        <f>C21/(C12*3)</f>
        <v>489229.78687499999</v>
      </c>
      <c r="D66" s="33"/>
      <c r="E66" s="11"/>
      <c r="F66" s="11"/>
      <c r="G66" s="11"/>
      <c r="H66" s="11"/>
      <c r="I66" s="11"/>
      <c r="J66" s="11"/>
    </row>
    <row r="67" spans="1:10" x14ac:dyDescent="0.25">
      <c r="A67" t="s">
        <v>38</v>
      </c>
      <c r="B67" s="9">
        <f>B22/(B14*3)</f>
        <v>362552.5736639119</v>
      </c>
      <c r="C67" s="9">
        <f>C22/(C14*3)</f>
        <v>362111.93836363638</v>
      </c>
      <c r="D67" s="33"/>
      <c r="E67" s="11"/>
      <c r="F67" s="11"/>
      <c r="G67" s="11"/>
      <c r="H67" s="11"/>
      <c r="I67" s="11"/>
      <c r="J67" s="11"/>
    </row>
    <row r="68" spans="1:10" x14ac:dyDescent="0.25">
      <c r="A68" t="s">
        <v>51</v>
      </c>
      <c r="B68" s="9"/>
      <c r="C68" s="9">
        <f>C22/C15</f>
        <v>538274.50297297293</v>
      </c>
      <c r="D68" s="9"/>
    </row>
    <row r="69" spans="1:10" x14ac:dyDescent="0.25">
      <c r="A69" s="11" t="s">
        <v>31</v>
      </c>
      <c r="B69" s="9">
        <f>(B66/B67)*B50</f>
        <v>170.84005321144133</v>
      </c>
      <c r="C69" s="9">
        <f>(C66/C67)*C50</f>
        <v>148.38789766742585</v>
      </c>
      <c r="D69" s="13"/>
    </row>
    <row r="70" spans="1:10" x14ac:dyDescent="0.25">
      <c r="A70" s="13" t="s">
        <v>47</v>
      </c>
      <c r="B70" s="9">
        <f>B21/B12</f>
        <v>1467689.360625</v>
      </c>
      <c r="C70" s="9">
        <f>C21/C12</f>
        <v>1467689.360625</v>
      </c>
      <c r="D70" s="13"/>
    </row>
    <row r="71" spans="1:10" x14ac:dyDescent="0.25">
      <c r="A71" s="13" t="s">
        <v>48</v>
      </c>
      <c r="B71" s="9">
        <f>B22/(B14)</f>
        <v>1087657.7209917356</v>
      </c>
      <c r="C71" s="9">
        <f>C22/(C14)</f>
        <v>1086335.8150909091</v>
      </c>
      <c r="D71" s="33"/>
    </row>
    <row r="72" spans="1:10" x14ac:dyDescent="0.25">
      <c r="B72" s="9"/>
      <c r="C72" s="9"/>
      <c r="D72" s="14"/>
    </row>
    <row r="73" spans="1:10" x14ac:dyDescent="0.25">
      <c r="A73" t="s">
        <v>32</v>
      </c>
      <c r="B73" s="14"/>
      <c r="C73" s="14"/>
      <c r="D73" s="14"/>
    </row>
    <row r="74" spans="1:10" x14ac:dyDescent="0.25">
      <c r="A74" s="11" t="s">
        <v>33</v>
      </c>
      <c r="B74" s="13">
        <f>(B28/B27)*100</f>
        <v>93.491502390775864</v>
      </c>
      <c r="C74" s="13"/>
      <c r="D74" s="13"/>
    </row>
    <row r="75" spans="1:10" x14ac:dyDescent="0.25">
      <c r="A75" s="11" t="s">
        <v>34</v>
      </c>
      <c r="B75" s="13">
        <f>(B22/B28)*100</f>
        <v>115.27841757108452</v>
      </c>
      <c r="C75" s="13"/>
      <c r="D75" s="13"/>
    </row>
    <row r="76" spans="1:10" ht="15.75" thickBot="1" x14ac:dyDescent="0.3">
      <c r="A76" s="16"/>
      <c r="B76" s="16"/>
      <c r="C76" s="16"/>
      <c r="D76" s="16"/>
    </row>
    <row r="77" spans="1:10" ht="15.75" thickTop="1" x14ac:dyDescent="0.25"/>
    <row r="78" spans="1:10" x14ac:dyDescent="0.25">
      <c r="A78" t="s">
        <v>35</v>
      </c>
    </row>
    <row r="79" spans="1:10" x14ac:dyDescent="0.25">
      <c r="A79" t="s">
        <v>100</v>
      </c>
    </row>
    <row r="80" spans="1:10" x14ac:dyDescent="0.25">
      <c r="A80" t="s">
        <v>101</v>
      </c>
      <c r="B80" s="5"/>
      <c r="C80" s="5"/>
      <c r="D80" s="5"/>
    </row>
    <row r="82" spans="1:1" x14ac:dyDescent="0.25">
      <c r="A82" t="s">
        <v>168</v>
      </c>
    </row>
    <row r="84" spans="1:1" x14ac:dyDescent="0.25">
      <c r="A84" s="20"/>
    </row>
    <row r="85" spans="1:1" x14ac:dyDescent="0.25">
      <c r="A85" s="21"/>
    </row>
    <row r="86" spans="1:1" x14ac:dyDescent="0.25">
      <c r="A86" s="21"/>
    </row>
  </sheetData>
  <mergeCells count="2">
    <mergeCell ref="A2:D2"/>
    <mergeCell ref="A4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8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2.7109375" bestFit="1" customWidth="1"/>
  </cols>
  <sheetData>
    <row r="2" spans="1:5" ht="15.75" x14ac:dyDescent="0.25">
      <c r="A2" s="39" t="s">
        <v>145</v>
      </c>
      <c r="B2" s="39"/>
      <c r="C2" s="39"/>
      <c r="D2" s="39"/>
    </row>
    <row r="4" spans="1:5" x14ac:dyDescent="0.25">
      <c r="A4" s="40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5" ht="15.75" thickBot="1" x14ac:dyDescent="0.3">
      <c r="A5" s="41"/>
      <c r="B5" s="2" t="s">
        <v>3</v>
      </c>
      <c r="C5" s="2" t="s">
        <v>4</v>
      </c>
      <c r="D5" s="2" t="s">
        <v>41</v>
      </c>
      <c r="E5" s="2" t="s">
        <v>44</v>
      </c>
    </row>
    <row r="6" spans="1:5" ht="15.75" thickTop="1" x14ac:dyDescent="0.25"/>
    <row r="7" spans="1:5" x14ac:dyDescent="0.25">
      <c r="A7" s="3" t="s">
        <v>6</v>
      </c>
    </row>
    <row r="9" spans="1:5" x14ac:dyDescent="0.25">
      <c r="A9" t="s">
        <v>7</v>
      </c>
    </row>
    <row r="10" spans="1:5" x14ac:dyDescent="0.25">
      <c r="A10" s="4" t="s">
        <v>78</v>
      </c>
      <c r="B10" s="7">
        <f>C10</f>
        <v>624</v>
      </c>
      <c r="C10" s="7">
        <v>624</v>
      </c>
      <c r="D10" s="5"/>
    </row>
    <row r="11" spans="1:5" x14ac:dyDescent="0.25">
      <c r="A11" s="26" t="s">
        <v>4</v>
      </c>
      <c r="B11" s="27">
        <f t="shared" ref="B11:B17" si="0">C11</f>
        <v>1810</v>
      </c>
      <c r="C11" s="27">
        <f>+('I Trimestre'!C11+'II Trimestre'!C11+'III Trimestre'!C11)</f>
        <v>1810</v>
      </c>
      <c r="D11" s="28"/>
      <c r="E11" s="29"/>
    </row>
    <row r="12" spans="1:5" x14ac:dyDescent="0.25">
      <c r="A12" s="10" t="s">
        <v>146</v>
      </c>
      <c r="B12" s="9">
        <f t="shared" si="0"/>
        <v>624</v>
      </c>
      <c r="C12" s="9">
        <f>+('I Trimestre'!C12+'II Trimestre'!C12+'III Trimestre'!C12)</f>
        <v>624</v>
      </c>
      <c r="D12" s="31"/>
      <c r="E12" s="11"/>
    </row>
    <row r="13" spans="1:5" x14ac:dyDescent="0.25">
      <c r="A13" s="26" t="s">
        <v>4</v>
      </c>
      <c r="B13" s="27">
        <f t="shared" ref="B13" si="1">C13</f>
        <v>1872</v>
      </c>
      <c r="C13" s="27">
        <f>+('I Trimestre'!C13+'II Trimestre'!C13+'III Trimestre'!C13)</f>
        <v>1872</v>
      </c>
      <c r="D13" s="28"/>
      <c r="E13" s="29"/>
    </row>
    <row r="14" spans="1:5" x14ac:dyDescent="0.25">
      <c r="A14" s="4" t="s">
        <v>147</v>
      </c>
      <c r="B14" s="7">
        <f>C14</f>
        <v>624</v>
      </c>
      <c r="C14" s="7">
        <v>624</v>
      </c>
      <c r="D14" s="5"/>
    </row>
    <row r="15" spans="1:5" x14ac:dyDescent="0.25">
      <c r="A15" s="26" t="s">
        <v>4</v>
      </c>
      <c r="B15" s="27">
        <f t="shared" si="0"/>
        <v>1900</v>
      </c>
      <c r="C15" s="27">
        <f>+('I Trimestre'!C15+'II Trimestre'!C15+'III Trimestre'!C15)</f>
        <v>1900</v>
      </c>
      <c r="D15" s="28"/>
      <c r="E15" s="29"/>
    </row>
    <row r="16" spans="1:5" x14ac:dyDescent="0.25">
      <c r="A16" s="10" t="s">
        <v>90</v>
      </c>
      <c r="B16" s="9">
        <f t="shared" si="0"/>
        <v>832</v>
      </c>
      <c r="C16" s="9">
        <f>'III Trimestre'!C16</f>
        <v>832</v>
      </c>
      <c r="D16" s="31"/>
      <c r="E16" s="11"/>
    </row>
    <row r="17" spans="1:6" x14ac:dyDescent="0.25">
      <c r="A17" s="26" t="s">
        <v>4</v>
      </c>
      <c r="B17" s="27">
        <f t="shared" si="0"/>
        <v>2496</v>
      </c>
      <c r="C17" s="27">
        <f>'III Trimestre'!C17</f>
        <v>2496</v>
      </c>
      <c r="D17" s="28"/>
      <c r="E17" s="29"/>
    </row>
    <row r="18" spans="1:6" x14ac:dyDescent="0.25">
      <c r="B18" s="5"/>
      <c r="C18" s="7"/>
      <c r="D18" s="5"/>
    </row>
    <row r="19" spans="1:6" x14ac:dyDescent="0.25">
      <c r="A19" s="6" t="s">
        <v>8</v>
      </c>
      <c r="B19" s="5"/>
      <c r="C19" s="5"/>
      <c r="D19" s="5"/>
    </row>
    <row r="20" spans="1:6" x14ac:dyDescent="0.25">
      <c r="A20" s="4" t="s">
        <v>79</v>
      </c>
      <c r="B20" s="9">
        <f>SUM(C20:E20)</f>
        <v>879444542.38999999</v>
      </c>
      <c r="C20" s="9">
        <f>+'I Trimestre'!C20+'II Trimestre'!C20+'III Trimestre'!C20</f>
        <v>879444542.38999999</v>
      </c>
      <c r="D20" s="9">
        <f>+'I Trimestre'!D20+'II Trimestre'!D20+'III Trimestre'!D20</f>
        <v>0</v>
      </c>
      <c r="E20" s="9">
        <f>+'I Trimestre'!E20+'II Trimestre'!E20+'III Trimestre'!E20</f>
        <v>0</v>
      </c>
    </row>
    <row r="21" spans="1:6" x14ac:dyDescent="0.25">
      <c r="A21" s="4" t="s">
        <v>148</v>
      </c>
      <c r="B21" s="9">
        <f>SUM(C21:E21)</f>
        <v>1070838161.03</v>
      </c>
      <c r="C21" s="9">
        <f>+'I Trimestre'!C21+'II Trimestre'!C21+'III Trimestre'!C21</f>
        <v>915838161.02999997</v>
      </c>
      <c r="D21" s="9">
        <f>+'I Trimestre'!D21+'II Trimestre'!D21+'III Trimestre'!D21</f>
        <v>80000000</v>
      </c>
      <c r="E21" s="9">
        <f>+'I Trimestre'!E21+'II Trimestre'!E21+'III Trimestre'!E21</f>
        <v>75000000</v>
      </c>
    </row>
    <row r="22" spans="1:6" x14ac:dyDescent="0.25">
      <c r="A22" s="4" t="s">
        <v>149</v>
      </c>
      <c r="B22" s="9">
        <f t="shared" ref="B22" si="2">SUM(C22:E22)</f>
        <v>1100432175.71</v>
      </c>
      <c r="C22" s="9">
        <f>+'I Trimestre'!C22+'II Trimestre'!C22+'III Trimestre'!C22</f>
        <v>1083799490.76</v>
      </c>
      <c r="D22" s="9">
        <f>+'I Trimestre'!D22+'II Trimestre'!D22+'III Trimestre'!D22</f>
        <v>372685</v>
      </c>
      <c r="E22" s="9">
        <f>+'I Trimestre'!E22+'II Trimestre'!E22+'III Trimestre'!E22</f>
        <v>16259999.950000001</v>
      </c>
    </row>
    <row r="23" spans="1:6" x14ac:dyDescent="0.25">
      <c r="A23" s="4" t="s">
        <v>93</v>
      </c>
      <c r="B23" s="7">
        <f>+'III Trimestre'!B23</f>
        <v>1376117548.04</v>
      </c>
      <c r="C23" s="7">
        <f>+'III Trimestre'!C23</f>
        <v>1221117548.04</v>
      </c>
      <c r="D23" s="7">
        <f>+'III Trimestre'!D23</f>
        <v>80000000</v>
      </c>
      <c r="E23" s="7">
        <f>+'III Trimestre'!E23</f>
        <v>75000000</v>
      </c>
    </row>
    <row r="24" spans="1:6" x14ac:dyDescent="0.25">
      <c r="A24" s="4" t="s">
        <v>150</v>
      </c>
      <c r="B24" s="7">
        <f>C24</f>
        <v>1083799490.76</v>
      </c>
      <c r="C24" s="7">
        <f>C22</f>
        <v>1083799490.76</v>
      </c>
      <c r="D24" s="7"/>
    </row>
    <row r="25" spans="1:6" x14ac:dyDescent="0.25">
      <c r="B25" s="7"/>
      <c r="C25" s="7"/>
      <c r="D25" s="7"/>
    </row>
    <row r="26" spans="1:6" x14ac:dyDescent="0.25">
      <c r="A26" s="8" t="s">
        <v>9</v>
      </c>
      <c r="B26" s="9"/>
      <c r="C26" s="9"/>
      <c r="D26" s="9"/>
    </row>
    <row r="27" spans="1:6" x14ac:dyDescent="0.25">
      <c r="A27" s="10" t="s">
        <v>151</v>
      </c>
      <c r="B27" s="9">
        <f>B21</f>
        <v>1070838161.03</v>
      </c>
      <c r="C27" s="9"/>
      <c r="D27" s="9"/>
    </row>
    <row r="28" spans="1:6" x14ac:dyDescent="0.25">
      <c r="A28" s="10" t="s">
        <v>152</v>
      </c>
      <c r="B28" s="7">
        <f>'I Trimestre'!B28+'II Trimestre'!B28+'III Trimestre'!B28</f>
        <v>951559549.87000012</v>
      </c>
      <c r="C28" s="9"/>
      <c r="D28" s="9"/>
    </row>
    <row r="29" spans="1:6" x14ac:dyDescent="0.25">
      <c r="A29" s="11"/>
      <c r="B29" s="11"/>
      <c r="C29" s="11"/>
      <c r="D29" s="11"/>
    </row>
    <row r="30" spans="1:6" x14ac:dyDescent="0.25">
      <c r="A30" s="11" t="s">
        <v>10</v>
      </c>
      <c r="B30" s="11"/>
      <c r="C30" s="11"/>
      <c r="D30" s="11"/>
    </row>
    <row r="31" spans="1:6" x14ac:dyDescent="0.25">
      <c r="A31" s="10" t="s">
        <v>80</v>
      </c>
      <c r="B31" s="11">
        <v>0.98</v>
      </c>
      <c r="C31" s="11">
        <v>0.98</v>
      </c>
      <c r="D31" s="11">
        <v>0.98</v>
      </c>
      <c r="E31" s="11">
        <v>0.98</v>
      </c>
    </row>
    <row r="32" spans="1:6" x14ac:dyDescent="0.25">
      <c r="A32" s="10" t="s">
        <v>153</v>
      </c>
      <c r="B32" s="11">
        <v>0.99</v>
      </c>
      <c r="C32" s="11">
        <v>0.99</v>
      </c>
      <c r="D32" s="11">
        <v>0.99</v>
      </c>
      <c r="E32" s="11">
        <v>0.99</v>
      </c>
      <c r="F32" s="19"/>
    </row>
    <row r="33" spans="1:8" x14ac:dyDescent="0.25">
      <c r="A33" s="10" t="s">
        <v>11</v>
      </c>
      <c r="B33" s="9">
        <v>564.35396950015797</v>
      </c>
      <c r="C33" s="9"/>
      <c r="D33" s="9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81</v>
      </c>
      <c r="B36" s="9">
        <f>B20/B31</f>
        <v>897392390.19387758</v>
      </c>
      <c r="C36" s="9">
        <f t="shared" ref="C36:E36" si="3">C20/C31</f>
        <v>897392390.19387758</v>
      </c>
      <c r="D36" s="9">
        <f t="shared" si="3"/>
        <v>0</v>
      </c>
      <c r="E36" s="9">
        <f t="shared" si="3"/>
        <v>0</v>
      </c>
    </row>
    <row r="37" spans="1:8" x14ac:dyDescent="0.25">
      <c r="A37" s="11" t="s">
        <v>154</v>
      </c>
      <c r="B37" s="9">
        <f>B22/B32</f>
        <v>1111547652.2323232</v>
      </c>
      <c r="C37" s="9">
        <f t="shared" ref="C37:E37" si="4">C22/C32</f>
        <v>1094746960.3636363</v>
      </c>
      <c r="D37" s="9">
        <f t="shared" si="4"/>
        <v>376449.49494949495</v>
      </c>
      <c r="E37" s="9">
        <f t="shared" si="4"/>
        <v>16424242.373737374</v>
      </c>
    </row>
    <row r="38" spans="1:8" x14ac:dyDescent="0.25">
      <c r="A38" s="11" t="s">
        <v>82</v>
      </c>
      <c r="B38" s="9">
        <f>B36/B10</f>
        <v>1438128.8304389063</v>
      </c>
      <c r="C38" s="9">
        <f t="shared" ref="C38:E38" si="5">C36/C10</f>
        <v>1438128.8304389063</v>
      </c>
      <c r="D38" s="9">
        <f>D36/C10</f>
        <v>0</v>
      </c>
      <c r="E38" s="9">
        <f>E36/C10</f>
        <v>0</v>
      </c>
    </row>
    <row r="39" spans="1:8" x14ac:dyDescent="0.25">
      <c r="A39" s="11" t="s">
        <v>155</v>
      </c>
      <c r="B39" s="9">
        <f>B37/B14</f>
        <v>1781326.3657569282</v>
      </c>
      <c r="C39" s="9">
        <f t="shared" ref="C39:E39" si="6">C37/C14</f>
        <v>1754402.1800699299</v>
      </c>
      <c r="D39" s="9">
        <f>D37/C14</f>
        <v>603.284447034447</v>
      </c>
      <c r="E39" s="9">
        <f>E37/C14</f>
        <v>26320.901239963739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110.56890422028391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110.56890422028393</v>
      </c>
      <c r="C45" s="15"/>
      <c r="D45" s="13"/>
    </row>
    <row r="47" spans="1:8" x14ac:dyDescent="0.25">
      <c r="A47" t="s">
        <v>17</v>
      </c>
    </row>
    <row r="48" spans="1:8" x14ac:dyDescent="0.25">
      <c r="A48" t="s">
        <v>18</v>
      </c>
      <c r="B48" s="14">
        <f>(B14/B12)*100</f>
        <v>100</v>
      </c>
      <c r="C48" s="14">
        <f>(C10/C12)*100</f>
        <v>100</v>
      </c>
      <c r="D48" s="14"/>
    </row>
    <row r="49" spans="1:5" x14ac:dyDescent="0.25">
      <c r="A49" t="s">
        <v>19</v>
      </c>
      <c r="B49" s="14">
        <f>B22/B21*100</f>
        <v>102.76363093481228</v>
      </c>
      <c r="C49" s="14">
        <f>C22/C21*100</f>
        <v>118.33962995613787</v>
      </c>
      <c r="D49" s="14">
        <f>D22/D21*100</f>
        <v>0.46585625000000003</v>
      </c>
      <c r="E49" s="14">
        <f>E22/E21*100</f>
        <v>21.679999933333335</v>
      </c>
    </row>
    <row r="50" spans="1:5" x14ac:dyDescent="0.25">
      <c r="A50" s="11" t="s">
        <v>20</v>
      </c>
      <c r="B50" s="13">
        <f>AVERAGE(B48:B49)</f>
        <v>101.38181546740614</v>
      </c>
      <c r="C50" s="13">
        <f>AVERAGE(C48:C49)</f>
        <v>109.16981497806893</v>
      </c>
      <c r="D50" s="13"/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75</v>
      </c>
      <c r="C53" s="13">
        <f>(C10/C16)*100</f>
        <v>75</v>
      </c>
      <c r="D53" s="13"/>
    </row>
    <row r="54" spans="1:5" x14ac:dyDescent="0.25">
      <c r="A54" s="11" t="s">
        <v>23</v>
      </c>
      <c r="B54" s="13">
        <f>B22/B23*100</f>
        <v>79.966437262379387</v>
      </c>
      <c r="C54" s="13">
        <f>C22/C23*100</f>
        <v>88.754722467103392</v>
      </c>
      <c r="D54" s="13">
        <f>D22/D23*100</f>
        <v>0.46585625000000003</v>
      </c>
      <c r="E54" s="13">
        <f>E22/E23*100</f>
        <v>21.679999933333335</v>
      </c>
    </row>
    <row r="55" spans="1:5" x14ac:dyDescent="0.25">
      <c r="A55" s="11" t="s">
        <v>24</v>
      </c>
      <c r="B55" s="13">
        <f>(B53+B54)/2</f>
        <v>77.483218631189686</v>
      </c>
      <c r="C55" s="13">
        <f>(C53+C54)/2</f>
        <v>81.877361233551696</v>
      </c>
      <c r="D55" s="13"/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98.488531568129716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0</v>
      </c>
      <c r="C61" s="14">
        <f>((C14/C10)-1)*100</f>
        <v>0</v>
      </c>
      <c r="D61" s="13"/>
    </row>
    <row r="62" spans="1:5" x14ac:dyDescent="0.25">
      <c r="A62" s="11" t="s">
        <v>28</v>
      </c>
      <c r="B62" s="14">
        <f>((B37/B36)-1)*100</f>
        <v>23.864171835932147</v>
      </c>
      <c r="C62" s="14">
        <f>((C37/C36)-1)*100</f>
        <v>21.992003980234465</v>
      </c>
      <c r="D62" s="14" t="e">
        <f t="shared" ref="D62:E62" si="7">((D37/D36)-1)*100</f>
        <v>#DIV/0!</v>
      </c>
      <c r="E62" s="14" t="e">
        <f t="shared" si="7"/>
        <v>#DIV/0!</v>
      </c>
    </row>
    <row r="63" spans="1:5" x14ac:dyDescent="0.25">
      <c r="A63" s="11" t="s">
        <v>29</v>
      </c>
      <c r="B63" s="14">
        <f>((B39/B38)-1)*100</f>
        <v>23.864171835932147</v>
      </c>
      <c r="C63" s="14">
        <f>((C39/C38)-1)*100</f>
        <v>21.992003980234465</v>
      </c>
      <c r="D63" s="13"/>
    </row>
    <row r="64" spans="1:5" x14ac:dyDescent="0.25">
      <c r="A64" s="11"/>
      <c r="B64" s="13"/>
      <c r="C64" s="13"/>
      <c r="D64" s="13"/>
    </row>
    <row r="65" spans="1:4" x14ac:dyDescent="0.25">
      <c r="A65" s="11" t="s">
        <v>30</v>
      </c>
      <c r="B65" s="11"/>
      <c r="C65" s="11"/>
      <c r="D65" s="11"/>
    </row>
    <row r="66" spans="1:4" x14ac:dyDescent="0.25">
      <c r="A66" t="s">
        <v>37</v>
      </c>
      <c r="B66" s="9">
        <f>B21/(B12*3)</f>
        <v>572028.93217414524</v>
      </c>
      <c r="C66" s="9">
        <f>C21/(C12*3)</f>
        <v>489229.78687499999</v>
      </c>
      <c r="D66" s="33"/>
    </row>
    <row r="67" spans="1:4" x14ac:dyDescent="0.25">
      <c r="A67" t="s">
        <v>38</v>
      </c>
      <c r="B67" s="9">
        <f>B22/(B14*3)</f>
        <v>587837.70069978631</v>
      </c>
      <c r="C67" s="9">
        <f>C22/(C14*3)</f>
        <v>578952.71942307695</v>
      </c>
      <c r="D67" s="33"/>
    </row>
    <row r="68" spans="1:4" x14ac:dyDescent="0.25">
      <c r="A68" t="s">
        <v>51</v>
      </c>
      <c r="B68" s="9"/>
      <c r="C68" s="9">
        <f>C22/C15</f>
        <v>570420.78461052629</v>
      </c>
      <c r="D68" s="9"/>
    </row>
    <row r="69" spans="1:4" x14ac:dyDescent="0.25">
      <c r="A69" s="11" t="s">
        <v>31</v>
      </c>
      <c r="B69" s="9">
        <f>(B66/B67)*B50</f>
        <v>98.655345811707747</v>
      </c>
      <c r="C69" s="9">
        <f>(C66/C67)*C50</f>
        <v>92.251272898632777</v>
      </c>
      <c r="D69" s="13"/>
    </row>
    <row r="70" spans="1:4" x14ac:dyDescent="0.25">
      <c r="A70" s="13" t="s">
        <v>49</v>
      </c>
      <c r="B70" s="9">
        <f>B21/B12</f>
        <v>1716086.796522436</v>
      </c>
      <c r="C70" s="9">
        <f>C21/C12</f>
        <v>1467689.360625</v>
      </c>
      <c r="D70" s="13"/>
    </row>
    <row r="71" spans="1:4" x14ac:dyDescent="0.25">
      <c r="A71" s="13" t="s">
        <v>50</v>
      </c>
      <c r="B71" s="9">
        <f>B22/(B14)</f>
        <v>1763513.102099359</v>
      </c>
      <c r="C71" s="9">
        <f>C22/C14</f>
        <v>1736858.1582692307</v>
      </c>
      <c r="D71" s="33"/>
    </row>
    <row r="72" spans="1:4" x14ac:dyDescent="0.25">
      <c r="B72" s="9"/>
      <c r="C72" s="9"/>
      <c r="D72" s="14"/>
    </row>
    <row r="73" spans="1:4" x14ac:dyDescent="0.25">
      <c r="A73" t="s">
        <v>32</v>
      </c>
      <c r="B73" s="14"/>
      <c r="C73" s="14"/>
      <c r="D73" s="14"/>
    </row>
    <row r="74" spans="1:4" x14ac:dyDescent="0.25">
      <c r="A74" s="11" t="s">
        <v>33</v>
      </c>
      <c r="B74" s="13">
        <f>(B28/B27)*100</f>
        <v>88.861191587973465</v>
      </c>
      <c r="C74" s="13"/>
      <c r="D74" s="13"/>
    </row>
    <row r="75" spans="1:4" x14ac:dyDescent="0.25">
      <c r="A75" s="11" t="s">
        <v>34</v>
      </c>
      <c r="B75" s="13">
        <f>(B22/B28)*100</f>
        <v>115.64511920040512</v>
      </c>
      <c r="C75" s="13"/>
      <c r="D75" s="13"/>
    </row>
    <row r="76" spans="1:4" ht="15.75" thickBot="1" x14ac:dyDescent="0.3">
      <c r="A76" s="16"/>
      <c r="B76" s="16"/>
      <c r="C76" s="16"/>
      <c r="D76" s="16"/>
    </row>
    <row r="77" spans="1:4" ht="15.75" thickTop="1" x14ac:dyDescent="0.25"/>
    <row r="78" spans="1:4" x14ac:dyDescent="0.25">
      <c r="A78" t="s">
        <v>35</v>
      </c>
    </row>
    <row r="79" spans="1:4" x14ac:dyDescent="0.25">
      <c r="A79" t="s">
        <v>100</v>
      </c>
    </row>
    <row r="80" spans="1:4" x14ac:dyDescent="0.25">
      <c r="A80" t="s">
        <v>101</v>
      </c>
      <c r="B80" s="5"/>
      <c r="C80" s="5"/>
      <c r="D80" s="5"/>
    </row>
    <row r="82" spans="1:2" x14ac:dyDescent="0.25">
      <c r="A82" t="s">
        <v>170</v>
      </c>
    </row>
    <row r="84" spans="1:2" x14ac:dyDescent="0.25">
      <c r="A84" s="20"/>
    </row>
    <row r="85" spans="1:2" x14ac:dyDescent="0.25">
      <c r="A85" s="21"/>
    </row>
    <row r="86" spans="1:2" x14ac:dyDescent="0.25">
      <c r="A86" s="21"/>
    </row>
    <row r="88" spans="1:2" x14ac:dyDescent="0.25">
      <c r="B88" s="32"/>
    </row>
  </sheetData>
  <mergeCells count="2">
    <mergeCell ref="A2:D2"/>
    <mergeCell ref="A4:A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tabSelected="1" zoomScale="90" zoomScaleNormal="90" workbookViewId="0">
      <selection activeCell="D62" sqref="D62"/>
    </sheetView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6.85546875" bestFit="1" customWidth="1"/>
  </cols>
  <sheetData>
    <row r="2" spans="1:5" ht="15.75" x14ac:dyDescent="0.25">
      <c r="A2" s="39" t="s">
        <v>156</v>
      </c>
      <c r="B2" s="39"/>
      <c r="C2" s="39"/>
      <c r="D2" s="39"/>
    </row>
    <row r="4" spans="1:5" x14ac:dyDescent="0.25">
      <c r="A4" s="40" t="s">
        <v>0</v>
      </c>
      <c r="B4" s="42" t="s">
        <v>42</v>
      </c>
      <c r="C4" s="18" t="s">
        <v>2</v>
      </c>
      <c r="D4" s="1" t="s">
        <v>5</v>
      </c>
      <c r="E4" s="1" t="s">
        <v>43</v>
      </c>
    </row>
    <row r="5" spans="1:5" ht="15.75" thickBot="1" x14ac:dyDescent="0.3">
      <c r="A5" s="41"/>
      <c r="B5" s="43"/>
      <c r="C5" s="2" t="s">
        <v>4</v>
      </c>
      <c r="D5" s="2" t="s">
        <v>41</v>
      </c>
      <c r="E5" s="2" t="s">
        <v>44</v>
      </c>
    </row>
    <row r="6" spans="1:5" ht="15.75" thickTop="1" x14ac:dyDescent="0.25"/>
    <row r="7" spans="1:5" x14ac:dyDescent="0.25">
      <c r="A7" s="3" t="s">
        <v>6</v>
      </c>
    </row>
    <row r="9" spans="1:5" x14ac:dyDescent="0.25">
      <c r="A9" t="s">
        <v>7</v>
      </c>
    </row>
    <row r="10" spans="1:5" x14ac:dyDescent="0.25">
      <c r="A10" s="4" t="s">
        <v>157</v>
      </c>
      <c r="B10" s="7">
        <f>C10</f>
        <v>779</v>
      </c>
      <c r="C10" s="7">
        <v>779</v>
      </c>
      <c r="D10" s="5"/>
    </row>
    <row r="11" spans="1:5" x14ac:dyDescent="0.25">
      <c r="A11" s="26" t="s">
        <v>4</v>
      </c>
      <c r="B11" s="27">
        <f>+'I Trimestre'!B11+'II Trimestre'!B11+'III Trimestre'!B11+'IV Trimestre'!B11</f>
        <v>2468</v>
      </c>
      <c r="C11" s="27">
        <f>+'I Trimestre'!C11+'II Trimestre'!C11+'III Trimestre'!C11+'IV Trimestre'!C11</f>
        <v>2468</v>
      </c>
      <c r="D11" s="28"/>
      <c r="E11" s="29"/>
    </row>
    <row r="12" spans="1:5" x14ac:dyDescent="0.25">
      <c r="A12" s="10" t="s">
        <v>158</v>
      </c>
      <c r="B12" s="9">
        <f>C12</f>
        <v>832</v>
      </c>
      <c r="C12" s="9">
        <f>+('I Trimestre'!C12+'II Trimestre'!C12+'III Trimestre'!C12+'IV Trimestre'!C12)</f>
        <v>832</v>
      </c>
      <c r="D12" s="31"/>
      <c r="E12" s="11"/>
    </row>
    <row r="13" spans="1:5" x14ac:dyDescent="0.25">
      <c r="A13" s="26" t="s">
        <v>4</v>
      </c>
      <c r="B13" s="27">
        <f>C13</f>
        <v>2496</v>
      </c>
      <c r="C13" s="27">
        <f>+('I Trimestre'!C13+'II Trimestre'!C13+'III Trimestre'!C13+'IV Trimestre'!C13)</f>
        <v>2496</v>
      </c>
      <c r="D13" s="28"/>
      <c r="E13" s="29"/>
    </row>
    <row r="14" spans="1:5" x14ac:dyDescent="0.25">
      <c r="A14" s="4" t="s">
        <v>159</v>
      </c>
      <c r="B14" s="7">
        <f>C14</f>
        <v>1261</v>
      </c>
      <c r="C14">
        <v>1261</v>
      </c>
      <c r="D14" s="5"/>
    </row>
    <row r="15" spans="1:5" x14ac:dyDescent="0.25">
      <c r="A15" s="26" t="s">
        <v>4</v>
      </c>
      <c r="B15" s="27">
        <f>C15</f>
        <v>2594</v>
      </c>
      <c r="C15" s="27">
        <f>+('I Trimestre'!C15+'II Trimestre'!C15+'III Trimestre'!C15+'IV Trimestre'!C15)</f>
        <v>2594</v>
      </c>
      <c r="D15" s="28"/>
      <c r="E15" s="29"/>
    </row>
    <row r="16" spans="1:5" x14ac:dyDescent="0.25">
      <c r="A16" s="10" t="s">
        <v>90</v>
      </c>
      <c r="B16" s="9">
        <f t="shared" ref="B16:B17" si="0">C16</f>
        <v>832</v>
      </c>
      <c r="C16" s="9">
        <f>'IV Trimestre'!C16</f>
        <v>832</v>
      </c>
      <c r="D16" s="31"/>
      <c r="E16" s="11"/>
    </row>
    <row r="17" spans="1:6" x14ac:dyDescent="0.25">
      <c r="A17" s="26" t="s">
        <v>4</v>
      </c>
      <c r="B17" s="27">
        <f t="shared" si="0"/>
        <v>2496</v>
      </c>
      <c r="C17" s="27">
        <f>'IV Trimestre'!C17</f>
        <v>2496</v>
      </c>
      <c r="D17" s="28"/>
      <c r="E17" s="29"/>
    </row>
    <row r="18" spans="1:6" x14ac:dyDescent="0.25">
      <c r="B18" s="5"/>
      <c r="C18" s="5"/>
      <c r="D18" s="5"/>
    </row>
    <row r="19" spans="1:6" x14ac:dyDescent="0.25">
      <c r="A19" s="6" t="s">
        <v>8</v>
      </c>
      <c r="B19" s="5"/>
      <c r="C19" s="5"/>
      <c r="D19" s="5"/>
    </row>
    <row r="20" spans="1:6" x14ac:dyDescent="0.25">
      <c r="A20" s="4" t="s">
        <v>83</v>
      </c>
      <c r="B20" s="9">
        <f>SUM(C20:E20)</f>
        <v>1304867246.9099998</v>
      </c>
      <c r="C20" s="9">
        <f>+'I Trimestre'!C20+'II Trimestre'!C20+'III Trimestre'!C20+'IV Trimestre'!C20</f>
        <v>1233547840.8099999</v>
      </c>
      <c r="D20" s="9">
        <f>+'I Trimestre'!D20+'II Trimestre'!D20+'III Trimestre'!D20+'IV Trimestre'!D20</f>
        <v>0</v>
      </c>
      <c r="E20" s="9">
        <f>+'I Trimestre'!E20+'II Trimestre'!E20+'III Trimestre'!E20+'IV Trimestre'!E20</f>
        <v>71319406.099999994</v>
      </c>
      <c r="F20" s="19"/>
    </row>
    <row r="21" spans="1:6" x14ac:dyDescent="0.25">
      <c r="A21" s="4" t="s">
        <v>160</v>
      </c>
      <c r="B21" s="9">
        <f>SUM(C21:E21)</f>
        <v>1376117548.04</v>
      </c>
      <c r="C21" s="9">
        <f>+'I Trimestre'!C21+'II Trimestre'!C21+'III Trimestre'!C21+'IV Trimestre'!C21</f>
        <v>1221117548.04</v>
      </c>
      <c r="D21" s="9">
        <f>+'I Trimestre'!D21+'II Trimestre'!D21+'III Trimestre'!D21+'IV Trimestre'!D21</f>
        <v>80000000</v>
      </c>
      <c r="E21" s="9">
        <f>+'I Trimestre'!E21+'II Trimestre'!E21+'III Trimestre'!E21+'IV Trimestre'!E21</f>
        <v>75000000</v>
      </c>
    </row>
    <row r="22" spans="1:6" x14ac:dyDescent="0.25">
      <c r="A22" s="4" t="s">
        <v>161</v>
      </c>
      <c r="B22" s="9">
        <f t="shared" ref="B22:B23" si="1">SUM(C22:E22)</f>
        <v>1484399760.1399999</v>
      </c>
      <c r="C22" s="9">
        <f>+'I Trimestre'!C22+'II Trimestre'!C22+'III Trimestre'!C22+'IV Trimestre'!C22</f>
        <v>1435949288.55</v>
      </c>
      <c r="D22" s="9">
        <f>+'I Trimestre'!D22+'II Trimestre'!D22+'III Trimestre'!D22+'IV Trimestre'!D22</f>
        <v>773323</v>
      </c>
      <c r="E22" s="9">
        <f>+'I Trimestre'!E22+'II Trimestre'!E22+'III Trimestre'!E22+'IV Trimestre'!E22</f>
        <v>47677148.590000004</v>
      </c>
    </row>
    <row r="23" spans="1:6" x14ac:dyDescent="0.25">
      <c r="A23" s="4" t="s">
        <v>93</v>
      </c>
      <c r="B23" s="9">
        <f t="shared" si="1"/>
        <v>1376117548.04</v>
      </c>
      <c r="C23" s="7">
        <f>+'IV Trimestre'!C23</f>
        <v>1221117548.04</v>
      </c>
      <c r="D23" s="7">
        <f>+'IV Trimestre'!D23</f>
        <v>80000000</v>
      </c>
      <c r="E23" s="7">
        <f>+'IV Trimestre'!E23</f>
        <v>75000000</v>
      </c>
    </row>
    <row r="24" spans="1:6" x14ac:dyDescent="0.25">
      <c r="A24" s="4" t="s">
        <v>162</v>
      </c>
      <c r="B24" s="7">
        <f>C24</f>
        <v>1435949288.55</v>
      </c>
      <c r="C24" s="7">
        <f>C22</f>
        <v>1435949288.55</v>
      </c>
      <c r="D24" s="7"/>
    </row>
    <row r="25" spans="1:6" x14ac:dyDescent="0.25">
      <c r="B25" s="7"/>
      <c r="C25" s="7"/>
      <c r="D25" s="7"/>
    </row>
    <row r="26" spans="1:6" x14ac:dyDescent="0.25">
      <c r="A26" s="8" t="s">
        <v>9</v>
      </c>
      <c r="B26" s="9"/>
      <c r="C26" s="9"/>
      <c r="D26" s="9"/>
    </row>
    <row r="27" spans="1:6" x14ac:dyDescent="0.25">
      <c r="A27" s="10" t="s">
        <v>163</v>
      </c>
      <c r="B27" s="9">
        <f>B21</f>
        <v>1376117548.04</v>
      </c>
      <c r="C27" s="9"/>
      <c r="D27" s="9"/>
    </row>
    <row r="28" spans="1:6" x14ac:dyDescent="0.25">
      <c r="A28" s="10" t="s">
        <v>164</v>
      </c>
      <c r="B28" s="7">
        <f>'I Trimestre'!B28+'II Trimestre'!B28+'III Trimestre'!B28+'IV Trimestre'!B28</f>
        <v>1433890360.02</v>
      </c>
      <c r="C28" s="9"/>
      <c r="D28" s="9"/>
    </row>
    <row r="29" spans="1:6" x14ac:dyDescent="0.25">
      <c r="A29" s="11"/>
      <c r="B29" s="11"/>
      <c r="C29" s="11"/>
      <c r="D29" s="11"/>
    </row>
    <row r="30" spans="1:6" x14ac:dyDescent="0.25">
      <c r="A30" s="11" t="s">
        <v>10</v>
      </c>
      <c r="B30" s="11"/>
      <c r="C30" s="11"/>
      <c r="D30" s="11"/>
    </row>
    <row r="31" spans="1:6" x14ac:dyDescent="0.25">
      <c r="A31" s="10" t="s">
        <v>84</v>
      </c>
      <c r="B31" s="17">
        <v>0.98</v>
      </c>
      <c r="C31" s="17">
        <v>0.98</v>
      </c>
      <c r="D31" s="17">
        <v>0.98</v>
      </c>
      <c r="E31" s="17">
        <v>0.98</v>
      </c>
    </row>
    <row r="32" spans="1:6" x14ac:dyDescent="0.25">
      <c r="A32" s="10" t="s">
        <v>165</v>
      </c>
      <c r="B32">
        <v>0.99</v>
      </c>
      <c r="C32">
        <v>0.99</v>
      </c>
      <c r="D32">
        <v>0.99</v>
      </c>
      <c r="E32">
        <v>0.99</v>
      </c>
    </row>
    <row r="33" spans="1:8" x14ac:dyDescent="0.25">
      <c r="A33" s="10" t="s">
        <v>11</v>
      </c>
      <c r="B33" s="9">
        <v>564.35396950015797</v>
      </c>
      <c r="C33" s="9"/>
      <c r="D33" s="9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85</v>
      </c>
      <c r="B36" s="9">
        <f>B20/B31</f>
        <v>1331497190.7244897</v>
      </c>
      <c r="C36" s="9">
        <f t="shared" ref="C36:E36" si="2">C20/C31</f>
        <v>1258722286.5408163</v>
      </c>
      <c r="D36" s="9">
        <f t="shared" si="2"/>
        <v>0</v>
      </c>
      <c r="E36" s="9">
        <f t="shared" si="2"/>
        <v>72774904.183673471</v>
      </c>
    </row>
    <row r="37" spans="1:8" x14ac:dyDescent="0.25">
      <c r="A37" s="11" t="s">
        <v>166</v>
      </c>
      <c r="B37" s="9">
        <f>B22/B32</f>
        <v>1499393697.1111109</v>
      </c>
      <c r="C37" s="9">
        <f t="shared" ref="C37:E37" si="3">C22/C32</f>
        <v>1450453826.8181818</v>
      </c>
      <c r="D37" s="9">
        <f t="shared" si="3"/>
        <v>781134.34343434346</v>
      </c>
      <c r="E37" s="9">
        <f t="shared" si="3"/>
        <v>48158735.94949495</v>
      </c>
    </row>
    <row r="38" spans="1:8" x14ac:dyDescent="0.25">
      <c r="A38" s="11" t="s">
        <v>86</v>
      </c>
      <c r="B38" s="9">
        <f>B36/B10</f>
        <v>1709239.0124832988</v>
      </c>
      <c r="C38" s="9">
        <f t="shared" ref="C38" si="4">C36/C10</f>
        <v>1615818.0828508553</v>
      </c>
      <c r="D38" s="34">
        <f>D36/C10</f>
        <v>0</v>
      </c>
      <c r="E38" s="34">
        <f>E36/C10</f>
        <v>93420.929632443484</v>
      </c>
    </row>
    <row r="39" spans="1:8" x14ac:dyDescent="0.25">
      <c r="A39" s="11" t="s">
        <v>167</v>
      </c>
      <c r="B39" s="9">
        <f>B37/B14</f>
        <v>1189051.3061943783</v>
      </c>
      <c r="C39" s="9">
        <f t="shared" ref="C39" si="5">C37/C14</f>
        <v>1150240.9411722298</v>
      </c>
      <c r="D39" s="9">
        <f>D37/C14</f>
        <v>619.45625966244529</v>
      </c>
      <c r="E39" s="9">
        <f>E37/C14</f>
        <v>38190.908762486084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147.42520562704522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223.44132727849043</v>
      </c>
      <c r="C45" s="15"/>
      <c r="D45" s="13"/>
    </row>
    <row r="47" spans="1:8" x14ac:dyDescent="0.25">
      <c r="A47" s="11" t="s">
        <v>17</v>
      </c>
    </row>
    <row r="48" spans="1:8" x14ac:dyDescent="0.25">
      <c r="A48" t="s">
        <v>18</v>
      </c>
      <c r="B48" s="14">
        <f>(B14/B12)*100</f>
        <v>151.5625</v>
      </c>
      <c r="C48" s="14">
        <f>(C14/C12)*100</f>
        <v>151.5625</v>
      </c>
      <c r="D48" s="14"/>
      <c r="E48">
        <v>0</v>
      </c>
    </row>
    <row r="49" spans="1:5" x14ac:dyDescent="0.25">
      <c r="A49" t="s">
        <v>19</v>
      </c>
      <c r="B49" s="14">
        <f>B22/B21*100</f>
        <v>107.86867460953651</v>
      </c>
      <c r="C49" s="14">
        <f t="shared" ref="C49:E49" si="6">C22/C21*100</f>
        <v>117.59304342606684</v>
      </c>
      <c r="D49" s="14">
        <f t="shared" si="6"/>
        <v>0.96665375000000009</v>
      </c>
      <c r="E49" s="14">
        <f t="shared" si="6"/>
        <v>63.56953145333334</v>
      </c>
    </row>
    <row r="50" spans="1:5" x14ac:dyDescent="0.25">
      <c r="A50" s="11" t="s">
        <v>20</v>
      </c>
      <c r="B50" s="13">
        <f>AVERAGE(B48:B49)</f>
        <v>129.71558730476826</v>
      </c>
      <c r="C50" s="13">
        <f t="shared" ref="C50:E50" si="7">AVERAGE(C48:C49)</f>
        <v>134.57777171303343</v>
      </c>
      <c r="D50" s="13">
        <f t="shared" si="7"/>
        <v>0.96665375000000009</v>
      </c>
      <c r="E50" s="13">
        <f t="shared" si="7"/>
        <v>31.78476572666667</v>
      </c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151.5625</v>
      </c>
      <c r="C53" s="13">
        <f>(C14/C16)*100</f>
        <v>151.5625</v>
      </c>
      <c r="D53" s="13"/>
    </row>
    <row r="54" spans="1:5" x14ac:dyDescent="0.25">
      <c r="A54" s="11" t="s">
        <v>23</v>
      </c>
      <c r="B54" s="13">
        <f>B22/B23*100</f>
        <v>107.86867460953651</v>
      </c>
      <c r="C54" s="13">
        <f t="shared" ref="C54:E54" si="8">C22/C23*100</f>
        <v>117.59304342606684</v>
      </c>
      <c r="D54" s="13">
        <f t="shared" si="8"/>
        <v>0.96665375000000009</v>
      </c>
      <c r="E54" s="13">
        <f t="shared" si="8"/>
        <v>63.56953145333334</v>
      </c>
    </row>
    <row r="55" spans="1:5" x14ac:dyDescent="0.25">
      <c r="A55" s="11" t="s">
        <v>24</v>
      </c>
      <c r="B55" s="13">
        <f>(B53+B54)/2</f>
        <v>129.71558730476826</v>
      </c>
      <c r="C55" s="13">
        <f t="shared" ref="C55:E55" si="9">(C53+C54)/2</f>
        <v>134.57777171303343</v>
      </c>
      <c r="D55" s="13">
        <f t="shared" si="9"/>
        <v>0.48332687500000004</v>
      </c>
      <c r="E55" s="13">
        <f t="shared" si="9"/>
        <v>31.78476572666667</v>
      </c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96.736022674550256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61.874197689345323</v>
      </c>
      <c r="C61" s="14">
        <f>((C14/C10)-1)*100</f>
        <v>61.874197689345323</v>
      </c>
      <c r="D61" s="13"/>
    </row>
    <row r="62" spans="1:5" x14ac:dyDescent="0.25">
      <c r="A62" s="11" t="s">
        <v>28</v>
      </c>
      <c r="B62" s="14">
        <f>((B37/B36)-1)*100</f>
        <v>12.609602750664916</v>
      </c>
      <c r="C62" s="14">
        <f t="shared" ref="C62:E62" si="10">((C37/C36)-1)*100</f>
        <v>15.232235285535189</v>
      </c>
      <c r="D62" s="14" t="e">
        <f t="shared" si="10"/>
        <v>#DIV/0!</v>
      </c>
      <c r="E62" s="14">
        <f t="shared" si="10"/>
        <v>-33.825078178118694</v>
      </c>
    </row>
    <row r="63" spans="1:5" x14ac:dyDescent="0.25">
      <c r="A63" s="11" t="s">
        <v>29</v>
      </c>
      <c r="B63" s="14">
        <f>((B39/B38)-1)*100</f>
        <v>-30.433877444276003</v>
      </c>
      <c r="C63" s="14">
        <f t="shared" ref="C63:E63" si="11">((C39/C38)-1)*100</f>
        <v>-28.813710319245111</v>
      </c>
      <c r="D63" s="14" t="e">
        <f t="shared" si="11"/>
        <v>#DIV/0!</v>
      </c>
      <c r="E63" s="14">
        <f t="shared" si="11"/>
        <v>-59.119536796791806</v>
      </c>
    </row>
    <row r="64" spans="1:5" x14ac:dyDescent="0.25">
      <c r="A64" s="11"/>
      <c r="B64" s="13"/>
      <c r="C64" s="13"/>
      <c r="D64" s="13"/>
    </row>
    <row r="65" spans="1:4" x14ac:dyDescent="0.25">
      <c r="A65" s="11" t="s">
        <v>30</v>
      </c>
      <c r="B65" s="11"/>
      <c r="C65" s="11"/>
      <c r="D65" s="11"/>
    </row>
    <row r="66" spans="1:4" x14ac:dyDescent="0.25">
      <c r="A66" t="s">
        <v>37</v>
      </c>
      <c r="B66" s="34">
        <f>B21/(B12*3)</f>
        <v>551329.14584935899</v>
      </c>
      <c r="C66" s="34">
        <f>C21/(C12*3)</f>
        <v>489229.78687499999</v>
      </c>
      <c r="D66" s="33"/>
    </row>
    <row r="67" spans="1:4" x14ac:dyDescent="0.25">
      <c r="A67" t="s">
        <v>38</v>
      </c>
      <c r="B67" s="34">
        <f>B22/(B14*3)</f>
        <v>392386.93104414485</v>
      </c>
      <c r="C67" s="34">
        <f>C22/(C14*3)</f>
        <v>379579.51058683585</v>
      </c>
      <c r="D67" s="9"/>
    </row>
    <row r="68" spans="1:4" x14ac:dyDescent="0.25">
      <c r="A68" t="s">
        <v>51</v>
      </c>
      <c r="B68" s="9"/>
      <c r="C68" s="9">
        <f>C22/C15</f>
        <v>553565.64708943712</v>
      </c>
      <c r="D68" s="9"/>
    </row>
    <row r="69" spans="1:4" x14ac:dyDescent="0.25">
      <c r="A69" s="11" t="s">
        <v>31</v>
      </c>
      <c r="B69" s="9">
        <f>(B66/B67)*B50</f>
        <v>182.25883252987356</v>
      </c>
      <c r="C69" s="9">
        <f>(C66/C67)*C50</f>
        <v>173.45365789499789</v>
      </c>
      <c r="D69" s="13"/>
    </row>
    <row r="70" spans="1:4" x14ac:dyDescent="0.25">
      <c r="A70" s="13" t="s">
        <v>45</v>
      </c>
      <c r="B70" s="9">
        <f>B21/B12</f>
        <v>1653987.437548077</v>
      </c>
      <c r="C70" s="9">
        <f>C21/C12</f>
        <v>1467689.360625</v>
      </c>
      <c r="D70" s="13"/>
    </row>
    <row r="71" spans="1:4" x14ac:dyDescent="0.25">
      <c r="A71" s="13" t="s">
        <v>46</v>
      </c>
      <c r="B71" s="9">
        <f>B22/(B14)</f>
        <v>1177160.7931324344</v>
      </c>
      <c r="C71" s="9">
        <f>C22/(C14)</f>
        <v>1138738.5317605075</v>
      </c>
      <c r="D71" s="13"/>
    </row>
    <row r="72" spans="1:4" x14ac:dyDescent="0.25">
      <c r="B72" s="9"/>
      <c r="C72" s="9"/>
      <c r="D72" s="14"/>
    </row>
    <row r="73" spans="1:4" x14ac:dyDescent="0.25">
      <c r="A73" t="s">
        <v>32</v>
      </c>
      <c r="B73" s="14"/>
      <c r="C73" s="14"/>
      <c r="D73" s="14"/>
    </row>
    <row r="74" spans="1:4" x14ac:dyDescent="0.25">
      <c r="A74" s="11" t="s">
        <v>33</v>
      </c>
      <c r="B74" s="13">
        <f>(B28/B27)*100</f>
        <v>104.19824687667747</v>
      </c>
      <c r="C74" s="13"/>
      <c r="D74" s="13"/>
    </row>
    <row r="75" spans="1:4" x14ac:dyDescent="0.25">
      <c r="A75" s="11" t="s">
        <v>34</v>
      </c>
      <c r="B75" s="13">
        <f>(B22/B28)*100</f>
        <v>103.52254269421934</v>
      </c>
      <c r="C75" s="13"/>
      <c r="D75" s="13"/>
    </row>
    <row r="76" spans="1:4" ht="15.75" thickBot="1" x14ac:dyDescent="0.3">
      <c r="A76" s="16"/>
      <c r="B76" s="16"/>
      <c r="C76" s="16"/>
      <c r="D76" s="16"/>
    </row>
    <row r="77" spans="1:4" ht="15.75" thickTop="1" x14ac:dyDescent="0.25"/>
    <row r="78" spans="1:4" x14ac:dyDescent="0.25">
      <c r="A78" t="s">
        <v>35</v>
      </c>
    </row>
    <row r="79" spans="1:4" x14ac:dyDescent="0.25">
      <c r="A79" t="s">
        <v>100</v>
      </c>
    </row>
    <row r="80" spans="1:4" x14ac:dyDescent="0.25">
      <c r="A80" t="s">
        <v>101</v>
      </c>
      <c r="B80" s="5"/>
      <c r="C80" s="5"/>
      <c r="D80" s="5"/>
    </row>
    <row r="82" spans="1:1" x14ac:dyDescent="0.25">
      <c r="A82" t="s">
        <v>170</v>
      </c>
    </row>
    <row r="84" spans="1:1" x14ac:dyDescent="0.25">
      <c r="A84" s="20"/>
    </row>
    <row r="85" spans="1:1" x14ac:dyDescent="0.25">
      <c r="A85" s="21"/>
    </row>
    <row r="86" spans="1:1" x14ac:dyDescent="0.25">
      <c r="A86" s="21"/>
    </row>
  </sheetData>
  <mergeCells count="3">
    <mergeCell ref="A2:D2"/>
    <mergeCell ref="A4:A5"/>
    <mergeCell ref="B4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4" sqref="G3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3 Trimestre Acumulado</vt:lpstr>
      <vt:lpstr>Anual</vt:lpstr>
      <vt:lpstr>Hoja1</vt:lpstr>
    </vt:vector>
  </TitlesOfParts>
  <Company>FAM ASTORGA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NASTORGA</dc:creator>
  <cp:lastModifiedBy>Horacio Rodriguez</cp:lastModifiedBy>
  <dcterms:created xsi:type="dcterms:W3CDTF">2012-04-21T15:36:23Z</dcterms:created>
  <dcterms:modified xsi:type="dcterms:W3CDTF">2016-03-28T17:34:58Z</dcterms:modified>
</cp:coreProperties>
</file>