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PANI\Indicadores\"/>
    </mc:Choice>
  </mc:AlternateContent>
  <bookViews>
    <workbookView xWindow="0" yWindow="0" windowWidth="21600" windowHeight="9735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Hoja3" sheetId="10" r:id="rId8"/>
  </sheets>
  <calcPr calcId="152511"/>
</workbook>
</file>

<file path=xl/calcChain.xml><?xml version="1.0" encoding="utf-8"?>
<calcChain xmlns="http://schemas.openxmlformats.org/spreadsheetml/2006/main">
  <c r="B20" i="5" l="1"/>
  <c r="C19" i="5"/>
  <c r="C13" i="5"/>
  <c r="B12" i="5"/>
  <c r="B10" i="5"/>
  <c r="C57" i="7"/>
  <c r="C58" i="7"/>
  <c r="K49" i="7"/>
  <c r="B20" i="7"/>
  <c r="C19" i="7"/>
  <c r="C13" i="7"/>
  <c r="C11" i="7"/>
  <c r="C12" i="7"/>
  <c r="C10" i="7"/>
  <c r="B12" i="7"/>
  <c r="B10" i="7"/>
  <c r="K49" i="6"/>
  <c r="B20" i="6"/>
  <c r="C19" i="6"/>
  <c r="C11" i="6"/>
  <c r="C12" i="6"/>
  <c r="B12" i="6" s="1"/>
  <c r="C13" i="6"/>
  <c r="C10" i="6"/>
  <c r="B10" i="6"/>
  <c r="D58" i="4"/>
  <c r="E58" i="4"/>
  <c r="F58" i="4"/>
  <c r="G58" i="4"/>
  <c r="H58" i="4"/>
  <c r="I58" i="4"/>
  <c r="J58" i="4"/>
  <c r="K58" i="4"/>
  <c r="C49" i="4"/>
  <c r="D49" i="4"/>
  <c r="E49" i="4"/>
  <c r="F49" i="4"/>
  <c r="G49" i="4"/>
  <c r="H49" i="4"/>
  <c r="I49" i="4"/>
  <c r="J49" i="4"/>
  <c r="K49" i="4"/>
  <c r="B20" i="4"/>
  <c r="B11" i="4"/>
  <c r="B12" i="4"/>
  <c r="B13" i="4"/>
  <c r="B49" i="4" s="1"/>
  <c r="B10" i="4"/>
  <c r="D58" i="3"/>
  <c r="E58" i="3"/>
  <c r="F58" i="3"/>
  <c r="G58" i="3"/>
  <c r="H58" i="3"/>
  <c r="I58" i="3"/>
  <c r="J58" i="3"/>
  <c r="K58" i="3"/>
  <c r="C49" i="3"/>
  <c r="D49" i="3"/>
  <c r="E49" i="3"/>
  <c r="F49" i="3"/>
  <c r="G49" i="3"/>
  <c r="H49" i="3"/>
  <c r="I49" i="3"/>
  <c r="J49" i="3"/>
  <c r="K49" i="3"/>
  <c r="B20" i="3"/>
  <c r="B11" i="3"/>
  <c r="B12" i="3"/>
  <c r="B13" i="3"/>
  <c r="B49" i="3" s="1"/>
  <c r="B10" i="3"/>
  <c r="C49" i="2"/>
  <c r="D49" i="2"/>
  <c r="E49" i="2"/>
  <c r="F49" i="2"/>
  <c r="G49" i="2"/>
  <c r="H49" i="2"/>
  <c r="I49" i="2"/>
  <c r="J49" i="2"/>
  <c r="K49" i="2"/>
  <c r="B20" i="1"/>
  <c r="B20" i="2"/>
  <c r="B11" i="2"/>
  <c r="B12" i="2"/>
  <c r="B13" i="2"/>
  <c r="B49" i="2" s="1"/>
  <c r="B10" i="2"/>
  <c r="C49" i="7" l="1"/>
  <c r="C49" i="6"/>
  <c r="B11" i="1" l="1"/>
  <c r="B12" i="1"/>
  <c r="B13" i="1"/>
  <c r="B10" i="1"/>
  <c r="J13" i="7" l="1"/>
  <c r="J49" i="7" s="1"/>
  <c r="K57" i="5" l="1"/>
  <c r="K49" i="5"/>
  <c r="K44" i="5"/>
  <c r="K46" i="5" s="1"/>
  <c r="I19" i="5"/>
  <c r="J19" i="5"/>
  <c r="K19" i="5"/>
  <c r="I18" i="5"/>
  <c r="J18" i="5"/>
  <c r="J20" i="5" s="1"/>
  <c r="K18" i="5"/>
  <c r="K66" i="5" s="1"/>
  <c r="I17" i="5"/>
  <c r="J17" i="5"/>
  <c r="K17" i="5"/>
  <c r="K65" i="5" s="1"/>
  <c r="H16" i="5"/>
  <c r="H32" i="5" s="1"/>
  <c r="H34" i="5" s="1"/>
  <c r="I16" i="5"/>
  <c r="I32" i="5" s="1"/>
  <c r="J16" i="5"/>
  <c r="J32" i="5" s="1"/>
  <c r="K16" i="5"/>
  <c r="K32" i="5" s="1"/>
  <c r="K34" i="5" s="1"/>
  <c r="C17" i="5"/>
  <c r="C18" i="5"/>
  <c r="C16" i="5"/>
  <c r="C32" i="5" s="1"/>
  <c r="C34" i="5" s="1"/>
  <c r="C10" i="5"/>
  <c r="H13" i="5"/>
  <c r="I13" i="5"/>
  <c r="J13" i="5"/>
  <c r="H12" i="5"/>
  <c r="I12" i="5"/>
  <c r="J12" i="5"/>
  <c r="H11" i="5"/>
  <c r="I11" i="5"/>
  <c r="J11" i="5"/>
  <c r="H10" i="5"/>
  <c r="I10" i="5"/>
  <c r="J10" i="5"/>
  <c r="C11" i="5"/>
  <c r="C12" i="5"/>
  <c r="K57" i="7"/>
  <c r="K44" i="7"/>
  <c r="K46" i="7" s="1"/>
  <c r="I19" i="7"/>
  <c r="J19" i="7"/>
  <c r="K19" i="7"/>
  <c r="I18" i="7"/>
  <c r="I20" i="7" s="1"/>
  <c r="J18" i="7"/>
  <c r="K18" i="7"/>
  <c r="K50" i="7" s="1"/>
  <c r="K51" i="7" s="1"/>
  <c r="I17" i="7"/>
  <c r="J17" i="7"/>
  <c r="K17" i="7"/>
  <c r="K65" i="7" s="1"/>
  <c r="I16" i="7"/>
  <c r="I32" i="7" s="1"/>
  <c r="J16" i="7"/>
  <c r="J32" i="7" s="1"/>
  <c r="K16" i="7"/>
  <c r="K32" i="7" s="1"/>
  <c r="K34" i="7" s="1"/>
  <c r="C17" i="7"/>
  <c r="C18" i="7"/>
  <c r="C16" i="7"/>
  <c r="I49" i="5" l="1"/>
  <c r="J44" i="5"/>
  <c r="J34" i="5"/>
  <c r="I50" i="5"/>
  <c r="H49" i="5"/>
  <c r="I34" i="5"/>
  <c r="C44" i="5"/>
  <c r="C46" i="5" s="1"/>
  <c r="C57" i="5"/>
  <c r="C33" i="7"/>
  <c r="C50" i="5"/>
  <c r="C63" i="5"/>
  <c r="C66" i="5"/>
  <c r="H57" i="5"/>
  <c r="I65" i="5"/>
  <c r="C33" i="5"/>
  <c r="J50" i="7"/>
  <c r="J62" i="5"/>
  <c r="J66" i="5"/>
  <c r="J46" i="5"/>
  <c r="J63" i="5"/>
  <c r="J45" i="5"/>
  <c r="C45" i="5"/>
  <c r="C62" i="5"/>
  <c r="C65" i="5"/>
  <c r="I33" i="7"/>
  <c r="K33" i="5"/>
  <c r="K35" i="5" s="1"/>
  <c r="K59" i="5" s="1"/>
  <c r="I45" i="5"/>
  <c r="J65" i="5"/>
  <c r="J20" i="7"/>
  <c r="C32" i="7"/>
  <c r="K33" i="7"/>
  <c r="C45" i="7"/>
  <c r="I45" i="7"/>
  <c r="K62" i="7"/>
  <c r="K63" i="7"/>
  <c r="K66" i="7"/>
  <c r="I33" i="5"/>
  <c r="C49" i="5"/>
  <c r="C51" i="5" s="1"/>
  <c r="K45" i="5"/>
  <c r="J49" i="5"/>
  <c r="J51" i="5" s="1"/>
  <c r="J50" i="5"/>
  <c r="I57" i="5"/>
  <c r="I44" i="5"/>
  <c r="I46" i="5" s="1"/>
  <c r="C50" i="7"/>
  <c r="J45" i="7"/>
  <c r="I50" i="7"/>
  <c r="I58" i="7"/>
  <c r="I20" i="5"/>
  <c r="J33" i="5"/>
  <c r="H44" i="5"/>
  <c r="K50" i="5"/>
  <c r="K51" i="5" s="1"/>
  <c r="J57" i="5"/>
  <c r="I62" i="5"/>
  <c r="I63" i="5"/>
  <c r="I66" i="5"/>
  <c r="K45" i="7"/>
  <c r="J33" i="7"/>
  <c r="K62" i="5"/>
  <c r="K63" i="5"/>
  <c r="H13" i="7"/>
  <c r="H49" i="7" s="1"/>
  <c r="I13" i="7"/>
  <c r="I49" i="7" s="1"/>
  <c r="H12" i="7"/>
  <c r="I12" i="7"/>
  <c r="J12" i="7"/>
  <c r="J63" i="7" s="1"/>
  <c r="C66" i="7"/>
  <c r="H11" i="7"/>
  <c r="I11" i="7"/>
  <c r="J11" i="7"/>
  <c r="J65" i="7" s="1"/>
  <c r="C65" i="7"/>
  <c r="D11" i="7"/>
  <c r="E11" i="7"/>
  <c r="F11" i="7"/>
  <c r="G11" i="7"/>
  <c r="B11" i="7" s="1"/>
  <c r="H10" i="7"/>
  <c r="I10" i="7"/>
  <c r="I34" i="7" s="1"/>
  <c r="J10" i="7"/>
  <c r="J34" i="7" s="1"/>
  <c r="D10" i="7"/>
  <c r="E10" i="7"/>
  <c r="F10" i="7"/>
  <c r="G10" i="7"/>
  <c r="K57" i="6"/>
  <c r="K44" i="6"/>
  <c r="K46" i="6" s="1"/>
  <c r="C66" i="4"/>
  <c r="C65" i="4"/>
  <c r="C63" i="4"/>
  <c r="C62" i="4"/>
  <c r="C57" i="4"/>
  <c r="C50" i="4"/>
  <c r="C51" i="4"/>
  <c r="C45" i="4"/>
  <c r="C44" i="4"/>
  <c r="C46" i="4" s="1"/>
  <c r="C64" i="4" s="1"/>
  <c r="C66" i="3"/>
  <c r="C65" i="3"/>
  <c r="C63" i="3"/>
  <c r="C62" i="3"/>
  <c r="C57" i="3"/>
  <c r="C50" i="3"/>
  <c r="C51" i="3"/>
  <c r="C45" i="3"/>
  <c r="C44" i="3"/>
  <c r="C46" i="3" s="1"/>
  <c r="C66" i="2"/>
  <c r="C65" i="2"/>
  <c r="C66" i="1"/>
  <c r="C65" i="1"/>
  <c r="I51" i="5" l="1"/>
  <c r="C64" i="3"/>
  <c r="C35" i="5"/>
  <c r="C59" i="5" s="1"/>
  <c r="C58" i="5"/>
  <c r="C62" i="7"/>
  <c r="C63" i="7"/>
  <c r="J62" i="7"/>
  <c r="K58" i="5"/>
  <c r="C64" i="5"/>
  <c r="J64" i="5"/>
  <c r="C51" i="7"/>
  <c r="C44" i="7"/>
  <c r="C46" i="7" s="1"/>
  <c r="J58" i="5"/>
  <c r="J35" i="5"/>
  <c r="J59" i="5" s="1"/>
  <c r="H44" i="7"/>
  <c r="H57" i="7"/>
  <c r="I35" i="5"/>
  <c r="I59" i="5" s="1"/>
  <c r="I58" i="5"/>
  <c r="I62" i="7"/>
  <c r="I65" i="7"/>
  <c r="I66" i="7"/>
  <c r="I57" i="7"/>
  <c r="I51" i="7"/>
  <c r="I44" i="7"/>
  <c r="I46" i="7" s="1"/>
  <c r="I63" i="7"/>
  <c r="J58" i="7"/>
  <c r="J35" i="7"/>
  <c r="J59" i="7" s="1"/>
  <c r="J66" i="7"/>
  <c r="I64" i="5"/>
  <c r="K64" i="7"/>
  <c r="C34" i="7"/>
  <c r="I35" i="7"/>
  <c r="I59" i="7" s="1"/>
  <c r="J44" i="7"/>
  <c r="J46" i="7" s="1"/>
  <c r="J64" i="7" s="1"/>
  <c r="J51" i="7"/>
  <c r="J57" i="7"/>
  <c r="K58" i="7"/>
  <c r="K35" i="7"/>
  <c r="K59" i="7" s="1"/>
  <c r="K64" i="5"/>
  <c r="C35" i="7"/>
  <c r="C59" i="7" s="1"/>
  <c r="I19" i="6"/>
  <c r="J19" i="6"/>
  <c r="K19" i="6"/>
  <c r="I18" i="6"/>
  <c r="I20" i="6" s="1"/>
  <c r="J18" i="6"/>
  <c r="K18" i="6"/>
  <c r="I17" i="6"/>
  <c r="J17" i="6"/>
  <c r="K17" i="6"/>
  <c r="I16" i="6"/>
  <c r="I32" i="6" s="1"/>
  <c r="J16" i="6"/>
  <c r="J32" i="6" s="1"/>
  <c r="K16" i="6"/>
  <c r="K32" i="6" s="1"/>
  <c r="K34" i="6" s="1"/>
  <c r="C17" i="6"/>
  <c r="C18" i="6"/>
  <c r="C16" i="6"/>
  <c r="C32" i="6" s="1"/>
  <c r="H13" i="6"/>
  <c r="H49" i="6" s="1"/>
  <c r="I13" i="6"/>
  <c r="I49" i="6" s="1"/>
  <c r="J13" i="6"/>
  <c r="J49" i="6" s="1"/>
  <c r="H12" i="6"/>
  <c r="I12" i="6"/>
  <c r="J12" i="6"/>
  <c r="H11" i="6"/>
  <c r="I11" i="6"/>
  <c r="J11" i="6"/>
  <c r="H10" i="6"/>
  <c r="I10" i="6"/>
  <c r="J10" i="6"/>
  <c r="I34" i="6" l="1"/>
  <c r="C64" i="7"/>
  <c r="K65" i="6"/>
  <c r="K62" i="6"/>
  <c r="I44" i="6"/>
  <c r="I57" i="6"/>
  <c r="C45" i="6"/>
  <c r="C33" i="6"/>
  <c r="C66" i="6"/>
  <c r="C50" i="6"/>
  <c r="C63" i="6"/>
  <c r="K50" i="6"/>
  <c r="K51" i="6" s="1"/>
  <c r="K33" i="6"/>
  <c r="K66" i="6"/>
  <c r="K45" i="6"/>
  <c r="K63" i="6"/>
  <c r="I62" i="6"/>
  <c r="I65" i="6"/>
  <c r="C34" i="6"/>
  <c r="J34" i="6"/>
  <c r="I64" i="7"/>
  <c r="H44" i="6"/>
  <c r="H46" i="6" s="1"/>
  <c r="H57" i="6"/>
  <c r="C65" i="6"/>
  <c r="C62" i="6"/>
  <c r="J63" i="6"/>
  <c r="J50" i="6"/>
  <c r="J33" i="6"/>
  <c r="J66" i="6"/>
  <c r="J45" i="6"/>
  <c r="C57" i="6"/>
  <c r="C44" i="6"/>
  <c r="C46" i="6" s="1"/>
  <c r="J57" i="6"/>
  <c r="J51" i="6"/>
  <c r="J44" i="6"/>
  <c r="J46" i="6" s="1"/>
  <c r="J65" i="6"/>
  <c r="J62" i="6"/>
  <c r="I66" i="6"/>
  <c r="I45" i="6"/>
  <c r="I63" i="6"/>
  <c r="I50" i="6"/>
  <c r="I33" i="6"/>
  <c r="J20" i="6"/>
  <c r="H66" i="4"/>
  <c r="I66" i="4"/>
  <c r="J66" i="4"/>
  <c r="K66" i="4"/>
  <c r="H65" i="4"/>
  <c r="I65" i="4"/>
  <c r="J65" i="4"/>
  <c r="K65" i="4"/>
  <c r="H63" i="4"/>
  <c r="I63" i="4"/>
  <c r="J63" i="4"/>
  <c r="K63" i="4"/>
  <c r="H62" i="4"/>
  <c r="I62" i="4"/>
  <c r="J62" i="4"/>
  <c r="K62" i="4"/>
  <c r="H57" i="4"/>
  <c r="I57" i="4"/>
  <c r="J57" i="4"/>
  <c r="K57" i="4"/>
  <c r="H50" i="4"/>
  <c r="I50" i="4"/>
  <c r="J50" i="4"/>
  <c r="K50" i="4"/>
  <c r="H51" i="4"/>
  <c r="I51" i="4"/>
  <c r="J51" i="4"/>
  <c r="K51" i="4"/>
  <c r="H45" i="4"/>
  <c r="I45" i="4"/>
  <c r="J45" i="4"/>
  <c r="K45" i="4"/>
  <c r="H44" i="4"/>
  <c r="H46" i="4" s="1"/>
  <c r="I44" i="4"/>
  <c r="I46" i="4" s="1"/>
  <c r="J44" i="4"/>
  <c r="J46" i="4" s="1"/>
  <c r="K44" i="4"/>
  <c r="K46" i="4" s="1"/>
  <c r="C33" i="4"/>
  <c r="C35" i="4" s="1"/>
  <c r="C59" i="4" s="1"/>
  <c r="C32" i="4"/>
  <c r="C34" i="4" s="1"/>
  <c r="J34" i="4"/>
  <c r="G33" i="4"/>
  <c r="H33" i="4"/>
  <c r="H35" i="4" s="1"/>
  <c r="I33" i="4"/>
  <c r="I35" i="4" s="1"/>
  <c r="J33" i="4"/>
  <c r="J35" i="4" s="1"/>
  <c r="J59" i="4" s="1"/>
  <c r="K33" i="4"/>
  <c r="K35" i="4" s="1"/>
  <c r="K59" i="4" s="1"/>
  <c r="G32" i="4"/>
  <c r="G34" i="4" s="1"/>
  <c r="H32" i="4"/>
  <c r="H34" i="4" s="1"/>
  <c r="I32" i="4"/>
  <c r="I34" i="4" s="1"/>
  <c r="J32" i="4"/>
  <c r="K32" i="4"/>
  <c r="K34" i="4" s="1"/>
  <c r="C20" i="4"/>
  <c r="H20" i="4"/>
  <c r="I20" i="4"/>
  <c r="J20" i="4"/>
  <c r="B17" i="4"/>
  <c r="B18" i="4"/>
  <c r="B19" i="4"/>
  <c r="B49" i="1"/>
  <c r="K64" i="4" l="1"/>
  <c r="H64" i="4"/>
  <c r="I64" i="4"/>
  <c r="J64" i="4"/>
  <c r="I59" i="4"/>
  <c r="H59" i="4"/>
  <c r="J64" i="6"/>
  <c r="C58" i="4"/>
  <c r="J35" i="6"/>
  <c r="J59" i="6" s="1"/>
  <c r="J58" i="6"/>
  <c r="C35" i="6"/>
  <c r="C59" i="6" s="1"/>
  <c r="C58" i="6"/>
  <c r="I46" i="6"/>
  <c r="I64" i="6" s="1"/>
  <c r="K35" i="6"/>
  <c r="K59" i="6" s="1"/>
  <c r="K58" i="6"/>
  <c r="C51" i="6"/>
  <c r="C64" i="6"/>
  <c r="I58" i="6"/>
  <c r="I35" i="6"/>
  <c r="I59" i="6" s="1"/>
  <c r="I51" i="6"/>
  <c r="K64" i="6"/>
  <c r="B16" i="4"/>
  <c r="H66" i="3"/>
  <c r="I66" i="3"/>
  <c r="J66" i="3"/>
  <c r="K66" i="3"/>
  <c r="H65" i="3"/>
  <c r="I65" i="3"/>
  <c r="J65" i="3"/>
  <c r="K65" i="3"/>
  <c r="H63" i="3"/>
  <c r="I63" i="3"/>
  <c r="J63" i="3"/>
  <c r="K63" i="3"/>
  <c r="H62" i="3"/>
  <c r="I62" i="3"/>
  <c r="J62" i="3"/>
  <c r="K62" i="3"/>
  <c r="H57" i="3"/>
  <c r="I57" i="3"/>
  <c r="J57" i="3"/>
  <c r="K57" i="3"/>
  <c r="H50" i="3"/>
  <c r="I50" i="3"/>
  <c r="J50" i="3"/>
  <c r="K50" i="3"/>
  <c r="H51" i="3"/>
  <c r="I51" i="3"/>
  <c r="J51" i="3"/>
  <c r="K51" i="3"/>
  <c r="I45" i="3"/>
  <c r="J45" i="3"/>
  <c r="K45" i="3"/>
  <c r="H44" i="3"/>
  <c r="I44" i="3"/>
  <c r="I46" i="3" s="1"/>
  <c r="J44" i="3"/>
  <c r="J46" i="3" s="1"/>
  <c r="K44" i="3"/>
  <c r="K46" i="3" s="1"/>
  <c r="I33" i="3"/>
  <c r="I35" i="3" s="1"/>
  <c r="J33" i="3"/>
  <c r="J35" i="3" s="1"/>
  <c r="K33" i="3"/>
  <c r="K35" i="3" s="1"/>
  <c r="H32" i="3"/>
  <c r="H34" i="3" s="1"/>
  <c r="I32" i="3"/>
  <c r="I34" i="3" s="1"/>
  <c r="J32" i="3"/>
  <c r="J34" i="3" s="1"/>
  <c r="K32" i="3"/>
  <c r="K34" i="3" s="1"/>
  <c r="C33" i="3"/>
  <c r="C32" i="3"/>
  <c r="C34" i="3" s="1"/>
  <c r="C58" i="3" l="1"/>
  <c r="I59" i="3"/>
  <c r="C35" i="3"/>
  <c r="C59" i="3" s="1"/>
  <c r="I64" i="3"/>
  <c r="J64" i="3"/>
  <c r="K59" i="3"/>
  <c r="K64" i="3"/>
  <c r="J59" i="3"/>
  <c r="C20" i="2"/>
  <c r="C20" i="3"/>
  <c r="H20" i="3"/>
  <c r="I20" i="3"/>
  <c r="J20" i="3"/>
  <c r="B17" i="3"/>
  <c r="B18" i="3"/>
  <c r="B19" i="3"/>
  <c r="B17" i="2"/>
  <c r="B18" i="2"/>
  <c r="B19" i="2"/>
  <c r="B16" i="2"/>
  <c r="B16" i="3"/>
  <c r="H66" i="2" l="1"/>
  <c r="I66" i="2"/>
  <c r="J66" i="2"/>
  <c r="K66" i="2"/>
  <c r="H65" i="2"/>
  <c r="I65" i="2"/>
  <c r="J65" i="2"/>
  <c r="K65" i="2"/>
  <c r="H63" i="2"/>
  <c r="I63" i="2"/>
  <c r="J63" i="2"/>
  <c r="K63" i="2"/>
  <c r="C63" i="2"/>
  <c r="H62" i="2"/>
  <c r="I62" i="2"/>
  <c r="J62" i="2"/>
  <c r="K62" i="2"/>
  <c r="C62" i="2"/>
  <c r="H57" i="2"/>
  <c r="I57" i="2"/>
  <c r="J57" i="2"/>
  <c r="K57" i="2"/>
  <c r="C57" i="2"/>
  <c r="C50" i="2"/>
  <c r="C51" i="2"/>
  <c r="C46" i="2"/>
  <c r="C45" i="2"/>
  <c r="C44" i="2"/>
  <c r="K51" i="2"/>
  <c r="I50" i="2"/>
  <c r="J50" i="2"/>
  <c r="K50" i="2"/>
  <c r="I51" i="2"/>
  <c r="J51" i="2"/>
  <c r="I45" i="2"/>
  <c r="J45" i="2"/>
  <c r="K45" i="2"/>
  <c r="H44" i="2"/>
  <c r="H46" i="2" s="1"/>
  <c r="H64" i="2" s="1"/>
  <c r="I44" i="2"/>
  <c r="I46" i="2" s="1"/>
  <c r="J44" i="2"/>
  <c r="J46" i="2" s="1"/>
  <c r="K44" i="2"/>
  <c r="K46" i="2" s="1"/>
  <c r="K34" i="2"/>
  <c r="I33" i="2"/>
  <c r="J33" i="2"/>
  <c r="K33" i="2"/>
  <c r="K58" i="2" s="1"/>
  <c r="C33" i="2"/>
  <c r="C35" i="2" s="1"/>
  <c r="G32" i="2"/>
  <c r="H32" i="2"/>
  <c r="H34" i="2" s="1"/>
  <c r="I32" i="2"/>
  <c r="I34" i="2" s="1"/>
  <c r="J32" i="2"/>
  <c r="J34" i="2" s="1"/>
  <c r="K32" i="2"/>
  <c r="C32" i="2"/>
  <c r="C34" i="2" s="1"/>
  <c r="C59" i="2" l="1"/>
  <c r="J58" i="2"/>
  <c r="I58" i="2"/>
  <c r="J64" i="2"/>
  <c r="K64" i="2"/>
  <c r="I64" i="2"/>
  <c r="I35" i="2"/>
  <c r="I59" i="2" s="1"/>
  <c r="J35" i="2"/>
  <c r="J59" i="2" s="1"/>
  <c r="C58" i="2"/>
  <c r="K35" i="2"/>
  <c r="K59" i="2" s="1"/>
  <c r="C64" i="2"/>
  <c r="H20" i="2"/>
  <c r="I20" i="2"/>
  <c r="J20" i="2"/>
  <c r="H66" i="1"/>
  <c r="I66" i="1"/>
  <c r="J66" i="1"/>
  <c r="K66" i="1"/>
  <c r="H65" i="1"/>
  <c r="I65" i="1"/>
  <c r="J65" i="1"/>
  <c r="K65" i="1"/>
  <c r="H63" i="1"/>
  <c r="I63" i="1"/>
  <c r="J63" i="1"/>
  <c r="K63" i="1"/>
  <c r="C63" i="1"/>
  <c r="H62" i="1"/>
  <c r="I62" i="1"/>
  <c r="J62" i="1"/>
  <c r="K62" i="1"/>
  <c r="C62" i="1"/>
  <c r="K59" i="1"/>
  <c r="H57" i="1"/>
  <c r="I57" i="1"/>
  <c r="J57" i="1"/>
  <c r="K57" i="1"/>
  <c r="C57" i="1"/>
  <c r="H50" i="1"/>
  <c r="I50" i="1"/>
  <c r="J50" i="1"/>
  <c r="K50" i="1"/>
  <c r="H49" i="1"/>
  <c r="H51" i="1" s="1"/>
  <c r="I49" i="1"/>
  <c r="I51" i="1" s="1"/>
  <c r="J49" i="1"/>
  <c r="J51" i="1" s="1"/>
  <c r="K49" i="1"/>
  <c r="K51" i="1" s="1"/>
  <c r="C51" i="1"/>
  <c r="C50" i="1"/>
  <c r="C49" i="1"/>
  <c r="C45" i="1"/>
  <c r="C44" i="1"/>
  <c r="C46" i="1" s="1"/>
  <c r="C33" i="1"/>
  <c r="C35" i="1" s="1"/>
  <c r="C32" i="1"/>
  <c r="C34" i="1" s="1"/>
  <c r="H45" i="1"/>
  <c r="I45" i="1"/>
  <c r="J45" i="1"/>
  <c r="K45" i="1"/>
  <c r="H44" i="1"/>
  <c r="H46" i="1" s="1"/>
  <c r="I44" i="1"/>
  <c r="I46" i="1" s="1"/>
  <c r="J44" i="1"/>
  <c r="J46" i="1" s="1"/>
  <c r="K44" i="1"/>
  <c r="K46" i="1" s="1"/>
  <c r="C59" i="1" l="1"/>
  <c r="C64" i="1"/>
  <c r="C58" i="1"/>
  <c r="J64" i="1"/>
  <c r="K64" i="1"/>
  <c r="I64" i="1"/>
  <c r="H64" i="1"/>
  <c r="G35" i="1" l="1"/>
  <c r="E33" i="1"/>
  <c r="E35" i="1" s="1"/>
  <c r="F33" i="1"/>
  <c r="F35" i="1" s="1"/>
  <c r="G33" i="1"/>
  <c r="H33" i="1"/>
  <c r="H35" i="1" s="1"/>
  <c r="I33" i="1"/>
  <c r="J33" i="1"/>
  <c r="K33" i="1"/>
  <c r="E32" i="1"/>
  <c r="E34" i="1" s="1"/>
  <c r="F32" i="1"/>
  <c r="F34" i="1" s="1"/>
  <c r="G32" i="1"/>
  <c r="G34" i="1" s="1"/>
  <c r="H32" i="1"/>
  <c r="H34" i="1" s="1"/>
  <c r="I32" i="1"/>
  <c r="I34" i="1" s="1"/>
  <c r="J32" i="1"/>
  <c r="J34" i="1" s="1"/>
  <c r="K32" i="1"/>
  <c r="H20" i="1"/>
  <c r="I20" i="1"/>
  <c r="J20" i="1"/>
  <c r="I58" i="1" l="1"/>
  <c r="J58" i="1"/>
  <c r="K58" i="1"/>
  <c r="H59" i="1"/>
  <c r="J35" i="1"/>
  <c r="J59" i="1" s="1"/>
  <c r="I35" i="1"/>
  <c r="I59" i="1" s="1"/>
  <c r="H58" i="1"/>
  <c r="C20" i="1"/>
  <c r="C20" i="7" l="1"/>
  <c r="C20" i="5"/>
  <c r="C20" i="6"/>
  <c r="B17" i="1"/>
  <c r="B18" i="1"/>
  <c r="B70" i="1" s="1"/>
  <c r="B19" i="1"/>
  <c r="B16" i="1"/>
  <c r="E44" i="2" l="1"/>
  <c r="E45" i="2"/>
  <c r="G66" i="4"/>
  <c r="F66" i="4"/>
  <c r="E66" i="4"/>
  <c r="D66" i="4"/>
  <c r="G65" i="4"/>
  <c r="F65" i="4"/>
  <c r="E65" i="4"/>
  <c r="D65" i="4"/>
  <c r="G66" i="3"/>
  <c r="F66" i="3"/>
  <c r="E66" i="3"/>
  <c r="D66" i="3"/>
  <c r="G65" i="3"/>
  <c r="F65" i="3"/>
  <c r="E65" i="3"/>
  <c r="D65" i="3"/>
  <c r="G66" i="2"/>
  <c r="F66" i="2"/>
  <c r="E66" i="2"/>
  <c r="D66" i="2"/>
  <c r="G65" i="2"/>
  <c r="F65" i="2"/>
  <c r="E65" i="2"/>
  <c r="D65" i="2"/>
  <c r="G63" i="4"/>
  <c r="F63" i="4"/>
  <c r="E63" i="4"/>
  <c r="D63" i="4"/>
  <c r="G62" i="4"/>
  <c r="F62" i="4"/>
  <c r="E62" i="4"/>
  <c r="D62" i="4"/>
  <c r="G63" i="3"/>
  <c r="F63" i="3"/>
  <c r="E63" i="3"/>
  <c r="D63" i="3"/>
  <c r="G62" i="3"/>
  <c r="F62" i="3"/>
  <c r="E62" i="3"/>
  <c r="D62" i="3"/>
  <c r="G63" i="2"/>
  <c r="F63" i="2"/>
  <c r="E63" i="2"/>
  <c r="D63" i="2"/>
  <c r="G62" i="2"/>
  <c r="F62" i="2"/>
  <c r="E62" i="2"/>
  <c r="D62" i="2"/>
  <c r="E20" i="1"/>
  <c r="F20" i="1"/>
  <c r="G20" i="1"/>
  <c r="D20" i="1"/>
  <c r="E20" i="3"/>
  <c r="F20" i="3"/>
  <c r="G20" i="3"/>
  <c r="D20" i="3"/>
  <c r="E20" i="2"/>
  <c r="F20" i="2"/>
  <c r="G20" i="2"/>
  <c r="D20" i="2"/>
  <c r="H50" i="2"/>
  <c r="H51" i="2" s="1"/>
  <c r="H45" i="2"/>
  <c r="H33" i="2"/>
  <c r="H45" i="3"/>
  <c r="H46" i="3" s="1"/>
  <c r="H64" i="3" s="1"/>
  <c r="E44" i="3"/>
  <c r="E45" i="3"/>
  <c r="H33" i="3"/>
  <c r="H35" i="3" s="1"/>
  <c r="H59" i="3" s="1"/>
  <c r="E44" i="4"/>
  <c r="E45" i="4"/>
  <c r="H16" i="6"/>
  <c r="H32" i="6" s="1"/>
  <c r="H34" i="6" s="1"/>
  <c r="H17" i="6"/>
  <c r="H18" i="6"/>
  <c r="H19" i="6"/>
  <c r="H16" i="7"/>
  <c r="H32" i="7" s="1"/>
  <c r="H34" i="7" s="1"/>
  <c r="H17" i="7"/>
  <c r="H18" i="7"/>
  <c r="H19" i="7"/>
  <c r="H17" i="5"/>
  <c r="H18" i="5"/>
  <c r="H19" i="5"/>
  <c r="G13" i="7"/>
  <c r="G49" i="7" s="1"/>
  <c r="F13" i="7"/>
  <c r="F49" i="7" s="1"/>
  <c r="E13" i="7"/>
  <c r="E49" i="7" s="1"/>
  <c r="D13" i="7"/>
  <c r="D12" i="7"/>
  <c r="E12" i="7"/>
  <c r="F12" i="7"/>
  <c r="G12" i="7"/>
  <c r="D49" i="7" l="1"/>
  <c r="B13" i="7"/>
  <c r="B49" i="7" s="1"/>
  <c r="H58" i="2"/>
  <c r="H35" i="2"/>
  <c r="H59" i="2" s="1"/>
  <c r="H65" i="5"/>
  <c r="H62" i="5"/>
  <c r="H33" i="5"/>
  <c r="H35" i="5" s="1"/>
  <c r="H59" i="5" s="1"/>
  <c r="H66" i="5"/>
  <c r="H63" i="5"/>
  <c r="H20" i="5"/>
  <c r="H65" i="6"/>
  <c r="H62" i="6"/>
  <c r="H33" i="7"/>
  <c r="H35" i="7" s="1"/>
  <c r="H59" i="7" s="1"/>
  <c r="H20" i="7"/>
  <c r="H66" i="7"/>
  <c r="H63" i="7"/>
  <c r="H50" i="7"/>
  <c r="H51" i="7" s="1"/>
  <c r="H65" i="7"/>
  <c r="H62" i="7"/>
  <c r="H66" i="6"/>
  <c r="H63" i="6"/>
  <c r="H20" i="6"/>
  <c r="E46" i="4"/>
  <c r="E46" i="2"/>
  <c r="E46" i="3"/>
  <c r="H50" i="6"/>
  <c r="H51" i="6" s="1"/>
  <c r="H58" i="7"/>
  <c r="H45" i="6"/>
  <c r="H33" i="6"/>
  <c r="H50" i="5"/>
  <c r="H51" i="5" s="1"/>
  <c r="H45" i="7"/>
  <c r="H46" i="7" s="1"/>
  <c r="H45" i="5"/>
  <c r="H46" i="5" s="1"/>
  <c r="E13" i="5"/>
  <c r="F13" i="5"/>
  <c r="G13" i="5"/>
  <c r="D13" i="5"/>
  <c r="E11" i="5"/>
  <c r="F11" i="5"/>
  <c r="G11" i="5"/>
  <c r="B11" i="5" s="1"/>
  <c r="E12" i="5"/>
  <c r="F12" i="5"/>
  <c r="G12" i="5"/>
  <c r="D11" i="5"/>
  <c r="D12" i="5"/>
  <c r="G10" i="5"/>
  <c r="F10" i="5"/>
  <c r="E10" i="5"/>
  <c r="D10" i="5"/>
  <c r="E20" i="4"/>
  <c r="F20" i="4"/>
  <c r="G20" i="4"/>
  <c r="D20" i="4"/>
  <c r="B13" i="5" l="1"/>
  <c r="H64" i="7"/>
  <c r="H58" i="6"/>
  <c r="H35" i="6"/>
  <c r="H59" i="6" s="1"/>
  <c r="H64" i="5"/>
  <c r="H58" i="5"/>
  <c r="H64" i="6"/>
  <c r="B23" i="3"/>
  <c r="B23" i="4"/>
  <c r="G12" i="6"/>
  <c r="G11" i="6"/>
  <c r="B11" i="6" s="1"/>
  <c r="G10" i="6"/>
  <c r="F12" i="6"/>
  <c r="F11" i="6"/>
  <c r="F10" i="6"/>
  <c r="E12" i="6"/>
  <c r="E11" i="6"/>
  <c r="E10" i="6"/>
  <c r="E13" i="6"/>
  <c r="E49" i="6" s="1"/>
  <c r="F13" i="6"/>
  <c r="F49" i="6" s="1"/>
  <c r="G13" i="6"/>
  <c r="G49" i="6" s="1"/>
  <c r="D13" i="6"/>
  <c r="D12" i="6"/>
  <c r="D11" i="6"/>
  <c r="D10" i="6"/>
  <c r="D49" i="6" l="1"/>
  <c r="B13" i="6"/>
  <c r="B49" i="6" s="1"/>
  <c r="B66" i="3"/>
  <c r="B63" i="3"/>
  <c r="B66" i="4"/>
  <c r="B63" i="4"/>
  <c r="B62" i="3"/>
  <c r="B65" i="3"/>
  <c r="B62" i="4"/>
  <c r="B65" i="4"/>
  <c r="B66" i="2" l="1"/>
  <c r="B63" i="2"/>
  <c r="B65" i="2"/>
  <c r="B62" i="2"/>
  <c r="D62" i="1"/>
  <c r="E62" i="1"/>
  <c r="F62" i="1"/>
  <c r="G62" i="1"/>
  <c r="D63" i="1"/>
  <c r="F63" i="1"/>
  <c r="G63" i="1"/>
  <c r="D65" i="1"/>
  <c r="E65" i="1"/>
  <c r="F65" i="1"/>
  <c r="G65" i="1"/>
  <c r="D66" i="1"/>
  <c r="F66" i="1"/>
  <c r="G66" i="1"/>
  <c r="D49" i="1" l="1"/>
  <c r="F49" i="1"/>
  <c r="G49" i="1"/>
  <c r="E49" i="1" l="1"/>
  <c r="E66" i="1"/>
  <c r="E63" i="1" l="1"/>
  <c r="D17" i="5" l="1"/>
  <c r="F17" i="5"/>
  <c r="G17" i="5"/>
  <c r="D18" i="5"/>
  <c r="E18" i="5"/>
  <c r="F18" i="5"/>
  <c r="G18" i="5"/>
  <c r="D16" i="5"/>
  <c r="E16" i="5"/>
  <c r="F16" i="5"/>
  <c r="G16" i="5"/>
  <c r="G32" i="5" s="1"/>
  <c r="E19" i="5"/>
  <c r="F19" i="5"/>
  <c r="G19" i="5"/>
  <c r="D19" i="5"/>
  <c r="D19" i="7"/>
  <c r="E19" i="7"/>
  <c r="F19" i="7"/>
  <c r="G19" i="7"/>
  <c r="D19" i="6"/>
  <c r="E19" i="6"/>
  <c r="F19" i="6"/>
  <c r="G19" i="6"/>
  <c r="B19" i="5" l="1"/>
  <c r="B19" i="6"/>
  <c r="B19" i="7"/>
  <c r="B16" i="5"/>
  <c r="B18" i="5"/>
  <c r="G65" i="5"/>
  <c r="G62" i="5"/>
  <c r="F66" i="5"/>
  <c r="F63" i="5"/>
  <c r="F65" i="5"/>
  <c r="F62" i="5"/>
  <c r="D66" i="5"/>
  <c r="D63" i="5"/>
  <c r="G20" i="5"/>
  <c r="G63" i="5"/>
  <c r="G66" i="5"/>
  <c r="E20" i="5"/>
  <c r="E63" i="5"/>
  <c r="E66" i="5"/>
  <c r="D65" i="5"/>
  <c r="D62" i="5"/>
  <c r="F20" i="5"/>
  <c r="D20" i="5"/>
  <c r="D17" i="7"/>
  <c r="F17" i="7"/>
  <c r="G17" i="7"/>
  <c r="D18" i="7"/>
  <c r="E18" i="7"/>
  <c r="F18" i="7"/>
  <c r="G18" i="7"/>
  <c r="D16" i="7"/>
  <c r="E16" i="7"/>
  <c r="F16" i="7"/>
  <c r="G16" i="7"/>
  <c r="D17" i="6"/>
  <c r="F17" i="6"/>
  <c r="G17" i="6"/>
  <c r="D18" i="6"/>
  <c r="E18" i="6"/>
  <c r="F18" i="6"/>
  <c r="G18" i="6"/>
  <c r="D16" i="6"/>
  <c r="E16" i="6"/>
  <c r="F16" i="6"/>
  <c r="G16" i="6"/>
  <c r="E17" i="5"/>
  <c r="B17" i="5" s="1"/>
  <c r="B65" i="1"/>
  <c r="B16" i="7" l="1"/>
  <c r="F63" i="6"/>
  <c r="F66" i="6"/>
  <c r="G65" i="6"/>
  <c r="G62" i="6"/>
  <c r="F65" i="6"/>
  <c r="F62" i="6"/>
  <c r="G66" i="6"/>
  <c r="G63" i="6"/>
  <c r="D66" i="6"/>
  <c r="D63" i="6"/>
  <c r="B18" i="6"/>
  <c r="E66" i="6"/>
  <c r="E63" i="6"/>
  <c r="D65" i="6"/>
  <c r="D62" i="6"/>
  <c r="B16" i="6"/>
  <c r="B18" i="7"/>
  <c r="F20" i="6"/>
  <c r="D65" i="7"/>
  <c r="D62" i="7"/>
  <c r="E20" i="6"/>
  <c r="E62" i="5"/>
  <c r="E65" i="5"/>
  <c r="G20" i="7"/>
  <c r="G63" i="7"/>
  <c r="G66" i="7"/>
  <c r="G62" i="7"/>
  <c r="G65" i="7"/>
  <c r="E20" i="7"/>
  <c r="E63" i="7"/>
  <c r="E66" i="7"/>
  <c r="D66" i="7"/>
  <c r="D63" i="7"/>
  <c r="G20" i="6"/>
  <c r="F20" i="7"/>
  <c r="F66" i="7"/>
  <c r="F63" i="7"/>
  <c r="F65" i="7"/>
  <c r="F62" i="7"/>
  <c r="D20" i="6"/>
  <c r="D20" i="7"/>
  <c r="B23" i="2"/>
  <c r="B62" i="1"/>
  <c r="B63" i="1"/>
  <c r="B66" i="1"/>
  <c r="E17" i="7"/>
  <c r="B17" i="7" s="1"/>
  <c r="E17" i="6"/>
  <c r="B23" i="1"/>
  <c r="B63" i="5"/>
  <c r="E62" i="6" l="1"/>
  <c r="E65" i="6"/>
  <c r="B17" i="6"/>
  <c r="B66" i="5"/>
  <c r="B66" i="7"/>
  <c r="B63" i="7"/>
  <c r="B66" i="6"/>
  <c r="B63" i="6"/>
  <c r="E65" i="7"/>
  <c r="E62" i="7"/>
  <c r="B65" i="5"/>
  <c r="B62" i="5"/>
  <c r="B65" i="7" l="1"/>
  <c r="B62" i="7"/>
  <c r="B65" i="6"/>
  <c r="B62" i="6"/>
  <c r="B32" i="4"/>
  <c r="B24" i="5"/>
  <c r="B23" i="5"/>
  <c r="B24" i="7"/>
  <c r="B23" i="7"/>
  <c r="B24" i="6"/>
  <c r="B23" i="6"/>
  <c r="E33" i="2"/>
  <c r="E33" i="3"/>
  <c r="E35" i="3" s="1"/>
  <c r="E33" i="4"/>
  <c r="E44" i="1" l="1"/>
  <c r="E35" i="4"/>
  <c r="E35" i="2"/>
  <c r="E45" i="1"/>
  <c r="E50" i="1"/>
  <c r="E50" i="4"/>
  <c r="E50" i="3"/>
  <c r="E50" i="2"/>
  <c r="F44" i="1"/>
  <c r="F45" i="1"/>
  <c r="F50" i="1"/>
  <c r="F45" i="5"/>
  <c r="F33" i="5"/>
  <c r="F50" i="5"/>
  <c r="F45" i="7"/>
  <c r="F33" i="7"/>
  <c r="F50" i="6"/>
  <c r="F33" i="4"/>
  <c r="F35" i="4" s="1"/>
  <c r="F44" i="4"/>
  <c r="F45" i="4"/>
  <c r="F50" i="4"/>
  <c r="F51" i="4" s="1"/>
  <c r="F33" i="3"/>
  <c r="F35" i="3" s="1"/>
  <c r="F44" i="3"/>
  <c r="F45" i="3"/>
  <c r="F50" i="3"/>
  <c r="F51" i="3" s="1"/>
  <c r="F32" i="2"/>
  <c r="F33" i="2"/>
  <c r="F44" i="2"/>
  <c r="F45" i="2"/>
  <c r="F50" i="2"/>
  <c r="F51" i="2" s="1"/>
  <c r="F35" i="2" l="1"/>
  <c r="F58" i="2"/>
  <c r="F46" i="1"/>
  <c r="F64" i="1" s="1"/>
  <c r="E51" i="2"/>
  <c r="F46" i="3"/>
  <c r="F64" i="3" s="1"/>
  <c r="E51" i="1"/>
  <c r="E64" i="2"/>
  <c r="F46" i="2"/>
  <c r="F64" i="2" s="1"/>
  <c r="E51" i="4"/>
  <c r="F32" i="3"/>
  <c r="F58" i="1"/>
  <c r="E51" i="3"/>
  <c r="E50" i="6"/>
  <c r="E33" i="6"/>
  <c r="E45" i="6"/>
  <c r="E45" i="5"/>
  <c r="E50" i="5"/>
  <c r="E33" i="5"/>
  <c r="E64" i="4"/>
  <c r="E44" i="6"/>
  <c r="E49" i="5"/>
  <c r="E44" i="5"/>
  <c r="F32" i="5"/>
  <c r="F58" i="5" s="1"/>
  <c r="F32" i="4"/>
  <c r="F33" i="6"/>
  <c r="F50" i="7"/>
  <c r="F51" i="7" s="1"/>
  <c r="E64" i="3"/>
  <c r="E33" i="7"/>
  <c r="E45" i="7"/>
  <c r="E50" i="7"/>
  <c r="E46" i="1"/>
  <c r="E64" i="1" s="1"/>
  <c r="E44" i="7"/>
  <c r="F45" i="6"/>
  <c r="F46" i="4"/>
  <c r="F64" i="4" s="1"/>
  <c r="F51" i="1"/>
  <c r="F35" i="5"/>
  <c r="F49" i="5"/>
  <c r="F51" i="5" s="1"/>
  <c r="F44" i="5"/>
  <c r="F46" i="5" s="1"/>
  <c r="F32" i="6"/>
  <c r="F32" i="7"/>
  <c r="E46" i="6" l="1"/>
  <c r="E64" i="6" s="1"/>
  <c r="E51" i="6"/>
  <c r="E51" i="7"/>
  <c r="E46" i="7"/>
  <c r="E64" i="7" s="1"/>
  <c r="E35" i="7"/>
  <c r="E35" i="5"/>
  <c r="E46" i="5"/>
  <c r="E64" i="5" s="1"/>
  <c r="E51" i="5"/>
  <c r="E35" i="6"/>
  <c r="F64" i="5"/>
  <c r="F58" i="6"/>
  <c r="F35" i="7"/>
  <c r="F44" i="7"/>
  <c r="F46" i="7" s="1"/>
  <c r="F35" i="6"/>
  <c r="F51" i="6"/>
  <c r="F44" i="6"/>
  <c r="F46" i="6" s="1"/>
  <c r="F64" i="6" s="1"/>
  <c r="F58" i="7"/>
  <c r="E32" i="6" l="1"/>
  <c r="E32" i="5"/>
  <c r="E32" i="7"/>
  <c r="E32" i="2"/>
  <c r="E58" i="2" s="1"/>
  <c r="E32" i="3"/>
  <c r="E32" i="4"/>
  <c r="F64" i="7"/>
  <c r="B69" i="1"/>
  <c r="G50" i="4"/>
  <c r="D50" i="4"/>
  <c r="G45" i="4"/>
  <c r="D45" i="4"/>
  <c r="G50" i="3"/>
  <c r="D50" i="3"/>
  <c r="G45" i="3"/>
  <c r="D45" i="3"/>
  <c r="D50" i="2"/>
  <c r="G50" i="2"/>
  <c r="D45" i="2"/>
  <c r="G45" i="2"/>
  <c r="D50" i="1"/>
  <c r="G50" i="1"/>
  <c r="D45" i="1"/>
  <c r="G45" i="1"/>
  <c r="E58" i="1" l="1"/>
  <c r="E58" i="5"/>
  <c r="E58" i="7"/>
  <c r="E58" i="6"/>
  <c r="G32" i="6"/>
  <c r="D32" i="6" l="1"/>
  <c r="B32" i="6"/>
  <c r="B69" i="6"/>
  <c r="D33" i="6" l="1"/>
  <c r="D58" i="6" s="1"/>
  <c r="D45" i="6"/>
  <c r="D50" i="6"/>
  <c r="G33" i="6"/>
  <c r="G58" i="6" s="1"/>
  <c r="G45" i="6"/>
  <c r="G50" i="6"/>
  <c r="G32" i="7" l="1"/>
  <c r="D32" i="7"/>
  <c r="B32" i="7"/>
  <c r="B69" i="7"/>
  <c r="G33" i="7"/>
  <c r="D33" i="7"/>
  <c r="D50" i="7" l="1"/>
  <c r="D51" i="7" s="1"/>
  <c r="G50" i="7"/>
  <c r="G51" i="7" s="1"/>
  <c r="G50" i="5"/>
  <c r="G45" i="5"/>
  <c r="D50" i="5"/>
  <c r="D45" i="5"/>
  <c r="B70" i="5"/>
  <c r="G45" i="7"/>
  <c r="D45" i="7"/>
  <c r="D58" i="7"/>
  <c r="G58" i="7"/>
  <c r="D32" i="5" l="1"/>
  <c r="B32" i="5"/>
  <c r="B69" i="5"/>
  <c r="G33" i="5"/>
  <c r="D33" i="5"/>
  <c r="D33" i="4"/>
  <c r="D32" i="4"/>
  <c r="B69" i="4"/>
  <c r="G33" i="3"/>
  <c r="D33" i="3"/>
  <c r="G32" i="3"/>
  <c r="D32" i="3"/>
  <c r="B32" i="3"/>
  <c r="B69" i="3"/>
  <c r="G33" i="2"/>
  <c r="G58" i="2" s="1"/>
  <c r="D33" i="2"/>
  <c r="D32" i="2"/>
  <c r="B32" i="2"/>
  <c r="B69" i="2"/>
  <c r="D33" i="1"/>
  <c r="D32" i="1"/>
  <c r="B32" i="1"/>
  <c r="D58" i="2" l="1"/>
  <c r="F57" i="2"/>
  <c r="F34" i="2"/>
  <c r="F59" i="2" s="1"/>
  <c r="F57" i="3"/>
  <c r="F34" i="3"/>
  <c r="F59" i="3" s="1"/>
  <c r="F57" i="4"/>
  <c r="F34" i="4"/>
  <c r="F59" i="4" s="1"/>
  <c r="F57" i="1"/>
  <c r="F59" i="1"/>
  <c r="B57" i="3"/>
  <c r="B44" i="3"/>
  <c r="G51" i="1"/>
  <c r="G44" i="1"/>
  <c r="G46" i="1" s="1"/>
  <c r="G35" i="5"/>
  <c r="B34" i="6"/>
  <c r="B34" i="7"/>
  <c r="B34" i="5"/>
  <c r="D57" i="1"/>
  <c r="D51" i="1"/>
  <c r="D44" i="1"/>
  <c r="D46" i="1" s="1"/>
  <c r="B34" i="1"/>
  <c r="D34" i="2"/>
  <c r="D57" i="2"/>
  <c r="D51" i="2"/>
  <c r="D44" i="2"/>
  <c r="D46" i="2" s="1"/>
  <c r="B45" i="2"/>
  <c r="B70" i="2"/>
  <c r="B50" i="2"/>
  <c r="B54" i="2"/>
  <c r="G34" i="2"/>
  <c r="G35" i="2"/>
  <c r="G59" i="2" s="1"/>
  <c r="G51" i="3"/>
  <c r="G44" i="3"/>
  <c r="G46" i="3" s="1"/>
  <c r="D57" i="4"/>
  <c r="D51" i="4"/>
  <c r="D44" i="4"/>
  <c r="D46" i="4" s="1"/>
  <c r="B50" i="4"/>
  <c r="B51" i="4" s="1"/>
  <c r="B45" i="4"/>
  <c r="B70" i="4"/>
  <c r="B44" i="2"/>
  <c r="B57" i="2"/>
  <c r="G57" i="2"/>
  <c r="G51" i="2"/>
  <c r="G44" i="2"/>
  <c r="G46" i="2" s="1"/>
  <c r="D35" i="2"/>
  <c r="D59" i="2" s="1"/>
  <c r="D34" i="3"/>
  <c r="G57" i="3"/>
  <c r="D51" i="3"/>
  <c r="D44" i="3"/>
  <c r="D46" i="3" s="1"/>
  <c r="B50" i="3"/>
  <c r="B45" i="3"/>
  <c r="B70" i="3"/>
  <c r="B57" i="4"/>
  <c r="B44" i="4"/>
  <c r="B46" i="4" s="1"/>
  <c r="G51" i="4"/>
  <c r="G44" i="4"/>
  <c r="G46" i="4" s="1"/>
  <c r="D34" i="4"/>
  <c r="D58" i="5"/>
  <c r="G58" i="5"/>
  <c r="B34" i="4"/>
  <c r="B34" i="3"/>
  <c r="B34" i="2"/>
  <c r="D58" i="1"/>
  <c r="G58" i="1"/>
  <c r="D35" i="5"/>
  <c r="B54" i="5"/>
  <c r="B33" i="5"/>
  <c r="B45" i="5"/>
  <c r="B50" i="5"/>
  <c r="B54" i="4"/>
  <c r="B33" i="4"/>
  <c r="B58" i="4" s="1"/>
  <c r="D35" i="4"/>
  <c r="G35" i="4"/>
  <c r="B54" i="3"/>
  <c r="B33" i="3"/>
  <c r="B58" i="3" s="1"/>
  <c r="D35" i="3"/>
  <c r="G35" i="3"/>
  <c r="B33" i="2"/>
  <c r="B58" i="2" s="1"/>
  <c r="B33" i="1"/>
  <c r="D35" i="1"/>
  <c r="B45" i="1"/>
  <c r="B50" i="1"/>
  <c r="B54" i="1"/>
  <c r="B46" i="2" l="1"/>
  <c r="B64" i="2" s="1"/>
  <c r="D64" i="3"/>
  <c r="D64" i="2"/>
  <c r="E57" i="4"/>
  <c r="E34" i="4"/>
  <c r="E59" i="4" s="1"/>
  <c r="E57" i="2"/>
  <c r="E34" i="2"/>
  <c r="E59" i="2" s="1"/>
  <c r="G59" i="1"/>
  <c r="G57" i="4"/>
  <c r="G59" i="4"/>
  <c r="G34" i="5"/>
  <c r="G59" i="5" s="1"/>
  <c r="G34" i="6"/>
  <c r="D34" i="7"/>
  <c r="D64" i="1"/>
  <c r="G34" i="3"/>
  <c r="G59" i="3" s="1"/>
  <c r="F34" i="6"/>
  <c r="F59" i="6" s="1"/>
  <c r="F57" i="6"/>
  <c r="F34" i="5"/>
  <c r="F59" i="5" s="1"/>
  <c r="F57" i="5"/>
  <c r="D57" i="3"/>
  <c r="F34" i="7"/>
  <c r="F59" i="7" s="1"/>
  <c r="F57" i="7"/>
  <c r="D59" i="3"/>
  <c r="D59" i="4"/>
  <c r="D35" i="7"/>
  <c r="D44" i="7"/>
  <c r="D46" i="7" s="1"/>
  <c r="G34" i="7"/>
  <c r="D34" i="5"/>
  <c r="D59" i="5" s="1"/>
  <c r="D34" i="6"/>
  <c r="G44" i="7"/>
  <c r="G46" i="7" s="1"/>
  <c r="G35" i="7"/>
  <c r="G57" i="1"/>
  <c r="B51" i="3"/>
  <c r="G64" i="4"/>
  <c r="G64" i="2"/>
  <c r="B64" i="4"/>
  <c r="D64" i="4"/>
  <c r="G64" i="3"/>
  <c r="B51" i="2"/>
  <c r="D49" i="5"/>
  <c r="D51" i="5" s="1"/>
  <c r="D57" i="5"/>
  <c r="D44" i="5"/>
  <c r="D46" i="5" s="1"/>
  <c r="D57" i="6"/>
  <c r="D44" i="6"/>
  <c r="D46" i="6" s="1"/>
  <c r="D64" i="6" s="1"/>
  <c r="D51" i="6"/>
  <c r="D35" i="6"/>
  <c r="D34" i="1"/>
  <c r="D59" i="1" s="1"/>
  <c r="G57" i="5"/>
  <c r="G44" i="5"/>
  <c r="G46" i="5" s="1"/>
  <c r="G49" i="5"/>
  <c r="G51" i="5" s="1"/>
  <c r="G57" i="6"/>
  <c r="G44" i="6"/>
  <c r="G46" i="6" s="1"/>
  <c r="G64" i="6" s="1"/>
  <c r="G51" i="6"/>
  <c r="G35" i="6"/>
  <c r="G64" i="1"/>
  <c r="B46" i="3"/>
  <c r="B64" i="3" s="1"/>
  <c r="B70" i="6"/>
  <c r="B54" i="6"/>
  <c r="B45" i="6"/>
  <c r="B50" i="6"/>
  <c r="B33" i="6"/>
  <c r="B70" i="7"/>
  <c r="B50" i="7"/>
  <c r="B33" i="7"/>
  <c r="B45" i="7"/>
  <c r="B54" i="7"/>
  <c r="B58" i="5"/>
  <c r="B35" i="5"/>
  <c r="B59" i="5" s="1"/>
  <c r="B35" i="4"/>
  <c r="B59" i="4" s="1"/>
  <c r="B35" i="3"/>
  <c r="B59" i="3" s="1"/>
  <c r="B35" i="2"/>
  <c r="B59" i="2" s="1"/>
  <c r="B58" i="1"/>
  <c r="B35" i="1"/>
  <c r="B59" i="1" s="1"/>
  <c r="B44" i="1"/>
  <c r="B46" i="1" s="1"/>
  <c r="B57" i="1"/>
  <c r="B51" i="1"/>
  <c r="D59" i="6" l="1"/>
  <c r="G64" i="5"/>
  <c r="G59" i="6"/>
  <c r="E57" i="1"/>
  <c r="E59" i="1"/>
  <c r="E57" i="3"/>
  <c r="E34" i="3"/>
  <c r="E59" i="3" s="1"/>
  <c r="D64" i="7"/>
  <c r="G59" i="7"/>
  <c r="G57" i="7"/>
  <c r="B57" i="5"/>
  <c r="D59" i="7"/>
  <c r="D57" i="7"/>
  <c r="D64" i="5"/>
  <c r="G64" i="7"/>
  <c r="B49" i="5"/>
  <c r="B51" i="5" s="1"/>
  <c r="B44" i="5"/>
  <c r="B46" i="5" s="1"/>
  <c r="B64" i="5" s="1"/>
  <c r="B35" i="7"/>
  <c r="B59" i="7" s="1"/>
  <c r="B58" i="7"/>
  <c r="B44" i="6"/>
  <c r="B46" i="6" s="1"/>
  <c r="B64" i="6" s="1"/>
  <c r="B57" i="6"/>
  <c r="B51" i="6"/>
  <c r="B58" i="6"/>
  <c r="B35" i="6"/>
  <c r="B59" i="6" s="1"/>
  <c r="B44" i="7"/>
  <c r="B46" i="7" s="1"/>
  <c r="B64" i="7" s="1"/>
  <c r="B51" i="7"/>
  <c r="B57" i="7"/>
  <c r="B64" i="1"/>
  <c r="E57" i="7" l="1"/>
  <c r="E34" i="7"/>
  <c r="E59" i="7" s="1"/>
  <c r="E57" i="6"/>
  <c r="E34" i="6"/>
  <c r="E59" i="6" s="1"/>
  <c r="E57" i="5"/>
  <c r="E34" i="5"/>
  <c r="E59" i="5" s="1"/>
</calcChain>
</file>

<file path=xl/sharedStrings.xml><?xml version="1.0" encoding="utf-8"?>
<sst xmlns="http://schemas.openxmlformats.org/spreadsheetml/2006/main" count="701" uniqueCount="141">
  <si>
    <t>Indicador</t>
  </si>
  <si>
    <t>Total programa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</si>
  <si>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</si>
  <si>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</si>
  <si>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</si>
  <si>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</si>
  <si>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</si>
  <si>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</si>
  <si>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</si>
  <si>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</si>
  <si>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</si>
  <si>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</si>
  <si>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</si>
  <si>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</si>
  <si>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</si>
  <si>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</si>
  <si>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</si>
  <si>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</si>
  <si>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</si>
  <si>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</si>
  <si>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</si>
  <si>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</si>
  <si>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</si>
  <si>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</si>
  <si>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</si>
  <si>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</si>
  <si>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</si>
  <si>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</si>
  <si>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</si>
  <si>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</si>
  <si>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</si>
  <si>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</si>
  <si>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</si>
  <si>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</si>
  <si>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</si>
  <si>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</si>
  <si>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Nota:</t>
  </si>
  <si>
    <t>Efectivos 1T 2013</t>
  </si>
  <si>
    <t>IPC (1T 2013)</t>
  </si>
  <si>
    <t>Gasto efectivo real 1T 2013</t>
  </si>
  <si>
    <t>Gasto efectivo real por beneficiario 1T 2013</t>
  </si>
  <si>
    <t>Efectivos 2T 2013</t>
  </si>
  <si>
    <t>IPC (2T 2013)</t>
  </si>
  <si>
    <t>Gasto efectivo real 2T 2013</t>
  </si>
  <si>
    <t>Gasto efectivo real por beneficiario 2T 2013</t>
  </si>
  <si>
    <t>Efectivos 3T 2013</t>
  </si>
  <si>
    <t>IPC (3T 2013)</t>
  </si>
  <si>
    <t>Gasto efectivo real 3T 2013</t>
  </si>
  <si>
    <t>Gasto efectivo real por beneficiario 3T 2013</t>
  </si>
  <si>
    <t>Efectivos 4T 2013</t>
  </si>
  <si>
    <t>IPC (4T 2013)</t>
  </si>
  <si>
    <t>Gasto efectivo real 4T 2013</t>
  </si>
  <si>
    <t>Gasto efectivo real por beneficiario 4T 2013</t>
  </si>
  <si>
    <t>Efectivos 1S 2013</t>
  </si>
  <si>
    <t>IPC (1S 2013)</t>
  </si>
  <si>
    <t>Gasto efectivo real 1S 2013</t>
  </si>
  <si>
    <t>Gasto efectivo real por beneficiario 1S 2013</t>
  </si>
  <si>
    <t>Efectivos 3TA 2013</t>
  </si>
  <si>
    <t>IPC (3TA 2013)</t>
  </si>
  <si>
    <t>Gasto efectivo real 3TA 2013</t>
  </si>
  <si>
    <t>Gasto efectivo real por beneficiario 3TA 2013</t>
  </si>
  <si>
    <t>Efectivos  2013</t>
  </si>
  <si>
    <t>IPC ( 2013)</t>
  </si>
  <si>
    <t>Gasto efectivo real  2013</t>
  </si>
  <si>
    <t>Gasto efectivo real por beneficiario  2013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</si>
  <si>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</si>
  <si>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</si>
  <si>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</si>
  <si>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</si>
  <si>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n.a.</t>
  </si>
  <si>
    <t>n.d.</t>
  </si>
  <si>
    <t xml:space="preserve">Gasto efectivo trimestral por beneficiario (GEB) </t>
  </si>
  <si>
    <t xml:space="preserve">Gasto programado trimestral por beneficiario (GPB) </t>
  </si>
  <si>
    <t xml:space="preserve">Gasto programado anual por beneficiario (GPB) </t>
  </si>
  <si>
    <t xml:space="preserve">Gasto efectivo anual por beneficiario (GEB) </t>
  </si>
  <si>
    <t>Indicadores propuestos aplicados a PANI. Primer trimestre 2014</t>
  </si>
  <si>
    <t>Programados 1T 2014</t>
  </si>
  <si>
    <t>Efectivos 1T 2014</t>
  </si>
  <si>
    <t>Programados año 2014</t>
  </si>
  <si>
    <t>En transferencias 1T 2014</t>
  </si>
  <si>
    <t>IPC (1T 2014)</t>
  </si>
  <si>
    <t>Gasto efectivo real 1T 2014</t>
  </si>
  <si>
    <t>Gasto efectivo real por beneficiario 1T 2014</t>
  </si>
  <si>
    <t>Informes Trimestrales PANI 2013 y 2014</t>
  </si>
  <si>
    <t>Metas y Modificaciones 2014, DESAF</t>
  </si>
  <si>
    <t>IPC, INEC 2013 y 2014</t>
  </si>
  <si>
    <t>Centros de Atención Infantil-
Guarderías</t>
  </si>
  <si>
    <t>Residencias 
Transitorias</t>
  </si>
  <si>
    <t>Centros de Atención Infantil-
Guarderías Red de Cuido Directo</t>
  </si>
  <si>
    <t>Juntas de Protección de Niñez y 
Adolescencia-Promoción</t>
  </si>
  <si>
    <t>Juntas de Protección de Niñez y
 Adolescencia-Prevención</t>
  </si>
  <si>
    <t>Alternativas de 
protección</t>
  </si>
  <si>
    <t>Programados 2T 2014</t>
  </si>
  <si>
    <t>Efectivos 2T 2014</t>
  </si>
  <si>
    <t>En transferencias 2T 2014</t>
  </si>
  <si>
    <t>IPC (2T 2014)</t>
  </si>
  <si>
    <t>Gasto efectivo real 2T 2014</t>
  </si>
  <si>
    <t>Gasto efectivo real por beneficiario 2T 2014</t>
  </si>
  <si>
    <t>Indicadores propuestos aplicados a PANI. Segundo trimestre 2014</t>
  </si>
  <si>
    <t>Indicadores propuestos aplicados a PANI. Tercer trimestre 2014</t>
  </si>
  <si>
    <t>Programados 3T 2014</t>
  </si>
  <si>
    <t>Efectivos 3T 2014</t>
  </si>
  <si>
    <t>En transferencias 3T 2014</t>
  </si>
  <si>
    <t>IPC (3T 2014)</t>
  </si>
  <si>
    <t>Gasto efectivo real 3T 2014</t>
  </si>
  <si>
    <t>Gasto efectivo real por beneficiario 3T 2014</t>
  </si>
  <si>
    <t>Indicadores propuestos aplicados a PANI. Cuarto trimestre 2014</t>
  </si>
  <si>
    <t>Programados 4T 2014</t>
  </si>
  <si>
    <t>Efectivos 4T 2014</t>
  </si>
  <si>
    <t>En transferencias 4T 2014</t>
  </si>
  <si>
    <t>IPC (4T 2014)</t>
  </si>
  <si>
    <t>Gasto efectivo real 4T 2014</t>
  </si>
  <si>
    <t>Gasto efectivo real por beneficiario 4T 2014</t>
  </si>
  <si>
    <t>Indicadores propuestos aplicados a PANI.  2014</t>
  </si>
  <si>
    <t>Programados 1S 2014</t>
  </si>
  <si>
    <t>Efectivos 1S 2014</t>
  </si>
  <si>
    <t>En transferencias 1S 2014</t>
  </si>
  <si>
    <t>IPC (1S 2014)</t>
  </si>
  <si>
    <t>Gasto efectivo real 1S 2014</t>
  </si>
  <si>
    <t>Gasto efectivo real por beneficiario 1S 2014</t>
  </si>
  <si>
    <t>Programados 3TA 2014</t>
  </si>
  <si>
    <t>Efectivos 3TA 2014</t>
  </si>
  <si>
    <t>En transferencias 3TA 2014</t>
  </si>
  <si>
    <t>IPC (3TA 2014)</t>
  </si>
  <si>
    <t>Gasto efectivo real 3TA 2014</t>
  </si>
  <si>
    <t>Gasto efectivo real por beneficiario 3TA 2014</t>
  </si>
  <si>
    <t>Programados  2014</t>
  </si>
  <si>
    <t>Efectivos  2014</t>
  </si>
  <si>
    <t>En transferencias  2014</t>
  </si>
  <si>
    <t>IPC ( 2014)</t>
  </si>
  <si>
    <t>Gasto efectivo real  2014</t>
  </si>
  <si>
    <t>Gasto efectivo real por beneficiario  2014</t>
  </si>
  <si>
    <t>Alimentación</t>
  </si>
  <si>
    <t>Otros gastos</t>
  </si>
  <si>
    <t>Fecha de actualización: 03/07/2015</t>
  </si>
  <si>
    <t>Fecha de actualización: 06/07/2015</t>
  </si>
  <si>
    <t>Fecha de actualización: 09/07/2015</t>
  </si>
  <si>
    <t>,</t>
  </si>
  <si>
    <t>Superávit comprometido</t>
  </si>
  <si>
    <t>Gestión de 
apoyo</t>
  </si>
  <si>
    <r>
      <t>Gestión de 
apoyo</t>
    </r>
    <r>
      <rPr>
        <sz val="11"/>
        <color theme="9" tint="-0.249977111117893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</si>
</sst>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#,##0.0000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7" fontId="0" fillId="0" borderId="0" xfId="1" applyNumberFormat="1" applyFont="1"/>
    <xf numFmtId="164" fontId="0" fillId="0" borderId="0" xfId="0" applyNumberFormat="1" applyAlignment="1">
      <alignment horizontal="right"/>
    </xf>
    <xf numFmtId="0" fontId="5" fillId="0" borderId="0" xfId="0" applyFont="1"/>
    <xf numFmtId="0" fontId="5" fillId="0" borderId="0" xfId="0" applyFont="1" applyFill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164" fontId="5" fillId="0" borderId="0" xfId="0" applyNumberFormat="1" applyFont="1"/>
    <xf numFmtId="164" fontId="6" fillId="0" borderId="0" xfId="0" applyNumberFormat="1" applyFont="1"/>
    <xf numFmtId="3" fontId="5" fillId="0" borderId="0" xfId="0" applyNumberFormat="1" applyFont="1" applyFill="1"/>
    <xf numFmtId="0" fontId="0" fillId="2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7" fillId="0" borderId="0" xfId="0" applyFont="1"/>
    <xf numFmtId="3" fontId="0" fillId="0" borderId="0" xfId="0" applyNumberFormat="1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5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left" indent="1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3" fontId="6" fillId="0" borderId="0" xfId="0" applyNumberFormat="1" applyFont="1" applyFill="1"/>
    <xf numFmtId="3" fontId="6" fillId="0" borderId="0" xfId="0" applyNumberFormat="1" applyFont="1"/>
    <xf numFmtId="164" fontId="6" fillId="0" borderId="0" xfId="0" applyNumberFormat="1" applyFont="1" applyFill="1"/>
    <xf numFmtId="167" fontId="6" fillId="0" borderId="0" xfId="1" applyNumberFormat="1" applyFont="1"/>
    <xf numFmtId="0" fontId="6" fillId="0" borderId="0" xfId="0" applyFont="1" applyFill="1"/>
    <xf numFmtId="4" fontId="6" fillId="0" borderId="0" xfId="0" applyNumberFormat="1" applyFont="1"/>
    <xf numFmtId="4" fontId="6" fillId="0" borderId="0" xfId="0" applyNumberFormat="1" applyFont="1" applyFill="1"/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PANI: Indicadores de Resultado 2014</a:t>
            </a:r>
          </a:p>
        </c:rich>
      </c:tx>
      <c:layout>
        <c:manualLayout>
          <c:xMode val="edge"/>
          <c:yMode val="edge"/>
          <c:x val="0.3011596675415573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(Anual!$B$44,Anual!$D$44:$J$44)</c:f>
              <c:numCache>
                <c:formatCode>#,##0.0____</c:formatCode>
                <c:ptCount val="8"/>
                <c:pt idx="0">
                  <c:v>84.165283819945884</c:v>
                </c:pt>
                <c:pt idx="1">
                  <c:v>203.0727084258848</c:v>
                </c:pt>
                <c:pt idx="2">
                  <c:v>332.5</c:v>
                </c:pt>
                <c:pt idx="3">
                  <c:v>136.3989831015403</c:v>
                </c:pt>
                <c:pt idx="4">
                  <c:v>62.388517857883606</c:v>
                </c:pt>
                <c:pt idx="5">
                  <c:v>97.6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(Anual!$B$45,Anual!$D$45:$J$45)</c:f>
              <c:numCache>
                <c:formatCode>#,##0.0____</c:formatCode>
                <c:ptCount val="8"/>
                <c:pt idx="0">
                  <c:v>90.809550539363826</c:v>
                </c:pt>
                <c:pt idx="1">
                  <c:v>148.08652687834675</c:v>
                </c:pt>
                <c:pt idx="2">
                  <c:v>100.92509707537265</c:v>
                </c:pt>
                <c:pt idx="3">
                  <c:v>149.9676632620008</c:v>
                </c:pt>
                <c:pt idx="4">
                  <c:v>42.409652685502458</c:v>
                </c:pt>
                <c:pt idx="5">
                  <c:v>54.405958585761446</c:v>
                </c:pt>
                <c:pt idx="6">
                  <c:v>47.609364041565023</c:v>
                </c:pt>
                <c:pt idx="7">
                  <c:v>255.03100421582329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(Anual!$B$46,Anual!$D$46:$J$46)</c:f>
              <c:numCache>
                <c:formatCode>#,##0.0____</c:formatCode>
                <c:ptCount val="8"/>
                <c:pt idx="0">
                  <c:v>87.487417179654855</c:v>
                </c:pt>
                <c:pt idx="1">
                  <c:v>175.57961765211576</c:v>
                </c:pt>
                <c:pt idx="2">
                  <c:v>216.71254853768633</c:v>
                </c:pt>
                <c:pt idx="3">
                  <c:v>143.18332318177056</c:v>
                </c:pt>
                <c:pt idx="4">
                  <c:v>52.399085271693032</c:v>
                </c:pt>
                <c:pt idx="5">
                  <c:v>76.002979292880724</c:v>
                </c:pt>
                <c:pt idx="6">
                  <c:v>23.804682020782511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17070936"/>
        <c:axId val="316866728"/>
      </c:barChart>
      <c:catAx>
        <c:axId val="317070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6866728"/>
        <c:crosses val="autoZero"/>
        <c:auto val="1"/>
        <c:lblAlgn val="ctr"/>
        <c:lblOffset val="100"/>
        <c:noMultiLvlLbl val="0"/>
      </c:catAx>
      <c:valAx>
        <c:axId val="31686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707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Expansión 2014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(Anual!$B$5,Anual!$D$5:$F$5)</c:f>
              <c:strCache>
                <c:ptCount val="4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</c:strCache>
            </c:strRef>
          </c:cat>
          <c:val>
            <c:numRef>
              <c:f>(Anual!$B$57,Anual!$D$57:$F$57)</c:f>
              <c:numCache>
                <c:formatCode>#,##0.0____</c:formatCode>
                <c:ptCount val="4"/>
                <c:pt idx="0">
                  <c:v>95.330037297250442</c:v>
                </c:pt>
                <c:pt idx="1">
                  <c:v>39.258695100279262</c:v>
                </c:pt>
                <c:pt idx="2">
                  <c:v>-3.8044264429336172</c:v>
                </c:pt>
                <c:pt idx="3">
                  <c:v>10.517387616624241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(Anual!$B$5,Anual!$D$5:$F$5)</c:f>
              <c:strCache>
                <c:ptCount val="4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</c:strCache>
            </c:strRef>
          </c:cat>
          <c:val>
            <c:numRef>
              <c:f>(Anual!$B$58,Anual!$D$58:$F$58)</c:f>
              <c:numCache>
                <c:formatCode>#,##0.0____</c:formatCode>
                <c:ptCount val="4"/>
                <c:pt idx="0">
                  <c:v>8.5003883872265327</c:v>
                </c:pt>
                <c:pt idx="1">
                  <c:v>2.5315218606699386</c:v>
                </c:pt>
                <c:pt idx="2">
                  <c:v>-25.198266724411631</c:v>
                </c:pt>
                <c:pt idx="3">
                  <c:v>24.223774609206707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(Anual!$B$5,Anual!$D$5:$F$5)</c:f>
              <c:strCache>
                <c:ptCount val="4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</c:strCache>
            </c:strRef>
          </c:cat>
          <c:val>
            <c:numRef>
              <c:f>(Anual!$B$59,Anual!$D$59:$F$59)</c:f>
              <c:numCache>
                <c:formatCode>#,##0.0____</c:formatCode>
                <c:ptCount val="4"/>
                <c:pt idx="0">
                  <c:v>-44.452788783267259</c:v>
                </c:pt>
                <c:pt idx="1">
                  <c:v>-26.373342945057988</c:v>
                </c:pt>
                <c:pt idx="2">
                  <c:v>-22.239942536219193</c:v>
                </c:pt>
                <c:pt idx="3">
                  <c:v>12.402018621837851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6784752"/>
        <c:axId val="316531264"/>
      </c:barChart>
      <c:catAx>
        <c:axId val="316784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6531264"/>
        <c:crosses val="autoZero"/>
        <c:auto val="1"/>
        <c:lblAlgn val="ctr"/>
        <c:lblOffset val="100"/>
        <c:noMultiLvlLbl val="0"/>
      </c:catAx>
      <c:valAx>
        <c:axId val="31653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678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PANI:</a:t>
            </a:r>
            <a:r>
              <a:rPr lang="es-CR" sz="1400" baseline="0"/>
              <a:t> Indicadores de Giro de Recursos 2014</a:t>
            </a:r>
            <a:endParaRPr lang="es-CR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87.626006098000644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103.63310458062271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16642288"/>
        <c:axId val="316642672"/>
      </c:barChart>
      <c:catAx>
        <c:axId val="31664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316642672"/>
        <c:crosses val="autoZero"/>
        <c:auto val="1"/>
        <c:lblAlgn val="ctr"/>
        <c:lblOffset val="100"/>
        <c:noMultiLvlLbl val="0"/>
      </c:catAx>
      <c:valAx>
        <c:axId val="316642672"/>
        <c:scaling>
          <c:orientation val="minMax"/>
        </c:scaling>
        <c:delete val="1"/>
        <c:axPos val="l"/>
        <c:numFmt formatCode="#,##0.0____" sourceLinked="1"/>
        <c:majorTickMark val="out"/>
        <c:minorTickMark val="none"/>
        <c:tickLblPos val="none"/>
        <c:crossAx val="31664228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de eficiencia (IE) 2014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(Anual!$B$5,Anual!$D$5:$H$5)</c:f>
              <c:strCache>
                <c:ptCount val="6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</c:strCache>
            </c:strRef>
          </c:cat>
          <c:val>
            <c:numRef>
              <c:f>(Anual!$B$64,Anual!$D$64:$H$64)</c:f>
              <c:numCache>
                <c:formatCode>#,##0.0</c:formatCode>
                <c:ptCount val="6"/>
                <c:pt idx="0">
                  <c:v>81.086221150360132</c:v>
                </c:pt>
                <c:pt idx="1">
                  <c:v>240.77429090012635</c:v>
                </c:pt>
                <c:pt idx="2">
                  <c:v>713.96436046989686</c:v>
                </c:pt>
                <c:pt idx="3">
                  <c:v>130.2284722872073</c:v>
                </c:pt>
                <c:pt idx="4">
                  <c:v>77.083896240614905</c:v>
                </c:pt>
                <c:pt idx="5">
                  <c:v>136.34335230565151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6577488"/>
        <c:axId val="316681848"/>
      </c:barChart>
      <c:catAx>
        <c:axId val="31657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6681848"/>
        <c:crosses val="autoZero"/>
        <c:auto val="1"/>
        <c:lblAlgn val="ctr"/>
        <c:lblOffset val="100"/>
        <c:noMultiLvlLbl val="0"/>
      </c:catAx>
      <c:valAx>
        <c:axId val="31668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657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gasto medio 2014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(Anual!$B$65,Anual!$D$65:$J$65)</c:f>
              <c:numCache>
                <c:formatCode>#,##0</c:formatCode>
                <c:ptCount val="8"/>
                <c:pt idx="0">
                  <c:v>1630594.7788276451</c:v>
                </c:pt>
                <c:pt idx="1">
                  <c:v>819565.34517992008</c:v>
                </c:pt>
                <c:pt idx="2">
                  <c:v>3306958.84296</c:v>
                </c:pt>
                <c:pt idx="3">
                  <c:v>819566.54284432484</c:v>
                </c:pt>
                <c:pt idx="4">
                  <c:v>47487.851827270089</c:v>
                </c:pt>
                <c:pt idx="5">
                  <c:v>332768</c:v>
                </c:pt>
                <c:pt idx="6">
                  <c:v>1196327.7709717711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(Anual!$B$66,Anual!$D$66:$J$66)</c:f>
              <c:numCache>
                <c:formatCode>#,##0</c:formatCode>
                <c:ptCount val="8"/>
                <c:pt idx="0">
                  <c:v>1759318.9526211831</c:v>
                </c:pt>
                <c:pt idx="1">
                  <c:v>597650.89291573991</c:v>
                </c:pt>
                <c:pt idx="2">
                  <c:v>1003774.8639097745</c:v>
                </c:pt>
                <c:pt idx="3">
                  <c:v>901095.27595658379</c:v>
                </c:pt>
                <c:pt idx="4">
                  <c:v>32280.672340425532</c:v>
                </c:pt>
                <c:pt idx="5">
                  <c:v>185497.56174863389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16652256"/>
        <c:axId val="315090536"/>
      </c:barChart>
      <c:catAx>
        <c:axId val="31665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5090536"/>
        <c:crosses val="autoZero"/>
        <c:auto val="1"/>
        <c:lblAlgn val="ctr"/>
        <c:lblOffset val="100"/>
        <c:noMultiLvlLbl val="0"/>
      </c:catAx>
      <c:valAx>
        <c:axId val="3150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665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transferencia efectiva del gasto (ITG) 2014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(Anual!$B$5,Anual!$D$5:$J$5)</c15:sqref>
                  </c15:fullRef>
                </c:ext>
              </c:extLst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(Anual!$B$54,Anual!$D$54:$J$54)</c15:sqref>
                  </c15:fullRef>
                </c:ext>
              </c:extLst>
              <c:f>Anual!$B$54</c:f>
              <c:numCache>
                <c:formatCode>#,##0.0____</c:formatCode>
                <c:ptCount val="1"/>
                <c:pt idx="0">
                  <c:v>29.4381607952397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5091320"/>
        <c:axId val="315091712"/>
      </c:barChart>
      <c:catAx>
        <c:axId val="31509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5091712"/>
        <c:crosses val="autoZero"/>
        <c:auto val="1"/>
        <c:lblAlgn val="ctr"/>
        <c:lblOffset val="100"/>
        <c:noMultiLvlLbl val="0"/>
      </c:catAx>
      <c:valAx>
        <c:axId val="31509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509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PANI: Indicadores de Avance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(Anual!$B$49,Anual!$D$49:$J$49)</c:f>
              <c:numCache>
                <c:formatCode>#,##0.0____</c:formatCode>
                <c:ptCount val="8"/>
                <c:pt idx="0">
                  <c:v>84.161509253445772</c:v>
                </c:pt>
                <c:pt idx="1">
                  <c:v>202.9825340438129</c:v>
                </c:pt>
                <c:pt idx="2">
                  <c:v>332.5</c:v>
                </c:pt>
                <c:pt idx="3">
                  <c:v>136.46020347097544</c:v>
                </c:pt>
                <c:pt idx="4">
                  <c:v>62.385929981748802</c:v>
                </c:pt>
                <c:pt idx="5">
                  <c:v>97.652081109925291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(Anual!$B$50,Anual!$D$50:$J$50)</c:f>
              <c:numCache>
                <c:formatCode>#,##0.0____</c:formatCode>
                <c:ptCount val="8"/>
                <c:pt idx="0">
                  <c:v>90.809550770650205</c:v>
                </c:pt>
                <c:pt idx="1">
                  <c:v>148.08652687834675</c:v>
                </c:pt>
                <c:pt idx="2">
                  <c:v>100.92509707537269</c:v>
                </c:pt>
                <c:pt idx="3">
                  <c:v>149.9676632620008</c:v>
                </c:pt>
                <c:pt idx="4">
                  <c:v>42.409652685502458</c:v>
                </c:pt>
                <c:pt idx="5">
                  <c:v>54.405958585761446</c:v>
                </c:pt>
                <c:pt idx="6">
                  <c:v>47.609364962157883</c:v>
                </c:pt>
                <c:pt idx="7">
                  <c:v>255.03100421582329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(Anual!$B$5,Anual!$D$5:$J$5)</c:f>
              <c:strCache>
                <c:ptCount val="8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Residencias 
Transitorias</c:v>
                </c:pt>
                <c:pt idx="3">
                  <c:v>Centros de Atención Infantil-
Guarderías Red de Cuido Directo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Alternativas de 
protección</c:v>
                </c:pt>
                <c:pt idx="7">
                  <c:v>Gestión de 
apoyo</c:v>
                </c:pt>
              </c:strCache>
            </c:strRef>
          </c:cat>
          <c:val>
            <c:numRef>
              <c:f>(Anual!$B$51,Anual!$D$51:$J$51)</c:f>
              <c:numCache>
                <c:formatCode>#,##0.0____</c:formatCode>
                <c:ptCount val="8"/>
                <c:pt idx="0">
                  <c:v>87.485530012047988</c:v>
                </c:pt>
                <c:pt idx="1">
                  <c:v>175.53453046107984</c:v>
                </c:pt>
                <c:pt idx="2">
                  <c:v>216.71254853768636</c:v>
                </c:pt>
                <c:pt idx="3">
                  <c:v>143.21393336648811</c:v>
                </c:pt>
                <c:pt idx="4">
                  <c:v>52.397791333625634</c:v>
                </c:pt>
                <c:pt idx="5">
                  <c:v>76.029019847843372</c:v>
                </c:pt>
                <c:pt idx="6">
                  <c:v>23.804682481078942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"/>
        <c:axId val="315092496"/>
        <c:axId val="315092888"/>
      </c:barChart>
      <c:catAx>
        <c:axId val="31509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5092888"/>
        <c:crosses val="autoZero"/>
        <c:auto val="1"/>
        <c:lblAlgn val="ctr"/>
        <c:lblOffset val="100"/>
        <c:noMultiLvlLbl val="0"/>
      </c:catAx>
      <c:valAx>
        <c:axId val="31509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509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122464</xdr:colOff>
      <xdr:row>3</xdr:row>
      <xdr:rowOff>13607</xdr:rowOff>
    </xdr:from>
    <xdr:to>
      <xdr:col>20</xdr:col>
      <xdr:colOff>52917</xdr:colOff>
      <xdr:row>5</xdr:row>
      <xdr:rowOff>37797</xdr:rowOff>
    </xdr:to>
    <xdr:sp macro="" textlink="">
      <xdr:nvSpPr>
        <xdr:cNvPr id="2" name="1 CuadroTexto"/>
        <xdr:cNvSpPr txBox="1"/>
      </xdr:nvSpPr>
      <xdr:spPr>
        <a:xfrm>
          <a:off x="18764250" y="598714"/>
          <a:ext cx="2978453" cy="11807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R" sz="1100">
              <a:solidFill>
                <a:srgbClr val="FF0000"/>
              </a:solidFill>
            </a:rPr>
            <a:t>Nota: La categoría</a:t>
          </a:r>
          <a:r>
            <a:rPr lang="es-CR" sz="1100" baseline="0">
              <a:solidFill>
                <a:srgbClr val="FF0000"/>
              </a:solidFill>
            </a:rPr>
            <a:t> Gestión de apoyo es compra de carros,  por lo que no tiene beneficiarios y por ende no entra en transferencia efectiva del gasto. </a:t>
          </a:r>
          <a:endParaRPr lang="es-CR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119062</xdr:colOff>
      <xdr:row>4</xdr:row>
      <xdr:rowOff>1</xdr:rowOff>
    </xdr:from>
    <xdr:to>
      <xdr:col>20</xdr:col>
      <xdr:colOff>49515</xdr:colOff>
      <xdr:row>5</xdr:row>
      <xdr:rowOff>25891</xdr:rowOff>
    </xdr:to>
    <xdr:sp macro="" textlink="">
      <xdr:nvSpPr>
        <xdr:cNvPr id="2" name="1 CuadroTexto"/>
        <xdr:cNvSpPr txBox="1"/>
      </xdr:nvSpPr>
      <xdr:spPr>
        <a:xfrm>
          <a:off x="18347531" y="773907"/>
          <a:ext cx="2978453" cy="11807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R" sz="1100">
              <a:solidFill>
                <a:srgbClr val="FF0000"/>
              </a:solidFill>
            </a:rPr>
            <a:t>Nota: La categoría</a:t>
          </a:r>
          <a:r>
            <a:rPr lang="es-CR" sz="1100" baseline="0">
              <a:solidFill>
                <a:srgbClr val="FF0000"/>
              </a:solidFill>
            </a:rPr>
            <a:t> Gestión de apoyo es compra de carros,  por lo que no tiene beneficiarios y por ende no entra en transferencia efectiva del gasto. </a:t>
          </a:r>
          <a:endParaRPr lang="es-CR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357188</xdr:colOff>
      <xdr:row>19</xdr:row>
      <xdr:rowOff>50005</xdr:rowOff>
    </xdr:from>
    <xdr:to>
      <xdr:col>29</xdr:col>
      <xdr:colOff>262730</xdr:colOff>
      <xdr:row>39</xdr:row>
      <xdr:rowOff>78845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204258</xdr:colOff>
      <xdr:row>18</xdr:row>
      <xdr:rowOff>85725</xdr:rowOff>
    </xdr:from>
    <xdr:to>
      <xdr:col>20</xdr:col>
      <xdr:colOff>349250</xdr:colOff>
      <xdr:row>35</xdr:row>
      <xdr:rowOff>84666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1047749</xdr:colOff>
      <xdr:row>74</xdr:row>
      <xdr:rowOff>42333</xdr:rowOff>
    </xdr:from>
    <xdr:to>
      <xdr:col>8</xdr:col>
      <xdr:colOff>211666</xdr:colOff>
      <xdr:row>88</xdr:row>
      <xdr:rowOff>116416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687917</xdr:colOff>
      <xdr:row>74</xdr:row>
      <xdr:rowOff>9524</xdr:rowOff>
    </xdr:from>
    <xdr:to>
      <xdr:col>13</xdr:col>
      <xdr:colOff>698500</xdr:colOff>
      <xdr:row>88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10583</xdr:colOff>
      <xdr:row>56</xdr:row>
      <xdr:rowOff>104774</xdr:rowOff>
    </xdr:from>
    <xdr:to>
      <xdr:col>18</xdr:col>
      <xdr:colOff>10583</xdr:colOff>
      <xdr:row>70</xdr:row>
      <xdr:rowOff>180974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556947</xdr:colOff>
      <xdr:row>37</xdr:row>
      <xdr:rowOff>157691</xdr:rowOff>
    </xdr:from>
    <xdr:to>
      <xdr:col>17</xdr:col>
      <xdr:colOff>556947</xdr:colOff>
      <xdr:row>52</xdr:row>
      <xdr:rowOff>43391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760676</xdr:colOff>
      <xdr:row>40</xdr:row>
      <xdr:rowOff>92869</xdr:rowOff>
    </xdr:from>
    <xdr:to>
      <xdr:col>26</xdr:col>
      <xdr:colOff>416718</xdr:colOff>
      <xdr:row>56</xdr:row>
      <xdr:rowOff>83343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="80" zoomScaleNormal="80" workbookViewId="0">
      <selection activeCell="L12" sqref="L12"/>
    </sheetView>
  </sheetViews>
  <sheetFormatPr baseColWidth="10" defaultColWidth="11.42578125" defaultRowHeight="15" x14ac:dyDescent="0.25"/>
  <cols>
    <col min="1" max="1" width="55.140625" customWidth="1"/>
    <col min="2" max="3" width="19.7109375" customWidth="1"/>
    <col min="4" max="4" width="16.85546875" bestFit="1" customWidth="1"/>
    <col min="5" max="5" width="16.42578125" customWidth="1"/>
    <col min="6" max="6" width="17.5703125" bestFit="1" customWidth="1"/>
    <col min="7" max="7" width="15.42578125" bestFit="1" customWidth="1"/>
    <col min="8" max="8" width="15.42578125" customWidth="1"/>
    <col min="9" max="9" width="15.28515625" bestFit="1" customWidth="1"/>
    <col min="10" max="10" width="15.85546875" customWidth="1"/>
    <col min="11" max="11" width="21.7109375" customWidth="1"/>
    <col min="17" max="17" width="20.85546875" customWidth="1"/>
  </cols>
  <sheetData>
    <row r="1" spans="1:20" x14ac:dyDescent="0.25">
      <c r="A1" s="25"/>
    </row>
    <row r="2" spans="1:20" ht="15.75" x14ac:dyDescent="0.25">
      <c r="A2" s="62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20" x14ac:dyDescent="0.25">
      <c r="A4" s="58" t="s">
        <v>0</v>
      </c>
      <c r="B4" s="60" t="s">
        <v>1</v>
      </c>
      <c r="C4" s="26"/>
      <c r="D4" s="63" t="s">
        <v>2</v>
      </c>
      <c r="E4" s="63"/>
      <c r="F4" s="63"/>
      <c r="G4" s="63"/>
      <c r="H4" s="63"/>
      <c r="I4" s="63"/>
      <c r="J4" s="63"/>
      <c r="K4" s="63"/>
    </row>
    <row r="5" spans="1:20" ht="75.75" thickBot="1" x14ac:dyDescent="0.3">
      <c r="A5" s="59"/>
      <c r="B5" s="61"/>
      <c r="C5" s="32" t="s">
        <v>132</v>
      </c>
      <c r="D5" s="27" t="s">
        <v>86</v>
      </c>
      <c r="E5" s="27" t="s">
        <v>87</v>
      </c>
      <c r="F5" s="27" t="s">
        <v>88</v>
      </c>
      <c r="G5" s="27" t="s">
        <v>89</v>
      </c>
      <c r="H5" s="27" t="s">
        <v>90</v>
      </c>
      <c r="I5" s="27" t="s">
        <v>91</v>
      </c>
      <c r="J5" s="27" t="s">
        <v>139</v>
      </c>
      <c r="K5" s="27" t="s">
        <v>133</v>
      </c>
      <c r="Q5" s="44"/>
    </row>
    <row r="6" spans="1:20" ht="15.75" thickTop="1" x14ac:dyDescent="0.25">
      <c r="T6" s="44"/>
    </row>
    <row r="7" spans="1:20" x14ac:dyDescent="0.25">
      <c r="A7" s="2" t="s">
        <v>3</v>
      </c>
    </row>
    <row r="8" spans="1:20" x14ac:dyDescent="0.25">
      <c r="L8" s="38"/>
    </row>
    <row r="9" spans="1:20" x14ac:dyDescent="0.25">
      <c r="A9" t="s">
        <v>4</v>
      </c>
    </row>
    <row r="10" spans="1:20" x14ac:dyDescent="0.25">
      <c r="A10" s="3" t="s">
        <v>37</v>
      </c>
      <c r="B10" s="51">
        <f>C10+D10+E10+F10+G10+H10+I10</f>
        <v>4590</v>
      </c>
      <c r="C10" s="4">
        <v>692</v>
      </c>
      <c r="D10" s="4">
        <v>1494</v>
      </c>
      <c r="E10" s="13">
        <v>1805.6666666666667</v>
      </c>
      <c r="F10" s="4">
        <v>598.33333333333337</v>
      </c>
      <c r="G10" s="4">
        <v>0</v>
      </c>
      <c r="H10" s="4">
        <v>0</v>
      </c>
      <c r="I10" s="4">
        <v>0</v>
      </c>
      <c r="J10" s="4">
        <v>0</v>
      </c>
      <c r="L10" s="47"/>
    </row>
    <row r="11" spans="1:20" x14ac:dyDescent="0.25">
      <c r="A11" s="3" t="s">
        <v>76</v>
      </c>
      <c r="B11" s="51">
        <f t="shared" ref="B11:B13" si="0">C11+D11+E11+F11+G11+H11+I11</f>
        <v>7611</v>
      </c>
      <c r="C11" s="4">
        <v>0</v>
      </c>
      <c r="D11" s="4">
        <v>1683</v>
      </c>
      <c r="E11" s="13">
        <v>1385</v>
      </c>
      <c r="F11" s="4">
        <v>836</v>
      </c>
      <c r="G11" s="50">
        <v>2907</v>
      </c>
      <c r="H11" s="13">
        <v>0</v>
      </c>
      <c r="I11" s="51">
        <v>800</v>
      </c>
      <c r="J11" s="4">
        <v>0</v>
      </c>
      <c r="L11" s="47"/>
    </row>
    <row r="12" spans="1:20" x14ac:dyDescent="0.25">
      <c r="A12" s="3" t="s">
        <v>77</v>
      </c>
      <c r="B12" s="51">
        <f t="shared" si="0"/>
        <v>9123.3333333333339</v>
      </c>
      <c r="C12" s="4">
        <v>0</v>
      </c>
      <c r="D12" s="4">
        <v>2195.3333333333335</v>
      </c>
      <c r="E12" s="13">
        <v>1487</v>
      </c>
      <c r="F12" s="4">
        <v>766</v>
      </c>
      <c r="G12" s="4">
        <v>3760</v>
      </c>
      <c r="H12" s="4">
        <v>915</v>
      </c>
      <c r="I12" s="4">
        <v>0</v>
      </c>
      <c r="J12" s="4">
        <v>0</v>
      </c>
      <c r="L12" s="47"/>
    </row>
    <row r="13" spans="1:20" s="44" customFormat="1" x14ac:dyDescent="0.25">
      <c r="A13" s="45" t="s">
        <v>78</v>
      </c>
      <c r="B13" s="51">
        <f t="shared" si="0"/>
        <v>11149</v>
      </c>
      <c r="C13" s="50">
        <v>0</v>
      </c>
      <c r="D13" s="50">
        <v>1126</v>
      </c>
      <c r="E13" s="50">
        <v>500</v>
      </c>
      <c r="F13" s="50">
        <v>557</v>
      </c>
      <c r="G13" s="50">
        <v>6027</v>
      </c>
      <c r="H13" s="50">
        <v>937</v>
      </c>
      <c r="I13" s="50">
        <v>2002</v>
      </c>
      <c r="J13" s="50">
        <v>0</v>
      </c>
      <c r="L13" s="25"/>
      <c r="P13" s="47"/>
    </row>
    <row r="14" spans="1:20" x14ac:dyDescent="0.25">
      <c r="C14" s="48"/>
      <c r="D14" s="48"/>
      <c r="E14" s="48"/>
      <c r="F14" s="48"/>
      <c r="G14" s="48"/>
      <c r="H14" s="48"/>
      <c r="I14" s="48"/>
      <c r="J14" s="48"/>
      <c r="L14" s="49"/>
    </row>
    <row r="15" spans="1:20" x14ac:dyDescent="0.25">
      <c r="A15" s="5" t="s">
        <v>5</v>
      </c>
      <c r="D15" s="24"/>
    </row>
    <row r="16" spans="1:20" x14ac:dyDescent="0.25">
      <c r="A16" s="3" t="s">
        <v>37</v>
      </c>
      <c r="B16" s="4">
        <f>SUM(C16:K16)</f>
        <v>4140875940.4099998</v>
      </c>
      <c r="C16" s="4">
        <v>21246969.75</v>
      </c>
      <c r="D16" s="13">
        <v>269284485.75</v>
      </c>
      <c r="E16" s="13">
        <v>882670304.60000002</v>
      </c>
      <c r="F16" s="13">
        <v>109138733.5</v>
      </c>
      <c r="G16" s="13">
        <v>0</v>
      </c>
      <c r="H16" s="13">
        <v>0</v>
      </c>
      <c r="I16" s="6">
        <v>0</v>
      </c>
      <c r="J16" s="4">
        <v>0</v>
      </c>
      <c r="K16" s="13">
        <v>2858535446.8099999</v>
      </c>
    </row>
    <row r="17" spans="1:12" x14ac:dyDescent="0.25">
      <c r="A17" s="3" t="s">
        <v>76</v>
      </c>
      <c r="B17" s="4">
        <f t="shared" ref="B17:B19" si="1">SUM(C17:K17)</f>
        <v>4763447175.0799999</v>
      </c>
      <c r="C17" s="4">
        <v>0</v>
      </c>
      <c r="D17" s="13">
        <v>344781063</v>
      </c>
      <c r="E17" s="13">
        <v>987591121.80000007</v>
      </c>
      <c r="F17" s="13">
        <v>171263796</v>
      </c>
      <c r="G17" s="39">
        <v>24500000</v>
      </c>
      <c r="H17" s="13">
        <v>0</v>
      </c>
      <c r="I17" s="13">
        <v>239445003.35999998</v>
      </c>
      <c r="J17" s="4">
        <v>0</v>
      </c>
      <c r="K17" s="4">
        <v>2995866190.9200001</v>
      </c>
      <c r="L17" s="24"/>
    </row>
    <row r="18" spans="1:12" x14ac:dyDescent="0.25">
      <c r="A18" s="3" t="s">
        <v>77</v>
      </c>
      <c r="B18" s="4">
        <f t="shared" si="1"/>
        <v>4193128008.6100006</v>
      </c>
      <c r="C18" s="4">
        <v>0</v>
      </c>
      <c r="D18" s="13">
        <v>320506891</v>
      </c>
      <c r="E18" s="13">
        <v>684831780.79999995</v>
      </c>
      <c r="F18" s="13">
        <v>156417889</v>
      </c>
      <c r="G18" s="13">
        <v>310000</v>
      </c>
      <c r="H18" s="13">
        <v>9761245</v>
      </c>
      <c r="I18" s="13">
        <v>0</v>
      </c>
      <c r="J18" s="4">
        <v>0</v>
      </c>
      <c r="K18" s="4">
        <v>3021300202.8100004</v>
      </c>
    </row>
    <row r="19" spans="1:12" x14ac:dyDescent="0.25">
      <c r="A19" s="3" t="s">
        <v>78</v>
      </c>
      <c r="B19" s="4">
        <f t="shared" si="1"/>
        <v>18178685845.459999</v>
      </c>
      <c r="C19" s="4">
        <v>0</v>
      </c>
      <c r="D19" s="13">
        <v>922420796</v>
      </c>
      <c r="E19" s="13">
        <v>1653479421.4799993</v>
      </c>
      <c r="F19" s="13">
        <v>456703456</v>
      </c>
      <c r="G19" s="13">
        <v>286197411</v>
      </c>
      <c r="H19" s="13">
        <v>311970000</v>
      </c>
      <c r="I19" s="13">
        <v>2394449987.2999997</v>
      </c>
      <c r="J19" s="13">
        <v>170000010</v>
      </c>
      <c r="K19" s="13">
        <v>11983464763.679998</v>
      </c>
    </row>
    <row r="20" spans="1:12" x14ac:dyDescent="0.25">
      <c r="A20" s="3" t="s">
        <v>79</v>
      </c>
      <c r="B20" s="51">
        <f>C20+D20+E20+F20+I20</f>
        <v>1161756560.8</v>
      </c>
      <c r="C20" s="53">
        <f>C18</f>
        <v>0</v>
      </c>
      <c r="D20" s="53">
        <f>D18</f>
        <v>320506891</v>
      </c>
      <c r="E20" s="53">
        <f t="shared" ref="E20:J20" si="2">E18</f>
        <v>684831780.79999995</v>
      </c>
      <c r="F20" s="53">
        <f t="shared" si="2"/>
        <v>156417889</v>
      </c>
      <c r="G20" s="53">
        <f t="shared" si="2"/>
        <v>310000</v>
      </c>
      <c r="H20" s="53">
        <f t="shared" si="2"/>
        <v>9761245</v>
      </c>
      <c r="I20" s="53">
        <f t="shared" si="2"/>
        <v>0</v>
      </c>
      <c r="J20" s="53">
        <f t="shared" si="2"/>
        <v>0</v>
      </c>
      <c r="K20" s="24"/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5" t="s">
        <v>6</v>
      </c>
      <c r="B22" s="4"/>
      <c r="C22" s="50" t="s">
        <v>138</v>
      </c>
      <c r="D22" s="4"/>
      <c r="E22" s="4"/>
      <c r="F22" s="18"/>
      <c r="G22" s="4"/>
      <c r="H22" s="4"/>
    </row>
    <row r="23" spans="1:12" x14ac:dyDescent="0.25">
      <c r="A23" s="3" t="s">
        <v>76</v>
      </c>
      <c r="B23" s="4">
        <f>B17</f>
        <v>4763447175.0799999</v>
      </c>
      <c r="C23" s="35"/>
      <c r="F23" s="18"/>
    </row>
    <row r="24" spans="1:12" x14ac:dyDescent="0.25">
      <c r="A24" s="3" t="s">
        <v>77</v>
      </c>
      <c r="B24" s="4">
        <v>2550870948.5100002</v>
      </c>
      <c r="C24" s="50">
        <v>3304685844.3000002</v>
      </c>
      <c r="D24" s="24"/>
      <c r="F24" s="18"/>
    </row>
    <row r="25" spans="1:12" x14ac:dyDescent="0.25">
      <c r="F25" s="18"/>
    </row>
    <row r="26" spans="1:12" x14ac:dyDescent="0.25">
      <c r="A26" t="s">
        <v>7</v>
      </c>
    </row>
    <row r="27" spans="1:12" x14ac:dyDescent="0.25">
      <c r="A27" s="3" t="s">
        <v>38</v>
      </c>
      <c r="B27" s="17">
        <v>1.598743668</v>
      </c>
      <c r="C27" s="17">
        <v>1.598743668</v>
      </c>
      <c r="D27" s="17">
        <v>1.598743668</v>
      </c>
      <c r="E27" s="17">
        <v>1.598743668</v>
      </c>
      <c r="F27" s="17">
        <v>1.598743668</v>
      </c>
      <c r="G27" s="17">
        <v>1.598743668</v>
      </c>
      <c r="H27" s="17">
        <v>1.598743668</v>
      </c>
      <c r="I27" s="17">
        <v>1.598743668</v>
      </c>
      <c r="J27" s="17">
        <v>1.598743668</v>
      </c>
      <c r="K27" s="17">
        <v>1.598743668</v>
      </c>
    </row>
    <row r="28" spans="1:12" x14ac:dyDescent="0.25">
      <c r="A28" s="3" t="s">
        <v>80</v>
      </c>
      <c r="B28" s="17">
        <v>1.65</v>
      </c>
      <c r="C28" s="17">
        <v>1.65</v>
      </c>
      <c r="D28" s="17">
        <v>1.65</v>
      </c>
      <c r="E28" s="17">
        <v>1.65</v>
      </c>
      <c r="F28" s="17">
        <v>1.65</v>
      </c>
      <c r="G28" s="17">
        <v>1.65</v>
      </c>
      <c r="H28" s="17">
        <v>1.65</v>
      </c>
      <c r="I28" s="17">
        <v>1.65</v>
      </c>
      <c r="J28" s="17">
        <v>1.65</v>
      </c>
      <c r="K28" s="17">
        <v>1.65</v>
      </c>
    </row>
    <row r="29" spans="1:12" x14ac:dyDescent="0.25">
      <c r="A29" s="3" t="s">
        <v>8</v>
      </c>
      <c r="B29" s="19" t="s">
        <v>70</v>
      </c>
      <c r="C29" s="19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/>
    </row>
    <row r="31" spans="1:12" x14ac:dyDescent="0.25">
      <c r="A31" s="3" t="s">
        <v>9</v>
      </c>
    </row>
    <row r="32" spans="1:12" x14ac:dyDescent="0.25">
      <c r="A32" s="3" t="s">
        <v>39</v>
      </c>
      <c r="B32" s="22">
        <f t="shared" ref="B32:K32" si="3">B16/B27</f>
        <v>2590081213.9510531</v>
      </c>
      <c r="C32" s="22">
        <f t="shared" si="3"/>
        <v>13289791.337581703</v>
      </c>
      <c r="D32" s="22">
        <f t="shared" si="3"/>
        <v>168435060.06617692</v>
      </c>
      <c r="E32" s="22">
        <f t="shared" si="3"/>
        <v>552102455.36372006</v>
      </c>
      <c r="F32" s="22">
        <f t="shared" si="3"/>
        <v>68265310.871586204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1787988596.3119886</v>
      </c>
    </row>
    <row r="33" spans="1:11" x14ac:dyDescent="0.25">
      <c r="A33" s="3" t="s">
        <v>81</v>
      </c>
      <c r="B33" s="22">
        <f>B18/B28</f>
        <v>2541289702.1878791</v>
      </c>
      <c r="C33" s="22">
        <f>C18/C28</f>
        <v>0</v>
      </c>
      <c r="D33" s="22">
        <f t="shared" ref="D33:K33" si="4">D18/D28</f>
        <v>194246600.60606062</v>
      </c>
      <c r="E33" s="22">
        <f t="shared" si="4"/>
        <v>415049564.12121212</v>
      </c>
      <c r="F33" s="22">
        <f t="shared" si="4"/>
        <v>94798720.606060609</v>
      </c>
      <c r="G33" s="22">
        <f t="shared" si="4"/>
        <v>187878.7878787879</v>
      </c>
      <c r="H33" s="22">
        <f t="shared" si="4"/>
        <v>5915906.0606060605</v>
      </c>
      <c r="I33" s="22">
        <f t="shared" si="4"/>
        <v>0</v>
      </c>
      <c r="J33" s="22">
        <f t="shared" si="4"/>
        <v>0</v>
      </c>
      <c r="K33" s="22">
        <f t="shared" si="4"/>
        <v>1831091032.0060611</v>
      </c>
    </row>
    <row r="34" spans="1:11" x14ac:dyDescent="0.25">
      <c r="A34" s="3" t="s">
        <v>40</v>
      </c>
      <c r="B34" s="14">
        <f>B32/B10</f>
        <v>564287.84617670008</v>
      </c>
      <c r="C34" s="14">
        <f>C32/C10</f>
        <v>19204.900776852173</v>
      </c>
      <c r="D34" s="14">
        <f t="shared" ref="D34:J34" si="5">D32/D10</f>
        <v>112741.00406035938</v>
      </c>
      <c r="E34" s="14">
        <f t="shared" si="5"/>
        <v>305761.00537034526</v>
      </c>
      <c r="F34" s="14">
        <f t="shared" si="5"/>
        <v>114092.44156811063</v>
      </c>
      <c r="G34" s="14" t="e">
        <f t="shared" si="5"/>
        <v>#DIV/0!</v>
      </c>
      <c r="H34" s="14" t="e">
        <f t="shared" si="5"/>
        <v>#DIV/0!</v>
      </c>
      <c r="I34" s="14" t="e">
        <f t="shared" si="5"/>
        <v>#DIV/0!</v>
      </c>
      <c r="J34" s="14" t="e">
        <f t="shared" si="5"/>
        <v>#DIV/0!</v>
      </c>
      <c r="K34" s="14"/>
    </row>
    <row r="35" spans="1:11" x14ac:dyDescent="0.25">
      <c r="A35" s="3" t="s">
        <v>82</v>
      </c>
      <c r="B35" s="6">
        <f>B33/B12</f>
        <v>278548.37802570831</v>
      </c>
      <c r="C35" s="6" t="e">
        <f>C33/C12</f>
        <v>#DIV/0!</v>
      </c>
      <c r="D35" s="6">
        <f t="shared" ref="D35:J35" si="6">D33/D12</f>
        <v>88481.597603732444</v>
      </c>
      <c r="E35" s="6">
        <f t="shared" si="6"/>
        <v>279118.73848097655</v>
      </c>
      <c r="F35" s="6">
        <f t="shared" si="6"/>
        <v>123758.12089564049</v>
      </c>
      <c r="G35" s="6">
        <f t="shared" si="6"/>
        <v>49.967762733720186</v>
      </c>
      <c r="H35" s="6">
        <f t="shared" si="6"/>
        <v>6465.4711044874975</v>
      </c>
      <c r="I35" s="6" t="e">
        <f t="shared" si="6"/>
        <v>#DIV/0!</v>
      </c>
      <c r="J35" s="6" t="e">
        <f t="shared" si="6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69</v>
      </c>
      <c r="C40" s="23" t="s">
        <v>69</v>
      </c>
      <c r="D40" s="23" t="s">
        <v>69</v>
      </c>
      <c r="E40" s="23" t="s">
        <v>69</v>
      </c>
      <c r="F40" s="23" t="s">
        <v>69</v>
      </c>
      <c r="G40" s="23" t="s">
        <v>69</v>
      </c>
      <c r="H40" s="23" t="s">
        <v>69</v>
      </c>
      <c r="I40" s="23" t="s">
        <v>69</v>
      </c>
      <c r="J40" s="23" t="s">
        <v>69</v>
      </c>
      <c r="K40" s="23" t="s">
        <v>69</v>
      </c>
    </row>
    <row r="41" spans="1:11" x14ac:dyDescent="0.25">
      <c r="A41" t="s">
        <v>13</v>
      </c>
      <c r="B41" s="23" t="s">
        <v>69</v>
      </c>
      <c r="C41" s="23" t="s">
        <v>69</v>
      </c>
      <c r="D41" s="23" t="s">
        <v>69</v>
      </c>
      <c r="E41" s="23" t="s">
        <v>69</v>
      </c>
      <c r="F41" s="23" t="s">
        <v>69</v>
      </c>
      <c r="G41" s="23" t="s">
        <v>69</v>
      </c>
      <c r="H41" s="23" t="s">
        <v>69</v>
      </c>
      <c r="I41" s="23" t="s">
        <v>69</v>
      </c>
      <c r="J41" s="23" t="s">
        <v>69</v>
      </c>
      <c r="K41" s="23" t="s">
        <v>69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119.87036307099375</v>
      </c>
      <c r="C44" s="7" t="e">
        <f>C12/C11*100</f>
        <v>#DIV/0!</v>
      </c>
      <c r="D44" s="7">
        <f t="shared" ref="D44:K44" si="7">D12/D11*100</f>
        <v>130.44167161814221</v>
      </c>
      <c r="E44" s="7">
        <f>E12/E11*100</f>
        <v>107.36462093862815</v>
      </c>
      <c r="F44" s="7">
        <f t="shared" si="7"/>
        <v>91.626794258373195</v>
      </c>
      <c r="G44" s="7">
        <f t="shared" si="7"/>
        <v>129.34296525627795</v>
      </c>
      <c r="H44" s="7" t="e">
        <f t="shared" si="7"/>
        <v>#DIV/0!</v>
      </c>
      <c r="I44" s="7">
        <f t="shared" si="7"/>
        <v>0</v>
      </c>
      <c r="J44" s="7" t="e">
        <f t="shared" si="7"/>
        <v>#DIV/0!</v>
      </c>
      <c r="K44" s="7" t="e">
        <f t="shared" si="7"/>
        <v>#DIV/0!</v>
      </c>
    </row>
    <row r="45" spans="1:11" x14ac:dyDescent="0.25">
      <c r="A45" t="s">
        <v>16</v>
      </c>
      <c r="B45" s="7">
        <f>B18/B17*100</f>
        <v>88.027175582976398</v>
      </c>
      <c r="C45" s="7" t="e">
        <f>C18/C17*100</f>
        <v>#DIV/0!</v>
      </c>
      <c r="D45" s="7">
        <f t="shared" ref="D45:K45" si="8">D18/D17*100</f>
        <v>92.959540240178455</v>
      </c>
      <c r="E45" s="7">
        <f>E18/E17*100</f>
        <v>69.343655049451442</v>
      </c>
      <c r="F45" s="7">
        <f t="shared" si="8"/>
        <v>91.331555561223226</v>
      </c>
      <c r="G45" s="7">
        <f t="shared" si="8"/>
        <v>1.2653061224489797</v>
      </c>
      <c r="H45" s="7" t="e">
        <f t="shared" si="8"/>
        <v>#DIV/0!</v>
      </c>
      <c r="I45" s="7">
        <f t="shared" si="8"/>
        <v>0</v>
      </c>
      <c r="J45" s="7" t="e">
        <f t="shared" si="8"/>
        <v>#DIV/0!</v>
      </c>
      <c r="K45" s="7">
        <f t="shared" si="8"/>
        <v>100.84897022327254</v>
      </c>
    </row>
    <row r="46" spans="1:11" x14ac:dyDescent="0.25">
      <c r="A46" t="s">
        <v>17</v>
      </c>
      <c r="B46" s="7">
        <f>AVERAGE(B44:B45)</f>
        <v>103.94876932698507</v>
      </c>
      <c r="C46" s="7" t="e">
        <f>AVERAGE(C44:C45)</f>
        <v>#DIV/0!</v>
      </c>
      <c r="D46" s="7">
        <f t="shared" ref="D46:K46" si="9">AVERAGE(D44:D45)</f>
        <v>111.70060592916033</v>
      </c>
      <c r="E46" s="7">
        <f>AVERAGE(E44:E45)</f>
        <v>88.354137994039803</v>
      </c>
      <c r="F46" s="7">
        <f t="shared" si="9"/>
        <v>91.479174909798218</v>
      </c>
      <c r="G46" s="7">
        <f t="shared" si="9"/>
        <v>65.304135689363463</v>
      </c>
      <c r="H46" s="7" t="e">
        <f t="shared" si="9"/>
        <v>#DIV/0!</v>
      </c>
      <c r="I46" s="7">
        <f t="shared" si="9"/>
        <v>0</v>
      </c>
      <c r="J46" s="7" t="e">
        <f t="shared" si="9"/>
        <v>#DIV/0!</v>
      </c>
      <c r="K46" s="7" t="e">
        <f t="shared" si="9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7" x14ac:dyDescent="0.25">
      <c r="A49" t="s">
        <v>19</v>
      </c>
      <c r="B49" s="7">
        <f>B12/B13*100</f>
        <v>81.830956438544561</v>
      </c>
      <c r="C49" s="7" t="e">
        <f>C12/C13*100</f>
        <v>#DIV/0!</v>
      </c>
      <c r="D49" s="7">
        <f t="shared" ref="D49:K49" si="10">D12/D13*100</f>
        <v>194.96743635287152</v>
      </c>
      <c r="E49" s="7">
        <f t="shared" si="10"/>
        <v>297.40000000000003</v>
      </c>
      <c r="F49" s="7">
        <f t="shared" si="10"/>
        <v>137.52244165170558</v>
      </c>
      <c r="G49" s="7">
        <f t="shared" si="10"/>
        <v>62.385929981748802</v>
      </c>
      <c r="H49" s="7">
        <f t="shared" si="10"/>
        <v>97.652081109925291</v>
      </c>
      <c r="I49" s="7">
        <f t="shared" si="10"/>
        <v>0</v>
      </c>
      <c r="J49" s="7" t="e">
        <f t="shared" si="10"/>
        <v>#DIV/0!</v>
      </c>
      <c r="K49" s="7" t="e">
        <f t="shared" si="10"/>
        <v>#DIV/0!</v>
      </c>
    </row>
    <row r="50" spans="1:17" x14ac:dyDescent="0.25">
      <c r="A50" t="s">
        <v>20</v>
      </c>
      <c r="B50" s="7">
        <f>B18/B19*100</f>
        <v>23.066177853869483</v>
      </c>
      <c r="C50" s="7" t="e">
        <f>C18/C19*100</f>
        <v>#DIV/0!</v>
      </c>
      <c r="D50" s="7">
        <f t="shared" ref="D50:K50" si="11">D18/D19*100</f>
        <v>34.746277663063438</v>
      </c>
      <c r="E50" s="7">
        <f>E18/E19*100</f>
        <v>41.417617413527864</v>
      </c>
      <c r="F50" s="7">
        <f t="shared" si="11"/>
        <v>34.249333335458708</v>
      </c>
      <c r="G50" s="7">
        <f t="shared" si="11"/>
        <v>0.10831684288017546</v>
      </c>
      <c r="H50" s="7">
        <f t="shared" si="11"/>
        <v>3.12890502291887</v>
      </c>
      <c r="I50" s="7">
        <f t="shared" si="11"/>
        <v>0</v>
      </c>
      <c r="J50" s="7">
        <f t="shared" si="11"/>
        <v>0</v>
      </c>
      <c r="K50" s="7">
        <f t="shared" si="11"/>
        <v>25.212242555818143</v>
      </c>
    </row>
    <row r="51" spans="1:17" x14ac:dyDescent="0.25">
      <c r="A51" t="s">
        <v>21</v>
      </c>
      <c r="B51" s="7">
        <f>(B49+B50)/2</f>
        <v>52.448567146207026</v>
      </c>
      <c r="C51" s="7" t="e">
        <f>(C49+C50)/2</f>
        <v>#DIV/0!</v>
      </c>
      <c r="D51" s="7">
        <f t="shared" ref="D51:K51" si="12">(D49+D50)/2</f>
        <v>114.85685700796748</v>
      </c>
      <c r="E51" s="7">
        <f>(E49+E50)/2</f>
        <v>169.40880870676395</v>
      </c>
      <c r="F51" s="7">
        <f t="shared" si="12"/>
        <v>85.885887493582146</v>
      </c>
      <c r="G51" s="7">
        <f t="shared" si="12"/>
        <v>31.24712341231449</v>
      </c>
      <c r="H51" s="7">
        <f t="shared" si="12"/>
        <v>50.390493066422081</v>
      </c>
      <c r="I51" s="7">
        <f t="shared" si="12"/>
        <v>0</v>
      </c>
      <c r="J51" s="7" t="e">
        <f t="shared" si="12"/>
        <v>#DIV/0!</v>
      </c>
      <c r="K51" s="7" t="e">
        <f t="shared" si="12"/>
        <v>#DIV/0!</v>
      </c>
    </row>
    <row r="53" spans="1:17" x14ac:dyDescent="0.25">
      <c r="A53" t="s">
        <v>35</v>
      </c>
    </row>
    <row r="54" spans="1:17" x14ac:dyDescent="0.25">
      <c r="A54" t="s">
        <v>22</v>
      </c>
      <c r="B54" s="7">
        <f>B20/B18*100</f>
        <v>27.706203064025132</v>
      </c>
      <c r="C54" s="33"/>
      <c r="D54" s="33"/>
      <c r="E54" s="33"/>
      <c r="F54" s="33"/>
      <c r="G54" s="33"/>
      <c r="H54" s="33"/>
      <c r="I54" s="33"/>
      <c r="J54" s="33"/>
      <c r="K54" s="24"/>
      <c r="L54" s="24"/>
    </row>
    <row r="56" spans="1:17" x14ac:dyDescent="0.25">
      <c r="A56" t="s">
        <v>23</v>
      </c>
    </row>
    <row r="57" spans="1:17" x14ac:dyDescent="0.25">
      <c r="A57" t="s">
        <v>24</v>
      </c>
      <c r="B57" s="7">
        <f>((B12/B10)-1)*100</f>
        <v>98.765432098765444</v>
      </c>
      <c r="C57" s="7">
        <f>((C12/C10)-1)*100</f>
        <v>-100</v>
      </c>
      <c r="D57" s="7">
        <f t="shared" ref="D57:K57" si="13">((D12/D10)-1)*100</f>
        <v>46.943328871039739</v>
      </c>
      <c r="E57" s="7">
        <f>((E12/E10)-1)*100</f>
        <v>-17.648144729555103</v>
      </c>
      <c r="F57" s="7">
        <f t="shared" si="13"/>
        <v>28.022284122562667</v>
      </c>
      <c r="G57" s="7" t="e">
        <f t="shared" si="13"/>
        <v>#DIV/0!</v>
      </c>
      <c r="H57" s="7" t="e">
        <f t="shared" si="13"/>
        <v>#DIV/0!</v>
      </c>
      <c r="I57" s="7" t="e">
        <f t="shared" si="13"/>
        <v>#DIV/0!</v>
      </c>
      <c r="J57" s="7" t="e">
        <f t="shared" si="13"/>
        <v>#DIV/0!</v>
      </c>
      <c r="K57" s="7" t="e">
        <f t="shared" si="13"/>
        <v>#DIV/0!</v>
      </c>
    </row>
    <row r="58" spans="1:17" x14ac:dyDescent="0.25">
      <c r="A58" t="s">
        <v>25</v>
      </c>
      <c r="B58" s="7">
        <f t="shared" ref="B58:K58" si="14">((B33/B32)-1)*100</f>
        <v>-1.883783083725965</v>
      </c>
      <c r="C58" s="7">
        <f t="shared" si="14"/>
        <v>-100</v>
      </c>
      <c r="D58" s="7">
        <f t="shared" si="14"/>
        <v>15.324327684356543</v>
      </c>
      <c r="E58" s="7">
        <f t="shared" si="14"/>
        <v>-24.823814839261804</v>
      </c>
      <c r="F58" s="7">
        <f t="shared" si="14"/>
        <v>38.868071346494524</v>
      </c>
      <c r="G58" s="7" t="e">
        <f t="shared" si="14"/>
        <v>#DIV/0!</v>
      </c>
      <c r="H58" s="7" t="e">
        <f t="shared" si="14"/>
        <v>#DIV/0!</v>
      </c>
      <c r="I58" s="7" t="e">
        <f t="shared" si="14"/>
        <v>#DIV/0!</v>
      </c>
      <c r="J58" s="7" t="e">
        <f t="shared" si="14"/>
        <v>#DIV/0!</v>
      </c>
      <c r="K58" s="7">
        <f t="shared" si="14"/>
        <v>2.410666140879103</v>
      </c>
      <c r="L58" s="7"/>
      <c r="M58" s="7"/>
      <c r="N58" s="7"/>
      <c r="O58" s="7"/>
      <c r="P58" s="7"/>
      <c r="Q58" s="7"/>
    </row>
    <row r="59" spans="1:17" x14ac:dyDescent="0.25">
      <c r="A59" t="s">
        <v>26</v>
      </c>
      <c r="B59" s="7">
        <f>((B35/B34)-1)*100</f>
        <v>-50.637182793675805</v>
      </c>
      <c r="C59" s="7" t="e">
        <f>((C35/C34)-1)*100</f>
        <v>#DIV/0!</v>
      </c>
      <c r="D59" s="7">
        <f t="shared" ref="D59:K59" si="15">((D35/D34)-1)*100</f>
        <v>-21.517820121274521</v>
      </c>
      <c r="E59" s="7">
        <f>((E35/E34)-1)*100</f>
        <v>-8.713428599928541</v>
      </c>
      <c r="F59" s="7">
        <f t="shared" si="15"/>
        <v>8.4717963737849011</v>
      </c>
      <c r="G59" s="7" t="e">
        <f t="shared" si="15"/>
        <v>#DIV/0!</v>
      </c>
      <c r="H59" s="7" t="e">
        <f t="shared" si="15"/>
        <v>#DIV/0!</v>
      </c>
      <c r="I59" s="7" t="e">
        <f t="shared" si="15"/>
        <v>#DIV/0!</v>
      </c>
      <c r="J59" s="7" t="e">
        <f t="shared" si="15"/>
        <v>#DIV/0!</v>
      </c>
      <c r="K59" s="7" t="e">
        <f t="shared" si="15"/>
        <v>#DIV/0!</v>
      </c>
    </row>
    <row r="60" spans="1:17" x14ac:dyDescent="0.25">
      <c r="B60" s="8"/>
      <c r="C60" s="8"/>
      <c r="D60" s="8"/>
      <c r="E60" s="8"/>
      <c r="F60" s="8"/>
      <c r="G60" s="8"/>
      <c r="H60" s="8"/>
    </row>
    <row r="61" spans="1:17" x14ac:dyDescent="0.25">
      <c r="A61" t="s">
        <v>27</v>
      </c>
    </row>
    <row r="62" spans="1:17" x14ac:dyDescent="0.25">
      <c r="A62" t="s">
        <v>65</v>
      </c>
      <c r="B62" s="4">
        <f>B17/(B11*3)</f>
        <v>208621.17002058425</v>
      </c>
      <c r="C62" s="4" t="e">
        <f>C17/(C11*3)</f>
        <v>#DIV/0!</v>
      </c>
      <c r="D62" s="4">
        <f t="shared" ref="D62:K62" si="16">D17/(D11*3)</f>
        <v>68287</v>
      </c>
      <c r="E62" s="4">
        <f t="shared" si="16"/>
        <v>237687.39393501807</v>
      </c>
      <c r="F62" s="4">
        <f t="shared" si="16"/>
        <v>68287</v>
      </c>
      <c r="G62" s="4">
        <f t="shared" si="16"/>
        <v>2809.3108588464625</v>
      </c>
      <c r="H62" s="4" t="e">
        <f t="shared" si="16"/>
        <v>#DIV/0!</v>
      </c>
      <c r="I62" s="4">
        <f t="shared" si="16"/>
        <v>99768.751399999994</v>
      </c>
      <c r="J62" s="4" t="e">
        <f t="shared" si="16"/>
        <v>#DIV/0!</v>
      </c>
      <c r="K62" s="4" t="e">
        <f t="shared" si="16"/>
        <v>#DIV/0!</v>
      </c>
      <c r="L62" s="4"/>
      <c r="M62" s="4"/>
      <c r="N62" s="4"/>
      <c r="O62" s="4"/>
    </row>
    <row r="63" spans="1:17" x14ac:dyDescent="0.25">
      <c r="A63" t="s">
        <v>66</v>
      </c>
      <c r="B63" s="4">
        <f>B18/(B12*3)</f>
        <v>153201.6079141396</v>
      </c>
      <c r="C63" s="4" t="e">
        <f>C18/(C12*3)</f>
        <v>#DIV/0!</v>
      </c>
      <c r="D63" s="4">
        <f t="shared" ref="D63:K63" si="17">D18/(D12*3)</f>
        <v>48664.87868205284</v>
      </c>
      <c r="E63" s="4">
        <f t="shared" si="17"/>
        <v>153515.30616453709</v>
      </c>
      <c r="F63" s="4">
        <f t="shared" si="17"/>
        <v>68066.966492602267</v>
      </c>
      <c r="G63" s="4">
        <f t="shared" si="17"/>
        <v>27.4822695035461</v>
      </c>
      <c r="H63" s="4">
        <f t="shared" si="17"/>
        <v>3556.0091074681241</v>
      </c>
      <c r="I63" s="4" t="e">
        <f t="shared" si="17"/>
        <v>#DIV/0!</v>
      </c>
      <c r="J63" s="4" t="e">
        <f t="shared" si="17"/>
        <v>#DIV/0!</v>
      </c>
      <c r="K63" s="4" t="e">
        <f t="shared" si="17"/>
        <v>#DIV/0!</v>
      </c>
    </row>
    <row r="64" spans="1:17" x14ac:dyDescent="0.25">
      <c r="A64" t="s">
        <v>30</v>
      </c>
      <c r="B64" s="4">
        <f>(B62/B63)*B46</f>
        <v>141.55147700113639</v>
      </c>
      <c r="C64" s="4" t="e">
        <f>(C62/C63)*C46</f>
        <v>#DIV/0!</v>
      </c>
      <c r="D64" s="4">
        <f t="shared" ref="D64:K64" si="18">(D62/D63)*D46</f>
        <v>156.73930529898962</v>
      </c>
      <c r="E64" s="4">
        <f>(E62/E63)*E46</f>
        <v>136.79850777009725</v>
      </c>
      <c r="F64" s="4">
        <f t="shared" si="18"/>
        <v>91.774890801756499</v>
      </c>
      <c r="G64" s="4">
        <f t="shared" si="18"/>
        <v>6675.5628568462798</v>
      </c>
      <c r="H64" s="4" t="e">
        <f t="shared" si="18"/>
        <v>#DIV/0!</v>
      </c>
      <c r="I64" s="4" t="e">
        <f t="shared" si="18"/>
        <v>#DIV/0!</v>
      </c>
      <c r="J64" s="4" t="e">
        <f t="shared" si="18"/>
        <v>#DIV/0!</v>
      </c>
      <c r="K64" s="4" t="e">
        <f t="shared" si="18"/>
        <v>#DIV/0!</v>
      </c>
    </row>
    <row r="65" spans="1:11" x14ac:dyDescent="0.25">
      <c r="A65" t="s">
        <v>72</v>
      </c>
      <c r="B65" s="4">
        <f>B17/B11</f>
        <v>625863.51006175275</v>
      </c>
      <c r="C65" s="4" t="e">
        <f>C17/C11</f>
        <v>#DIV/0!</v>
      </c>
      <c r="D65" s="4">
        <f t="shared" ref="D65:K65" si="19">D17/D11</f>
        <v>204861</v>
      </c>
      <c r="E65" s="4">
        <f t="shared" si="19"/>
        <v>713062.18180505419</v>
      </c>
      <c r="F65" s="4">
        <f t="shared" si="19"/>
        <v>204861</v>
      </c>
      <c r="G65" s="4">
        <f t="shared" si="19"/>
        <v>8427.9325765393878</v>
      </c>
      <c r="H65" s="4" t="e">
        <f t="shared" si="19"/>
        <v>#DIV/0!</v>
      </c>
      <c r="I65" s="4">
        <f t="shared" si="19"/>
        <v>299306.25419999997</v>
      </c>
      <c r="J65" s="4" t="e">
        <f t="shared" si="19"/>
        <v>#DIV/0!</v>
      </c>
      <c r="K65" s="4" t="e">
        <f t="shared" si="19"/>
        <v>#DIV/0!</v>
      </c>
    </row>
    <row r="66" spans="1:11" x14ac:dyDescent="0.25">
      <c r="A66" t="s">
        <v>71</v>
      </c>
      <c r="B66" s="4">
        <f>B18/B12</f>
        <v>459604.82374241872</v>
      </c>
      <c r="C66" s="4" t="e">
        <f>C18/C12</f>
        <v>#DIV/0!</v>
      </c>
      <c r="D66" s="4">
        <f t="shared" ref="D66:K66" si="20">D18/D12</f>
        <v>145994.6360461585</v>
      </c>
      <c r="E66" s="4">
        <f t="shared" si="20"/>
        <v>460545.91849361127</v>
      </c>
      <c r="F66" s="4">
        <f t="shared" si="20"/>
        <v>204200.89947780679</v>
      </c>
      <c r="G66" s="4">
        <f t="shared" si="20"/>
        <v>82.446808510638292</v>
      </c>
      <c r="H66" s="4">
        <f t="shared" si="20"/>
        <v>10668.027322404372</v>
      </c>
      <c r="I66" s="4" t="e">
        <f t="shared" si="20"/>
        <v>#DIV/0!</v>
      </c>
      <c r="J66" s="4" t="e">
        <f t="shared" si="20"/>
        <v>#DIV/0!</v>
      </c>
      <c r="K66" s="4" t="e">
        <f t="shared" si="20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53.550944405448554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52">
        <f>(B18/(B24+C24))*100</f>
        <v>71.609381600716688</v>
      </c>
      <c r="C70" s="43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83</v>
      </c>
    </row>
    <row r="75" spans="1:11" x14ac:dyDescent="0.25">
      <c r="A75" t="s">
        <v>84</v>
      </c>
      <c r="B75" s="10"/>
      <c r="C75" s="10"/>
      <c r="D75" s="10"/>
      <c r="E75" s="10"/>
      <c r="F75" s="10"/>
    </row>
    <row r="76" spans="1:11" x14ac:dyDescent="0.25">
      <c r="A76" t="s">
        <v>85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134</v>
      </c>
    </row>
    <row r="144" spans="9:11" x14ac:dyDescent="0.25">
      <c r="I144" s="22"/>
      <c r="J144" s="22"/>
      <c r="K144" s="22"/>
    </row>
    <row r="145" spans="9:11" x14ac:dyDescent="0.25">
      <c r="I145" s="22"/>
      <c r="J145" s="22"/>
      <c r="K145" s="22"/>
    </row>
    <row r="146" spans="9:11" x14ac:dyDescent="0.25">
      <c r="I146" s="22"/>
      <c r="J146" s="22"/>
      <c r="K146" s="22"/>
    </row>
  </sheetData>
  <mergeCells count="4">
    <mergeCell ref="A4:A5"/>
    <mergeCell ref="B4:B5"/>
    <mergeCell ref="A2:K2"/>
    <mergeCell ref="D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4"/>
  <sheetViews>
    <sheetView zoomScale="70" zoomScaleNormal="70" workbookViewId="0">
      <selection activeCell="L12" sqref="L11:L12"/>
    </sheetView>
  </sheetViews>
  <sheetFormatPr baseColWidth="10" defaultColWidth="11.42578125" defaultRowHeight="15" x14ac:dyDescent="0.25"/>
  <cols>
    <col min="1" max="1" width="55.140625" customWidth="1"/>
    <col min="2" max="2" width="17.5703125" bestFit="1" customWidth="1"/>
    <col min="3" max="3" width="17.5703125" customWidth="1"/>
    <col min="4" max="4" width="16.5703125" bestFit="1" customWidth="1"/>
    <col min="5" max="5" width="16.42578125" customWidth="1"/>
    <col min="6" max="6" width="16" bestFit="1" customWidth="1"/>
    <col min="7" max="7" width="15.28515625" customWidth="1"/>
    <col min="8" max="8" width="19.28515625" customWidth="1"/>
    <col min="9" max="9" width="17.28515625" customWidth="1"/>
    <col min="10" max="10" width="16" customWidth="1"/>
    <col min="11" max="11" width="18.5703125" customWidth="1"/>
  </cols>
  <sheetData>
    <row r="2" spans="1:21" ht="15.75" x14ac:dyDescent="0.25">
      <c r="A2" s="62" t="s">
        <v>98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21" x14ac:dyDescent="0.25">
      <c r="A4" s="58" t="s">
        <v>0</v>
      </c>
      <c r="B4" s="60" t="s">
        <v>1</v>
      </c>
      <c r="C4" s="30"/>
      <c r="D4" s="63" t="s">
        <v>2</v>
      </c>
      <c r="E4" s="63"/>
      <c r="F4" s="63"/>
      <c r="G4" s="63"/>
      <c r="H4" s="63"/>
      <c r="I4" s="63"/>
      <c r="J4" s="63"/>
      <c r="K4" s="63"/>
    </row>
    <row r="5" spans="1:21" ht="75.75" thickBot="1" x14ac:dyDescent="0.3">
      <c r="A5" s="59"/>
      <c r="B5" s="61"/>
      <c r="C5" s="32" t="s">
        <v>132</v>
      </c>
      <c r="D5" s="27" t="s">
        <v>86</v>
      </c>
      <c r="E5" s="27" t="s">
        <v>87</v>
      </c>
      <c r="F5" s="27" t="s">
        <v>88</v>
      </c>
      <c r="G5" s="27" t="s">
        <v>89</v>
      </c>
      <c r="H5" s="27" t="s">
        <v>90</v>
      </c>
      <c r="I5" s="27" t="s">
        <v>91</v>
      </c>
      <c r="J5" s="37" t="s">
        <v>139</v>
      </c>
      <c r="K5" s="27" t="s">
        <v>133</v>
      </c>
      <c r="Q5" s="44"/>
    </row>
    <row r="6" spans="1:21" ht="15.75" thickTop="1" x14ac:dyDescent="0.25">
      <c r="U6" s="44"/>
    </row>
    <row r="7" spans="1:21" x14ac:dyDescent="0.25">
      <c r="A7" s="2" t="s">
        <v>3</v>
      </c>
    </row>
    <row r="9" spans="1:21" x14ac:dyDescent="0.25">
      <c r="A9" t="s">
        <v>4</v>
      </c>
    </row>
    <row r="10" spans="1:21" x14ac:dyDescent="0.25">
      <c r="A10" s="3" t="s">
        <v>41</v>
      </c>
      <c r="B10" s="51">
        <f>C10+D10+E10+F10+G10+H10+I10</f>
        <v>4788.6666666666661</v>
      </c>
      <c r="C10" s="4">
        <v>779.33333333333337</v>
      </c>
      <c r="D10" s="4">
        <v>1814.3333333333333</v>
      </c>
      <c r="E10" s="13">
        <v>1649</v>
      </c>
      <c r="F10" s="19">
        <v>546</v>
      </c>
      <c r="G10" s="4">
        <v>0</v>
      </c>
      <c r="H10" s="4">
        <v>0</v>
      </c>
      <c r="I10" s="4">
        <v>0</v>
      </c>
      <c r="J10" s="4">
        <v>0</v>
      </c>
      <c r="L10" s="47"/>
    </row>
    <row r="11" spans="1:21" x14ac:dyDescent="0.25">
      <c r="A11" s="3" t="s">
        <v>92</v>
      </c>
      <c r="B11" s="51">
        <f t="shared" ref="B11:B13" si="0">C11+D11+E11+F11+G11+H11+I11</f>
        <v>14126</v>
      </c>
      <c r="C11" s="4">
        <v>0</v>
      </c>
      <c r="D11" s="4">
        <v>1683</v>
      </c>
      <c r="E11" s="50">
        <v>485</v>
      </c>
      <c r="F11" s="4">
        <v>836</v>
      </c>
      <c r="G11" s="4">
        <v>8720</v>
      </c>
      <c r="H11" s="13">
        <v>0</v>
      </c>
      <c r="I11" s="4">
        <v>2402</v>
      </c>
      <c r="J11" s="4">
        <v>0</v>
      </c>
      <c r="L11" s="47"/>
    </row>
    <row r="12" spans="1:21" x14ac:dyDescent="0.25">
      <c r="A12" s="3" t="s">
        <v>93</v>
      </c>
      <c r="B12" s="51">
        <f t="shared" si="0"/>
        <v>9341.3333333333339</v>
      </c>
      <c r="C12" s="4">
        <v>0</v>
      </c>
      <c r="D12" s="4">
        <v>2271</v>
      </c>
      <c r="E12" s="13">
        <v>1677.6666666666667</v>
      </c>
      <c r="F12" s="4">
        <v>717.66666666666663</v>
      </c>
      <c r="G12" s="4">
        <v>3760</v>
      </c>
      <c r="H12" s="4">
        <v>915</v>
      </c>
      <c r="I12" s="4">
        <v>0</v>
      </c>
      <c r="J12" s="4">
        <v>0</v>
      </c>
      <c r="L12" s="47"/>
    </row>
    <row r="13" spans="1:21" s="44" customFormat="1" x14ac:dyDescent="0.25">
      <c r="A13" s="45" t="s">
        <v>78</v>
      </c>
      <c r="B13" s="51">
        <f t="shared" si="0"/>
        <v>11149</v>
      </c>
      <c r="C13" s="50">
        <v>0</v>
      </c>
      <c r="D13" s="50">
        <v>1126</v>
      </c>
      <c r="E13" s="50">
        <v>500</v>
      </c>
      <c r="F13" s="50">
        <v>557</v>
      </c>
      <c r="G13" s="50">
        <v>6027</v>
      </c>
      <c r="H13" s="50">
        <v>937</v>
      </c>
      <c r="I13" s="54">
        <v>2002</v>
      </c>
      <c r="J13" s="54">
        <v>0</v>
      </c>
      <c r="L13" s="25"/>
      <c r="Q13" s="47"/>
    </row>
    <row r="14" spans="1:21" x14ac:dyDescent="0.25">
      <c r="C14" s="48"/>
      <c r="D14" s="48"/>
      <c r="E14" s="48"/>
      <c r="F14" s="48"/>
      <c r="G14" s="48"/>
      <c r="H14" s="48"/>
      <c r="I14" s="48"/>
      <c r="J14" s="48"/>
      <c r="L14" s="49"/>
    </row>
    <row r="15" spans="1:21" x14ac:dyDescent="0.25">
      <c r="A15" s="5" t="s">
        <v>5</v>
      </c>
    </row>
    <row r="16" spans="1:21" x14ac:dyDescent="0.25">
      <c r="A16" s="3" t="s">
        <v>41</v>
      </c>
      <c r="B16" s="4">
        <f>SUM(C16:K16)</f>
        <v>3624139360.2600002</v>
      </c>
      <c r="C16" s="4">
        <v>28124887</v>
      </c>
      <c r="D16" s="4">
        <v>367838884.54999995</v>
      </c>
      <c r="E16" s="13">
        <v>907347337.5</v>
      </c>
      <c r="F16" s="4">
        <v>107128768.5</v>
      </c>
      <c r="G16" s="4">
        <v>0</v>
      </c>
      <c r="H16" s="4">
        <v>0</v>
      </c>
      <c r="I16" s="4">
        <v>0</v>
      </c>
      <c r="J16" s="4">
        <v>0</v>
      </c>
      <c r="K16" s="4">
        <v>2213699482.7100005</v>
      </c>
    </row>
    <row r="17" spans="1:12" x14ac:dyDescent="0.25">
      <c r="A17" s="3" t="s">
        <v>92</v>
      </c>
      <c r="B17" s="4">
        <f t="shared" ref="B17:B19" si="1">SUM(C17:K17)</f>
        <v>4744716436.0799999</v>
      </c>
      <c r="C17" s="4">
        <v>0</v>
      </c>
      <c r="D17" s="4">
        <v>344781063</v>
      </c>
      <c r="E17" s="13">
        <v>403770376.08000004</v>
      </c>
      <c r="F17" s="4">
        <v>171263796</v>
      </c>
      <c r="G17" s="4">
        <v>110700000</v>
      </c>
      <c r="H17" s="13">
        <v>0</v>
      </c>
      <c r="I17" s="4">
        <v>718335010.07999992</v>
      </c>
      <c r="J17" s="4">
        <v>0</v>
      </c>
      <c r="K17" s="4">
        <v>2995866190.9200001</v>
      </c>
    </row>
    <row r="18" spans="1:12" x14ac:dyDescent="0.25">
      <c r="A18" s="3" t="s">
        <v>93</v>
      </c>
      <c r="B18" s="4">
        <f t="shared" si="1"/>
        <v>4013178485.5200005</v>
      </c>
      <c r="C18" s="4">
        <v>0</v>
      </c>
      <c r="D18" s="4">
        <v>358190154</v>
      </c>
      <c r="E18" s="13">
        <v>524235846.44999999</v>
      </c>
      <c r="F18" s="4">
        <v>157043866</v>
      </c>
      <c r="G18" s="4">
        <v>6042981.2999999998</v>
      </c>
      <c r="H18" s="4">
        <v>2998936.4</v>
      </c>
      <c r="I18" s="4">
        <v>337428710</v>
      </c>
      <c r="J18" s="4">
        <v>254470136.72</v>
      </c>
      <c r="K18" s="4">
        <v>2372767854.6500001</v>
      </c>
    </row>
    <row r="19" spans="1:12" x14ac:dyDescent="0.25">
      <c r="A19" s="3" t="s">
        <v>78</v>
      </c>
      <c r="B19" s="4">
        <f t="shared" si="1"/>
        <v>18178685845.459999</v>
      </c>
      <c r="C19" s="4">
        <v>0</v>
      </c>
      <c r="D19" s="4">
        <v>922420796</v>
      </c>
      <c r="E19" s="13">
        <v>1653479421.4799993</v>
      </c>
      <c r="F19" s="4">
        <v>456703456</v>
      </c>
      <c r="G19" s="4">
        <v>286197411</v>
      </c>
      <c r="H19" s="13">
        <v>311970000</v>
      </c>
      <c r="I19" s="4">
        <v>2394449987.2999997</v>
      </c>
      <c r="J19" s="4">
        <v>170000010</v>
      </c>
      <c r="K19" s="4">
        <v>11983464763.679998</v>
      </c>
    </row>
    <row r="20" spans="1:12" x14ac:dyDescent="0.25">
      <c r="A20" s="3" t="s">
        <v>94</v>
      </c>
      <c r="B20" s="51">
        <f>C20+D20+E20+F20+I20</f>
        <v>1376898576.45</v>
      </c>
      <c r="C20" s="55">
        <f>C18</f>
        <v>0</v>
      </c>
      <c r="D20" s="55">
        <f>D18</f>
        <v>358190154</v>
      </c>
      <c r="E20" s="55">
        <f t="shared" ref="E20:J20" si="2">E18</f>
        <v>524235846.44999999</v>
      </c>
      <c r="F20" s="55">
        <f t="shared" si="2"/>
        <v>157043866</v>
      </c>
      <c r="G20" s="55">
        <f t="shared" si="2"/>
        <v>6042981.2999999998</v>
      </c>
      <c r="H20" s="55">
        <f t="shared" si="2"/>
        <v>2998936.4</v>
      </c>
      <c r="I20" s="55">
        <f t="shared" si="2"/>
        <v>337428710</v>
      </c>
      <c r="J20" s="55">
        <f t="shared" si="2"/>
        <v>254470136.72</v>
      </c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92</v>
      </c>
      <c r="B23" s="4">
        <f>B17</f>
        <v>4744716436.0799999</v>
      </c>
      <c r="C23" s="4"/>
    </row>
    <row r="24" spans="1:12" x14ac:dyDescent="0.25">
      <c r="A24" s="3" t="s">
        <v>93</v>
      </c>
      <c r="B24" s="4">
        <v>4234917650.0600004</v>
      </c>
      <c r="C24" s="4"/>
    </row>
    <row r="26" spans="1:12" x14ac:dyDescent="0.25">
      <c r="A26" t="s">
        <v>7</v>
      </c>
    </row>
    <row r="27" spans="1:12" x14ac:dyDescent="0.25">
      <c r="A27" s="3" t="s">
        <v>42</v>
      </c>
      <c r="B27" s="11">
        <v>1.62</v>
      </c>
      <c r="C27" s="11">
        <v>1.62</v>
      </c>
      <c r="D27" s="11">
        <v>1.62</v>
      </c>
      <c r="E27" s="11">
        <v>1.62</v>
      </c>
      <c r="F27" s="11">
        <v>1.62</v>
      </c>
      <c r="G27" s="11">
        <v>1.62</v>
      </c>
      <c r="H27" s="11">
        <v>1.62</v>
      </c>
      <c r="I27" s="11">
        <v>1.62</v>
      </c>
      <c r="J27" s="11">
        <v>1.62</v>
      </c>
      <c r="K27" s="11">
        <v>1.62</v>
      </c>
    </row>
    <row r="28" spans="1:12" x14ac:dyDescent="0.25">
      <c r="A28" s="3" t="s">
        <v>95</v>
      </c>
      <c r="B28" s="11">
        <v>1.68</v>
      </c>
      <c r="C28" s="11">
        <v>1.68</v>
      </c>
      <c r="D28" s="11">
        <v>1.68</v>
      </c>
      <c r="E28" s="11">
        <v>1.68</v>
      </c>
      <c r="F28" s="11">
        <v>1.68</v>
      </c>
      <c r="G28" s="11">
        <v>1.68</v>
      </c>
      <c r="H28" s="11">
        <v>1.68</v>
      </c>
      <c r="I28" s="11">
        <v>1.68</v>
      </c>
      <c r="J28" s="11">
        <v>1.68</v>
      </c>
      <c r="K28" s="11">
        <v>1.68</v>
      </c>
    </row>
    <row r="29" spans="1:12" x14ac:dyDescent="0.25">
      <c r="A29" s="3" t="s">
        <v>8</v>
      </c>
      <c r="B29" s="19" t="s">
        <v>70</v>
      </c>
      <c r="C29" s="19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 t="s">
        <v>70</v>
      </c>
    </row>
    <row r="31" spans="1:12" x14ac:dyDescent="0.25">
      <c r="A31" s="3" t="s">
        <v>9</v>
      </c>
    </row>
    <row r="32" spans="1:12" x14ac:dyDescent="0.25">
      <c r="A32" s="3" t="s">
        <v>43</v>
      </c>
      <c r="B32" s="22">
        <f t="shared" ref="B32:K32" si="3">B16/B27</f>
        <v>2237123061.8888888</v>
      </c>
      <c r="C32" s="22">
        <f t="shared" si="3"/>
        <v>17361041.35802469</v>
      </c>
      <c r="D32" s="22">
        <f t="shared" si="3"/>
        <v>227061039.84567896</v>
      </c>
      <c r="E32" s="22">
        <f>E16/E27</f>
        <v>560090949.07407403</v>
      </c>
      <c r="F32" s="22">
        <f t="shared" si="3"/>
        <v>66128869.44444444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1366481162.166667</v>
      </c>
    </row>
    <row r="33" spans="1:11" x14ac:dyDescent="0.25">
      <c r="A33" s="3" t="s">
        <v>96</v>
      </c>
      <c r="B33" s="22">
        <f t="shared" ref="B33:G33" si="4">B18/B28</f>
        <v>2388796717.5714288</v>
      </c>
      <c r="C33" s="22">
        <f t="shared" si="4"/>
        <v>0</v>
      </c>
      <c r="D33" s="22">
        <f t="shared" si="4"/>
        <v>213208425</v>
      </c>
      <c r="E33" s="22">
        <f>E18/E28</f>
        <v>312045146.6964286</v>
      </c>
      <c r="F33" s="22">
        <f t="shared" si="4"/>
        <v>93478491.666666672</v>
      </c>
      <c r="G33" s="22">
        <f t="shared" si="4"/>
        <v>3597012.6785714286</v>
      </c>
      <c r="H33" s="22">
        <f t="shared" ref="H33:K33" si="5">H18/H28</f>
        <v>1785081.1904761905</v>
      </c>
      <c r="I33" s="22">
        <f t="shared" si="5"/>
        <v>200850422.61904761</v>
      </c>
      <c r="J33" s="22">
        <f t="shared" si="5"/>
        <v>151470319.47619048</v>
      </c>
      <c r="K33" s="22">
        <f t="shared" si="5"/>
        <v>1412361818.2440476</v>
      </c>
    </row>
    <row r="34" spans="1:11" x14ac:dyDescent="0.25">
      <c r="A34" s="3" t="s">
        <v>44</v>
      </c>
      <c r="B34" s="14">
        <f>B32/B10</f>
        <v>467170.34565409075</v>
      </c>
      <c r="C34" s="14">
        <f>C32/C10</f>
        <v>22276.785318252383</v>
      </c>
      <c r="D34" s="14">
        <f t="shared" ref="D34:K34" si="6">D32/D10</f>
        <v>125148.4695089173</v>
      </c>
      <c r="E34" s="14">
        <f>E32/E10</f>
        <v>339654.91150641238</v>
      </c>
      <c r="F34" s="14">
        <f>F32/F10</f>
        <v>121115.14550264549</v>
      </c>
      <c r="G34" s="14" t="e">
        <f t="shared" si="6"/>
        <v>#DIV/0!</v>
      </c>
      <c r="H34" s="14" t="e">
        <f t="shared" si="6"/>
        <v>#DIV/0!</v>
      </c>
      <c r="I34" s="14" t="e">
        <f t="shared" si="6"/>
        <v>#DIV/0!</v>
      </c>
      <c r="J34" s="14" t="e">
        <f t="shared" si="6"/>
        <v>#DIV/0!</v>
      </c>
      <c r="K34" s="14" t="e">
        <f t="shared" si="6"/>
        <v>#DIV/0!</v>
      </c>
    </row>
    <row r="35" spans="1:11" x14ac:dyDescent="0.25">
      <c r="A35" s="3" t="s">
        <v>97</v>
      </c>
      <c r="B35" s="6">
        <f t="shared" ref="B35:K35" si="7">B33/B12</f>
        <v>255723.31404204559</v>
      </c>
      <c r="C35" s="6" t="e">
        <f t="shared" si="7"/>
        <v>#DIV/0!</v>
      </c>
      <c r="D35" s="6">
        <f t="shared" si="7"/>
        <v>93883.058124174378</v>
      </c>
      <c r="E35" s="6">
        <f>E33/E12</f>
        <v>185999.49137478357</v>
      </c>
      <c r="F35" s="6">
        <f t="shared" si="7"/>
        <v>130253.3557826289</v>
      </c>
      <c r="G35" s="6">
        <f t="shared" si="7"/>
        <v>956.65230813069911</v>
      </c>
      <c r="H35" s="6">
        <f t="shared" si="7"/>
        <v>1950.9084048920115</v>
      </c>
      <c r="I35" s="6" t="e">
        <f t="shared" si="7"/>
        <v>#DIV/0!</v>
      </c>
      <c r="J35" s="6" t="e">
        <f t="shared" si="7"/>
        <v>#DIV/0!</v>
      </c>
      <c r="K35" s="6" t="e">
        <f t="shared" si="7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69</v>
      </c>
      <c r="C40" s="23" t="s">
        <v>69</v>
      </c>
      <c r="D40" s="23" t="s">
        <v>69</v>
      </c>
      <c r="E40" s="23" t="s">
        <v>69</v>
      </c>
      <c r="F40" s="23" t="s">
        <v>69</v>
      </c>
      <c r="G40" s="23" t="s">
        <v>69</v>
      </c>
      <c r="H40" s="23" t="s">
        <v>69</v>
      </c>
      <c r="I40" s="23" t="s">
        <v>69</v>
      </c>
      <c r="J40" s="23" t="s">
        <v>69</v>
      </c>
      <c r="K40" s="23" t="s">
        <v>69</v>
      </c>
    </row>
    <row r="41" spans="1:11" x14ac:dyDescent="0.25">
      <c r="A41" t="s">
        <v>13</v>
      </c>
      <c r="B41" s="23" t="s">
        <v>69</v>
      </c>
      <c r="C41" s="23" t="s">
        <v>69</v>
      </c>
      <c r="D41" s="23" t="s">
        <v>69</v>
      </c>
      <c r="E41" s="23" t="s">
        <v>69</v>
      </c>
      <c r="F41" s="23" t="s">
        <v>69</v>
      </c>
      <c r="G41" s="23" t="s">
        <v>69</v>
      </c>
      <c r="H41" s="23" t="s">
        <v>69</v>
      </c>
      <c r="I41" s="23" t="s">
        <v>69</v>
      </c>
      <c r="J41" s="23" t="s">
        <v>69</v>
      </c>
      <c r="K41" s="23" t="s">
        <v>69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66.128651658879605</v>
      </c>
      <c r="C44" s="7" t="e">
        <f>C12/C11*100</f>
        <v>#DIV/0!</v>
      </c>
      <c r="D44" s="7">
        <f t="shared" ref="D44:K44" si="8">D12/D11*100</f>
        <v>134.93761140819964</v>
      </c>
      <c r="E44" s="7">
        <f t="shared" ref="E44" si="9">E12/E11*100</f>
        <v>345.91065292096221</v>
      </c>
      <c r="F44" s="7">
        <f t="shared" si="8"/>
        <v>85.845295055821367</v>
      </c>
      <c r="G44" s="7">
        <f t="shared" si="8"/>
        <v>43.119266055045877</v>
      </c>
      <c r="H44" s="7" t="e">
        <f t="shared" si="8"/>
        <v>#DIV/0!</v>
      </c>
      <c r="I44" s="7">
        <f t="shared" si="8"/>
        <v>0</v>
      </c>
      <c r="J44" s="7" t="e">
        <f t="shared" si="8"/>
        <v>#DIV/0!</v>
      </c>
      <c r="K44" s="7" t="e">
        <f t="shared" si="8"/>
        <v>#DIV/0!</v>
      </c>
    </row>
    <row r="45" spans="1:11" x14ac:dyDescent="0.25">
      <c r="A45" t="s">
        <v>16</v>
      </c>
      <c r="B45" s="7">
        <f>B18/B17*100</f>
        <v>84.582051205479772</v>
      </c>
      <c r="C45" s="7" t="e">
        <f>C18/C17*100</f>
        <v>#DIV/0!</v>
      </c>
      <c r="D45" s="7">
        <f t="shared" ref="D45:K45" si="10">D18/D17*100</f>
        <v>103.88916110511556</v>
      </c>
      <c r="E45" s="7">
        <f t="shared" ref="E45" si="11">E18/E17*100</f>
        <v>129.83514331574733</v>
      </c>
      <c r="F45" s="7">
        <f t="shared" si="10"/>
        <v>91.697060130560232</v>
      </c>
      <c r="G45" s="7">
        <f t="shared" si="10"/>
        <v>5.4588810298102981</v>
      </c>
      <c r="H45" s="7" t="e">
        <f t="shared" si="10"/>
        <v>#DIV/0!</v>
      </c>
      <c r="I45" s="7">
        <f t="shared" si="10"/>
        <v>46.973724691828821</v>
      </c>
      <c r="J45" s="7" t="e">
        <f t="shared" si="10"/>
        <v>#DIV/0!</v>
      </c>
      <c r="K45" s="7">
        <f t="shared" si="10"/>
        <v>79.201396305398646</v>
      </c>
    </row>
    <row r="46" spans="1:11" x14ac:dyDescent="0.25">
      <c r="A46" t="s">
        <v>17</v>
      </c>
      <c r="B46" s="7">
        <f>AVERAGE(B44:B45)</f>
        <v>75.355351432179688</v>
      </c>
      <c r="C46" s="7" t="e">
        <f>AVERAGE(C44:C45)</f>
        <v>#DIV/0!</v>
      </c>
      <c r="D46" s="7">
        <f t="shared" ref="D46:K46" si="12">AVERAGE(D44:D45)</f>
        <v>119.4133862566576</v>
      </c>
      <c r="E46" s="7">
        <f t="shared" ref="E46" si="13">AVERAGE(E44:E45)</f>
        <v>237.87289811835478</v>
      </c>
      <c r="F46" s="7">
        <f t="shared" si="12"/>
        <v>88.771177593190799</v>
      </c>
      <c r="G46" s="7">
        <f t="shared" si="12"/>
        <v>24.289073542428088</v>
      </c>
      <c r="H46" s="7" t="e">
        <f t="shared" si="12"/>
        <v>#DIV/0!</v>
      </c>
      <c r="I46" s="7">
        <f t="shared" si="12"/>
        <v>23.48686234591441</v>
      </c>
      <c r="J46" s="7" t="e">
        <f t="shared" si="12"/>
        <v>#DIV/0!</v>
      </c>
      <c r="K46" s="7" t="e">
        <f t="shared" si="12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4">
        <f>B12/B13*100</f>
        <v>83.786288755344287</v>
      </c>
      <c r="C49" s="34" t="e">
        <f t="shared" ref="C49:K49" si="14">C12/C13*100</f>
        <v>#DIV/0!</v>
      </c>
      <c r="D49" s="34">
        <f t="shared" si="14"/>
        <v>201.68738898756661</v>
      </c>
      <c r="E49" s="34">
        <f t="shared" si="14"/>
        <v>335.5333333333333</v>
      </c>
      <c r="F49" s="34">
        <f t="shared" si="14"/>
        <v>128.8450029922202</v>
      </c>
      <c r="G49" s="34">
        <f t="shared" si="14"/>
        <v>62.385929981748802</v>
      </c>
      <c r="H49" s="34">
        <f t="shared" si="14"/>
        <v>97.652081109925291</v>
      </c>
      <c r="I49" s="34">
        <f t="shared" si="14"/>
        <v>0</v>
      </c>
      <c r="J49" s="34" t="e">
        <f t="shared" si="14"/>
        <v>#DIV/0!</v>
      </c>
      <c r="K49" s="34" t="e">
        <f t="shared" si="14"/>
        <v>#DIV/0!</v>
      </c>
      <c r="L49" s="24"/>
    </row>
    <row r="50" spans="1:12" x14ac:dyDescent="0.25">
      <c r="A50" t="s">
        <v>20</v>
      </c>
      <c r="B50" s="7">
        <f>B18/B19*100</f>
        <v>22.07628493960835</v>
      </c>
      <c r="C50" s="7" t="e">
        <f>C18/C19*100</f>
        <v>#DIV/0!</v>
      </c>
      <c r="D50" s="7">
        <f t="shared" ref="D50:K50" si="15">D18/D19*100</f>
        <v>38.831534973329028</v>
      </c>
      <c r="E50" s="7">
        <f>E18/E19*100</f>
        <v>31.705011845914967</v>
      </c>
      <c r="F50" s="7">
        <f t="shared" si="15"/>
        <v>34.386397548960083</v>
      </c>
      <c r="G50" s="7">
        <f t="shared" si="15"/>
        <v>2.1114730838707692</v>
      </c>
      <c r="H50" s="7">
        <f t="shared" si="15"/>
        <v>0.96128999583293262</v>
      </c>
      <c r="I50" s="7">
        <f t="shared" si="15"/>
        <v>14.092117680039214</v>
      </c>
      <c r="J50" s="7">
        <f t="shared" si="15"/>
        <v>149.68830691245253</v>
      </c>
      <c r="K50" s="7">
        <f t="shared" si="15"/>
        <v>19.800349076349665</v>
      </c>
    </row>
    <row r="51" spans="1:12" x14ac:dyDescent="0.25">
      <c r="A51" t="s">
        <v>21</v>
      </c>
      <c r="B51" s="7">
        <f>(B49+B50)/2</f>
        <v>52.931286847476315</v>
      </c>
      <c r="C51" s="7" t="e">
        <f>(C49+C50)/2</f>
        <v>#DIV/0!</v>
      </c>
      <c r="D51" s="7">
        <f t="shared" ref="D51:K51" si="16">(D49+D50)/2</f>
        <v>120.25946198044781</v>
      </c>
      <c r="E51" s="7">
        <f>(E49+E50)/2</f>
        <v>183.61917258962413</v>
      </c>
      <c r="F51" s="7">
        <f t="shared" si="16"/>
        <v>81.615700270590139</v>
      </c>
      <c r="G51" s="7">
        <f t="shared" si="16"/>
        <v>32.248701532809783</v>
      </c>
      <c r="H51" s="7">
        <f t="shared" si="16"/>
        <v>49.306685552879109</v>
      </c>
      <c r="I51" s="7">
        <f t="shared" si="16"/>
        <v>7.0460588400196071</v>
      </c>
      <c r="J51" s="7" t="e">
        <f t="shared" si="16"/>
        <v>#DIV/0!</v>
      </c>
      <c r="K51" s="7" t="e">
        <f t="shared" si="16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7">B20/B18*100</f>
        <v>34.309427836763426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95.071697062508733</v>
      </c>
      <c r="C57" s="7">
        <f>((C12/C10)-1)*100</f>
        <v>-100</v>
      </c>
      <c r="D57" s="7">
        <f t="shared" ref="D57:K57" si="18">((D12/D10)-1)*100</f>
        <v>25.169943046114284</v>
      </c>
      <c r="E57" s="7">
        <f>((E12/E10)-1)*100</f>
        <v>1.7384273296947583</v>
      </c>
      <c r="F57" s="7">
        <f t="shared" si="18"/>
        <v>31.440781440781439</v>
      </c>
      <c r="G57" s="7" t="e">
        <f t="shared" si="18"/>
        <v>#DIV/0!</v>
      </c>
      <c r="H57" s="7" t="e">
        <f t="shared" si="18"/>
        <v>#DIV/0!</v>
      </c>
      <c r="I57" s="7" t="e">
        <f t="shared" si="18"/>
        <v>#DIV/0!</v>
      </c>
      <c r="J57" s="7" t="e">
        <f t="shared" si="18"/>
        <v>#DIV/0!</v>
      </c>
      <c r="K57" s="7" t="e">
        <f t="shared" si="18"/>
        <v>#DIV/0!</v>
      </c>
    </row>
    <row r="58" spans="1:12" x14ac:dyDescent="0.25">
      <c r="A58" t="s">
        <v>25</v>
      </c>
      <c r="B58" s="7">
        <f>((B33/B32)-1)*100</f>
        <v>6.7798530293847969</v>
      </c>
      <c r="C58" s="7">
        <f>((C33/C32)-1)*100</f>
        <v>-100</v>
      </c>
      <c r="D58" s="7">
        <f t="shared" ref="D58:K58" si="19">((D33/D32)-1)*100</f>
        <v>-6.1008329985160925</v>
      </c>
      <c r="E58" s="7">
        <f t="shared" si="19"/>
        <v>-44.286700720250437</v>
      </c>
      <c r="F58" s="7">
        <f t="shared" si="19"/>
        <v>41.358067137680223</v>
      </c>
      <c r="G58" s="7" t="e">
        <f t="shared" si="19"/>
        <v>#DIV/0!</v>
      </c>
      <c r="H58" s="7" t="e">
        <f t="shared" si="19"/>
        <v>#DIV/0!</v>
      </c>
      <c r="I58" s="7" t="e">
        <f t="shared" si="19"/>
        <v>#DIV/0!</v>
      </c>
      <c r="J58" s="7" t="e">
        <f t="shared" si="19"/>
        <v>#DIV/0!</v>
      </c>
      <c r="K58" s="7">
        <f t="shared" si="19"/>
        <v>3.3575769170965497</v>
      </c>
    </row>
    <row r="59" spans="1:12" x14ac:dyDescent="0.25">
      <c r="A59" t="s">
        <v>26</v>
      </c>
      <c r="B59" s="7">
        <f t="shared" ref="B59:K59" si="20">((B35/B34)-1)*100</f>
        <v>-45.261227211670651</v>
      </c>
      <c r="C59" s="7" t="e">
        <f t="shared" si="20"/>
        <v>#DIV/0!</v>
      </c>
      <c r="D59" s="7">
        <f t="shared" si="20"/>
        <v>-24.982655806681798</v>
      </c>
      <c r="E59" s="7">
        <f t="shared" si="20"/>
        <v>-45.238686362622474</v>
      </c>
      <c r="F59" s="7">
        <f t="shared" si="20"/>
        <v>7.5450599031677612</v>
      </c>
      <c r="G59" s="7" t="e">
        <f t="shared" si="20"/>
        <v>#DIV/0!</v>
      </c>
      <c r="H59" s="7" t="e">
        <f t="shared" si="20"/>
        <v>#DIV/0!</v>
      </c>
      <c r="I59" s="7" t="e">
        <f t="shared" si="20"/>
        <v>#DIV/0!</v>
      </c>
      <c r="J59" s="7" t="e">
        <f t="shared" si="20"/>
        <v>#DIV/0!</v>
      </c>
      <c r="K59" s="7" t="e">
        <f t="shared" si="20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65</v>
      </c>
      <c r="B62" s="4">
        <f>B17/(B11*3)</f>
        <v>111961.7829081127</v>
      </c>
      <c r="C62" s="4" t="e">
        <f>C17/(C11*3)</f>
        <v>#DIV/0!</v>
      </c>
      <c r="D62" s="4">
        <f t="shared" ref="D62:K63" si="21">D17/(D11*3)</f>
        <v>68287</v>
      </c>
      <c r="E62" s="4">
        <f t="shared" si="21"/>
        <v>277505.41311340209</v>
      </c>
      <c r="F62" s="4">
        <f t="shared" si="21"/>
        <v>68287</v>
      </c>
      <c r="G62" s="4">
        <f t="shared" si="21"/>
        <v>4231.6513761467886</v>
      </c>
      <c r="H62" s="4" t="e">
        <f t="shared" si="21"/>
        <v>#DIV/0!</v>
      </c>
      <c r="I62" s="4">
        <f t="shared" si="21"/>
        <v>99685.68</v>
      </c>
      <c r="J62" s="4" t="e">
        <f t="shared" si="21"/>
        <v>#DIV/0!</v>
      </c>
      <c r="K62" s="4" t="e">
        <f t="shared" si="21"/>
        <v>#DIV/0!</v>
      </c>
    </row>
    <row r="63" spans="1:12" x14ac:dyDescent="0.25">
      <c r="A63" t="s">
        <v>66</v>
      </c>
      <c r="B63" s="4">
        <f>B18/(B12*3)</f>
        <v>143205.05586354554</v>
      </c>
      <c r="C63" s="4" t="e">
        <f>C18/(C12*3)</f>
        <v>#DIV/0!</v>
      </c>
      <c r="D63" s="4">
        <f t="shared" si="21"/>
        <v>52574.512549537649</v>
      </c>
      <c r="E63" s="4">
        <f t="shared" si="21"/>
        <v>104159.71516987879</v>
      </c>
      <c r="F63" s="4">
        <f t="shared" si="21"/>
        <v>72941.879238272173</v>
      </c>
      <c r="G63" s="4">
        <f t="shared" si="21"/>
        <v>535.72529255319148</v>
      </c>
      <c r="H63" s="4">
        <f t="shared" si="21"/>
        <v>1092.5087067395264</v>
      </c>
      <c r="I63" s="4" t="e">
        <f t="shared" si="21"/>
        <v>#DIV/0!</v>
      </c>
      <c r="J63" s="4" t="e">
        <f t="shared" si="21"/>
        <v>#DIV/0!</v>
      </c>
      <c r="K63" s="4" t="e">
        <f t="shared" si="21"/>
        <v>#DIV/0!</v>
      </c>
    </row>
    <row r="64" spans="1:12" x14ac:dyDescent="0.25">
      <c r="A64" t="s">
        <v>30</v>
      </c>
      <c r="B64" s="4">
        <f>(B62/B63)*B46</f>
        <v>58.914955530993609</v>
      </c>
      <c r="C64" s="4" t="e">
        <f>(C62/C63)*C46</f>
        <v>#DIV/0!</v>
      </c>
      <c r="D64" s="4">
        <f t="shared" ref="D64:K64" si="22">(D62/D63)*D46</f>
        <v>155.10142675360078</v>
      </c>
      <c r="E64" s="4">
        <f>(E62/E63)*E46</f>
        <v>633.74805464047108</v>
      </c>
      <c r="F64" s="4">
        <f t="shared" si="22"/>
        <v>83.106131451649901</v>
      </c>
      <c r="G64" s="4">
        <f t="shared" si="22"/>
        <v>191.85745550914268</v>
      </c>
      <c r="H64" s="4" t="e">
        <f t="shared" si="22"/>
        <v>#DIV/0!</v>
      </c>
      <c r="I64" s="4" t="e">
        <f t="shared" si="22"/>
        <v>#DIV/0!</v>
      </c>
      <c r="J64" s="4" t="e">
        <f t="shared" si="22"/>
        <v>#DIV/0!</v>
      </c>
      <c r="K64" s="4" t="e">
        <f t="shared" si="22"/>
        <v>#DIV/0!</v>
      </c>
    </row>
    <row r="65" spans="1:11" x14ac:dyDescent="0.25">
      <c r="A65" t="s">
        <v>67</v>
      </c>
      <c r="B65" s="4">
        <f>B17/B11</f>
        <v>335885.34872433811</v>
      </c>
      <c r="C65" s="4" t="e">
        <f>C17/C11</f>
        <v>#DIV/0!</v>
      </c>
      <c r="D65" s="4">
        <f t="shared" ref="D65:K66" si="23">D17/D11</f>
        <v>204861</v>
      </c>
      <c r="E65" s="4">
        <f t="shared" si="23"/>
        <v>832516.23934020626</v>
      </c>
      <c r="F65" s="4">
        <f t="shared" si="23"/>
        <v>204861</v>
      </c>
      <c r="G65" s="4">
        <f t="shared" si="23"/>
        <v>12694.954128440368</v>
      </c>
      <c r="H65" s="4" t="e">
        <f t="shared" si="23"/>
        <v>#DIV/0!</v>
      </c>
      <c r="I65" s="4">
        <f t="shared" si="23"/>
        <v>299057.03999999998</v>
      </c>
      <c r="J65" s="4" t="e">
        <f t="shared" si="23"/>
        <v>#DIV/0!</v>
      </c>
      <c r="K65" s="4" t="e">
        <f t="shared" si="23"/>
        <v>#DIV/0!</v>
      </c>
    </row>
    <row r="66" spans="1:11" x14ac:dyDescent="0.25">
      <c r="A66" t="s">
        <v>68</v>
      </c>
      <c r="B66" s="4">
        <f>B18/B12</f>
        <v>429615.16759063664</v>
      </c>
      <c r="C66" s="4" t="e">
        <f>C18/C12</f>
        <v>#DIV/0!</v>
      </c>
      <c r="D66" s="4">
        <f t="shared" si="23"/>
        <v>157723.53764861295</v>
      </c>
      <c r="E66" s="4">
        <f t="shared" si="23"/>
        <v>312479.14550963638</v>
      </c>
      <c r="F66" s="4">
        <f t="shared" si="23"/>
        <v>218825.63771481655</v>
      </c>
      <c r="G66" s="4">
        <f t="shared" si="23"/>
        <v>1607.1758776595743</v>
      </c>
      <c r="H66" s="4">
        <f t="shared" si="23"/>
        <v>3277.5261202185793</v>
      </c>
      <c r="I66" s="4" t="e">
        <f t="shared" si="23"/>
        <v>#DIV/0!</v>
      </c>
      <c r="J66" s="4" t="e">
        <f t="shared" si="23"/>
        <v>#DIV/0!</v>
      </c>
      <c r="K66" s="4" t="e">
        <f t="shared" si="23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89.255442492972534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94.764026532207581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83</v>
      </c>
    </row>
    <row r="75" spans="1:11" x14ac:dyDescent="0.25">
      <c r="A75" t="s">
        <v>84</v>
      </c>
      <c r="B75" s="10"/>
      <c r="C75" s="10"/>
      <c r="D75" s="10"/>
      <c r="E75" s="10"/>
      <c r="F75" s="10"/>
    </row>
    <row r="76" spans="1:11" x14ac:dyDescent="0.25">
      <c r="A76" t="s">
        <v>85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134</v>
      </c>
    </row>
  </sheetData>
  <mergeCells count="4">
    <mergeCell ref="A4:A5"/>
    <mergeCell ref="B4:B5"/>
    <mergeCell ref="A2:K2"/>
    <mergeCell ref="D4:K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4"/>
  <sheetViews>
    <sheetView zoomScale="70" zoomScaleNormal="70" workbookViewId="0">
      <selection activeCell="L12" sqref="L12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7.28515625" customWidth="1"/>
    <col min="7" max="7" width="15.28515625" customWidth="1"/>
    <col min="8" max="8" width="18.5703125" customWidth="1"/>
    <col min="9" max="10" width="18.42578125" customWidth="1"/>
    <col min="11" max="11" width="16.28515625" customWidth="1"/>
    <col min="17" max="17" width="15.28515625" customWidth="1"/>
  </cols>
  <sheetData>
    <row r="2" spans="1:21" ht="15.75" x14ac:dyDescent="0.25">
      <c r="A2" s="62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21" x14ac:dyDescent="0.25">
      <c r="A4" s="58" t="s">
        <v>0</v>
      </c>
      <c r="B4" s="60" t="s">
        <v>1</v>
      </c>
      <c r="C4" s="63" t="s">
        <v>2</v>
      </c>
      <c r="D4" s="63"/>
      <c r="E4" s="63"/>
      <c r="F4" s="63"/>
      <c r="G4" s="63"/>
      <c r="H4" s="63"/>
      <c r="I4" s="63"/>
      <c r="J4" s="63"/>
      <c r="K4" s="63"/>
    </row>
    <row r="5" spans="1:21" ht="75.75" thickBot="1" x14ac:dyDescent="0.3">
      <c r="A5" s="59"/>
      <c r="B5" s="61"/>
      <c r="C5" s="32" t="s">
        <v>132</v>
      </c>
      <c r="D5" s="27" t="s">
        <v>86</v>
      </c>
      <c r="E5" s="27" t="s">
        <v>87</v>
      </c>
      <c r="F5" s="27" t="s">
        <v>88</v>
      </c>
      <c r="G5" s="27" t="s">
        <v>89</v>
      </c>
      <c r="H5" s="27" t="s">
        <v>90</v>
      </c>
      <c r="I5" s="27" t="s">
        <v>91</v>
      </c>
      <c r="J5" s="37" t="s">
        <v>139</v>
      </c>
      <c r="K5" s="27" t="s">
        <v>133</v>
      </c>
      <c r="Q5" s="44"/>
    </row>
    <row r="6" spans="1:21" ht="15.75" thickTop="1" x14ac:dyDescent="0.25">
      <c r="U6" s="44"/>
    </row>
    <row r="7" spans="1:21" x14ac:dyDescent="0.25">
      <c r="A7" s="2" t="s">
        <v>3</v>
      </c>
    </row>
    <row r="9" spans="1:21" x14ac:dyDescent="0.25">
      <c r="A9" t="s">
        <v>4</v>
      </c>
    </row>
    <row r="10" spans="1:21" x14ac:dyDescent="0.25">
      <c r="A10" s="3" t="s">
        <v>45</v>
      </c>
      <c r="B10" s="51">
        <f>C10+D10+E10+F10+G10+H10+I10</f>
        <v>4876.666666666667</v>
      </c>
      <c r="C10" s="4">
        <v>736.33333333333337</v>
      </c>
      <c r="D10" s="4">
        <v>1587</v>
      </c>
      <c r="E10" s="13">
        <v>1764.6666666666667</v>
      </c>
      <c r="F10" s="4">
        <v>788.66666666666663</v>
      </c>
      <c r="G10" s="4">
        <v>0</v>
      </c>
      <c r="H10" s="4">
        <v>0</v>
      </c>
      <c r="I10">
        <v>0</v>
      </c>
      <c r="J10">
        <v>0</v>
      </c>
      <c r="L10" s="47"/>
    </row>
    <row r="11" spans="1:21" x14ac:dyDescent="0.25">
      <c r="A11" s="3" t="s">
        <v>100</v>
      </c>
      <c r="B11" s="51">
        <f t="shared" ref="B11:B13" si="0">C11+D11+E11+F11+G11+H11+I11</f>
        <v>11650</v>
      </c>
      <c r="C11" s="4">
        <v>0</v>
      </c>
      <c r="D11" s="4">
        <v>1136</v>
      </c>
      <c r="E11" s="13">
        <v>65</v>
      </c>
      <c r="F11" s="50">
        <v>557</v>
      </c>
      <c r="G11" s="4">
        <v>6240</v>
      </c>
      <c r="H11" s="13">
        <v>1250</v>
      </c>
      <c r="I11" s="4">
        <v>2402</v>
      </c>
      <c r="J11" s="4">
        <v>0</v>
      </c>
      <c r="L11" s="47"/>
    </row>
    <row r="12" spans="1:21" x14ac:dyDescent="0.25">
      <c r="A12" s="3" t="s">
        <v>101</v>
      </c>
      <c r="B12" s="51">
        <f t="shared" si="0"/>
        <v>9127.3333333333321</v>
      </c>
      <c r="C12" s="4">
        <v>0</v>
      </c>
      <c r="D12" s="4">
        <v>1978.3333333333333</v>
      </c>
      <c r="E12" s="13">
        <v>1760</v>
      </c>
      <c r="F12" s="13">
        <v>714</v>
      </c>
      <c r="G12" s="4">
        <v>3760</v>
      </c>
      <c r="H12" s="4">
        <v>915</v>
      </c>
      <c r="I12" s="4">
        <v>0</v>
      </c>
      <c r="J12" s="4">
        <v>0</v>
      </c>
      <c r="L12" s="47"/>
    </row>
    <row r="13" spans="1:21" s="44" customFormat="1" x14ac:dyDescent="0.25">
      <c r="A13" s="45" t="s">
        <v>78</v>
      </c>
      <c r="B13" s="51">
        <f t="shared" si="0"/>
        <v>11149</v>
      </c>
      <c r="C13" s="50">
        <v>0</v>
      </c>
      <c r="D13" s="50">
        <v>1126</v>
      </c>
      <c r="E13" s="50">
        <v>500</v>
      </c>
      <c r="F13" s="50">
        <v>557</v>
      </c>
      <c r="G13" s="50">
        <v>6027</v>
      </c>
      <c r="H13" s="50">
        <v>937</v>
      </c>
      <c r="I13" s="50">
        <v>2002</v>
      </c>
      <c r="J13" s="50">
        <v>0</v>
      </c>
      <c r="L13" s="25"/>
      <c r="Q13" s="47"/>
    </row>
    <row r="14" spans="1:21" x14ac:dyDescent="0.25">
      <c r="L14" s="49"/>
    </row>
    <row r="15" spans="1:21" x14ac:dyDescent="0.25">
      <c r="A15" s="5" t="s">
        <v>5</v>
      </c>
    </row>
    <row r="16" spans="1:21" x14ac:dyDescent="0.25">
      <c r="A16" s="3" t="s">
        <v>45</v>
      </c>
      <c r="B16" s="4">
        <f>SUM(C16:K16)</f>
        <v>2909444090</v>
      </c>
      <c r="C16" s="4">
        <v>25585093</v>
      </c>
      <c r="D16" s="4">
        <v>306560705</v>
      </c>
      <c r="E16" s="13">
        <v>69055079</v>
      </c>
      <c r="F16" s="4">
        <v>150715713</v>
      </c>
      <c r="G16" s="4">
        <v>0</v>
      </c>
      <c r="H16" s="4">
        <v>0</v>
      </c>
      <c r="I16" s="4">
        <v>0</v>
      </c>
      <c r="J16" s="4">
        <v>0</v>
      </c>
      <c r="K16" s="4">
        <v>2357527500</v>
      </c>
    </row>
    <row r="17" spans="1:12" x14ac:dyDescent="0.25">
      <c r="A17" s="3" t="s">
        <v>100</v>
      </c>
      <c r="B17" s="4">
        <f t="shared" ref="B17:B19" si="1">SUM(C17:K17)</f>
        <v>4530484706.8000002</v>
      </c>
      <c r="C17" s="4">
        <v>0</v>
      </c>
      <c r="D17" s="4">
        <v>232858670</v>
      </c>
      <c r="E17" s="13">
        <v>131058961.80000001</v>
      </c>
      <c r="F17" s="4">
        <v>114175864</v>
      </c>
      <c r="G17" s="4">
        <v>64200000</v>
      </c>
      <c r="H17" s="4">
        <v>103990000</v>
      </c>
      <c r="I17" s="4">
        <v>718335010.07999992</v>
      </c>
      <c r="J17" s="4">
        <v>170000010</v>
      </c>
      <c r="K17" s="4">
        <v>2995866190.9200001</v>
      </c>
    </row>
    <row r="18" spans="1:12" x14ac:dyDescent="0.25">
      <c r="A18" s="3" t="s">
        <v>101</v>
      </c>
      <c r="B18" s="4">
        <f t="shared" si="1"/>
        <v>3660755898.0799999</v>
      </c>
      <c r="C18" s="4">
        <v>0</v>
      </c>
      <c r="D18" s="4">
        <v>324494155</v>
      </c>
      <c r="E18" s="13">
        <v>459708084</v>
      </c>
      <c r="F18" s="4">
        <v>156533229</v>
      </c>
      <c r="G18" s="4">
        <v>30121049.300000001</v>
      </c>
      <c r="H18" s="4">
        <v>11342804.15</v>
      </c>
      <c r="I18" s="4">
        <v>269758041</v>
      </c>
      <c r="J18" s="4">
        <v>37240000</v>
      </c>
      <c r="K18" s="4">
        <v>2371558535.6300001</v>
      </c>
    </row>
    <row r="19" spans="1:12" x14ac:dyDescent="0.25">
      <c r="A19" s="3" t="s">
        <v>78</v>
      </c>
      <c r="B19" s="4">
        <f t="shared" si="1"/>
        <v>18178685845.459999</v>
      </c>
      <c r="C19" s="4">
        <v>0</v>
      </c>
      <c r="D19" s="6">
        <v>922420796</v>
      </c>
      <c r="E19" s="13">
        <v>1653479421.4799993</v>
      </c>
      <c r="F19" s="4">
        <v>456703456</v>
      </c>
      <c r="G19" s="6">
        <v>286197411</v>
      </c>
      <c r="H19" s="4">
        <v>311970000</v>
      </c>
      <c r="I19" s="4">
        <v>2394449987.2999997</v>
      </c>
      <c r="J19" s="4">
        <v>170000010</v>
      </c>
      <c r="K19" s="4">
        <v>11983464763.679998</v>
      </c>
    </row>
    <row r="20" spans="1:12" x14ac:dyDescent="0.25">
      <c r="A20" s="3" t="s">
        <v>102</v>
      </c>
      <c r="B20" s="51">
        <f>C20+D20+E20+F20+I20</f>
        <v>1210493509</v>
      </c>
      <c r="C20" s="56">
        <f>C18</f>
        <v>0</v>
      </c>
      <c r="D20" s="56">
        <f>D18</f>
        <v>324494155</v>
      </c>
      <c r="E20" s="56">
        <f t="shared" ref="E20:J20" si="2">E18</f>
        <v>459708084</v>
      </c>
      <c r="F20" s="56">
        <f t="shared" si="2"/>
        <v>156533229</v>
      </c>
      <c r="G20" s="56">
        <f t="shared" si="2"/>
        <v>30121049.300000001</v>
      </c>
      <c r="H20" s="56">
        <f t="shared" si="2"/>
        <v>11342804.15</v>
      </c>
      <c r="I20" s="56">
        <f t="shared" si="2"/>
        <v>269758041</v>
      </c>
      <c r="J20" s="56">
        <f t="shared" si="2"/>
        <v>37240000</v>
      </c>
      <c r="K20" s="24"/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100</v>
      </c>
      <c r="B23" s="13">
        <f>B17</f>
        <v>4530484706.8000002</v>
      </c>
      <c r="C23" s="13"/>
    </row>
    <row r="24" spans="1:12" x14ac:dyDescent="0.25">
      <c r="A24" s="3" t="s">
        <v>101</v>
      </c>
      <c r="B24" s="13">
        <v>4230043543.25</v>
      </c>
      <c r="C24" s="13"/>
    </row>
    <row r="26" spans="1:12" x14ac:dyDescent="0.25">
      <c r="A26" t="s">
        <v>7</v>
      </c>
    </row>
    <row r="27" spans="1:12" x14ac:dyDescent="0.25">
      <c r="A27" s="3" t="s">
        <v>46</v>
      </c>
      <c r="B27" s="15">
        <v>1.62</v>
      </c>
      <c r="C27" s="15">
        <v>1.62</v>
      </c>
      <c r="D27" s="15">
        <v>1.62</v>
      </c>
      <c r="E27" s="15">
        <v>1.62</v>
      </c>
      <c r="F27" s="15">
        <v>1.62</v>
      </c>
      <c r="G27" s="15">
        <v>1.62</v>
      </c>
      <c r="H27" s="15">
        <v>1.62</v>
      </c>
      <c r="I27" s="15">
        <v>1.62</v>
      </c>
      <c r="J27" s="15">
        <v>1.62</v>
      </c>
      <c r="K27" s="15">
        <v>1.62</v>
      </c>
    </row>
    <row r="28" spans="1:12" x14ac:dyDescent="0.25">
      <c r="A28" s="3" t="s">
        <v>103</v>
      </c>
      <c r="B28" s="15">
        <v>1.71</v>
      </c>
      <c r="C28" s="15">
        <v>1.71</v>
      </c>
      <c r="D28" s="15">
        <v>1.71</v>
      </c>
      <c r="E28" s="15">
        <v>1.71</v>
      </c>
      <c r="F28" s="15">
        <v>1.71</v>
      </c>
      <c r="G28" s="15">
        <v>1.71</v>
      </c>
      <c r="H28" s="15">
        <v>1.71</v>
      </c>
      <c r="I28" s="15">
        <v>1.71</v>
      </c>
      <c r="J28" s="15">
        <v>1.71</v>
      </c>
      <c r="K28" s="15">
        <v>1.71</v>
      </c>
    </row>
    <row r="29" spans="1:12" x14ac:dyDescent="0.25">
      <c r="A29" s="3" t="s">
        <v>8</v>
      </c>
      <c r="B29" s="19" t="s">
        <v>70</v>
      </c>
      <c r="C29" s="19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 t="s">
        <v>70</v>
      </c>
    </row>
    <row r="31" spans="1:12" x14ac:dyDescent="0.25">
      <c r="A31" s="3" t="s">
        <v>9</v>
      </c>
    </row>
    <row r="32" spans="1:12" x14ac:dyDescent="0.25">
      <c r="A32" s="3" t="s">
        <v>47</v>
      </c>
      <c r="B32" s="22">
        <f>B16/B27</f>
        <v>1795953141.9753084</v>
      </c>
      <c r="C32" s="22">
        <f>C16/C27</f>
        <v>15793267.283950616</v>
      </c>
      <c r="D32" s="22">
        <f t="shared" ref="D32:K32" si="3">D16/D27</f>
        <v>189235003.08641973</v>
      </c>
      <c r="E32" s="22">
        <f>E16/E27</f>
        <v>42626591.975308642</v>
      </c>
      <c r="F32" s="22">
        <f t="shared" si="3"/>
        <v>93034390.740740731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1455263888.8888888</v>
      </c>
    </row>
    <row r="33" spans="1:11" x14ac:dyDescent="0.25">
      <c r="A33" s="3" t="s">
        <v>104</v>
      </c>
      <c r="B33" s="22">
        <f>B18/B28</f>
        <v>2140792922.8538013</v>
      </c>
      <c r="C33" s="22">
        <f>C18/C28</f>
        <v>0</v>
      </c>
      <c r="D33" s="22">
        <f t="shared" ref="D33:G33" si="4">D18/D28</f>
        <v>189762663.74269006</v>
      </c>
      <c r="E33" s="22">
        <f>E18/E28</f>
        <v>268835136.84210527</v>
      </c>
      <c r="F33" s="22">
        <f t="shared" si="4"/>
        <v>91539900</v>
      </c>
      <c r="G33" s="22">
        <f t="shared" si="4"/>
        <v>17614648.713450294</v>
      </c>
      <c r="H33" s="22">
        <f t="shared" ref="H33:K33" si="5">H18/H28</f>
        <v>6633218.801169591</v>
      </c>
      <c r="I33" s="22">
        <f t="shared" si="5"/>
        <v>157753240.3508772</v>
      </c>
      <c r="J33" s="22">
        <f t="shared" si="5"/>
        <v>21777777.77777778</v>
      </c>
      <c r="K33" s="22">
        <f t="shared" si="5"/>
        <v>1386876336.625731</v>
      </c>
    </row>
    <row r="34" spans="1:11" x14ac:dyDescent="0.25">
      <c r="A34" s="3" t="s">
        <v>48</v>
      </c>
      <c r="B34" s="14">
        <f t="shared" ref="B34:K34" si="6">B32/B10</f>
        <v>368274.73861421226</v>
      </c>
      <c r="C34" s="14">
        <f t="shared" si="6"/>
        <v>21448.529584360273</v>
      </c>
      <c r="D34" s="14">
        <f t="shared" si="6"/>
        <v>119240.70767890342</v>
      </c>
      <c r="E34" s="14">
        <f t="shared" si="6"/>
        <v>24155.605577243277</v>
      </c>
      <c r="F34" s="14">
        <f t="shared" si="6"/>
        <v>117964.14717760871</v>
      </c>
      <c r="G34" s="14" t="e">
        <f t="shared" si="6"/>
        <v>#DIV/0!</v>
      </c>
      <c r="H34" s="14" t="e">
        <f t="shared" si="6"/>
        <v>#DIV/0!</v>
      </c>
      <c r="I34" s="14" t="e">
        <f t="shared" si="6"/>
        <v>#DIV/0!</v>
      </c>
      <c r="J34" s="14" t="e">
        <f t="shared" si="6"/>
        <v>#DIV/0!</v>
      </c>
      <c r="K34" s="14" t="e">
        <f t="shared" si="6"/>
        <v>#DIV/0!</v>
      </c>
    </row>
    <row r="35" spans="1:11" x14ac:dyDescent="0.25">
      <c r="A35" s="3" t="s">
        <v>105</v>
      </c>
      <c r="B35" s="6">
        <f>B33/B12</f>
        <v>234547.46799216291</v>
      </c>
      <c r="C35" s="6" t="e">
        <f>C33/C12</f>
        <v>#DIV/0!</v>
      </c>
      <c r="D35" s="6">
        <f t="shared" ref="D35:K35" si="7">D33/D12</f>
        <v>95920.470299590597</v>
      </c>
      <c r="E35" s="6">
        <f>E33/E12</f>
        <v>152747.23684210525</v>
      </c>
      <c r="F35" s="6">
        <f t="shared" si="7"/>
        <v>128207.14285714286</v>
      </c>
      <c r="G35" s="6">
        <f t="shared" si="7"/>
        <v>4684.7469982580569</v>
      </c>
      <c r="H35" s="6">
        <f t="shared" si="7"/>
        <v>7249.4194548301539</v>
      </c>
      <c r="I35" s="6" t="e">
        <f t="shared" si="7"/>
        <v>#DIV/0!</v>
      </c>
      <c r="J35" s="6" t="e">
        <f t="shared" si="7"/>
        <v>#DIV/0!</v>
      </c>
      <c r="K35" s="6" t="e">
        <f t="shared" si="7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69</v>
      </c>
      <c r="C40" s="23" t="s">
        <v>69</v>
      </c>
      <c r="D40" s="23" t="s">
        <v>69</v>
      </c>
      <c r="E40" s="23" t="s">
        <v>69</v>
      </c>
      <c r="F40" s="23" t="s">
        <v>69</v>
      </c>
      <c r="G40" s="23" t="s">
        <v>69</v>
      </c>
      <c r="H40" s="23" t="s">
        <v>69</v>
      </c>
      <c r="I40" s="23" t="s">
        <v>69</v>
      </c>
      <c r="J40" s="23" t="s">
        <v>69</v>
      </c>
      <c r="K40" s="23" t="s">
        <v>69</v>
      </c>
    </row>
    <row r="41" spans="1:11" x14ac:dyDescent="0.25">
      <c r="A41" t="s">
        <v>13</v>
      </c>
      <c r="B41" s="23" t="s">
        <v>69</v>
      </c>
      <c r="C41" s="23" t="s">
        <v>69</v>
      </c>
      <c r="D41" s="23" t="s">
        <v>69</v>
      </c>
      <c r="E41" s="23" t="s">
        <v>69</v>
      </c>
      <c r="F41" s="23" t="s">
        <v>69</v>
      </c>
      <c r="G41" s="23" t="s">
        <v>69</v>
      </c>
      <c r="H41" s="23" t="s">
        <v>69</v>
      </c>
      <c r="I41" s="23" t="s">
        <v>69</v>
      </c>
      <c r="J41" s="23" t="s">
        <v>69</v>
      </c>
      <c r="K41" s="23" t="s">
        <v>69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78.346208869814006</v>
      </c>
      <c r="C44" s="7" t="e">
        <f>C12/C11*100</f>
        <v>#DIV/0!</v>
      </c>
      <c r="D44" s="7">
        <f t="shared" ref="D44:K44" si="8">D12/D11*100</f>
        <v>174.14906103286384</v>
      </c>
      <c r="E44" s="7">
        <f t="shared" ref="E44" si="9">E12/E11*100</f>
        <v>2707.6923076923076</v>
      </c>
      <c r="F44" s="7">
        <f t="shared" si="8"/>
        <v>128.18671454219032</v>
      </c>
      <c r="G44" s="7">
        <f t="shared" si="8"/>
        <v>60.256410256410255</v>
      </c>
      <c r="H44" s="7">
        <f t="shared" si="8"/>
        <v>73.2</v>
      </c>
      <c r="I44" s="7">
        <f t="shared" si="8"/>
        <v>0</v>
      </c>
      <c r="J44" s="7" t="e">
        <f t="shared" si="8"/>
        <v>#DIV/0!</v>
      </c>
      <c r="K44" s="7" t="e">
        <f t="shared" si="8"/>
        <v>#DIV/0!</v>
      </c>
    </row>
    <row r="45" spans="1:11" x14ac:dyDescent="0.25">
      <c r="A45" t="s">
        <v>16</v>
      </c>
      <c r="B45" s="7">
        <f>B18/B17*100</f>
        <v>80.802742642203668</v>
      </c>
      <c r="C45" s="7" t="e">
        <f>C18/C17*100</f>
        <v>#DIV/0!</v>
      </c>
      <c r="D45" s="7">
        <f t="shared" ref="D45:K45" si="10">D18/D17*100</f>
        <v>139.35240418576643</v>
      </c>
      <c r="E45" s="7">
        <f t="shared" ref="E45" si="11">E18/E17*100</f>
        <v>350.76432598445928</v>
      </c>
      <c r="F45" s="7">
        <f t="shared" si="10"/>
        <v>137.09835294086324</v>
      </c>
      <c r="G45" s="7">
        <f t="shared" si="10"/>
        <v>46.917522274143302</v>
      </c>
      <c r="H45" s="7">
        <f t="shared" si="10"/>
        <v>10.907591258774882</v>
      </c>
      <c r="I45" s="7">
        <f t="shared" si="10"/>
        <v>37.553235915642958</v>
      </c>
      <c r="J45" s="7">
        <f t="shared" si="10"/>
        <v>21.905881064359935</v>
      </c>
      <c r="K45" s="7">
        <f t="shared" si="10"/>
        <v>79.1610300492666</v>
      </c>
    </row>
    <row r="46" spans="1:11" x14ac:dyDescent="0.25">
      <c r="A46" t="s">
        <v>17</v>
      </c>
      <c r="B46" s="7">
        <f>AVERAGE(B44:B45)</f>
        <v>79.574475756008837</v>
      </c>
      <c r="C46" s="7" t="e">
        <f>AVERAGE(C44:C45)</f>
        <v>#DIV/0!</v>
      </c>
      <c r="D46" s="7">
        <f t="shared" ref="D46:K46" si="12">AVERAGE(D44:D45)</f>
        <v>156.75073260931515</v>
      </c>
      <c r="E46" s="7">
        <f t="shared" ref="E46" si="13">AVERAGE(E44:E45)</f>
        <v>1529.2283168383835</v>
      </c>
      <c r="F46" s="7">
        <f t="shared" si="12"/>
        <v>132.64253374152679</v>
      </c>
      <c r="G46" s="7">
        <f t="shared" si="12"/>
        <v>53.586966265276779</v>
      </c>
      <c r="H46" s="7">
        <f t="shared" si="12"/>
        <v>42.053795629387444</v>
      </c>
      <c r="I46" s="7">
        <f t="shared" si="12"/>
        <v>18.776617957821479</v>
      </c>
      <c r="J46" s="7" t="e">
        <f t="shared" si="12"/>
        <v>#DIV/0!</v>
      </c>
      <c r="K46" s="7" t="e">
        <f t="shared" si="12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4">
        <f>B12/B13*100</f>
        <v>81.866834095733537</v>
      </c>
      <c r="C49" s="34" t="e">
        <f t="shared" ref="C49:K49" si="14">C12/C13*100</f>
        <v>#DIV/0!</v>
      </c>
      <c r="D49" s="34">
        <f t="shared" si="14"/>
        <v>175.69567791592658</v>
      </c>
      <c r="E49" s="34">
        <f t="shared" si="14"/>
        <v>352</v>
      </c>
      <c r="F49" s="34">
        <f t="shared" si="14"/>
        <v>128.18671454219032</v>
      </c>
      <c r="G49" s="34">
        <f t="shared" si="14"/>
        <v>62.385929981748802</v>
      </c>
      <c r="H49" s="34">
        <f t="shared" si="14"/>
        <v>97.652081109925291</v>
      </c>
      <c r="I49" s="34">
        <f t="shared" si="14"/>
        <v>0</v>
      </c>
      <c r="J49" s="34" t="e">
        <f t="shared" si="14"/>
        <v>#DIV/0!</v>
      </c>
      <c r="K49" s="34" t="e">
        <f t="shared" si="14"/>
        <v>#DIV/0!</v>
      </c>
      <c r="L49" s="24"/>
    </row>
    <row r="50" spans="1:12" x14ac:dyDescent="0.25">
      <c r="A50" t="s">
        <v>20</v>
      </c>
      <c r="B50" s="7">
        <f>B18/B19*100</f>
        <v>20.137626719558767</v>
      </c>
      <c r="C50" s="7" t="e">
        <f>C18/C19*100</f>
        <v>#DIV/0!</v>
      </c>
      <c r="D50" s="7">
        <f t="shared" ref="D50:K50" si="15">D18/D19*100</f>
        <v>35.178538515950805</v>
      </c>
      <c r="E50" s="7">
        <f>E18/E19*100</f>
        <v>27.802467815929859</v>
      </c>
      <c r="F50" s="7">
        <f t="shared" si="15"/>
        <v>34.274588235215809</v>
      </c>
      <c r="G50" s="7">
        <f t="shared" si="15"/>
        <v>10.524570852948772</v>
      </c>
      <c r="H50" s="7">
        <f t="shared" si="15"/>
        <v>3.6358637529249607</v>
      </c>
      <c r="I50" s="7">
        <f t="shared" si="15"/>
        <v>11.265970992536003</v>
      </c>
      <c r="J50" s="7">
        <f t="shared" si="15"/>
        <v>21.905881064359935</v>
      </c>
      <c r="K50" s="7">
        <f t="shared" si="15"/>
        <v>19.790257512316657</v>
      </c>
    </row>
    <row r="51" spans="1:12" x14ac:dyDescent="0.25">
      <c r="A51" t="s">
        <v>21</v>
      </c>
      <c r="B51" s="7">
        <f>(B49+B50)/2</f>
        <v>51.002230407646152</v>
      </c>
      <c r="C51" s="7" t="e">
        <f>(C49+C50)/2</f>
        <v>#DIV/0!</v>
      </c>
      <c r="D51" s="7">
        <f t="shared" ref="D51:K51" si="16">(D49+D50)/2</f>
        <v>105.43710821593869</v>
      </c>
      <c r="E51" s="7">
        <f>(E49+E50)/2</f>
        <v>189.90123390796492</v>
      </c>
      <c r="F51" s="7">
        <f t="shared" si="16"/>
        <v>81.230651388703066</v>
      </c>
      <c r="G51" s="7">
        <f t="shared" si="16"/>
        <v>36.455250417348786</v>
      </c>
      <c r="H51" s="7">
        <f t="shared" si="16"/>
        <v>50.643972431425127</v>
      </c>
      <c r="I51" s="7">
        <f t="shared" si="16"/>
        <v>5.6329854962680015</v>
      </c>
      <c r="J51" s="7" t="e">
        <f t="shared" si="16"/>
        <v>#DIV/0!</v>
      </c>
      <c r="K51" s="7" t="e">
        <f t="shared" si="16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7">B20/B18*100</f>
        <v>33.066763878872173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87.163362952836593</v>
      </c>
      <c r="C57" s="7">
        <f>((C12/C10)-1)*100</f>
        <v>-100</v>
      </c>
      <c r="D57" s="7">
        <f t="shared" ref="D57:K57" si="18">((D12/D10)-1)*100</f>
        <v>24.658685150178528</v>
      </c>
      <c r="E57" s="7">
        <f>((E12/E10)-1)*100</f>
        <v>-0.26445032111824807</v>
      </c>
      <c r="F57" s="7">
        <f t="shared" si="18"/>
        <v>-9.4674556213017684</v>
      </c>
      <c r="G57" s="7" t="e">
        <f t="shared" si="18"/>
        <v>#DIV/0!</v>
      </c>
      <c r="H57" s="7" t="e">
        <f t="shared" si="18"/>
        <v>#DIV/0!</v>
      </c>
      <c r="I57" s="7" t="e">
        <f t="shared" si="18"/>
        <v>#DIV/0!</v>
      </c>
      <c r="J57" s="7" t="e">
        <f t="shared" si="18"/>
        <v>#DIV/0!</v>
      </c>
      <c r="K57" s="7" t="e">
        <f t="shared" si="18"/>
        <v>#DIV/0!</v>
      </c>
    </row>
    <row r="58" spans="1:12" x14ac:dyDescent="0.25">
      <c r="A58" t="s">
        <v>25</v>
      </c>
      <c r="B58" s="7">
        <f>((B33/B32)-1)*100</f>
        <v>19.200934190254838</v>
      </c>
      <c r="C58" s="7">
        <f>((C33/C32)-1)*100</f>
        <v>-100</v>
      </c>
      <c r="D58" s="7">
        <f t="shared" ref="D58:K58" si="19">((D33/D32)-1)*100</f>
        <v>0.27883882350738798</v>
      </c>
      <c r="E58" s="7">
        <f t="shared" si="19"/>
        <v>530.67471356337239</v>
      </c>
      <c r="F58" s="7">
        <f t="shared" si="19"/>
        <v>-1.6063852612368201</v>
      </c>
      <c r="G58" s="7" t="e">
        <f t="shared" si="19"/>
        <v>#DIV/0!</v>
      </c>
      <c r="H58" s="7" t="e">
        <f t="shared" si="19"/>
        <v>#DIV/0!</v>
      </c>
      <c r="I58" s="7" t="e">
        <f t="shared" si="19"/>
        <v>#DIV/0!</v>
      </c>
      <c r="J58" s="7" t="e">
        <f t="shared" si="19"/>
        <v>#DIV/0!</v>
      </c>
      <c r="K58" s="7">
        <f t="shared" si="19"/>
        <v>-4.6993231114511147</v>
      </c>
      <c r="L58" s="24"/>
    </row>
    <row r="59" spans="1:12" x14ac:dyDescent="0.25">
      <c r="A59" t="s">
        <v>26</v>
      </c>
      <c r="B59" s="7">
        <f t="shared" ref="B59:K59" si="20">((B35/B34)-1)*100</f>
        <v>-36.311822832392501</v>
      </c>
      <c r="C59" s="7" t="e">
        <f t="shared" si="20"/>
        <v>#DIV/0!</v>
      </c>
      <c r="D59" s="7">
        <f t="shared" si="20"/>
        <v>-19.557278578143446</v>
      </c>
      <c r="E59" s="7">
        <f t="shared" si="20"/>
        <v>532.34695712206315</v>
      </c>
      <c r="F59" s="7">
        <f t="shared" si="20"/>
        <v>8.6831430774573661</v>
      </c>
      <c r="G59" s="7" t="e">
        <f t="shared" si="20"/>
        <v>#DIV/0!</v>
      </c>
      <c r="H59" s="7" t="e">
        <f t="shared" si="20"/>
        <v>#DIV/0!</v>
      </c>
      <c r="I59" s="7" t="e">
        <f t="shared" si="20"/>
        <v>#DIV/0!</v>
      </c>
      <c r="J59" s="7" t="e">
        <f t="shared" si="20"/>
        <v>#DIV/0!</v>
      </c>
      <c r="K59" s="7" t="e">
        <f t="shared" si="20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65</v>
      </c>
      <c r="B62" s="4">
        <f>B17/(B11*3)</f>
        <v>129627.60248354793</v>
      </c>
      <c r="C62" s="4" t="e">
        <f>C17/(C11*3)</f>
        <v>#DIV/0!</v>
      </c>
      <c r="D62" s="4">
        <f t="shared" ref="D62:K63" si="21">D17/(D11*3)</f>
        <v>68327.074530516431</v>
      </c>
      <c r="E62" s="4">
        <f t="shared" si="21"/>
        <v>672097.24000000011</v>
      </c>
      <c r="F62" s="4">
        <f t="shared" si="21"/>
        <v>68327.865948533814</v>
      </c>
      <c r="G62" s="4">
        <f t="shared" si="21"/>
        <v>3429.4871794871797</v>
      </c>
      <c r="H62" s="4">
        <f t="shared" si="21"/>
        <v>27730.666666666668</v>
      </c>
      <c r="I62" s="4">
        <f t="shared" si="21"/>
        <v>99685.68</v>
      </c>
      <c r="J62" s="4" t="e">
        <f t="shared" si="21"/>
        <v>#DIV/0!</v>
      </c>
      <c r="K62" s="4" t="e">
        <f t="shared" si="21"/>
        <v>#DIV/0!</v>
      </c>
    </row>
    <row r="63" spans="1:12" x14ac:dyDescent="0.25">
      <c r="A63" t="s">
        <v>66</v>
      </c>
      <c r="B63" s="4">
        <f>B18/(B12*3)</f>
        <v>133692.05675553286</v>
      </c>
      <c r="C63" s="4" t="e">
        <f>C18/(C12*3)</f>
        <v>#DIV/0!</v>
      </c>
      <c r="D63" s="4">
        <f t="shared" si="21"/>
        <v>54674.668070766638</v>
      </c>
      <c r="E63" s="4">
        <f t="shared" si="21"/>
        <v>87065.925000000003</v>
      </c>
      <c r="F63" s="4">
        <f t="shared" si="21"/>
        <v>73078.071428571435</v>
      </c>
      <c r="G63" s="4">
        <f t="shared" si="21"/>
        <v>2670.3057890070922</v>
      </c>
      <c r="H63" s="4">
        <f t="shared" si="21"/>
        <v>4132.1690892531878</v>
      </c>
      <c r="I63" s="4" t="e">
        <f t="shared" si="21"/>
        <v>#DIV/0!</v>
      </c>
      <c r="J63" s="4" t="e">
        <f t="shared" si="21"/>
        <v>#DIV/0!</v>
      </c>
      <c r="K63" s="4" t="e">
        <f t="shared" si="21"/>
        <v>#DIV/0!</v>
      </c>
    </row>
    <row r="64" spans="1:12" x14ac:dyDescent="0.25">
      <c r="A64" t="s">
        <v>30</v>
      </c>
      <c r="B64" s="4">
        <f>(B62/B63)*B46</f>
        <v>77.155283279084912</v>
      </c>
      <c r="C64" s="4" t="e">
        <f>(C62/C63)*C46</f>
        <v>#DIV/0!</v>
      </c>
      <c r="D64" s="4">
        <f t="shared" ref="D64:K64" si="22">(D62/D63)*D46</f>
        <v>195.89179720025231</v>
      </c>
      <c r="E64" s="4">
        <f>(E62/E63)*E46</f>
        <v>11804.734528197148</v>
      </c>
      <c r="F64" s="4">
        <f t="shared" si="22"/>
        <v>124.02053156839975</v>
      </c>
      <c r="G64" s="4">
        <f t="shared" si="22"/>
        <v>68.822010779039886</v>
      </c>
      <c r="H64" s="4">
        <f t="shared" si="22"/>
        <v>282.21976484448072</v>
      </c>
      <c r="I64" s="4" t="e">
        <f t="shared" si="22"/>
        <v>#DIV/0!</v>
      </c>
      <c r="J64" s="4" t="e">
        <f t="shared" si="22"/>
        <v>#DIV/0!</v>
      </c>
      <c r="K64" s="4" t="e">
        <f t="shared" si="22"/>
        <v>#DIV/0!</v>
      </c>
    </row>
    <row r="65" spans="1:11" x14ac:dyDescent="0.25">
      <c r="A65" t="s">
        <v>67</v>
      </c>
      <c r="B65" s="4">
        <f>B17/B11</f>
        <v>388882.8074506438</v>
      </c>
      <c r="C65" s="4" t="e">
        <f>C17/C11</f>
        <v>#DIV/0!</v>
      </c>
      <c r="D65" s="4">
        <f t="shared" ref="D65:K66" si="23">D17/D11</f>
        <v>204981.22359154929</v>
      </c>
      <c r="E65" s="4">
        <f t="shared" si="23"/>
        <v>2016291.7200000002</v>
      </c>
      <c r="F65" s="4">
        <f t="shared" si="23"/>
        <v>204983.59784560144</v>
      </c>
      <c r="G65" s="4">
        <f t="shared" si="23"/>
        <v>10288.461538461539</v>
      </c>
      <c r="H65" s="4">
        <f t="shared" si="23"/>
        <v>83192</v>
      </c>
      <c r="I65" s="4">
        <f t="shared" si="23"/>
        <v>299057.03999999998</v>
      </c>
      <c r="J65" s="4" t="e">
        <f t="shared" si="23"/>
        <v>#DIV/0!</v>
      </c>
      <c r="K65" s="4" t="e">
        <f t="shared" si="23"/>
        <v>#DIV/0!</v>
      </c>
    </row>
    <row r="66" spans="1:11" x14ac:dyDescent="0.25">
      <c r="A66" t="s">
        <v>68</v>
      </c>
      <c r="B66" s="4">
        <f>B18/B12</f>
        <v>401076.17026659852</v>
      </c>
      <c r="C66" s="4" t="e">
        <f>C18/C12</f>
        <v>#DIV/0!</v>
      </c>
      <c r="D66" s="4">
        <f t="shared" si="23"/>
        <v>164024.00421229991</v>
      </c>
      <c r="E66" s="4">
        <f t="shared" si="23"/>
        <v>261197.77499999999</v>
      </c>
      <c r="F66" s="4">
        <f t="shared" si="23"/>
        <v>219234.21428571429</v>
      </c>
      <c r="G66" s="4">
        <f t="shared" si="23"/>
        <v>8010.9173670212767</v>
      </c>
      <c r="H66" s="4">
        <f t="shared" si="23"/>
        <v>12396.507267759564</v>
      </c>
      <c r="I66" s="4" t="e">
        <f t="shared" si="23"/>
        <v>#DIV/0!</v>
      </c>
      <c r="J66" s="4" t="e">
        <f t="shared" si="23"/>
        <v>#DIV/0!</v>
      </c>
      <c r="K66" s="4" t="e">
        <f t="shared" si="23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93.36845430470045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86.541801772267135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83</v>
      </c>
    </row>
    <row r="75" spans="1:11" x14ac:dyDescent="0.25">
      <c r="A75" t="s">
        <v>84</v>
      </c>
      <c r="B75" s="10"/>
      <c r="C75" s="10"/>
      <c r="D75" s="10"/>
      <c r="E75" s="10"/>
      <c r="F75" s="10"/>
    </row>
    <row r="76" spans="1:11" x14ac:dyDescent="0.25">
      <c r="A76" t="s">
        <v>85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135</v>
      </c>
    </row>
  </sheetData>
  <mergeCells count="4">
    <mergeCell ref="A4:A5"/>
    <mergeCell ref="B4:B5"/>
    <mergeCell ref="C4:K4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4"/>
  <sheetViews>
    <sheetView topLeftCell="A16" zoomScale="80" zoomScaleNormal="80" workbookViewId="0">
      <selection activeCell="K12" sqref="K12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5.42578125" bestFit="1" customWidth="1"/>
    <col min="7" max="8" width="15.28515625" customWidth="1"/>
    <col min="9" max="9" width="17.28515625" customWidth="1"/>
    <col min="10" max="10" width="15" customWidth="1"/>
    <col min="11" max="11" width="16" customWidth="1"/>
  </cols>
  <sheetData>
    <row r="2" spans="1:21" ht="15.75" x14ac:dyDescent="0.25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21" x14ac:dyDescent="0.25">
      <c r="A4" s="58" t="s">
        <v>0</v>
      </c>
      <c r="B4" s="60" t="s">
        <v>1</v>
      </c>
      <c r="C4" s="30"/>
      <c r="D4" s="63" t="s">
        <v>2</v>
      </c>
      <c r="E4" s="63"/>
      <c r="F4" s="63"/>
      <c r="G4" s="63"/>
      <c r="H4" s="63"/>
      <c r="I4" s="63"/>
      <c r="J4" s="63"/>
      <c r="K4" s="30"/>
    </row>
    <row r="5" spans="1:21" ht="90.75" thickBot="1" x14ac:dyDescent="0.3">
      <c r="A5" s="59"/>
      <c r="B5" s="61"/>
      <c r="C5" s="32" t="s">
        <v>132</v>
      </c>
      <c r="D5" s="27" t="s">
        <v>86</v>
      </c>
      <c r="E5" s="27" t="s">
        <v>87</v>
      </c>
      <c r="F5" s="27" t="s">
        <v>88</v>
      </c>
      <c r="G5" s="27" t="s">
        <v>89</v>
      </c>
      <c r="H5" s="27" t="s">
        <v>90</v>
      </c>
      <c r="I5" s="27" t="s">
        <v>91</v>
      </c>
      <c r="J5" s="37" t="s">
        <v>140</v>
      </c>
      <c r="K5" s="27" t="s">
        <v>133</v>
      </c>
      <c r="Q5" s="44"/>
    </row>
    <row r="6" spans="1:21" ht="15.75" thickTop="1" x14ac:dyDescent="0.25">
      <c r="U6" s="44"/>
    </row>
    <row r="7" spans="1:21" x14ac:dyDescent="0.25">
      <c r="A7" s="2" t="s">
        <v>3</v>
      </c>
    </row>
    <row r="9" spans="1:21" x14ac:dyDescent="0.25">
      <c r="A9" t="s">
        <v>4</v>
      </c>
    </row>
    <row r="10" spans="1:21" x14ac:dyDescent="0.25">
      <c r="A10" s="3" t="s">
        <v>49</v>
      </c>
      <c r="B10" s="50">
        <f>C10+D10+E10+F10+G10+H10+I10</f>
        <v>4959.666666666667</v>
      </c>
      <c r="C10" s="13">
        <v>778.33333333333337</v>
      </c>
      <c r="D10" s="4">
        <v>1669.6666666666667</v>
      </c>
      <c r="E10" s="13">
        <v>1693.6666666666667</v>
      </c>
      <c r="F10" s="4">
        <v>818</v>
      </c>
      <c r="G10" s="4">
        <v>0</v>
      </c>
      <c r="H10" s="4">
        <v>0</v>
      </c>
      <c r="I10" s="4">
        <v>0</v>
      </c>
      <c r="J10" s="4">
        <v>0</v>
      </c>
      <c r="L10" s="47"/>
    </row>
    <row r="11" spans="1:21" x14ac:dyDescent="0.25">
      <c r="A11" s="3" t="s">
        <v>107</v>
      </c>
      <c r="B11" s="50">
        <f t="shared" ref="B11:B13" si="0">C11+D11+E11+F11+G11+H11+I11</f>
        <v>11207</v>
      </c>
      <c r="C11" s="13">
        <v>0</v>
      </c>
      <c r="D11" s="4">
        <v>0</v>
      </c>
      <c r="E11" s="13">
        <v>65</v>
      </c>
      <c r="F11" s="4">
        <v>0</v>
      </c>
      <c r="G11" s="4">
        <v>6240</v>
      </c>
      <c r="H11" s="13">
        <v>2500</v>
      </c>
      <c r="I11" s="4">
        <v>2402</v>
      </c>
      <c r="J11" s="4">
        <v>0</v>
      </c>
      <c r="L11" s="47"/>
    </row>
    <row r="12" spans="1:21" x14ac:dyDescent="0.25">
      <c r="A12" s="3" t="s">
        <v>108</v>
      </c>
      <c r="B12" s="50">
        <f t="shared" si="0"/>
        <v>9940.6666666666679</v>
      </c>
      <c r="C12" s="13">
        <v>0</v>
      </c>
      <c r="D12" s="4">
        <v>2697.6666666666665</v>
      </c>
      <c r="E12" s="13">
        <v>1725.3333333333333</v>
      </c>
      <c r="F12" s="4">
        <v>842.66666666666663</v>
      </c>
      <c r="G12" s="4">
        <v>3760</v>
      </c>
      <c r="H12" s="4">
        <v>915</v>
      </c>
      <c r="I12" s="4">
        <v>0</v>
      </c>
      <c r="J12" s="4">
        <v>0</v>
      </c>
      <c r="L12" s="47"/>
    </row>
    <row r="13" spans="1:21" s="44" customFormat="1" x14ac:dyDescent="0.25">
      <c r="A13" s="45" t="s">
        <v>78</v>
      </c>
      <c r="B13" s="50">
        <f t="shared" si="0"/>
        <v>11149</v>
      </c>
      <c r="C13" s="50">
        <v>0</v>
      </c>
      <c r="D13" s="50">
        <v>1126</v>
      </c>
      <c r="E13" s="50">
        <v>500</v>
      </c>
      <c r="F13" s="50">
        <v>557</v>
      </c>
      <c r="G13" s="50">
        <v>6027</v>
      </c>
      <c r="H13" s="50">
        <v>937</v>
      </c>
      <c r="I13" s="50">
        <v>2002</v>
      </c>
      <c r="J13" s="50">
        <v>0</v>
      </c>
      <c r="L13" s="25"/>
      <c r="Q13" s="47"/>
    </row>
    <row r="14" spans="1:21" x14ac:dyDescent="0.25">
      <c r="L14" s="49"/>
    </row>
    <row r="15" spans="1:21" x14ac:dyDescent="0.25">
      <c r="A15" s="5" t="s">
        <v>5</v>
      </c>
    </row>
    <row r="16" spans="1:21" x14ac:dyDescent="0.25">
      <c r="A16" s="3" t="s">
        <v>49</v>
      </c>
      <c r="B16" s="4">
        <f>SUM(C16:K16)</f>
        <v>3819995611.79</v>
      </c>
      <c r="C16" s="4">
        <v>27379883</v>
      </c>
      <c r="D16" s="4">
        <v>325505221.5</v>
      </c>
      <c r="E16" s="13">
        <v>266252912</v>
      </c>
      <c r="F16" s="4">
        <v>158267161.75</v>
      </c>
      <c r="G16" s="4">
        <v>0</v>
      </c>
      <c r="H16" s="4">
        <v>0</v>
      </c>
      <c r="I16" s="4">
        <v>0</v>
      </c>
      <c r="J16" s="4">
        <v>0</v>
      </c>
      <c r="K16" s="4">
        <v>3042590433.54</v>
      </c>
    </row>
    <row r="17" spans="1:12" x14ac:dyDescent="0.25">
      <c r="A17" s="3" t="s">
        <v>107</v>
      </c>
      <c r="B17" s="4">
        <f t="shared" ref="B17:B19" si="1">SUM(C17:K17)</f>
        <v>4140037573.8000002</v>
      </c>
      <c r="C17" s="4">
        <v>0</v>
      </c>
      <c r="D17" s="4">
        <v>0</v>
      </c>
      <c r="E17" s="13">
        <v>131058961.80000001</v>
      </c>
      <c r="F17" s="4">
        <v>0</v>
      </c>
      <c r="G17" s="4">
        <v>86797411</v>
      </c>
      <c r="H17" s="4">
        <v>207980000</v>
      </c>
      <c r="I17" s="4">
        <v>718335010.07999992</v>
      </c>
      <c r="J17" s="4">
        <v>0</v>
      </c>
      <c r="K17" s="4">
        <v>2995866190.9200001</v>
      </c>
    </row>
    <row r="18" spans="1:12" x14ac:dyDescent="0.25">
      <c r="A18" s="3" t="s">
        <v>108</v>
      </c>
      <c r="B18" s="4">
        <f t="shared" si="1"/>
        <v>4640920560.0600004</v>
      </c>
      <c r="C18" s="4">
        <v>0</v>
      </c>
      <c r="D18" s="4">
        <v>362789720</v>
      </c>
      <c r="E18" s="13">
        <v>0</v>
      </c>
      <c r="F18" s="4">
        <v>214912517</v>
      </c>
      <c r="G18" s="4">
        <v>84901297.399999991</v>
      </c>
      <c r="H18" s="4">
        <v>145627283.44999999</v>
      </c>
      <c r="I18" s="4">
        <v>532795682.28999996</v>
      </c>
      <c r="J18" s="4">
        <v>141842595.94999999</v>
      </c>
      <c r="K18" s="4">
        <v>3158051463.9700003</v>
      </c>
    </row>
    <row r="19" spans="1:12" x14ac:dyDescent="0.25">
      <c r="A19" s="3" t="s">
        <v>78</v>
      </c>
      <c r="B19" s="4">
        <f t="shared" si="1"/>
        <v>18178685845.459999</v>
      </c>
      <c r="C19" s="4">
        <v>0</v>
      </c>
      <c r="D19" s="6">
        <v>922420796</v>
      </c>
      <c r="E19" s="13">
        <v>1653479421.4799993</v>
      </c>
      <c r="F19" s="4">
        <v>456703456</v>
      </c>
      <c r="G19" s="6">
        <v>286197411</v>
      </c>
      <c r="H19" s="4">
        <v>311970000</v>
      </c>
      <c r="I19" s="4">
        <v>2394449987.2999997</v>
      </c>
      <c r="J19" s="4">
        <v>170000010</v>
      </c>
      <c r="K19" s="4">
        <v>11983464763.679998</v>
      </c>
    </row>
    <row r="20" spans="1:12" x14ac:dyDescent="0.25">
      <c r="A20" s="3" t="s">
        <v>109</v>
      </c>
      <c r="B20" s="51">
        <f>C20+D20+E20+F20+I20</f>
        <v>1110497919.29</v>
      </c>
      <c r="C20" s="56">
        <f>C18</f>
        <v>0</v>
      </c>
      <c r="D20" s="56">
        <f>D18</f>
        <v>362789720</v>
      </c>
      <c r="E20" s="56">
        <f t="shared" ref="E20:J20" si="2">E18</f>
        <v>0</v>
      </c>
      <c r="F20" s="56">
        <f t="shared" si="2"/>
        <v>214912517</v>
      </c>
      <c r="G20" s="56">
        <f t="shared" si="2"/>
        <v>84901297.399999991</v>
      </c>
      <c r="H20" s="56">
        <f t="shared" si="2"/>
        <v>145627283.44999999</v>
      </c>
      <c r="I20" s="56">
        <f t="shared" si="2"/>
        <v>532795682.28999996</v>
      </c>
      <c r="J20" s="56">
        <f t="shared" si="2"/>
        <v>141842595.94999999</v>
      </c>
      <c r="K20" s="24"/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107</v>
      </c>
      <c r="B23" s="13">
        <f>B17</f>
        <v>4140037573.8000002</v>
      </c>
      <c r="C23" s="13"/>
    </row>
    <row r="24" spans="1:12" x14ac:dyDescent="0.25">
      <c r="A24" s="3" t="s">
        <v>108</v>
      </c>
      <c r="B24" s="13">
        <v>4913424266.2299995</v>
      </c>
      <c r="C24" s="13"/>
    </row>
    <row r="26" spans="1:12" x14ac:dyDescent="0.25">
      <c r="A26" t="s">
        <v>7</v>
      </c>
    </row>
    <row r="27" spans="1:12" x14ac:dyDescent="0.25">
      <c r="A27" s="3" t="s">
        <v>50</v>
      </c>
      <c r="B27" s="15">
        <v>1.62</v>
      </c>
      <c r="C27" s="15">
        <v>1.62</v>
      </c>
      <c r="D27" s="15">
        <v>1.62</v>
      </c>
      <c r="E27" s="15">
        <v>1.62</v>
      </c>
      <c r="F27" s="15">
        <v>1.62</v>
      </c>
      <c r="G27" s="15">
        <v>1.62</v>
      </c>
      <c r="H27" s="15">
        <v>1.62</v>
      </c>
      <c r="I27" s="15">
        <v>1.62</v>
      </c>
      <c r="J27" s="15">
        <v>1.62</v>
      </c>
      <c r="K27" s="15">
        <v>1.62</v>
      </c>
    </row>
    <row r="28" spans="1:12" x14ac:dyDescent="0.25">
      <c r="A28" s="3" t="s">
        <v>110</v>
      </c>
      <c r="B28" s="15">
        <v>1.71</v>
      </c>
      <c r="C28" s="15">
        <v>1.71</v>
      </c>
      <c r="D28" s="15">
        <v>1.71</v>
      </c>
      <c r="E28" s="15">
        <v>1.71</v>
      </c>
      <c r="F28" s="15">
        <v>1.71</v>
      </c>
      <c r="G28" s="15">
        <v>1.71</v>
      </c>
      <c r="H28" s="15">
        <v>1.71</v>
      </c>
      <c r="I28" s="15">
        <v>1.71</v>
      </c>
      <c r="J28" s="15">
        <v>1.71</v>
      </c>
      <c r="K28" s="15">
        <v>1.71</v>
      </c>
    </row>
    <row r="29" spans="1:12" x14ac:dyDescent="0.25">
      <c r="A29" s="3" t="s">
        <v>8</v>
      </c>
      <c r="B29" s="19" t="s">
        <v>70</v>
      </c>
      <c r="C29" s="19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 t="s">
        <v>70</v>
      </c>
    </row>
    <row r="31" spans="1:12" x14ac:dyDescent="0.25">
      <c r="A31" s="3" t="s">
        <v>9</v>
      </c>
    </row>
    <row r="32" spans="1:12" x14ac:dyDescent="0.25">
      <c r="A32" s="3" t="s">
        <v>51</v>
      </c>
      <c r="B32" s="22">
        <f>B16/B27</f>
        <v>2358021982.5864196</v>
      </c>
      <c r="C32" s="22">
        <f>C16/C27</f>
        <v>16901162.345679011</v>
      </c>
      <c r="D32" s="22">
        <f t="shared" ref="D32:K32" si="3">D16/D27</f>
        <v>200929149.07407406</v>
      </c>
      <c r="E32" s="22">
        <f>E16/E27</f>
        <v>164353649.38271603</v>
      </c>
      <c r="F32" s="22">
        <f t="shared" si="3"/>
        <v>97695778.858024687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1878142242.9259257</v>
      </c>
    </row>
    <row r="33" spans="1:11" x14ac:dyDescent="0.25">
      <c r="A33" s="3" t="s">
        <v>111</v>
      </c>
      <c r="B33" s="22">
        <f>B18/B28</f>
        <v>2713988631.6140356</v>
      </c>
      <c r="C33" s="22">
        <f>C18/C28</f>
        <v>0</v>
      </c>
      <c r="D33" s="22">
        <f t="shared" ref="D33:K33" si="4">D18/D28</f>
        <v>212157730.99415204</v>
      </c>
      <c r="E33" s="22">
        <f>E18/E28</f>
        <v>0</v>
      </c>
      <c r="F33" s="22">
        <f t="shared" si="4"/>
        <v>125679834.50292398</v>
      </c>
      <c r="G33" s="22">
        <f t="shared" si="4"/>
        <v>49649881.520467833</v>
      </c>
      <c r="H33" s="22">
        <f t="shared" si="4"/>
        <v>85162154.064327478</v>
      </c>
      <c r="I33" s="22">
        <f t="shared" si="4"/>
        <v>311576422.39181286</v>
      </c>
      <c r="J33" s="22">
        <f t="shared" si="4"/>
        <v>82948886.520467833</v>
      </c>
      <c r="K33" s="22">
        <f t="shared" si="4"/>
        <v>1846813721.6198833</v>
      </c>
    </row>
    <row r="34" spans="1:11" x14ac:dyDescent="0.25">
      <c r="A34" s="3" t="s">
        <v>52</v>
      </c>
      <c r="B34" s="14">
        <f>B32/B10</f>
        <v>475439.609366171</v>
      </c>
      <c r="C34" s="14">
        <f>C32/C10</f>
        <v>21714.555476247122</v>
      </c>
      <c r="D34" s="14">
        <f t="shared" ref="D34:K34" si="5">D32/D10</f>
        <v>120340.87586788225</v>
      </c>
      <c r="E34" s="14">
        <f>E32/E10</f>
        <v>97040.139371806348</v>
      </c>
      <c r="F34" s="14">
        <f t="shared" si="5"/>
        <v>119432.49249147272</v>
      </c>
      <c r="G34" s="14" t="e">
        <f t="shared" si="5"/>
        <v>#DIV/0!</v>
      </c>
      <c r="H34" s="14" t="e">
        <f t="shared" si="5"/>
        <v>#DIV/0!</v>
      </c>
      <c r="I34" s="14" t="e">
        <f t="shared" si="5"/>
        <v>#DIV/0!</v>
      </c>
      <c r="J34" s="14" t="e">
        <f t="shared" si="5"/>
        <v>#DIV/0!</v>
      </c>
      <c r="K34" s="14" t="e">
        <f t="shared" si="5"/>
        <v>#DIV/0!</v>
      </c>
    </row>
    <row r="35" spans="1:11" x14ac:dyDescent="0.25">
      <c r="A35" s="3" t="s">
        <v>112</v>
      </c>
      <c r="B35" s="6">
        <f>B33/B12</f>
        <v>273018.77455710905</v>
      </c>
      <c r="C35" s="6" t="e">
        <f>C33/C12</f>
        <v>#DIV/0!</v>
      </c>
      <c r="D35" s="6">
        <f t="shared" ref="D35:K35" si="6">D33/D12</f>
        <v>78644.902135482043</v>
      </c>
      <c r="E35" s="6">
        <f>E33/E12</f>
        <v>0</v>
      </c>
      <c r="F35" s="6">
        <f t="shared" si="6"/>
        <v>149145.37322340664</v>
      </c>
      <c r="G35" s="6">
        <f t="shared" si="6"/>
        <v>13204.755723528679</v>
      </c>
      <c r="H35" s="6">
        <f t="shared" si="6"/>
        <v>93073.392420030024</v>
      </c>
      <c r="I35" s="6" t="e">
        <f t="shared" si="6"/>
        <v>#DIV/0!</v>
      </c>
      <c r="J35" s="6" t="e">
        <f t="shared" si="6"/>
        <v>#DIV/0!</v>
      </c>
      <c r="K35" s="6" t="e">
        <f t="shared" si="6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69</v>
      </c>
      <c r="C40" s="23" t="s">
        <v>69</v>
      </c>
      <c r="D40" s="23" t="s">
        <v>69</v>
      </c>
      <c r="E40" s="23" t="s">
        <v>69</v>
      </c>
      <c r="F40" s="23" t="s">
        <v>69</v>
      </c>
      <c r="G40" s="23" t="s">
        <v>69</v>
      </c>
      <c r="H40" s="23" t="s">
        <v>69</v>
      </c>
      <c r="I40" s="23" t="s">
        <v>69</v>
      </c>
      <c r="J40" s="23" t="s">
        <v>69</v>
      </c>
      <c r="K40" s="23" t="s">
        <v>69</v>
      </c>
    </row>
    <row r="41" spans="1:11" x14ac:dyDescent="0.25">
      <c r="A41" t="s">
        <v>13</v>
      </c>
      <c r="B41" s="23" t="s">
        <v>69</v>
      </c>
      <c r="C41" s="23" t="s">
        <v>69</v>
      </c>
      <c r="D41" s="23" t="s">
        <v>69</v>
      </c>
      <c r="E41" s="23" t="s">
        <v>69</v>
      </c>
      <c r="F41" s="23" t="s">
        <v>69</v>
      </c>
      <c r="G41" s="23" t="s">
        <v>69</v>
      </c>
      <c r="H41" s="23" t="s">
        <v>69</v>
      </c>
      <c r="I41" s="23" t="s">
        <v>69</v>
      </c>
      <c r="J41" s="23" t="s">
        <v>69</v>
      </c>
      <c r="K41" s="23" t="s">
        <v>69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88.700514559352797</v>
      </c>
      <c r="C44" s="7" t="e">
        <f>C12/C11*100</f>
        <v>#DIV/0!</v>
      </c>
      <c r="D44" s="7" t="e">
        <f t="shared" ref="D44:K44" si="7">D12/D11*100</f>
        <v>#DIV/0!</v>
      </c>
      <c r="E44" s="7">
        <f t="shared" ref="E44" si="8">E12/E11*100</f>
        <v>2654.3589743589741</v>
      </c>
      <c r="F44" s="7" t="e">
        <f t="shared" si="7"/>
        <v>#DIV/0!</v>
      </c>
      <c r="G44" s="7">
        <f t="shared" si="7"/>
        <v>60.256410256410255</v>
      </c>
      <c r="H44" s="7">
        <f t="shared" si="7"/>
        <v>36.6</v>
      </c>
      <c r="I44" s="7">
        <f t="shared" si="7"/>
        <v>0</v>
      </c>
      <c r="J44" s="7" t="e">
        <f t="shared" si="7"/>
        <v>#DIV/0!</v>
      </c>
      <c r="K44" s="7" t="e">
        <f t="shared" si="7"/>
        <v>#DIV/0!</v>
      </c>
    </row>
    <row r="45" spans="1:11" x14ac:dyDescent="0.25">
      <c r="A45" t="s">
        <v>16</v>
      </c>
      <c r="B45" s="7">
        <f>B18/B17*100</f>
        <v>112.09851305287204</v>
      </c>
      <c r="C45" s="7" t="e">
        <f>C18/C17*100</f>
        <v>#DIV/0!</v>
      </c>
      <c r="D45" s="7" t="e">
        <f t="shared" ref="D45:K45" si="9">D18/D17*100</f>
        <v>#DIV/0!</v>
      </c>
      <c r="E45" s="7">
        <f t="shared" ref="E45" si="10">E18/E17*100</f>
        <v>0</v>
      </c>
      <c r="F45" s="7" t="e">
        <f t="shared" si="9"/>
        <v>#DIV/0!</v>
      </c>
      <c r="G45" s="7">
        <f t="shared" si="9"/>
        <v>97.815472168864574</v>
      </c>
      <c r="H45" s="7">
        <f t="shared" si="9"/>
        <v>70.019849721127031</v>
      </c>
      <c r="I45" s="7">
        <f t="shared" si="9"/>
        <v>74.170919531078312</v>
      </c>
      <c r="J45" s="7" t="e">
        <f t="shared" si="9"/>
        <v>#DIV/0!</v>
      </c>
      <c r="K45" s="7">
        <f t="shared" si="9"/>
        <v>105.41363541340927</v>
      </c>
    </row>
    <row r="46" spans="1:11" x14ac:dyDescent="0.25">
      <c r="A46" t="s">
        <v>17</v>
      </c>
      <c r="B46" s="7">
        <f>AVERAGE(B44:B45)</f>
        <v>100.39951380611242</v>
      </c>
      <c r="C46" s="7" t="e">
        <f>AVERAGE(C44:C45)</f>
        <v>#DIV/0!</v>
      </c>
      <c r="D46" s="7" t="e">
        <f t="shared" ref="D46:K46" si="11">AVERAGE(D44:D45)</f>
        <v>#DIV/0!</v>
      </c>
      <c r="E46" s="7">
        <f t="shared" ref="E46" si="12">AVERAGE(E44:E45)</f>
        <v>1327.1794871794871</v>
      </c>
      <c r="F46" s="7" t="e">
        <f t="shared" si="11"/>
        <v>#DIV/0!</v>
      </c>
      <c r="G46" s="7">
        <f t="shared" si="11"/>
        <v>79.035941212637411</v>
      </c>
      <c r="H46" s="7">
        <f t="shared" si="11"/>
        <v>53.309924860563513</v>
      </c>
      <c r="I46" s="7">
        <f t="shared" si="11"/>
        <v>37.085459765539156</v>
      </c>
      <c r="J46" s="7" t="e">
        <f t="shared" si="11"/>
        <v>#DIV/0!</v>
      </c>
      <c r="K46" s="7" t="e">
        <f t="shared" si="11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4">
        <f>B12/B13*100</f>
        <v>89.161957724160629</v>
      </c>
      <c r="C49" s="34" t="e">
        <f t="shared" ref="C49:K49" si="13">C12/C13*100</f>
        <v>#DIV/0!</v>
      </c>
      <c r="D49" s="34">
        <f t="shared" si="13"/>
        <v>239.57963291888689</v>
      </c>
      <c r="E49" s="34">
        <f t="shared" si="13"/>
        <v>345.06666666666661</v>
      </c>
      <c r="F49" s="34">
        <f t="shared" si="13"/>
        <v>151.28665469778576</v>
      </c>
      <c r="G49" s="34">
        <f t="shared" si="13"/>
        <v>62.385929981748802</v>
      </c>
      <c r="H49" s="34">
        <f t="shared" si="13"/>
        <v>97.652081109925291</v>
      </c>
      <c r="I49" s="34">
        <f t="shared" si="13"/>
        <v>0</v>
      </c>
      <c r="J49" s="34" t="e">
        <f t="shared" si="13"/>
        <v>#DIV/0!</v>
      </c>
      <c r="K49" s="34" t="e">
        <f t="shared" si="13"/>
        <v>#DIV/0!</v>
      </c>
      <c r="L49" s="24"/>
    </row>
    <row r="50" spans="1:12" x14ac:dyDescent="0.25">
      <c r="A50" t="s">
        <v>20</v>
      </c>
      <c r="B50" s="7">
        <f>B18/B19*100</f>
        <v>25.529461257613619</v>
      </c>
      <c r="C50" s="7" t="e">
        <f>C18/C19*100</f>
        <v>#DIV/0!</v>
      </c>
      <c r="D50" s="7">
        <f t="shared" ref="D50:K50" si="14">D18/D19*100</f>
        <v>39.330175726003468</v>
      </c>
      <c r="E50" s="7">
        <f>E18/E19*100</f>
        <v>0</v>
      </c>
      <c r="F50" s="7">
        <f t="shared" si="14"/>
        <v>47.057344142366205</v>
      </c>
      <c r="G50" s="7">
        <f t="shared" si="14"/>
        <v>29.665291905802739</v>
      </c>
      <c r="H50" s="7">
        <f t="shared" si="14"/>
        <v>46.679899814084685</v>
      </c>
      <c r="I50" s="7">
        <f t="shared" si="14"/>
        <v>22.251276289582663</v>
      </c>
      <c r="J50" s="7">
        <f t="shared" si="14"/>
        <v>83.436816239010795</v>
      </c>
      <c r="K50" s="7">
        <f t="shared" si="14"/>
        <v>26.353408853352317</v>
      </c>
    </row>
    <row r="51" spans="1:12" x14ac:dyDescent="0.25">
      <c r="A51" t="s">
        <v>21</v>
      </c>
      <c r="B51" s="7">
        <f>(B49+B50)/2</f>
        <v>57.345709490887124</v>
      </c>
      <c r="C51" s="7" t="e">
        <f>(C49+C50)/2</f>
        <v>#DIV/0!</v>
      </c>
      <c r="D51" s="7">
        <f t="shared" ref="D51:K51" si="15">(D49+D50)/2</f>
        <v>139.45490432244517</v>
      </c>
      <c r="E51" s="7">
        <f>(E49+E50)/2</f>
        <v>172.5333333333333</v>
      </c>
      <c r="F51" s="7">
        <f t="shared" si="15"/>
        <v>99.171999420075991</v>
      </c>
      <c r="G51" s="7">
        <f t="shared" si="15"/>
        <v>46.025610943775774</v>
      </c>
      <c r="H51" s="7">
        <f t="shared" si="15"/>
        <v>72.165990462004984</v>
      </c>
      <c r="I51" s="7">
        <f t="shared" si="15"/>
        <v>11.125638144791331</v>
      </c>
      <c r="J51" s="7" t="e">
        <f t="shared" si="15"/>
        <v>#DIV/0!</v>
      </c>
      <c r="K51" s="7" t="e">
        <f t="shared" si="15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6">B20/B18*100</f>
        <v>23.928397500422694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100.43013643390015</v>
      </c>
      <c r="C57" s="7">
        <f>((C12/C10)-1)*100</f>
        <v>-100</v>
      </c>
      <c r="D57" s="7">
        <f t="shared" ref="D57:K57" si="17">((D12/D10)-1)*100</f>
        <v>61.56917548412855</v>
      </c>
      <c r="E57" s="7">
        <f>((E12/E10)-1)*100</f>
        <v>1.8697106868726499</v>
      </c>
      <c r="F57" s="7">
        <f t="shared" si="17"/>
        <v>3.0154849225753733</v>
      </c>
      <c r="G57" s="7" t="e">
        <f t="shared" si="17"/>
        <v>#DIV/0!</v>
      </c>
      <c r="H57" s="7" t="e">
        <f t="shared" si="17"/>
        <v>#DIV/0!</v>
      </c>
      <c r="I57" s="7" t="e">
        <f t="shared" si="17"/>
        <v>#DIV/0!</v>
      </c>
      <c r="J57" s="7" t="e">
        <f t="shared" si="17"/>
        <v>#DIV/0!</v>
      </c>
      <c r="K57" s="7" t="e">
        <f t="shared" si="17"/>
        <v>#DIV/0!</v>
      </c>
    </row>
    <row r="58" spans="1:12" x14ac:dyDescent="0.25">
      <c r="A58" t="s">
        <v>25</v>
      </c>
      <c r="B58" s="7">
        <f>((B33/B32)-1)*100</f>
        <v>15.095985179797623</v>
      </c>
      <c r="C58" s="7">
        <f>((C33/C32)-1)*100</f>
        <v>-100</v>
      </c>
      <c r="D58" s="7">
        <f t="shared" ref="D58:K58" si="18">((D33/D32)-1)*100</f>
        <v>5.5883290064292712</v>
      </c>
      <c r="E58" s="7">
        <f t="shared" si="18"/>
        <v>-100</v>
      </c>
      <c r="F58" s="7">
        <f t="shared" si="18"/>
        <v>28.644078558979302</v>
      </c>
      <c r="G58" s="7" t="e">
        <f t="shared" si="18"/>
        <v>#DIV/0!</v>
      </c>
      <c r="H58" s="7" t="e">
        <f t="shared" si="18"/>
        <v>#DIV/0!</v>
      </c>
      <c r="I58" s="7" t="e">
        <f t="shared" si="18"/>
        <v>#DIV/0!</v>
      </c>
      <c r="J58" s="7" t="e">
        <f t="shared" si="18"/>
        <v>#DIV/0!</v>
      </c>
      <c r="K58" s="7">
        <f t="shared" si="18"/>
        <v>-1.6680590314201216</v>
      </c>
      <c r="L58" s="24"/>
    </row>
    <row r="59" spans="1:12" x14ac:dyDescent="0.25">
      <c r="A59" t="s">
        <v>26</v>
      </c>
      <c r="B59" s="7">
        <f t="shared" ref="B59:K59" si="19">((B35/B34)-1)*100</f>
        <v>-42.575509238474652</v>
      </c>
      <c r="C59" s="7" t="e">
        <f t="shared" si="19"/>
        <v>#DIV/0!</v>
      </c>
      <c r="D59" s="7">
        <f t="shared" si="19"/>
        <v>-34.648221921017644</v>
      </c>
      <c r="E59" s="7">
        <f t="shared" si="19"/>
        <v>-100</v>
      </c>
      <c r="F59" s="7">
        <f t="shared" si="19"/>
        <v>24.87838955052819</v>
      </c>
      <c r="G59" s="7" t="e">
        <f t="shared" si="19"/>
        <v>#DIV/0!</v>
      </c>
      <c r="H59" s="7" t="e">
        <f t="shared" si="19"/>
        <v>#DIV/0!</v>
      </c>
      <c r="I59" s="7" t="e">
        <f t="shared" si="19"/>
        <v>#DIV/0!</v>
      </c>
      <c r="J59" s="7" t="e">
        <f t="shared" si="19"/>
        <v>#DIV/0!</v>
      </c>
      <c r="K59" s="7" t="e">
        <f t="shared" si="19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28</v>
      </c>
      <c r="B62" s="4">
        <f>B17/(B11*3)</f>
        <v>123138.44245560811</v>
      </c>
      <c r="C62" s="4" t="e">
        <f>C17/(C11*3)</f>
        <v>#DIV/0!</v>
      </c>
      <c r="D62" s="4" t="e">
        <f t="shared" ref="D62:K63" si="20">D17/(D11*3)</f>
        <v>#DIV/0!</v>
      </c>
      <c r="E62" s="4">
        <f t="shared" si="20"/>
        <v>672097.24000000011</v>
      </c>
      <c r="F62" s="4" t="e">
        <f t="shared" si="20"/>
        <v>#DIV/0!</v>
      </c>
      <c r="G62" s="4">
        <f t="shared" si="20"/>
        <v>4636.6138354700852</v>
      </c>
      <c r="H62" s="4">
        <f t="shared" si="20"/>
        <v>27730.666666666668</v>
      </c>
      <c r="I62" s="4">
        <f t="shared" si="20"/>
        <v>99685.68</v>
      </c>
      <c r="J62" s="4" t="e">
        <f t="shared" si="20"/>
        <v>#DIV/0!</v>
      </c>
      <c r="K62" s="4" t="e">
        <f t="shared" si="20"/>
        <v>#DIV/0!</v>
      </c>
    </row>
    <row r="63" spans="1:12" x14ac:dyDescent="0.25">
      <c r="A63" t="s">
        <v>29</v>
      </c>
      <c r="B63" s="4">
        <f>B18/(B12*3)</f>
        <v>155620.70149755213</v>
      </c>
      <c r="C63" s="4" t="e">
        <f>C18/(C12*3)</f>
        <v>#DIV/0!</v>
      </c>
      <c r="D63" s="4">
        <f t="shared" si="20"/>
        <v>44827.59421722476</v>
      </c>
      <c r="E63" s="4">
        <f t="shared" si="20"/>
        <v>0</v>
      </c>
      <c r="F63" s="4">
        <f t="shared" si="20"/>
        <v>85012.862737341769</v>
      </c>
      <c r="G63" s="4">
        <f t="shared" si="20"/>
        <v>7526.7107624113469</v>
      </c>
      <c r="H63" s="4">
        <f t="shared" si="20"/>
        <v>53051.833679417119</v>
      </c>
      <c r="I63" s="4" t="e">
        <f t="shared" si="20"/>
        <v>#DIV/0!</v>
      </c>
      <c r="J63" s="4" t="e">
        <f t="shared" si="20"/>
        <v>#DIV/0!</v>
      </c>
      <c r="K63" s="4" t="e">
        <f t="shared" si="20"/>
        <v>#DIV/0!</v>
      </c>
    </row>
    <row r="64" spans="1:12" x14ac:dyDescent="0.25">
      <c r="A64" t="s">
        <v>30</v>
      </c>
      <c r="B64" s="4">
        <f>(B62/B63)*B46</f>
        <v>79.443413597383596</v>
      </c>
      <c r="C64" s="4" t="e">
        <f>(C62/C63)*C46</f>
        <v>#DIV/0!</v>
      </c>
      <c r="D64" s="4" t="e">
        <f t="shared" ref="D64:K64" si="21">(D62/D63)*D46</f>
        <v>#DIV/0!</v>
      </c>
      <c r="E64" s="4" t="e">
        <f>(E62/E63)*E46</f>
        <v>#DIV/0!</v>
      </c>
      <c r="F64" s="4" t="e">
        <f t="shared" si="21"/>
        <v>#DIV/0!</v>
      </c>
      <c r="G64" s="4">
        <f t="shared" si="21"/>
        <v>48.687819964601871</v>
      </c>
      <c r="H64" s="4">
        <f t="shared" si="21"/>
        <v>27.865573229128312</v>
      </c>
      <c r="I64" s="4" t="e">
        <f t="shared" si="21"/>
        <v>#DIV/0!</v>
      </c>
      <c r="J64" s="4" t="e">
        <f t="shared" si="21"/>
        <v>#DIV/0!</v>
      </c>
      <c r="K64" s="4" t="e">
        <f t="shared" si="21"/>
        <v>#DIV/0!</v>
      </c>
    </row>
    <row r="65" spans="1:11" x14ac:dyDescent="0.25">
      <c r="A65" t="s">
        <v>67</v>
      </c>
      <c r="B65" s="4">
        <f>B17/B11</f>
        <v>369415.32736682432</v>
      </c>
      <c r="C65" s="4" t="e">
        <f>C17/C11</f>
        <v>#DIV/0!</v>
      </c>
      <c r="D65" s="4" t="e">
        <f t="shared" ref="D65:K66" si="22">D17/D11</f>
        <v>#DIV/0!</v>
      </c>
      <c r="E65" s="4">
        <f t="shared" si="22"/>
        <v>2016291.7200000002</v>
      </c>
      <c r="F65" s="4" t="e">
        <f t="shared" si="22"/>
        <v>#DIV/0!</v>
      </c>
      <c r="G65" s="4">
        <f t="shared" si="22"/>
        <v>13909.841506410256</v>
      </c>
      <c r="H65" s="4">
        <f t="shared" si="22"/>
        <v>83192</v>
      </c>
      <c r="I65" s="4">
        <f t="shared" si="22"/>
        <v>299057.03999999998</v>
      </c>
      <c r="J65" s="4" t="e">
        <f t="shared" si="22"/>
        <v>#DIV/0!</v>
      </c>
      <c r="K65" s="4" t="e">
        <f t="shared" si="22"/>
        <v>#DIV/0!</v>
      </c>
    </row>
    <row r="66" spans="1:11" x14ac:dyDescent="0.25">
      <c r="A66" t="s">
        <v>68</v>
      </c>
      <c r="B66" s="4">
        <f>B18/B12</f>
        <v>466862.10449265642</v>
      </c>
      <c r="C66" s="4" t="e">
        <f>C18/C12</f>
        <v>#DIV/0!</v>
      </c>
      <c r="D66" s="4">
        <f t="shared" si="22"/>
        <v>134482.78265167429</v>
      </c>
      <c r="E66" s="4">
        <f t="shared" si="22"/>
        <v>0</v>
      </c>
      <c r="F66" s="4">
        <f t="shared" si="22"/>
        <v>255038.58821202532</v>
      </c>
      <c r="G66" s="4">
        <f t="shared" si="22"/>
        <v>22580.132287234039</v>
      </c>
      <c r="H66" s="4">
        <f t="shared" si="22"/>
        <v>159155.50103825136</v>
      </c>
      <c r="I66" s="4" t="e">
        <f t="shared" si="22"/>
        <v>#DIV/0!</v>
      </c>
      <c r="J66" s="4" t="e">
        <f t="shared" si="22"/>
        <v>#DIV/0!</v>
      </c>
      <c r="K66" s="4" t="e">
        <f t="shared" si="22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118.68066843944447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94.453894241478011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83</v>
      </c>
    </row>
    <row r="75" spans="1:11" x14ac:dyDescent="0.25">
      <c r="A75" t="s">
        <v>84</v>
      </c>
      <c r="B75" s="10"/>
      <c r="C75" s="10"/>
      <c r="D75" s="10"/>
      <c r="E75" s="10"/>
      <c r="F75" s="10"/>
    </row>
    <row r="76" spans="1:11" x14ac:dyDescent="0.25">
      <c r="A76" t="s">
        <v>85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135</v>
      </c>
    </row>
  </sheetData>
  <mergeCells count="4">
    <mergeCell ref="A4:A5"/>
    <mergeCell ref="B4:B5"/>
    <mergeCell ref="D4:J4"/>
    <mergeCell ref="A2:K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zoomScale="90" zoomScaleNormal="90" workbookViewId="0">
      <selection activeCell="B49" sqref="B49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6.85546875" bestFit="1" customWidth="1"/>
    <col min="7" max="8" width="15.28515625" customWidth="1"/>
    <col min="9" max="9" width="13.5703125" customWidth="1"/>
    <col min="10" max="10" width="14.42578125" customWidth="1"/>
    <col min="11" max="11" width="17.42578125" customWidth="1"/>
  </cols>
  <sheetData>
    <row r="2" spans="1:17" ht="15.75" x14ac:dyDescent="0.25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17" x14ac:dyDescent="0.25">
      <c r="A4" s="58" t="s">
        <v>0</v>
      </c>
      <c r="B4" s="64" t="s">
        <v>1</v>
      </c>
      <c r="C4" s="31"/>
      <c r="D4" s="63" t="s">
        <v>2</v>
      </c>
      <c r="E4" s="63"/>
      <c r="F4" s="63"/>
      <c r="G4" s="63"/>
      <c r="H4" s="29"/>
      <c r="I4" s="28"/>
      <c r="J4" s="28"/>
      <c r="K4" s="31"/>
    </row>
    <row r="5" spans="1:17" ht="75.75" thickBot="1" x14ac:dyDescent="0.3">
      <c r="A5" s="59"/>
      <c r="B5" s="65"/>
      <c r="C5" s="32" t="s">
        <v>132</v>
      </c>
      <c r="D5" s="27" t="s">
        <v>86</v>
      </c>
      <c r="E5" s="27" t="s">
        <v>87</v>
      </c>
      <c r="F5" s="27" t="s">
        <v>88</v>
      </c>
      <c r="G5" s="27" t="s">
        <v>89</v>
      </c>
      <c r="H5" s="27" t="s">
        <v>90</v>
      </c>
      <c r="I5" s="27" t="s">
        <v>91</v>
      </c>
      <c r="J5" s="37" t="s">
        <v>140</v>
      </c>
      <c r="K5" s="27" t="s">
        <v>133</v>
      </c>
      <c r="Q5" s="44"/>
    </row>
    <row r="6" spans="1:17" ht="15.75" thickTop="1" x14ac:dyDescent="0.25"/>
    <row r="7" spans="1:17" x14ac:dyDescent="0.25">
      <c r="A7" s="2" t="s">
        <v>3</v>
      </c>
    </row>
    <row r="9" spans="1:17" x14ac:dyDescent="0.25">
      <c r="A9" t="s">
        <v>4</v>
      </c>
      <c r="L9" s="40"/>
    </row>
    <row r="10" spans="1:17" x14ac:dyDescent="0.25">
      <c r="A10" s="3" t="s">
        <v>53</v>
      </c>
      <c r="B10" s="50">
        <f>C10+D10+E10+F10+G10+H10+I10</f>
        <v>4689.333333333333</v>
      </c>
      <c r="C10" s="50">
        <f>(+'I Trimestre'!C10+'II trimestre'!C10)/2</f>
        <v>735.66666666666674</v>
      </c>
      <c r="D10" s="13">
        <f>(+'I Trimestre'!D10+'II trimestre'!D10)/2</f>
        <v>1654.1666666666665</v>
      </c>
      <c r="E10" s="13">
        <f>(+'I Trimestre'!E10+'II trimestre'!E10)/2</f>
        <v>1727.3333333333335</v>
      </c>
      <c r="F10" s="13">
        <f>(+'I Trimestre'!F10+'II trimestre'!F10)/2</f>
        <v>572.16666666666674</v>
      </c>
      <c r="G10" s="13">
        <f>(+'I Trimestre'!G10+'II trimestre'!G10)/2</f>
        <v>0</v>
      </c>
      <c r="H10" s="13">
        <f>(+'I Trimestre'!H10+'II trimestre'!H10)/2</f>
        <v>0</v>
      </c>
      <c r="I10" s="13">
        <f>(+'I Trimestre'!I10+'II trimestre'!I10)/2</f>
        <v>0</v>
      </c>
      <c r="J10" s="13">
        <f>(+'I Trimestre'!J10+'II trimestre'!J10)/2</f>
        <v>0</v>
      </c>
      <c r="L10" s="24"/>
    </row>
    <row r="11" spans="1:17" x14ac:dyDescent="0.25">
      <c r="A11" s="3" t="s">
        <v>114</v>
      </c>
      <c r="B11" s="50">
        <f t="shared" ref="B11:B13" si="0">C11+D11+E11+F11+G11+H11+I11</f>
        <v>10868.5</v>
      </c>
      <c r="C11" s="50">
        <f>(+'I Trimestre'!C11+'II trimestre'!C11)/2</f>
        <v>0</v>
      </c>
      <c r="D11" s="13">
        <f>(+'I Trimestre'!D11+'II trimestre'!D11)/2</f>
        <v>1683</v>
      </c>
      <c r="E11" s="13">
        <f>(+'I Trimestre'!E11+'II trimestre'!E11)/2</f>
        <v>935</v>
      </c>
      <c r="F11" s="13">
        <f>(+'I Trimestre'!F11+'II trimestre'!F11)/2</f>
        <v>836</v>
      </c>
      <c r="G11" s="13">
        <f>(+'I Trimestre'!G11+'II trimestre'!G11)/2</f>
        <v>5813.5</v>
      </c>
      <c r="H11" s="13">
        <f>(+'I Trimestre'!H11+'II trimestre'!H11)/2</f>
        <v>0</v>
      </c>
      <c r="I11" s="13">
        <f>(+'I Trimestre'!I11+'II trimestre'!I11)/2</f>
        <v>1601</v>
      </c>
      <c r="J11" s="13">
        <f>(+'I Trimestre'!J11+'II trimestre'!J11)/2</f>
        <v>0</v>
      </c>
      <c r="L11" s="24"/>
    </row>
    <row r="12" spans="1:17" x14ac:dyDescent="0.25">
      <c r="A12" s="3" t="s">
        <v>115</v>
      </c>
      <c r="B12" s="50">
        <f t="shared" si="0"/>
        <v>9232.3333333333339</v>
      </c>
      <c r="C12" s="50">
        <f>(+'I Trimestre'!C12+'II trimestre'!C12)/2</f>
        <v>0</v>
      </c>
      <c r="D12" s="13">
        <f>(+'I Trimestre'!D12+'II trimestre'!D12)/2</f>
        <v>2233.166666666667</v>
      </c>
      <c r="E12" s="13">
        <f>(+'I Trimestre'!E12+'II trimestre'!E12)/2</f>
        <v>1582.3333333333335</v>
      </c>
      <c r="F12" s="13">
        <f>(+'I Trimestre'!F12+'II trimestre'!F12)/2</f>
        <v>741.83333333333326</v>
      </c>
      <c r="G12" s="13">
        <f>(+'I Trimestre'!G12+'II trimestre'!G12)/2</f>
        <v>3760</v>
      </c>
      <c r="H12" s="13">
        <f>(+'I Trimestre'!H12+'II trimestre'!H12)/2</f>
        <v>915</v>
      </c>
      <c r="I12" s="13">
        <f>(+'I Trimestre'!I12+'II trimestre'!I12)/2</f>
        <v>0</v>
      </c>
      <c r="J12" s="13">
        <f>(+'I Trimestre'!J12+'II trimestre'!J12)/2</f>
        <v>0</v>
      </c>
      <c r="L12" s="24"/>
    </row>
    <row r="13" spans="1:17" s="44" customFormat="1" x14ac:dyDescent="0.25">
      <c r="A13" s="45" t="s">
        <v>78</v>
      </c>
      <c r="B13" s="50">
        <f t="shared" si="0"/>
        <v>11149</v>
      </c>
      <c r="C13" s="50">
        <f>(+'I Trimestre'!C13+'II trimestre'!C13)/2</f>
        <v>0</v>
      </c>
      <c r="D13" s="13">
        <f>+'II trimestre'!D13</f>
        <v>1126</v>
      </c>
      <c r="E13" s="13">
        <f>+'II trimestre'!E13</f>
        <v>500</v>
      </c>
      <c r="F13" s="13">
        <f>+'II trimestre'!F13</f>
        <v>557</v>
      </c>
      <c r="G13" s="13">
        <f>+'II trimestre'!G13</f>
        <v>6027</v>
      </c>
      <c r="H13" s="13">
        <f>+'II trimestre'!H13</f>
        <v>937</v>
      </c>
      <c r="I13" s="13">
        <f>+'II trimestre'!I13</f>
        <v>2002</v>
      </c>
      <c r="J13" s="13">
        <f>+'II trimestre'!J13</f>
        <v>0</v>
      </c>
      <c r="L13" s="25"/>
    </row>
    <row r="14" spans="1:17" x14ac:dyDescent="0.25">
      <c r="L14" s="41"/>
    </row>
    <row r="15" spans="1:17" x14ac:dyDescent="0.25">
      <c r="A15" s="5" t="s">
        <v>5</v>
      </c>
    </row>
    <row r="16" spans="1:17" x14ac:dyDescent="0.25">
      <c r="A16" s="3" t="s">
        <v>53</v>
      </c>
      <c r="B16" s="4">
        <f>SUM(C16:K16)</f>
        <v>7765015300.6700001</v>
      </c>
      <c r="C16" s="13">
        <f>+'I Trimestre'!C16+'II trimestre'!C16</f>
        <v>49371856.75</v>
      </c>
      <c r="D16" s="13">
        <f>+'I Trimestre'!D16+'II trimestre'!D16</f>
        <v>637123370.29999995</v>
      </c>
      <c r="E16" s="13">
        <f>+'I Trimestre'!E16+'II trimestre'!E16</f>
        <v>1790017642.0999999</v>
      </c>
      <c r="F16" s="13">
        <f>+'I Trimestre'!F16+'II trimestre'!F16</f>
        <v>216267502</v>
      </c>
      <c r="G16" s="13">
        <f>+'I Trimestre'!G16+'II trimestre'!G16</f>
        <v>0</v>
      </c>
      <c r="H16" s="13">
        <f>+'I Trimestre'!H16+'II trimestre'!H16</f>
        <v>0</v>
      </c>
      <c r="I16" s="13">
        <f>+'I Trimestre'!I16+'II trimestre'!I16</f>
        <v>0</v>
      </c>
      <c r="J16" s="13">
        <f>+'I Trimestre'!J16+'II trimestre'!J16</f>
        <v>0</v>
      </c>
      <c r="K16" s="13">
        <f>+'I Trimestre'!K16+'II trimestre'!K16</f>
        <v>5072234929.5200005</v>
      </c>
    </row>
    <row r="17" spans="1:13" x14ac:dyDescent="0.25">
      <c r="A17" s="3" t="s">
        <v>114</v>
      </c>
      <c r="B17" s="4">
        <f t="shared" ref="B17:B19" si="1">SUM(C17:K17)</f>
        <v>9508163611.1599998</v>
      </c>
      <c r="C17" s="13">
        <f>+'I Trimestre'!C17+'II trimestre'!C17</f>
        <v>0</v>
      </c>
      <c r="D17" s="13">
        <f>+'I Trimestre'!D17+'II trimestre'!D17</f>
        <v>689562126</v>
      </c>
      <c r="E17" s="13">
        <f>+'I Trimestre'!E17+'II trimestre'!E17</f>
        <v>1391361497.8800001</v>
      </c>
      <c r="F17" s="13">
        <f>+'I Trimestre'!F17+'II trimestre'!F17</f>
        <v>342527592</v>
      </c>
      <c r="G17" s="13">
        <f>+'I Trimestre'!G17+'II trimestre'!G17</f>
        <v>135200000</v>
      </c>
      <c r="H17" s="13">
        <f>+'I Trimestre'!H17+'II trimestre'!H17</f>
        <v>0</v>
      </c>
      <c r="I17" s="13">
        <f>+'I Trimestre'!I17+'II trimestre'!I17</f>
        <v>957780013.43999994</v>
      </c>
      <c r="J17" s="13">
        <f>+'I Trimestre'!J17+'II trimestre'!J17</f>
        <v>0</v>
      </c>
      <c r="K17" s="13">
        <f>+'I Trimestre'!K17+'II trimestre'!K17</f>
        <v>5991732381.8400002</v>
      </c>
    </row>
    <row r="18" spans="1:13" x14ac:dyDescent="0.25">
      <c r="A18" s="3" t="s">
        <v>115</v>
      </c>
      <c r="B18" s="4">
        <f t="shared" si="1"/>
        <v>8206306494.1300011</v>
      </c>
      <c r="C18" s="13">
        <f>+'I Trimestre'!C18+'II trimestre'!C18</f>
        <v>0</v>
      </c>
      <c r="D18" s="13">
        <f>+'I Trimestre'!D18+'II trimestre'!D18</f>
        <v>678697045</v>
      </c>
      <c r="E18" s="13">
        <f>+'I Trimestre'!E18+'II trimestre'!E18</f>
        <v>1209067627.25</v>
      </c>
      <c r="F18" s="13">
        <f>+'I Trimestre'!F18+'II trimestre'!F18</f>
        <v>313461755</v>
      </c>
      <c r="G18" s="13">
        <f>+'I Trimestre'!G18+'II trimestre'!G18</f>
        <v>6352981.2999999998</v>
      </c>
      <c r="H18" s="13">
        <f>+'I Trimestre'!H18+'II trimestre'!H18</f>
        <v>12760181.4</v>
      </c>
      <c r="I18" s="13">
        <f>+'I Trimestre'!I18+'II trimestre'!I18</f>
        <v>337428710</v>
      </c>
      <c r="J18" s="13">
        <f>+'I Trimestre'!J18+'II trimestre'!J18</f>
        <v>254470136.72</v>
      </c>
      <c r="K18" s="13">
        <f>+'I Trimestre'!K18+'II trimestre'!K18</f>
        <v>5394068057.460001</v>
      </c>
    </row>
    <row r="19" spans="1:13" x14ac:dyDescent="0.25">
      <c r="A19" s="3" t="s">
        <v>78</v>
      </c>
      <c r="B19" s="4">
        <f t="shared" si="1"/>
        <v>18178685845.459999</v>
      </c>
      <c r="C19" s="13">
        <f>+'II trimestre'!C19</f>
        <v>0</v>
      </c>
      <c r="D19" s="13">
        <f>+'II trimestre'!D19</f>
        <v>922420796</v>
      </c>
      <c r="E19" s="13">
        <f>+'II trimestre'!E19</f>
        <v>1653479421.4799993</v>
      </c>
      <c r="F19" s="13">
        <f>+'II trimestre'!F19</f>
        <v>456703456</v>
      </c>
      <c r="G19" s="13">
        <f>+'II trimestre'!G19</f>
        <v>286197411</v>
      </c>
      <c r="H19" s="13">
        <f>+'II trimestre'!H19</f>
        <v>311970000</v>
      </c>
      <c r="I19" s="13">
        <f>+'II trimestre'!I19</f>
        <v>2394449987.2999997</v>
      </c>
      <c r="J19" s="13">
        <f>+'II trimestre'!J19</f>
        <v>170000010</v>
      </c>
      <c r="K19" s="13">
        <f>+'II trimestre'!K19</f>
        <v>11983464763.679998</v>
      </c>
      <c r="L19" s="24"/>
    </row>
    <row r="20" spans="1:13" x14ac:dyDescent="0.25">
      <c r="A20" s="3" t="s">
        <v>116</v>
      </c>
      <c r="B20" s="51">
        <f>C20+D20+E20+F20+I20</f>
        <v>2538655137.25</v>
      </c>
      <c r="C20" s="50">
        <f>+'I Trimestre'!C20+'II trimestre'!C20</f>
        <v>0</v>
      </c>
      <c r="D20" s="50">
        <f t="shared" ref="D20:J20" si="2">D18</f>
        <v>678697045</v>
      </c>
      <c r="E20" s="50">
        <f t="shared" si="2"/>
        <v>1209067627.25</v>
      </c>
      <c r="F20" s="50">
        <f t="shared" si="2"/>
        <v>313461755</v>
      </c>
      <c r="G20" s="50">
        <f t="shared" si="2"/>
        <v>6352981.2999999998</v>
      </c>
      <c r="H20" s="50">
        <f t="shared" si="2"/>
        <v>12760181.4</v>
      </c>
      <c r="I20" s="50">
        <f t="shared" si="2"/>
        <v>337428710</v>
      </c>
      <c r="J20" s="50">
        <f t="shared" si="2"/>
        <v>254470136.72</v>
      </c>
      <c r="K20" s="24"/>
      <c r="L20" s="24"/>
    </row>
    <row r="21" spans="1:13" x14ac:dyDescent="0.25">
      <c r="B21" s="4"/>
      <c r="C21" s="4"/>
      <c r="D21" s="4"/>
      <c r="E21" s="4"/>
      <c r="F21" s="4"/>
      <c r="G21" s="4"/>
      <c r="H21" s="4"/>
    </row>
    <row r="22" spans="1:13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3" x14ac:dyDescent="0.25">
      <c r="A23" s="3" t="s">
        <v>114</v>
      </c>
      <c r="B23" s="13">
        <f>'I Trimestre'!B23+'II trimestre'!B23</f>
        <v>9508163611.1599998</v>
      </c>
      <c r="C23" s="13"/>
    </row>
    <row r="24" spans="1:13" x14ac:dyDescent="0.25">
      <c r="A24" s="3" t="s">
        <v>115</v>
      </c>
      <c r="B24" s="13">
        <f>'I Trimestre'!B24+'II trimestre'!B24</f>
        <v>6785788598.5700006</v>
      </c>
      <c r="C24" s="13"/>
    </row>
    <row r="26" spans="1:13" x14ac:dyDescent="0.25">
      <c r="A26" t="s">
        <v>7</v>
      </c>
    </row>
    <row r="27" spans="1:13" x14ac:dyDescent="0.25">
      <c r="A27" s="3" t="s">
        <v>54</v>
      </c>
      <c r="B27" s="16">
        <v>1.61</v>
      </c>
      <c r="C27" s="16">
        <v>1.61</v>
      </c>
      <c r="D27" s="16">
        <v>1.61</v>
      </c>
      <c r="E27" s="16">
        <v>1.61</v>
      </c>
      <c r="F27" s="16">
        <v>1.61</v>
      </c>
      <c r="G27" s="16">
        <v>1.61</v>
      </c>
      <c r="H27" s="16">
        <v>1.61</v>
      </c>
      <c r="I27" s="16">
        <v>1.61</v>
      </c>
      <c r="J27" s="16">
        <v>1.61</v>
      </c>
      <c r="K27" s="16">
        <v>1.61</v>
      </c>
    </row>
    <row r="28" spans="1:13" x14ac:dyDescent="0.25">
      <c r="A28" s="3" t="s">
        <v>117</v>
      </c>
      <c r="B28" s="11">
        <v>1.67</v>
      </c>
      <c r="C28" s="11">
        <v>1.67</v>
      </c>
      <c r="D28" s="11">
        <v>1.67</v>
      </c>
      <c r="E28" s="11">
        <v>1.67</v>
      </c>
      <c r="F28" s="11">
        <v>1.67</v>
      </c>
      <c r="G28" s="11">
        <v>1.67</v>
      </c>
      <c r="H28" s="11">
        <v>1.67</v>
      </c>
      <c r="I28" s="11">
        <v>1.67</v>
      </c>
      <c r="J28" s="11">
        <v>1.67</v>
      </c>
      <c r="K28" s="11">
        <v>1.67</v>
      </c>
    </row>
    <row r="29" spans="1:13" x14ac:dyDescent="0.25">
      <c r="A29" s="3" t="s">
        <v>8</v>
      </c>
      <c r="B29" s="19" t="s">
        <v>70</v>
      </c>
      <c r="C29" s="19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 t="s">
        <v>70</v>
      </c>
      <c r="L29" s="19"/>
      <c r="M29" s="19"/>
    </row>
    <row r="31" spans="1:13" x14ac:dyDescent="0.25">
      <c r="A31" s="3" t="s">
        <v>9</v>
      </c>
    </row>
    <row r="32" spans="1:13" x14ac:dyDescent="0.25">
      <c r="A32" s="3" t="s">
        <v>55</v>
      </c>
      <c r="B32" s="22">
        <f>B16/B27</f>
        <v>4822990869.9813662</v>
      </c>
      <c r="C32" s="22">
        <f>C16/C27</f>
        <v>30665749.534161489</v>
      </c>
      <c r="D32" s="22">
        <f t="shared" ref="D32:F32" si="3">D16/D27</f>
        <v>395728801.4285714</v>
      </c>
      <c r="E32" s="22">
        <f>E16/E27</f>
        <v>1111812200.0621116</v>
      </c>
      <c r="F32" s="22">
        <f t="shared" si="3"/>
        <v>134327640.99378881</v>
      </c>
      <c r="G32" s="22">
        <f>G16/G27</f>
        <v>0</v>
      </c>
      <c r="H32" s="22">
        <f t="shared" ref="H32:K32" si="4">H16/H27</f>
        <v>0</v>
      </c>
      <c r="I32" s="22">
        <f t="shared" si="4"/>
        <v>0</v>
      </c>
      <c r="J32" s="22">
        <f t="shared" si="4"/>
        <v>0</v>
      </c>
      <c r="K32" s="22">
        <f t="shared" si="4"/>
        <v>3150456477.9627328</v>
      </c>
    </row>
    <row r="33" spans="1:11" x14ac:dyDescent="0.25">
      <c r="A33" s="3" t="s">
        <v>118</v>
      </c>
      <c r="B33" s="22">
        <f>B18/B28</f>
        <v>4913955984.5089827</v>
      </c>
      <c r="C33" s="22">
        <f>C18/C28</f>
        <v>0</v>
      </c>
      <c r="D33" s="22">
        <f t="shared" ref="D33:G33" si="5">D18/D28</f>
        <v>406405416.16766471</v>
      </c>
      <c r="E33" s="22">
        <f>E18/E28</f>
        <v>723992591.16766465</v>
      </c>
      <c r="F33" s="22">
        <f t="shared" si="5"/>
        <v>187701649.70059881</v>
      </c>
      <c r="G33" s="22">
        <f t="shared" si="5"/>
        <v>3804180.4191616769</v>
      </c>
      <c r="H33" s="22">
        <f t="shared" ref="H33:K33" si="6">H18/H28</f>
        <v>7640827.1856287429</v>
      </c>
      <c r="I33" s="22">
        <f t="shared" si="6"/>
        <v>202053119.76047906</v>
      </c>
      <c r="J33" s="22">
        <f t="shared" si="6"/>
        <v>152377327.37724552</v>
      </c>
      <c r="K33" s="22">
        <f t="shared" si="6"/>
        <v>3229980872.7305398</v>
      </c>
    </row>
    <row r="34" spans="1:11" x14ac:dyDescent="0.25">
      <c r="A34" s="3" t="s">
        <v>56</v>
      </c>
      <c r="B34" s="6">
        <f>B32/B10</f>
        <v>1028502.460189373</v>
      </c>
      <c r="C34" s="6">
        <f>C32/C10</f>
        <v>41684.299321470076</v>
      </c>
      <c r="D34" s="6">
        <f t="shared" ref="D34:K34" si="7">D32/D10</f>
        <v>239231.517236416</v>
      </c>
      <c r="E34" s="6">
        <f>E32/E10</f>
        <v>643658.16290743626</v>
      </c>
      <c r="F34" s="6">
        <f t="shared" si="7"/>
        <v>234770.12699176601</v>
      </c>
      <c r="G34" s="6" t="e">
        <f t="shared" si="7"/>
        <v>#DIV/0!</v>
      </c>
      <c r="H34" s="6" t="e">
        <f t="shared" si="7"/>
        <v>#DIV/0!</v>
      </c>
      <c r="I34" s="6" t="e">
        <f t="shared" si="7"/>
        <v>#DIV/0!</v>
      </c>
      <c r="J34" s="6" t="e">
        <f t="shared" si="7"/>
        <v>#DIV/0!</v>
      </c>
      <c r="K34" s="6" t="e">
        <f t="shared" si="7"/>
        <v>#DIV/0!</v>
      </c>
    </row>
    <row r="35" spans="1:11" x14ac:dyDescent="0.25">
      <c r="A35" s="3" t="s">
        <v>119</v>
      </c>
      <c r="B35" s="6">
        <f>B33/B12</f>
        <v>532255.04399490729</v>
      </c>
      <c r="C35" s="6" t="e">
        <f>C33/C12</f>
        <v>#DIV/0!</v>
      </c>
      <c r="D35" s="6">
        <f t="shared" ref="D35:K35" si="8">D33/D12</f>
        <v>181986.15545980952</v>
      </c>
      <c r="E35" s="6">
        <f>E33/E12</f>
        <v>457547.45597282361</v>
      </c>
      <c r="F35" s="6">
        <f t="shared" si="8"/>
        <v>253024.01667121836</v>
      </c>
      <c r="G35" s="6">
        <f t="shared" si="8"/>
        <v>1011.7501114791694</v>
      </c>
      <c r="H35" s="6">
        <f t="shared" si="8"/>
        <v>8350.6308039658397</v>
      </c>
      <c r="I35" s="6" t="e">
        <f t="shared" si="8"/>
        <v>#DIV/0!</v>
      </c>
      <c r="J35" s="6" t="e">
        <f t="shared" si="8"/>
        <v>#DIV/0!</v>
      </c>
      <c r="K35" s="6" t="e">
        <f t="shared" si="8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69</v>
      </c>
      <c r="C40" s="23" t="s">
        <v>69</v>
      </c>
      <c r="D40" s="23" t="s">
        <v>69</v>
      </c>
      <c r="E40" s="23" t="s">
        <v>69</v>
      </c>
      <c r="F40" s="23" t="s">
        <v>69</v>
      </c>
      <c r="G40" s="23" t="s">
        <v>69</v>
      </c>
      <c r="H40" s="23" t="s">
        <v>69</v>
      </c>
      <c r="I40" s="23" t="s">
        <v>69</v>
      </c>
      <c r="J40" s="23" t="s">
        <v>69</v>
      </c>
      <c r="K40" s="23" t="s">
        <v>69</v>
      </c>
    </row>
    <row r="41" spans="1:11" x14ac:dyDescent="0.25">
      <c r="A41" t="s">
        <v>13</v>
      </c>
      <c r="B41" s="23" t="s">
        <v>69</v>
      </c>
      <c r="C41" s="23" t="s">
        <v>69</v>
      </c>
      <c r="D41" s="23" t="s">
        <v>69</v>
      </c>
      <c r="E41" s="23" t="s">
        <v>69</v>
      </c>
      <c r="F41" s="23" t="s">
        <v>69</v>
      </c>
      <c r="G41" s="23" t="s">
        <v>69</v>
      </c>
      <c r="H41" s="23" t="s">
        <v>69</v>
      </c>
      <c r="I41" s="23" t="s">
        <v>69</v>
      </c>
      <c r="J41" s="23" t="s">
        <v>69</v>
      </c>
      <c r="K41" s="23" t="s">
        <v>69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84.945791354219395</v>
      </c>
      <c r="C44" s="7" t="e">
        <f>C12/C11*100</f>
        <v>#DIV/0!</v>
      </c>
      <c r="D44" s="7">
        <f t="shared" ref="D44:K44" si="9">D12/D11*100</f>
        <v>132.68964151317095</v>
      </c>
      <c r="E44" s="7">
        <f>E12/E11*100</f>
        <v>169.23351158645278</v>
      </c>
      <c r="F44" s="7">
        <f t="shared" si="9"/>
        <v>88.736044657097281</v>
      </c>
      <c r="G44" s="7">
        <f t="shared" si="9"/>
        <v>64.677044809495143</v>
      </c>
      <c r="H44" s="7" t="e">
        <f t="shared" si="9"/>
        <v>#DIV/0!</v>
      </c>
      <c r="I44" s="7">
        <f t="shared" si="9"/>
        <v>0</v>
      </c>
      <c r="J44" s="7" t="e">
        <f t="shared" si="9"/>
        <v>#DIV/0!</v>
      </c>
      <c r="K44" s="7" t="e">
        <f t="shared" si="9"/>
        <v>#DIV/0!</v>
      </c>
    </row>
    <row r="45" spans="1:11" x14ac:dyDescent="0.25">
      <c r="A45" t="s">
        <v>16</v>
      </c>
      <c r="B45" s="7">
        <f>B18/B17*100</f>
        <v>86.308006779542865</v>
      </c>
      <c r="C45" s="7" t="e">
        <f>C18/C17*100</f>
        <v>#DIV/0!</v>
      </c>
      <c r="D45" s="7">
        <f t="shared" ref="D45:K45" si="10">D18/D17*100</f>
        <v>98.424350672647009</v>
      </c>
      <c r="E45" s="7">
        <f>E18/E17*100</f>
        <v>86.898166227270266</v>
      </c>
      <c r="F45" s="7">
        <f t="shared" si="10"/>
        <v>91.514307845891736</v>
      </c>
      <c r="G45" s="7">
        <f t="shared" si="10"/>
        <v>4.6989506656804725</v>
      </c>
      <c r="H45" s="7" t="e">
        <f t="shared" si="10"/>
        <v>#DIV/0!</v>
      </c>
      <c r="I45" s="7">
        <f t="shared" si="10"/>
        <v>35.230293518871619</v>
      </c>
      <c r="J45" s="7" t="e">
        <f t="shared" si="10"/>
        <v>#DIV/0!</v>
      </c>
      <c r="K45" s="7">
        <f t="shared" si="10"/>
        <v>90.02518326433561</v>
      </c>
    </row>
    <row r="46" spans="1:11" x14ac:dyDescent="0.25">
      <c r="A46" t="s">
        <v>17</v>
      </c>
      <c r="B46" s="7">
        <f>AVERAGE(B44:B45)</f>
        <v>85.626899066881123</v>
      </c>
      <c r="C46" s="7" t="e">
        <f>AVERAGE(C44:C45)</f>
        <v>#DIV/0!</v>
      </c>
      <c r="D46" s="7">
        <f t="shared" ref="D46:K46" si="11">AVERAGE(D44:D45)</f>
        <v>115.55699609290897</v>
      </c>
      <c r="E46" s="7">
        <f>AVERAGE(E44:E45)</f>
        <v>128.06583890686153</v>
      </c>
      <c r="F46" s="7">
        <f t="shared" si="11"/>
        <v>90.125176251494509</v>
      </c>
      <c r="G46" s="7">
        <f t="shared" si="11"/>
        <v>34.687997737587807</v>
      </c>
      <c r="H46" s="7" t="e">
        <f t="shared" si="11"/>
        <v>#DIV/0!</v>
      </c>
      <c r="I46" s="7">
        <f t="shared" si="11"/>
        <v>17.61514675943581</v>
      </c>
      <c r="J46" s="7" t="e">
        <f t="shared" si="11"/>
        <v>#DIV/0!</v>
      </c>
      <c r="K46" s="7" t="e">
        <f t="shared" si="11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4">
        <f>B12/(B13)*100</f>
        <v>82.808622596944431</v>
      </c>
      <c r="C49" s="34" t="e">
        <f t="shared" ref="C49:K49" si="12">C12/(C13)*100</f>
        <v>#DIV/0!</v>
      </c>
      <c r="D49" s="34">
        <f t="shared" si="12"/>
        <v>198.3274126702191</v>
      </c>
      <c r="E49" s="34">
        <f t="shared" si="12"/>
        <v>316.4666666666667</v>
      </c>
      <c r="F49" s="34">
        <f t="shared" si="12"/>
        <v>133.18372232196288</v>
      </c>
      <c r="G49" s="34">
        <f t="shared" si="12"/>
        <v>62.385929981748802</v>
      </c>
      <c r="H49" s="34">
        <f t="shared" si="12"/>
        <v>97.652081109925291</v>
      </c>
      <c r="I49" s="34">
        <f t="shared" si="12"/>
        <v>0</v>
      </c>
      <c r="J49" s="34" t="e">
        <f t="shared" si="12"/>
        <v>#DIV/0!</v>
      </c>
      <c r="K49" s="34" t="e">
        <f t="shared" si="12"/>
        <v>#DIV/0!</v>
      </c>
      <c r="L49" s="24"/>
    </row>
    <row r="50" spans="1:12" x14ac:dyDescent="0.25">
      <c r="A50" t="s">
        <v>20</v>
      </c>
      <c r="B50" s="7">
        <f>B18/B19*100</f>
        <v>45.142462793477833</v>
      </c>
      <c r="C50" s="7" t="e">
        <f>C18/C19*100</f>
        <v>#DIV/0!</v>
      </c>
      <c r="D50" s="7">
        <f t="shared" ref="D50:K50" si="13">D18/D19*100</f>
        <v>73.577812636392466</v>
      </c>
      <c r="E50" s="7">
        <f>E18/E19*100</f>
        <v>73.122629259442832</v>
      </c>
      <c r="F50" s="7">
        <f t="shared" si="13"/>
        <v>68.635730884418805</v>
      </c>
      <c r="G50" s="7">
        <f t="shared" si="13"/>
        <v>2.2197899267509444</v>
      </c>
      <c r="H50" s="7">
        <f t="shared" si="13"/>
        <v>4.0901950187518032</v>
      </c>
      <c r="I50" s="7">
        <f t="shared" si="13"/>
        <v>14.092117680039214</v>
      </c>
      <c r="J50" s="7">
        <f t="shared" si="13"/>
        <v>149.68830691245253</v>
      </c>
      <c r="K50" s="7">
        <f t="shared" si="13"/>
        <v>45.012591632167812</v>
      </c>
    </row>
    <row r="51" spans="1:12" x14ac:dyDescent="0.25">
      <c r="A51" t="s">
        <v>21</v>
      </c>
      <c r="B51" s="7">
        <f>(B49+B50)/2</f>
        <v>63.975542695211132</v>
      </c>
      <c r="C51" s="7" t="e">
        <f>(C49+C50)/2</f>
        <v>#DIV/0!</v>
      </c>
      <c r="D51" s="7">
        <f t="shared" ref="D51:K51" si="14">(D49+D50)/2</f>
        <v>135.95261265330578</v>
      </c>
      <c r="E51" s="7">
        <f>(E49+E50)/2</f>
        <v>194.79464796305476</v>
      </c>
      <c r="F51" s="7">
        <f t="shared" si="14"/>
        <v>100.90972660319085</v>
      </c>
      <c r="G51" s="7">
        <f t="shared" si="14"/>
        <v>32.302859954249875</v>
      </c>
      <c r="H51" s="7">
        <f t="shared" si="14"/>
        <v>50.871138064338545</v>
      </c>
      <c r="I51" s="7">
        <f t="shared" si="14"/>
        <v>7.0460588400196071</v>
      </c>
      <c r="J51" s="7" t="e">
        <f t="shared" si="14"/>
        <v>#DIV/0!</v>
      </c>
      <c r="K51" s="7" t="e">
        <f t="shared" si="14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5">B20/B18*100</f>
        <v>30.935417036469559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96.879442706852444</v>
      </c>
      <c r="C57" s="7">
        <f>((C12/C10)-1)*100</f>
        <v>-100</v>
      </c>
      <c r="D57" s="7">
        <f t="shared" ref="D57:K57" si="16">((D12/D10)-1)*100</f>
        <v>35.002518891687686</v>
      </c>
      <c r="E57" s="7">
        <f>((E12/E10)-1)*100</f>
        <v>-8.3944423002701658</v>
      </c>
      <c r="F57" s="7">
        <f t="shared" si="16"/>
        <v>29.653364404311077</v>
      </c>
      <c r="G57" s="7" t="e">
        <f t="shared" si="16"/>
        <v>#DIV/0!</v>
      </c>
      <c r="H57" s="7" t="e">
        <f t="shared" si="16"/>
        <v>#DIV/0!</v>
      </c>
      <c r="I57" s="7" t="e">
        <f t="shared" si="16"/>
        <v>#DIV/0!</v>
      </c>
      <c r="J57" s="7" t="e">
        <f t="shared" si="16"/>
        <v>#DIV/0!</v>
      </c>
      <c r="K57" s="7" t="e">
        <f t="shared" si="16"/>
        <v>#DIV/0!</v>
      </c>
    </row>
    <row r="58" spans="1:12" x14ac:dyDescent="0.25">
      <c r="A58" t="s">
        <v>25</v>
      </c>
      <c r="B58" s="7">
        <f>((B33/B32)-1)*100</f>
        <v>1.8860727084056839</v>
      </c>
      <c r="C58" s="7">
        <f>((C33/C32)-1)*100</f>
        <v>-100</v>
      </c>
      <c r="D58" s="7">
        <f t="shared" ref="D58:F58" si="17">((D33/D32)-1)*100</f>
        <v>2.6979625189147205</v>
      </c>
      <c r="E58" s="7">
        <f>((E33/E32)-1)*100</f>
        <v>-34.881755108711829</v>
      </c>
      <c r="F58" s="7">
        <f t="shared" si="17"/>
        <v>39.734196411055848</v>
      </c>
      <c r="G58" s="7" t="e">
        <f>((G33/G32)-1)*100</f>
        <v>#DIV/0!</v>
      </c>
      <c r="H58" s="7" t="e">
        <f t="shared" ref="H58:K58" si="18">((H33/H32)-1)*100</f>
        <v>#DIV/0!</v>
      </c>
      <c r="I58" s="7" t="e">
        <f t="shared" si="18"/>
        <v>#DIV/0!</v>
      </c>
      <c r="J58" s="7" t="e">
        <f t="shared" si="18"/>
        <v>#DIV/0!</v>
      </c>
      <c r="K58" s="7">
        <f t="shared" si="18"/>
        <v>2.52421816724262</v>
      </c>
    </row>
    <row r="59" spans="1:12" x14ac:dyDescent="0.25">
      <c r="A59" t="s">
        <v>26</v>
      </c>
      <c r="B59" s="7">
        <f>((B35/B34)-1)*100</f>
        <v>-48.249511829373184</v>
      </c>
      <c r="C59" s="7" t="e">
        <f>((C35/C34)-1)*100</f>
        <v>#DIV/0!</v>
      </c>
      <c r="D59" s="7">
        <f t="shared" ref="D59:K59" si="19">((D35/D34)-1)*100</f>
        <v>-23.92885454136665</v>
      </c>
      <c r="E59" s="7">
        <f>((E35/E34)-1)*100</f>
        <v>-28.914526010816243</v>
      </c>
      <c r="F59" s="7">
        <f t="shared" si="19"/>
        <v>7.7752182159413152</v>
      </c>
      <c r="G59" s="7" t="e">
        <f t="shared" si="19"/>
        <v>#DIV/0!</v>
      </c>
      <c r="H59" s="7" t="e">
        <f t="shared" si="19"/>
        <v>#DIV/0!</v>
      </c>
      <c r="I59" s="7" t="e">
        <f t="shared" si="19"/>
        <v>#DIV/0!</v>
      </c>
      <c r="J59" s="7" t="e">
        <f t="shared" si="19"/>
        <v>#DIV/0!</v>
      </c>
      <c r="K59" s="7" t="e">
        <f t="shared" si="19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28</v>
      </c>
      <c r="B62" s="4">
        <f>B17/(B11*6)</f>
        <v>145806.13103862846</v>
      </c>
      <c r="C62" s="4" t="e">
        <f t="shared" ref="C62:K62" si="20">C17/(C11*6)</f>
        <v>#DIV/0!</v>
      </c>
      <c r="D62" s="4">
        <f t="shared" si="20"/>
        <v>68287</v>
      </c>
      <c r="E62" s="4">
        <f t="shared" si="20"/>
        <v>248014.52725133693</v>
      </c>
      <c r="F62" s="4">
        <f t="shared" si="20"/>
        <v>68287</v>
      </c>
      <c r="G62" s="4">
        <f t="shared" si="20"/>
        <v>3876.0356641151343</v>
      </c>
      <c r="H62" s="4" t="e">
        <f t="shared" si="20"/>
        <v>#DIV/0!</v>
      </c>
      <c r="I62" s="4">
        <f t="shared" si="20"/>
        <v>99706.434878201122</v>
      </c>
      <c r="J62" s="4" t="e">
        <f t="shared" si="20"/>
        <v>#DIV/0!</v>
      </c>
      <c r="K62" s="4" t="e">
        <f t="shared" si="20"/>
        <v>#DIV/0!</v>
      </c>
    </row>
    <row r="63" spans="1:12" x14ac:dyDescent="0.25">
      <c r="A63" t="s">
        <v>29</v>
      </c>
      <c r="B63" s="4">
        <f>B18/(B12*6)</f>
        <v>148144.32057858253</v>
      </c>
      <c r="C63" s="4" t="e">
        <f t="shared" ref="C63:K63" si="21">C18/(C12*6)</f>
        <v>#DIV/0!</v>
      </c>
      <c r="D63" s="4">
        <f t="shared" si="21"/>
        <v>50652.813269646984</v>
      </c>
      <c r="E63" s="4">
        <f t="shared" si="21"/>
        <v>127350.70857910259</v>
      </c>
      <c r="F63" s="4">
        <f t="shared" si="21"/>
        <v>70425.017973489099</v>
      </c>
      <c r="G63" s="4">
        <f t="shared" si="21"/>
        <v>281.60378102836876</v>
      </c>
      <c r="H63" s="4">
        <f t="shared" si="21"/>
        <v>2324.2589071038251</v>
      </c>
      <c r="I63" s="4" t="e">
        <f t="shared" si="21"/>
        <v>#DIV/0!</v>
      </c>
      <c r="J63" s="4" t="e">
        <f t="shared" si="21"/>
        <v>#DIV/0!</v>
      </c>
      <c r="K63" s="4" t="e">
        <f t="shared" si="21"/>
        <v>#DIV/0!</v>
      </c>
    </row>
    <row r="64" spans="1:12" x14ac:dyDescent="0.25">
      <c r="A64" t="s">
        <v>30</v>
      </c>
      <c r="B64" s="10">
        <f>(B62/B63)*B46</f>
        <v>84.275433692069925</v>
      </c>
      <c r="C64" s="10" t="e">
        <f t="shared" ref="C64:K64" si="22">(C62/C63)*C46</f>
        <v>#DIV/0!</v>
      </c>
      <c r="D64" s="10">
        <f t="shared" si="22"/>
        <v>155.78681780593371</v>
      </c>
      <c r="E64" s="10">
        <f t="shared" si="22"/>
        <v>249.40723807439497</v>
      </c>
      <c r="F64" s="10">
        <f t="shared" si="22"/>
        <v>87.389085409996895</v>
      </c>
      <c r="G64" s="10">
        <f t="shared" si="22"/>
        <v>477.45067859756733</v>
      </c>
      <c r="H64" s="10" t="e">
        <f t="shared" si="22"/>
        <v>#DIV/0!</v>
      </c>
      <c r="I64" s="10" t="e">
        <f t="shared" si="22"/>
        <v>#DIV/0!</v>
      </c>
      <c r="J64" s="10" t="e">
        <f t="shared" si="22"/>
        <v>#DIV/0!</v>
      </c>
      <c r="K64" s="10" t="e">
        <f t="shared" si="22"/>
        <v>#DIV/0!</v>
      </c>
    </row>
    <row r="65" spans="1:11" x14ac:dyDescent="0.25">
      <c r="A65" t="s">
        <v>67</v>
      </c>
      <c r="B65" s="4">
        <f>B17/B11</f>
        <v>874836.78623177065</v>
      </c>
      <c r="C65" s="4" t="e">
        <f t="shared" ref="C65:K65" si="23">C17/C11</f>
        <v>#DIV/0!</v>
      </c>
      <c r="D65" s="4">
        <f t="shared" si="23"/>
        <v>409722</v>
      </c>
      <c r="E65" s="4">
        <f t="shared" si="23"/>
        <v>1488087.1635080215</v>
      </c>
      <c r="F65" s="4">
        <f t="shared" si="23"/>
        <v>409722</v>
      </c>
      <c r="G65" s="4">
        <f t="shared" si="23"/>
        <v>23256.213984690807</v>
      </c>
      <c r="H65" s="4" t="e">
        <f t="shared" si="23"/>
        <v>#DIV/0!</v>
      </c>
      <c r="I65" s="4">
        <f t="shared" si="23"/>
        <v>598238.60926920676</v>
      </c>
      <c r="J65" s="4" t="e">
        <f t="shared" si="23"/>
        <v>#DIV/0!</v>
      </c>
      <c r="K65" s="4" t="e">
        <f t="shared" si="23"/>
        <v>#DIV/0!</v>
      </c>
    </row>
    <row r="66" spans="1:11" x14ac:dyDescent="0.25">
      <c r="A66" t="s">
        <v>68</v>
      </c>
      <c r="B66" s="4">
        <f>B18/B12</f>
        <v>888865.92347149516</v>
      </c>
      <c r="C66" s="4" t="e">
        <f t="shared" ref="C66:K66" si="24">C18/C12</f>
        <v>#DIV/0!</v>
      </c>
      <c r="D66" s="4">
        <f t="shared" si="24"/>
        <v>303916.8796178819</v>
      </c>
      <c r="E66" s="4">
        <f t="shared" si="24"/>
        <v>764104.25147461542</v>
      </c>
      <c r="F66" s="4">
        <f t="shared" si="24"/>
        <v>422550.10784093465</v>
      </c>
      <c r="G66" s="4">
        <f t="shared" si="24"/>
        <v>1689.6226861702128</v>
      </c>
      <c r="H66" s="4">
        <f t="shared" si="24"/>
        <v>13945.553442622951</v>
      </c>
      <c r="I66" s="4" t="e">
        <f t="shared" si="24"/>
        <v>#DIV/0!</v>
      </c>
      <c r="J66" s="4" t="e">
        <f t="shared" si="24"/>
        <v>#DIV/0!</v>
      </c>
      <c r="K66" s="4" t="e">
        <f t="shared" si="24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71.368025163190595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120.93371868170712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83</v>
      </c>
    </row>
    <row r="75" spans="1:11" x14ac:dyDescent="0.25">
      <c r="A75" t="s">
        <v>84</v>
      </c>
      <c r="B75" s="10"/>
      <c r="C75" s="10"/>
      <c r="D75" s="10"/>
      <c r="E75" s="10"/>
      <c r="F75" s="10"/>
    </row>
    <row r="76" spans="1:11" x14ac:dyDescent="0.25">
      <c r="A76" t="s">
        <v>85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136</v>
      </c>
    </row>
  </sheetData>
  <mergeCells count="4">
    <mergeCell ref="A4:A5"/>
    <mergeCell ref="B4:B5"/>
    <mergeCell ref="D4:G4"/>
    <mergeCell ref="A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zoomScale="90" zoomScaleNormal="90" workbookViewId="0">
      <selection activeCell="L57" sqref="L57:L58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6.85546875" bestFit="1" customWidth="1"/>
    <col min="7" max="8" width="15.28515625" customWidth="1"/>
    <col min="9" max="9" width="14.42578125" customWidth="1"/>
    <col min="10" max="10" width="16" customWidth="1"/>
    <col min="11" max="11" width="16.7109375" customWidth="1"/>
  </cols>
  <sheetData>
    <row r="2" spans="1:17" ht="15.75" x14ac:dyDescent="0.25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17" x14ac:dyDescent="0.25">
      <c r="A4" s="58" t="s">
        <v>0</v>
      </c>
      <c r="B4" s="60" t="s">
        <v>1</v>
      </c>
      <c r="C4" s="63" t="s">
        <v>2</v>
      </c>
      <c r="D4" s="63"/>
      <c r="E4" s="63"/>
      <c r="F4" s="63"/>
      <c r="G4" s="63"/>
      <c r="H4" s="63"/>
      <c r="I4" s="63"/>
      <c r="J4" s="63"/>
      <c r="K4" s="63"/>
    </row>
    <row r="5" spans="1:17" ht="75.75" thickBot="1" x14ac:dyDescent="0.3">
      <c r="A5" s="59"/>
      <c r="B5" s="61"/>
      <c r="C5" s="32" t="s">
        <v>132</v>
      </c>
      <c r="D5" s="27" t="s">
        <v>86</v>
      </c>
      <c r="E5" s="27" t="s">
        <v>87</v>
      </c>
      <c r="F5" s="27" t="s">
        <v>88</v>
      </c>
      <c r="G5" s="27" t="s">
        <v>89</v>
      </c>
      <c r="H5" s="27" t="s">
        <v>90</v>
      </c>
      <c r="I5" s="27" t="s">
        <v>91</v>
      </c>
      <c r="J5" s="37" t="s">
        <v>140</v>
      </c>
      <c r="K5" s="27" t="s">
        <v>133</v>
      </c>
      <c r="Q5" s="44"/>
    </row>
    <row r="6" spans="1:17" ht="15.75" thickTop="1" x14ac:dyDescent="0.25"/>
    <row r="7" spans="1:17" x14ac:dyDescent="0.25">
      <c r="A7" s="2" t="s">
        <v>3</v>
      </c>
    </row>
    <row r="9" spans="1:17" x14ac:dyDescent="0.25">
      <c r="A9" t="s">
        <v>4</v>
      </c>
    </row>
    <row r="10" spans="1:17" x14ac:dyDescent="0.25">
      <c r="A10" s="3" t="s">
        <v>57</v>
      </c>
      <c r="B10" s="50">
        <f>C10+D10+E10+F10+G10+H10+I10</f>
        <v>4751.7777777777774</v>
      </c>
      <c r="C10" s="50">
        <f>(+'I Trimestre'!C10+'II trimestre'!C10+'III Trimestre'!C10)/3</f>
        <v>735.88888888888903</v>
      </c>
      <c r="D10" s="13">
        <f>(+'I Trimestre'!D10+'II trimestre'!D10+'III Trimestre'!D10)/3</f>
        <v>1631.7777777777776</v>
      </c>
      <c r="E10" s="13">
        <f>(+'I Trimestre'!E10+'II trimestre'!E10+'III Trimestre'!E10)/3</f>
        <v>1739.7777777777781</v>
      </c>
      <c r="F10" s="13">
        <f>(+'I Trimestre'!F10+'II trimestre'!F10+'III Trimestre'!F10)/3</f>
        <v>644.33333333333337</v>
      </c>
      <c r="G10" s="13">
        <f>(+'I Trimestre'!G10+'II trimestre'!G10+'III Trimestre'!G10)/3</f>
        <v>0</v>
      </c>
      <c r="H10" s="13">
        <f>(+'I Trimestre'!H10+'II trimestre'!H10+'III Trimestre'!H10)/3</f>
        <v>0</v>
      </c>
      <c r="I10" s="13">
        <f>(+'I Trimestre'!I10+'II trimestre'!I10+'III Trimestre'!I10)/3</f>
        <v>0</v>
      </c>
      <c r="J10" s="13">
        <f>(+'I Trimestre'!J10+'II trimestre'!J10+'III Trimestre'!J10)/3</f>
        <v>0</v>
      </c>
      <c r="K10" s="24"/>
    </row>
    <row r="11" spans="1:17" x14ac:dyDescent="0.25">
      <c r="A11" s="3" t="s">
        <v>120</v>
      </c>
      <c r="B11" s="50">
        <f t="shared" ref="B11:B13" si="0">C11+D11+E11+F11+G11+H11+I11</f>
        <v>11129</v>
      </c>
      <c r="C11" s="50">
        <f>(+'I Trimestre'!C11+'II trimestre'!C11+'III Trimestre'!C11)/3</f>
        <v>0</v>
      </c>
      <c r="D11" s="13">
        <f>(+'I Trimestre'!D11+'II trimestre'!D11+'III Trimestre'!D11)/3</f>
        <v>1500.6666666666667</v>
      </c>
      <c r="E11" s="13">
        <f>(+'I Trimestre'!E11+'II trimestre'!E11+'III Trimestre'!E11)/3</f>
        <v>645</v>
      </c>
      <c r="F11" s="13">
        <f>(+'I Trimestre'!F11+'II trimestre'!F11+'III Trimestre'!F11)/3</f>
        <v>743</v>
      </c>
      <c r="G11" s="13">
        <f>(+'I Trimestre'!G11+'II trimestre'!G11+'III Trimestre'!G11)/3</f>
        <v>5955.666666666667</v>
      </c>
      <c r="H11" s="13">
        <f>(+'I Trimestre'!H11+'II trimestre'!H11+'III Trimestre'!H11)/3</f>
        <v>416.66666666666669</v>
      </c>
      <c r="I11" s="13">
        <f>(+'I Trimestre'!I11+'II trimestre'!I11+'III Trimestre'!I11)/3</f>
        <v>1868</v>
      </c>
      <c r="J11" s="13">
        <f>(+'I Trimestre'!J11+'II trimestre'!J11+'III Trimestre'!J11)/3</f>
        <v>0</v>
      </c>
      <c r="K11" s="42"/>
    </row>
    <row r="12" spans="1:17" x14ac:dyDescent="0.25">
      <c r="A12" s="3" t="s">
        <v>121</v>
      </c>
      <c r="B12" s="50">
        <f t="shared" si="0"/>
        <v>9197.3333333333321</v>
      </c>
      <c r="C12" s="50">
        <f>(+'I Trimestre'!C12+'II trimestre'!C12+'III Trimestre'!C12)/3</f>
        <v>0</v>
      </c>
      <c r="D12" s="13">
        <f>(+'I Trimestre'!D12+'II trimestre'!D12+'III Trimestre'!D12)/3</f>
        <v>2148.2222222222222</v>
      </c>
      <c r="E12" s="13">
        <f>(+'I Trimestre'!E12+'II trimestre'!E12+'III Trimestre'!E12)/3</f>
        <v>1641.5555555555557</v>
      </c>
      <c r="F12" s="13">
        <f>(+'I Trimestre'!F12+'II trimestre'!F12+'III Trimestre'!F12)/3</f>
        <v>732.55555555555554</v>
      </c>
      <c r="G12" s="13">
        <f>(+'I Trimestre'!G12+'II trimestre'!G12+'III Trimestre'!G12)/3</f>
        <v>3760</v>
      </c>
      <c r="H12" s="13">
        <f>(+'I Trimestre'!H12+'II trimestre'!H12+'III Trimestre'!H12)/3</f>
        <v>915</v>
      </c>
      <c r="I12" s="13">
        <f>(+'I Trimestre'!I12+'II trimestre'!I12+'III Trimestre'!I12)/3</f>
        <v>0</v>
      </c>
      <c r="J12" s="13">
        <f>(+'I Trimestre'!J12+'II trimestre'!J12+'III Trimestre'!J12)/3</f>
        <v>0</v>
      </c>
    </row>
    <row r="13" spans="1:17" s="44" customFormat="1" x14ac:dyDescent="0.25">
      <c r="A13" s="45" t="s">
        <v>78</v>
      </c>
      <c r="B13" s="50">
        <f t="shared" si="0"/>
        <v>11149</v>
      </c>
      <c r="C13" s="50">
        <f>(+'I Trimestre'!C13+'II trimestre'!C13+'III Trimestre'!C13)/3</f>
        <v>0</v>
      </c>
      <c r="D13" s="13">
        <f>+'III Trimestre'!D13</f>
        <v>1126</v>
      </c>
      <c r="E13" s="13">
        <f>+'III Trimestre'!E13</f>
        <v>500</v>
      </c>
      <c r="F13" s="13">
        <f>+'III Trimestre'!F13</f>
        <v>557</v>
      </c>
      <c r="G13" s="13">
        <f>+'III Trimestre'!G13</f>
        <v>6027</v>
      </c>
      <c r="H13" s="13">
        <f>+'III Trimestre'!H13</f>
        <v>937</v>
      </c>
      <c r="I13" s="13">
        <f>+'III Trimestre'!I13</f>
        <v>2002</v>
      </c>
      <c r="J13" s="13">
        <f>+'III Trimestre'!J13</f>
        <v>0</v>
      </c>
      <c r="L13" s="44" t="s">
        <v>137</v>
      </c>
    </row>
    <row r="15" spans="1:17" x14ac:dyDescent="0.25">
      <c r="A15" s="5" t="s">
        <v>5</v>
      </c>
    </row>
    <row r="16" spans="1:17" x14ac:dyDescent="0.25">
      <c r="A16" s="3" t="s">
        <v>57</v>
      </c>
      <c r="B16" s="4">
        <f>SUM(C16:K16)</f>
        <v>10674459390.67</v>
      </c>
      <c r="C16" s="13">
        <f>+'I Trimestre'!C16+'II trimestre'!C16+'III Trimestre'!C16</f>
        <v>74956949.75</v>
      </c>
      <c r="D16" s="13">
        <f>+'I Trimestre'!D16+'II trimestre'!D16+'III Trimestre'!D16</f>
        <v>943684075.29999995</v>
      </c>
      <c r="E16" s="13">
        <f>+'I Trimestre'!E16+'II trimestre'!E16+'III Trimestre'!E16</f>
        <v>1859072721.0999999</v>
      </c>
      <c r="F16" s="13">
        <f>+'I Trimestre'!F16+'II trimestre'!F16+'III Trimestre'!F16</f>
        <v>366983215</v>
      </c>
      <c r="G16" s="13">
        <f>+'I Trimestre'!G16+'II trimestre'!G16+'III Trimestre'!G16</f>
        <v>0</v>
      </c>
      <c r="H16" s="13">
        <f>+'I Trimestre'!H16+'II trimestre'!H16+'III Trimestre'!H16</f>
        <v>0</v>
      </c>
      <c r="I16" s="13">
        <f>+'I Trimestre'!I16+'II trimestre'!I16+'III Trimestre'!I16</f>
        <v>0</v>
      </c>
      <c r="J16" s="13">
        <f>+'I Trimestre'!J16+'II trimestre'!J16+'III Trimestre'!J16</f>
        <v>0</v>
      </c>
      <c r="K16" s="13">
        <f>+'I Trimestre'!K16+'II trimestre'!K16+'III Trimestre'!K16</f>
        <v>7429762429.5200005</v>
      </c>
    </row>
    <row r="17" spans="1:12" x14ac:dyDescent="0.25">
      <c r="A17" s="3" t="s">
        <v>120</v>
      </c>
      <c r="B17" s="4">
        <f t="shared" ref="B17:B19" si="1">SUM(C17:K17)</f>
        <v>14038648317.960001</v>
      </c>
      <c r="C17" s="13">
        <f>+'I Trimestre'!C17+'II trimestre'!C17+'III Trimestre'!C17</f>
        <v>0</v>
      </c>
      <c r="D17" s="13">
        <f>+'I Trimestre'!D17+'II trimestre'!D17+'III Trimestre'!D17</f>
        <v>922420796</v>
      </c>
      <c r="E17" s="13">
        <f>+'I Trimestre'!E17+'II trimestre'!E17+'III Trimestre'!E17</f>
        <v>1522420459.6800001</v>
      </c>
      <c r="F17" s="13">
        <f>+'I Trimestre'!F17+'II trimestre'!F17+'III Trimestre'!F17</f>
        <v>456703456</v>
      </c>
      <c r="G17" s="13">
        <f>+'I Trimestre'!G17+'II trimestre'!G17+'III Trimestre'!G17</f>
        <v>199400000</v>
      </c>
      <c r="H17" s="13">
        <f>+'I Trimestre'!H17+'II trimestre'!H17+'III Trimestre'!H17</f>
        <v>103990000</v>
      </c>
      <c r="I17" s="13">
        <f>+'I Trimestre'!I17+'II trimestre'!I17+'III Trimestre'!I17</f>
        <v>1676115023.52</v>
      </c>
      <c r="J17" s="13">
        <f>+'I Trimestre'!J17+'II trimestre'!J17+'III Trimestre'!J17</f>
        <v>170000010</v>
      </c>
      <c r="K17" s="13">
        <f>+'I Trimestre'!K17+'II trimestre'!K17+'III Trimestre'!K17</f>
        <v>8987598572.7600002</v>
      </c>
    </row>
    <row r="18" spans="1:12" x14ac:dyDescent="0.25">
      <c r="A18" s="3" t="s">
        <v>121</v>
      </c>
      <c r="B18" s="4">
        <f t="shared" si="1"/>
        <v>11867062392.210001</v>
      </c>
      <c r="C18" s="13">
        <f>+'I Trimestre'!C18+'II trimestre'!C18+'III Trimestre'!C18</f>
        <v>0</v>
      </c>
      <c r="D18" s="13">
        <f>+'I Trimestre'!D18+'II trimestre'!D18+'III Trimestre'!D18</f>
        <v>1003191200</v>
      </c>
      <c r="E18" s="13">
        <f>+'I Trimestre'!E18+'II trimestre'!E18+'III Trimestre'!E18</f>
        <v>1668775711.25</v>
      </c>
      <c r="F18" s="13">
        <f>+'I Trimestre'!F18+'II trimestre'!F18+'III Trimestre'!F18</f>
        <v>469994984</v>
      </c>
      <c r="G18" s="13">
        <f>+'I Trimestre'!G18+'II trimestre'!G18+'III Trimestre'!G18</f>
        <v>36474030.600000001</v>
      </c>
      <c r="H18" s="13">
        <f>+'I Trimestre'!H18+'II trimestre'!H18+'III Trimestre'!H18</f>
        <v>24102985.550000001</v>
      </c>
      <c r="I18" s="13">
        <f>+'I Trimestre'!I18+'II trimestre'!I18+'III Trimestre'!I18</f>
        <v>607186751</v>
      </c>
      <c r="J18" s="13">
        <f>+'I Trimestre'!J18+'II trimestre'!J18+'III Trimestre'!J18</f>
        <v>291710136.72000003</v>
      </c>
      <c r="K18" s="13">
        <f>+'I Trimestre'!K18+'II trimestre'!K18+'III Trimestre'!K18</f>
        <v>7765626593.0900011</v>
      </c>
    </row>
    <row r="19" spans="1:12" x14ac:dyDescent="0.25">
      <c r="A19" s="3" t="s">
        <v>78</v>
      </c>
      <c r="B19" s="4">
        <f t="shared" si="1"/>
        <v>18178685845.459999</v>
      </c>
      <c r="C19" s="13">
        <f>+'III Trimestre'!C19</f>
        <v>0</v>
      </c>
      <c r="D19" s="13">
        <f>+'III Trimestre'!D19</f>
        <v>922420796</v>
      </c>
      <c r="E19" s="13">
        <f>+'III Trimestre'!E19</f>
        <v>1653479421.4799993</v>
      </c>
      <c r="F19" s="13">
        <f>+'III Trimestre'!F19</f>
        <v>456703456</v>
      </c>
      <c r="G19" s="13">
        <f>+'III Trimestre'!G19</f>
        <v>286197411</v>
      </c>
      <c r="H19" s="13">
        <f>+'III Trimestre'!H19</f>
        <v>311970000</v>
      </c>
      <c r="I19" s="13">
        <f>+'III Trimestre'!I19</f>
        <v>2394449987.2999997</v>
      </c>
      <c r="J19" s="13">
        <f>+'III Trimestre'!J19</f>
        <v>170000010</v>
      </c>
      <c r="K19" s="13">
        <f>+'III Trimestre'!K19</f>
        <v>11983464763.679998</v>
      </c>
      <c r="L19" s="24"/>
    </row>
    <row r="20" spans="1:12" x14ac:dyDescent="0.25">
      <c r="A20" s="3" t="s">
        <v>122</v>
      </c>
      <c r="B20" s="51">
        <f>C20+D20+E20+F20+I20</f>
        <v>3749148646.25</v>
      </c>
      <c r="C20" s="50">
        <f>+'I Trimestre'!C20+'II trimestre'!C20+'III Trimestre'!C20</f>
        <v>0</v>
      </c>
      <c r="D20" s="50">
        <f t="shared" ref="D20:J20" si="2">D18</f>
        <v>1003191200</v>
      </c>
      <c r="E20" s="50">
        <f t="shared" si="2"/>
        <v>1668775711.25</v>
      </c>
      <c r="F20" s="50">
        <f t="shared" si="2"/>
        <v>469994984</v>
      </c>
      <c r="G20" s="50">
        <f t="shared" si="2"/>
        <v>36474030.600000001</v>
      </c>
      <c r="H20" s="50">
        <f t="shared" si="2"/>
        <v>24102985.550000001</v>
      </c>
      <c r="I20" s="50">
        <f t="shared" si="2"/>
        <v>607186751</v>
      </c>
      <c r="J20" s="50">
        <f t="shared" si="2"/>
        <v>291710136.72000003</v>
      </c>
      <c r="K20" s="57"/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120</v>
      </c>
      <c r="B23" s="13">
        <f>'I Trimestre'!B23+'II trimestre'!B23+'III Trimestre'!B23</f>
        <v>14038648317.959999</v>
      </c>
      <c r="C23" s="13"/>
    </row>
    <row r="24" spans="1:12" x14ac:dyDescent="0.25">
      <c r="A24" s="3" t="s">
        <v>121</v>
      </c>
      <c r="B24" s="13">
        <f>'I Trimestre'!B24+'II trimestre'!B24+'III Trimestre'!B24</f>
        <v>11015832141.82</v>
      </c>
      <c r="C24" s="13"/>
    </row>
    <row r="26" spans="1:12" x14ac:dyDescent="0.25">
      <c r="A26" t="s">
        <v>7</v>
      </c>
    </row>
    <row r="27" spans="1:12" x14ac:dyDescent="0.25">
      <c r="A27" s="3" t="s">
        <v>58</v>
      </c>
      <c r="B27" s="16">
        <v>1.61</v>
      </c>
      <c r="C27" s="16">
        <v>1.61</v>
      </c>
      <c r="D27" s="16">
        <v>1.61</v>
      </c>
      <c r="E27" s="16">
        <v>1.61</v>
      </c>
      <c r="F27" s="16">
        <v>1.61</v>
      </c>
      <c r="G27" s="16">
        <v>1.61</v>
      </c>
      <c r="H27" s="16">
        <v>1.61</v>
      </c>
      <c r="I27" s="16">
        <v>1.61</v>
      </c>
      <c r="J27" s="16">
        <v>1.61</v>
      </c>
      <c r="K27" s="16">
        <v>1.61</v>
      </c>
    </row>
    <row r="28" spans="1:12" x14ac:dyDescent="0.25">
      <c r="A28" s="3" t="s">
        <v>123</v>
      </c>
      <c r="B28" s="11">
        <v>1.68</v>
      </c>
      <c r="C28" s="11">
        <v>1.68</v>
      </c>
      <c r="D28" s="11">
        <v>1.68</v>
      </c>
      <c r="E28" s="11">
        <v>1.68</v>
      </c>
      <c r="F28" s="11">
        <v>1.68</v>
      </c>
      <c r="G28" s="11">
        <v>1.68</v>
      </c>
      <c r="H28" s="11">
        <v>1.68</v>
      </c>
      <c r="I28" s="11">
        <v>1.68</v>
      </c>
      <c r="J28" s="11">
        <v>1.68</v>
      </c>
      <c r="K28" s="11">
        <v>1.68</v>
      </c>
    </row>
    <row r="29" spans="1:12" x14ac:dyDescent="0.25">
      <c r="A29" s="3" t="s">
        <v>8</v>
      </c>
      <c r="B29" s="19" t="s">
        <v>70</v>
      </c>
      <c r="C29" s="19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 t="s">
        <v>70</v>
      </c>
    </row>
    <row r="31" spans="1:12" x14ac:dyDescent="0.25">
      <c r="A31" s="3" t="s">
        <v>9</v>
      </c>
    </row>
    <row r="32" spans="1:12" x14ac:dyDescent="0.25">
      <c r="A32" s="3" t="s">
        <v>59</v>
      </c>
      <c r="B32" s="22">
        <f>B16/B27</f>
        <v>6630099000.4161491</v>
      </c>
      <c r="C32" s="22">
        <f>C16/C27</f>
        <v>46557111.64596273</v>
      </c>
      <c r="D32" s="22">
        <f t="shared" ref="D32:K32" si="3">D16/D27</f>
        <v>586139177.20496893</v>
      </c>
      <c r="E32" s="22">
        <f>E16/E27</f>
        <v>1154703553.4782608</v>
      </c>
      <c r="F32" s="22">
        <f t="shared" si="3"/>
        <v>227939885.09316769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4614759272.9937887</v>
      </c>
    </row>
    <row r="33" spans="1:11" x14ac:dyDescent="0.25">
      <c r="A33" s="3" t="s">
        <v>124</v>
      </c>
      <c r="B33" s="22">
        <f>B18/B28</f>
        <v>7063727614.4107151</v>
      </c>
      <c r="C33" s="22">
        <f>C18/C28</f>
        <v>0</v>
      </c>
      <c r="D33" s="22">
        <f t="shared" ref="D33:G33" si="4">D18/D28</f>
        <v>597137619.0476191</v>
      </c>
      <c r="E33" s="22">
        <f>E18/E28</f>
        <v>993318875.74404764</v>
      </c>
      <c r="F33" s="22">
        <f t="shared" si="4"/>
        <v>279758919.04761904</v>
      </c>
      <c r="G33" s="22">
        <f t="shared" si="4"/>
        <v>21710732.5</v>
      </c>
      <c r="H33" s="22">
        <f t="shared" ref="H33:K33" si="5">H18/H28</f>
        <v>14347015.208333334</v>
      </c>
      <c r="I33" s="22">
        <f t="shared" si="5"/>
        <v>361420685.11904764</v>
      </c>
      <c r="J33" s="22">
        <f t="shared" si="5"/>
        <v>173636986.14285716</v>
      </c>
      <c r="K33" s="22">
        <f t="shared" si="5"/>
        <v>4622396781.6011915</v>
      </c>
    </row>
    <row r="34" spans="1:11" x14ac:dyDescent="0.25">
      <c r="A34" s="3" t="s">
        <v>60</v>
      </c>
      <c r="B34" s="6">
        <f>B32/B10</f>
        <v>1395288.1027859829</v>
      </c>
      <c r="C34" s="6">
        <f>C32/C10</f>
        <v>63266.496272635435</v>
      </c>
      <c r="D34" s="6">
        <f t="shared" ref="D34:K34" si="6">D32/D10</f>
        <v>359202.81866026972</v>
      </c>
      <c r="E34" s="6">
        <f>E32/E10</f>
        <v>663707.49657072069</v>
      </c>
      <c r="F34" s="6">
        <f t="shared" si="6"/>
        <v>353760.8149402499</v>
      </c>
      <c r="G34" s="6" t="e">
        <f t="shared" si="6"/>
        <v>#DIV/0!</v>
      </c>
      <c r="H34" s="6" t="e">
        <f t="shared" si="6"/>
        <v>#DIV/0!</v>
      </c>
      <c r="I34" s="6" t="e">
        <f t="shared" si="6"/>
        <v>#DIV/0!</v>
      </c>
      <c r="J34" s="6" t="e">
        <f t="shared" si="6"/>
        <v>#DIV/0!</v>
      </c>
      <c r="K34" s="6" t="e">
        <f t="shared" si="6"/>
        <v>#DIV/0!</v>
      </c>
    </row>
    <row r="35" spans="1:11" x14ac:dyDescent="0.25">
      <c r="A35" s="3" t="s">
        <v>125</v>
      </c>
      <c r="B35" s="6">
        <f>B33/B12</f>
        <v>768019.09405741328</v>
      </c>
      <c r="C35" s="6" t="e">
        <f>C33/C12</f>
        <v>#DIV/0!</v>
      </c>
      <c r="D35" s="6">
        <f t="shared" ref="D35:K35" si="7">D33/D12</f>
        <v>277968.27203002857</v>
      </c>
      <c r="E35" s="6">
        <f>E33/E12</f>
        <v>605108.29035443533</v>
      </c>
      <c r="F35" s="6">
        <f t="shared" si="7"/>
        <v>381894.47465927067</v>
      </c>
      <c r="G35" s="6">
        <f t="shared" si="7"/>
        <v>5774.1309840425529</v>
      </c>
      <c r="H35" s="6">
        <f t="shared" si="7"/>
        <v>15679.798041894353</v>
      </c>
      <c r="I35" s="6" t="e">
        <f t="shared" si="7"/>
        <v>#DIV/0!</v>
      </c>
      <c r="J35" s="6" t="e">
        <f t="shared" si="7"/>
        <v>#DIV/0!</v>
      </c>
      <c r="K35" s="6" t="e">
        <f t="shared" si="7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69</v>
      </c>
      <c r="C40" s="23" t="s">
        <v>69</v>
      </c>
      <c r="D40" s="23" t="s">
        <v>69</v>
      </c>
      <c r="E40" s="23" t="s">
        <v>69</v>
      </c>
      <c r="F40" s="23" t="s">
        <v>69</v>
      </c>
      <c r="G40" s="23" t="s">
        <v>69</v>
      </c>
      <c r="H40" s="23" t="s">
        <v>69</v>
      </c>
      <c r="I40" s="23" t="s">
        <v>69</v>
      </c>
      <c r="J40" s="23" t="s">
        <v>69</v>
      </c>
      <c r="K40" s="23" t="s">
        <v>69</v>
      </c>
    </row>
    <row r="41" spans="1:11" x14ac:dyDescent="0.25">
      <c r="A41" t="s">
        <v>13</v>
      </c>
      <c r="B41" s="23" t="s">
        <v>69</v>
      </c>
      <c r="C41" s="23" t="s">
        <v>69</v>
      </c>
      <c r="D41" s="23" t="s">
        <v>69</v>
      </c>
      <c r="E41" s="23" t="s">
        <v>69</v>
      </c>
      <c r="F41" s="23" t="s">
        <v>69</v>
      </c>
      <c r="G41" s="23" t="s">
        <v>69</v>
      </c>
      <c r="H41" s="23" t="s">
        <v>69</v>
      </c>
      <c r="I41" s="23" t="s">
        <v>69</v>
      </c>
      <c r="J41" s="23" t="s">
        <v>69</v>
      </c>
      <c r="K41" s="23" t="s">
        <v>69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 t="shared" ref="B44:K44" si="8">B12/B11*100</f>
        <v>82.642944858777355</v>
      </c>
      <c r="C44" s="7" t="e">
        <f t="shared" si="8"/>
        <v>#DIV/0!</v>
      </c>
      <c r="D44" s="7">
        <f t="shared" si="8"/>
        <v>143.15119206278689</v>
      </c>
      <c r="E44" s="7">
        <f t="shared" si="8"/>
        <v>254.50473729543498</v>
      </c>
      <c r="F44" s="7">
        <f t="shared" si="8"/>
        <v>98.59428742335875</v>
      </c>
      <c r="G44" s="7">
        <f t="shared" si="8"/>
        <v>63.133150500923485</v>
      </c>
      <c r="H44" s="7">
        <f t="shared" si="8"/>
        <v>219.59999999999997</v>
      </c>
      <c r="I44" s="7">
        <f t="shared" si="8"/>
        <v>0</v>
      </c>
      <c r="J44" s="7" t="e">
        <f t="shared" si="8"/>
        <v>#DIV/0!</v>
      </c>
      <c r="K44" s="7" t="e">
        <f t="shared" si="8"/>
        <v>#DIV/0!</v>
      </c>
    </row>
    <row r="45" spans="1:11" x14ac:dyDescent="0.25">
      <c r="A45" t="s">
        <v>16</v>
      </c>
      <c r="B45" s="7">
        <f t="shared" ref="B45:K45" si="9">B18/B17*100</f>
        <v>84.531374555683996</v>
      </c>
      <c r="C45" s="7" t="e">
        <f t="shared" si="9"/>
        <v>#DIV/0!</v>
      </c>
      <c r="D45" s="7">
        <f t="shared" si="9"/>
        <v>108.75635115234329</v>
      </c>
      <c r="E45" s="7">
        <f t="shared" si="9"/>
        <v>109.61332663650371</v>
      </c>
      <c r="F45" s="7">
        <f t="shared" si="9"/>
        <v>102.91031911963459</v>
      </c>
      <c r="G45" s="7">
        <f t="shared" si="9"/>
        <v>18.291890972918758</v>
      </c>
      <c r="H45" s="7">
        <f t="shared" si="9"/>
        <v>23.178176315030292</v>
      </c>
      <c r="I45" s="7">
        <f t="shared" si="9"/>
        <v>36.225840260345052</v>
      </c>
      <c r="J45" s="7">
        <f t="shared" si="9"/>
        <v>171.59418797681249</v>
      </c>
      <c r="K45" s="7">
        <f t="shared" si="9"/>
        <v>86.403798859312602</v>
      </c>
    </row>
    <row r="46" spans="1:11" x14ac:dyDescent="0.25">
      <c r="A46" t="s">
        <v>17</v>
      </c>
      <c r="B46" s="7">
        <f t="shared" ref="B46:K46" si="10">AVERAGE(B44:B45)</f>
        <v>83.587159707230683</v>
      </c>
      <c r="C46" s="7" t="e">
        <f t="shared" si="10"/>
        <v>#DIV/0!</v>
      </c>
      <c r="D46" s="7">
        <f t="shared" si="10"/>
        <v>125.95377160756509</v>
      </c>
      <c r="E46" s="7">
        <f t="shared" si="10"/>
        <v>182.05903196596935</v>
      </c>
      <c r="F46" s="7">
        <f t="shared" si="10"/>
        <v>100.75230327149667</v>
      </c>
      <c r="G46" s="7">
        <f t="shared" si="10"/>
        <v>40.712520736921121</v>
      </c>
      <c r="H46" s="7">
        <f t="shared" si="10"/>
        <v>121.38908815751513</v>
      </c>
      <c r="I46" s="7">
        <f t="shared" si="10"/>
        <v>18.112920130172526</v>
      </c>
      <c r="J46" s="7" t="e">
        <f t="shared" si="10"/>
        <v>#DIV/0!</v>
      </c>
      <c r="K46" s="7" t="e">
        <f t="shared" si="10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4">
        <f>B12/(B13)*100</f>
        <v>82.494693096540786</v>
      </c>
      <c r="C49" s="34" t="e">
        <f t="shared" ref="C49:K49" si="11">C12/(C13)*100</f>
        <v>#DIV/0!</v>
      </c>
      <c r="D49" s="34">
        <f t="shared" si="11"/>
        <v>190.7835010854549</v>
      </c>
      <c r="E49" s="34">
        <f t="shared" si="11"/>
        <v>328.31111111111113</v>
      </c>
      <c r="F49" s="34">
        <f t="shared" si="11"/>
        <v>131.51805306203869</v>
      </c>
      <c r="G49" s="34">
        <f t="shared" si="11"/>
        <v>62.385929981748802</v>
      </c>
      <c r="H49" s="34">
        <f t="shared" si="11"/>
        <v>97.652081109925291</v>
      </c>
      <c r="I49" s="34">
        <f t="shared" si="11"/>
        <v>0</v>
      </c>
      <c r="J49" s="34" t="e">
        <f t="shared" si="11"/>
        <v>#DIV/0!</v>
      </c>
      <c r="K49" s="34" t="e">
        <f t="shared" si="11"/>
        <v>#DIV/0!</v>
      </c>
      <c r="L49" s="24"/>
    </row>
    <row r="50" spans="1:12" x14ac:dyDescent="0.25">
      <c r="A50" t="s">
        <v>20</v>
      </c>
      <c r="B50" s="7">
        <f>B18/B19*100</f>
        <v>65.2800895130366</v>
      </c>
      <c r="C50" s="7" t="e">
        <f>C18/C19*100</f>
        <v>#DIV/0!</v>
      </c>
      <c r="D50" s="7">
        <f t="shared" ref="D50:K50" si="12">D18/D19*100</f>
        <v>108.75635115234329</v>
      </c>
      <c r="E50" s="7">
        <f t="shared" si="12"/>
        <v>100.92509707537269</v>
      </c>
      <c r="F50" s="7">
        <f t="shared" si="12"/>
        <v>102.91031911963459</v>
      </c>
      <c r="G50" s="7">
        <f t="shared" si="12"/>
        <v>12.744360779699715</v>
      </c>
      <c r="H50" s="7">
        <f t="shared" si="12"/>
        <v>7.7260587716767635</v>
      </c>
      <c r="I50" s="7">
        <f t="shared" si="12"/>
        <v>25.358088672575217</v>
      </c>
      <c r="J50" s="7">
        <f t="shared" si="12"/>
        <v>171.59418797681249</v>
      </c>
      <c r="K50" s="7">
        <f t="shared" si="12"/>
        <v>64.802849144484469</v>
      </c>
    </row>
    <row r="51" spans="1:12" x14ac:dyDescent="0.25">
      <c r="A51" t="s">
        <v>21</v>
      </c>
      <c r="B51" s="7">
        <f>(B49+B50)/2</f>
        <v>73.887391304788693</v>
      </c>
      <c r="C51" s="7" t="e">
        <f>(C49+C50)/2</f>
        <v>#DIV/0!</v>
      </c>
      <c r="D51" s="7">
        <f t="shared" ref="D51:K51" si="13">(D49+D50)/2</f>
        <v>149.76992611889909</v>
      </c>
      <c r="E51" s="7">
        <f t="shared" si="13"/>
        <v>214.61810409324193</v>
      </c>
      <c r="F51" s="7">
        <f t="shared" si="13"/>
        <v>117.21418609083665</v>
      </c>
      <c r="G51" s="7">
        <f t="shared" si="13"/>
        <v>37.56514538072426</v>
      </c>
      <c r="H51" s="7">
        <f t="shared" si="13"/>
        <v>52.689069940801026</v>
      </c>
      <c r="I51" s="7">
        <f t="shared" si="13"/>
        <v>12.679044336287609</v>
      </c>
      <c r="J51" s="7" t="e">
        <f t="shared" si="13"/>
        <v>#DIV/0!</v>
      </c>
      <c r="K51" s="7" t="e">
        <f t="shared" si="13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>B20/B18*100</f>
        <v>31.592895717065467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93.5556283028574</v>
      </c>
      <c r="C57" s="7">
        <f>((C12/C10)-1)*100</f>
        <v>-100</v>
      </c>
      <c r="D57" s="7">
        <f t="shared" ref="D57:K57" si="14">((D12/D10)-1)*100</f>
        <v>31.649189704480474</v>
      </c>
      <c r="E57" s="7">
        <f>((E12/E10)-1)*100</f>
        <v>-5.6456763315877012</v>
      </c>
      <c r="F57" s="7">
        <f t="shared" si="14"/>
        <v>13.692015864804263</v>
      </c>
      <c r="G57" s="7" t="e">
        <f t="shared" si="14"/>
        <v>#DIV/0!</v>
      </c>
      <c r="H57" s="7" t="e">
        <f t="shared" si="14"/>
        <v>#DIV/0!</v>
      </c>
      <c r="I57" s="7" t="e">
        <f t="shared" si="14"/>
        <v>#DIV/0!</v>
      </c>
      <c r="J57" s="7" t="e">
        <f t="shared" si="14"/>
        <v>#DIV/0!</v>
      </c>
      <c r="K57" s="7" t="e">
        <f t="shared" si="14"/>
        <v>#DIV/0!</v>
      </c>
      <c r="L57" s="24"/>
    </row>
    <row r="58" spans="1:12" x14ac:dyDescent="0.25">
      <c r="A58" t="s">
        <v>25</v>
      </c>
      <c r="B58" s="34">
        <f>((B33/B32)-1)*100</f>
        <v>6.5403037566610811</v>
      </c>
      <c r="C58" s="34">
        <f>((C33/C32)-1)*100</f>
        <v>-100</v>
      </c>
      <c r="D58" s="7">
        <f t="shared" ref="D58:K58" si="15">((D33/D32)-1)*100</f>
        <v>1.8764215514644134</v>
      </c>
      <c r="E58" s="7">
        <f>((E33/E32)-1)*100</f>
        <v>-13.976286575725993</v>
      </c>
      <c r="F58" s="7">
        <f t="shared" si="15"/>
        <v>22.73364046545472</v>
      </c>
      <c r="G58" s="7" t="e">
        <f t="shared" si="15"/>
        <v>#DIV/0!</v>
      </c>
      <c r="H58" s="7" t="e">
        <f t="shared" si="15"/>
        <v>#DIV/0!</v>
      </c>
      <c r="I58" s="7" t="e">
        <f t="shared" si="15"/>
        <v>#DIV/0!</v>
      </c>
      <c r="J58" s="7" t="e">
        <f t="shared" si="15"/>
        <v>#DIV/0!</v>
      </c>
      <c r="K58" s="7">
        <f t="shared" si="15"/>
        <v>0.16550177713707814</v>
      </c>
      <c r="L58" s="24"/>
    </row>
    <row r="59" spans="1:12" x14ac:dyDescent="0.25">
      <c r="A59" t="s">
        <v>26</v>
      </c>
      <c r="B59" s="7">
        <f>((B35/B34)-1)*100</f>
        <v>-44.956235739134918</v>
      </c>
      <c r="C59" s="7" t="e">
        <f>((C35/C34)-1)*100</f>
        <v>#DIV/0!</v>
      </c>
      <c r="D59" s="7">
        <f t="shared" ref="D59:K59" si="16">((D35/D34)-1)*100</f>
        <v>-22.615230841791345</v>
      </c>
      <c r="E59" s="7">
        <f>((E35/E34)-1)*100</f>
        <v>-8.8290710168347992</v>
      </c>
      <c r="F59" s="7">
        <f t="shared" si="16"/>
        <v>7.9527348792919783</v>
      </c>
      <c r="G59" s="7" t="e">
        <f t="shared" si="16"/>
        <v>#DIV/0!</v>
      </c>
      <c r="H59" s="7" t="e">
        <f t="shared" si="16"/>
        <v>#DIV/0!</v>
      </c>
      <c r="I59" s="7" t="e">
        <f t="shared" si="16"/>
        <v>#DIV/0!</v>
      </c>
      <c r="J59" s="7" t="e">
        <f t="shared" si="16"/>
        <v>#DIV/0!</v>
      </c>
      <c r="K59" s="7" t="e">
        <f t="shared" si="16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28</v>
      </c>
      <c r="B62" s="4">
        <f>B17/(B11*9)</f>
        <v>140160.8242525534</v>
      </c>
      <c r="C62" s="4" t="e">
        <f>C17/(C11*9)</f>
        <v>#DIV/0!</v>
      </c>
      <c r="D62" s="4">
        <f t="shared" ref="D62:K62" si="17">D17/(D11*9)</f>
        <v>68297.112098326674</v>
      </c>
      <c r="E62" s="4">
        <f t="shared" si="17"/>
        <v>262260.19977260981</v>
      </c>
      <c r="F62" s="4">
        <f t="shared" si="17"/>
        <v>68297.211903693737</v>
      </c>
      <c r="G62" s="4">
        <f t="shared" si="17"/>
        <v>3720.0798492565436</v>
      </c>
      <c r="H62" s="4">
        <f t="shared" si="17"/>
        <v>27730.666666666668</v>
      </c>
      <c r="I62" s="4">
        <f t="shared" si="17"/>
        <v>99697.538872234116</v>
      </c>
      <c r="J62" s="4" t="e">
        <f t="shared" si="17"/>
        <v>#DIV/0!</v>
      </c>
      <c r="K62" s="4" t="e">
        <f t="shared" si="17"/>
        <v>#DIV/0!</v>
      </c>
    </row>
    <row r="63" spans="1:12" x14ac:dyDescent="0.25">
      <c r="A63" t="s">
        <v>29</v>
      </c>
      <c r="B63" s="4">
        <f>B18/(B12*9)</f>
        <v>143363.5642240505</v>
      </c>
      <c r="C63" s="4" t="e">
        <f>C18/(C12*9)</f>
        <v>#DIV/0!</v>
      </c>
      <c r="D63" s="4">
        <f t="shared" ref="D63:K63" si="18">D18/(D12*9)</f>
        <v>51887.410778938654</v>
      </c>
      <c r="E63" s="4">
        <f t="shared" si="18"/>
        <v>112953.54753282794</v>
      </c>
      <c r="F63" s="4">
        <f t="shared" si="18"/>
        <v>71286.968603063855</v>
      </c>
      <c r="G63" s="4">
        <f t="shared" si="18"/>
        <v>1077.8377836879433</v>
      </c>
      <c r="H63" s="4">
        <f t="shared" si="18"/>
        <v>2926.8956344869462</v>
      </c>
      <c r="I63" s="4" t="e">
        <f t="shared" si="18"/>
        <v>#DIV/0!</v>
      </c>
      <c r="J63" s="4" t="e">
        <f t="shared" si="18"/>
        <v>#DIV/0!</v>
      </c>
      <c r="K63" s="4" t="e">
        <f t="shared" si="18"/>
        <v>#DIV/0!</v>
      </c>
    </row>
    <row r="64" spans="1:12" x14ac:dyDescent="0.25">
      <c r="A64" t="s">
        <v>30</v>
      </c>
      <c r="B64" s="10">
        <f t="shared" ref="B64:K64" si="19">(B62/B63)*B46</f>
        <v>81.719823756515325</v>
      </c>
      <c r="C64" s="10" t="e">
        <f t="shared" si="19"/>
        <v>#DIV/0!</v>
      </c>
      <c r="D64" s="10">
        <f t="shared" si="19"/>
        <v>165.78739870713716</v>
      </c>
      <c r="E64" s="10">
        <f t="shared" si="19"/>
        <v>422.71216032348434</v>
      </c>
      <c r="F64" s="10">
        <f t="shared" si="19"/>
        <v>96.526778191868289</v>
      </c>
      <c r="G64" s="10">
        <f t="shared" si="19"/>
        <v>140.51634698464838</v>
      </c>
      <c r="H64" s="10">
        <f t="shared" si="19"/>
        <v>1150.0923712494198</v>
      </c>
      <c r="I64" s="10" t="e">
        <f t="shared" si="19"/>
        <v>#DIV/0!</v>
      </c>
      <c r="J64" s="10" t="e">
        <f t="shared" si="19"/>
        <v>#DIV/0!</v>
      </c>
      <c r="K64" s="10" t="e">
        <f t="shared" si="19"/>
        <v>#DIV/0!</v>
      </c>
    </row>
    <row r="65" spans="1:11" x14ac:dyDescent="0.25">
      <c r="A65" t="s">
        <v>67</v>
      </c>
      <c r="B65" s="4">
        <f>B17/B11</f>
        <v>1261447.4182729805</v>
      </c>
      <c r="C65" s="4" t="e">
        <f>C17/C11</f>
        <v>#DIV/0!</v>
      </c>
      <c r="D65" s="4">
        <f t="shared" ref="D65:K66" si="20">D17/D11</f>
        <v>614674.00888493995</v>
      </c>
      <c r="E65" s="4">
        <f t="shared" si="20"/>
        <v>2360341.7979534883</v>
      </c>
      <c r="F65" s="4">
        <f t="shared" si="20"/>
        <v>614674.90713324363</v>
      </c>
      <c r="G65" s="4">
        <f t="shared" si="20"/>
        <v>33480.718643308894</v>
      </c>
      <c r="H65" s="4">
        <f t="shared" si="20"/>
        <v>249576</v>
      </c>
      <c r="I65" s="4">
        <f t="shared" si="20"/>
        <v>897277.8498501071</v>
      </c>
      <c r="J65" s="4" t="e">
        <f t="shared" si="20"/>
        <v>#DIV/0!</v>
      </c>
      <c r="K65" s="4" t="e">
        <f t="shared" si="20"/>
        <v>#DIV/0!</v>
      </c>
    </row>
    <row r="66" spans="1:11" x14ac:dyDescent="0.25">
      <c r="A66" t="s">
        <v>68</v>
      </c>
      <c r="B66" s="4">
        <f>B18/B12</f>
        <v>1290272.0780164544</v>
      </c>
      <c r="C66" s="4" t="e">
        <f>C18/C12</f>
        <v>#DIV/0!</v>
      </c>
      <c r="D66" s="4">
        <f t="shared" si="20"/>
        <v>466986.69701044791</v>
      </c>
      <c r="E66" s="4">
        <f t="shared" si="20"/>
        <v>1016581.9277954514</v>
      </c>
      <c r="F66" s="4">
        <f t="shared" si="20"/>
        <v>641582.71742757468</v>
      </c>
      <c r="G66" s="4">
        <f t="shared" si="20"/>
        <v>9700.5400531914893</v>
      </c>
      <c r="H66" s="4">
        <f t="shared" si="20"/>
        <v>26342.060710382513</v>
      </c>
      <c r="I66" s="4" t="e">
        <f t="shared" si="20"/>
        <v>#DIV/0!</v>
      </c>
      <c r="J66" s="4" t="e">
        <f t="shared" si="20"/>
        <v>#DIV/0!</v>
      </c>
      <c r="K66" s="4" t="e">
        <f t="shared" si="20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78.467897281301404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107.72733497961021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83</v>
      </c>
    </row>
    <row r="75" spans="1:11" x14ac:dyDescent="0.25">
      <c r="A75" t="s">
        <v>84</v>
      </c>
      <c r="B75" s="10"/>
      <c r="C75" s="10"/>
      <c r="D75" s="10"/>
      <c r="E75" s="10"/>
      <c r="F75" s="10"/>
    </row>
    <row r="76" spans="1:11" x14ac:dyDescent="0.25">
      <c r="A76" t="s">
        <v>85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136</v>
      </c>
    </row>
  </sheetData>
  <mergeCells count="4">
    <mergeCell ref="A4:A5"/>
    <mergeCell ref="B4:B5"/>
    <mergeCell ref="C4:K4"/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tabSelected="1" zoomScale="80" zoomScaleNormal="80" workbookViewId="0">
      <selection activeCell="L12" sqref="L12"/>
    </sheetView>
  </sheetViews>
  <sheetFormatPr baseColWidth="10" defaultColWidth="11.42578125" defaultRowHeight="15" x14ac:dyDescent="0.25"/>
  <cols>
    <col min="1" max="1" width="55.140625" customWidth="1"/>
    <col min="2" max="2" width="17.5703125" bestFit="1" customWidth="1"/>
    <col min="3" max="3" width="17.5703125" customWidth="1"/>
    <col min="4" max="4" width="16.5703125" bestFit="1" customWidth="1"/>
    <col min="5" max="5" width="16.42578125" customWidth="1"/>
    <col min="6" max="6" width="17.5703125" bestFit="1" customWidth="1"/>
    <col min="7" max="8" width="15.28515625" customWidth="1"/>
    <col min="9" max="9" width="15.7109375" customWidth="1"/>
    <col min="10" max="10" width="13.7109375" customWidth="1"/>
    <col min="11" max="11" width="16.140625" customWidth="1"/>
  </cols>
  <sheetData>
    <row r="2" spans="1:17" ht="15.75" x14ac:dyDescent="0.25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17" x14ac:dyDescent="0.25">
      <c r="A4" s="58" t="s">
        <v>0</v>
      </c>
      <c r="B4" s="21"/>
      <c r="C4" s="21"/>
      <c r="D4" s="63" t="s">
        <v>2</v>
      </c>
      <c r="E4" s="63"/>
      <c r="F4" s="63"/>
      <c r="G4" s="63"/>
      <c r="H4" s="63"/>
      <c r="I4" s="63"/>
      <c r="J4" s="63"/>
      <c r="K4" s="28"/>
    </row>
    <row r="5" spans="1:17" ht="75.75" thickBot="1" x14ac:dyDescent="0.3">
      <c r="A5" s="59"/>
      <c r="B5" s="1" t="s">
        <v>1</v>
      </c>
      <c r="C5" s="36" t="s">
        <v>132</v>
      </c>
      <c r="D5" s="37" t="s">
        <v>86</v>
      </c>
      <c r="E5" s="37" t="s">
        <v>87</v>
      </c>
      <c r="F5" s="37" t="s">
        <v>88</v>
      </c>
      <c r="G5" s="37" t="s">
        <v>89</v>
      </c>
      <c r="H5" s="37" t="s">
        <v>90</v>
      </c>
      <c r="I5" s="37" t="s">
        <v>91</v>
      </c>
      <c r="J5" s="37" t="s">
        <v>139</v>
      </c>
      <c r="K5" s="37" t="s">
        <v>133</v>
      </c>
      <c r="Q5" s="44"/>
    </row>
    <row r="6" spans="1:17" ht="15.75" thickTop="1" x14ac:dyDescent="0.25"/>
    <row r="7" spans="1:17" x14ac:dyDescent="0.25">
      <c r="A7" s="2" t="s">
        <v>3</v>
      </c>
    </row>
    <row r="9" spans="1:17" x14ac:dyDescent="0.25">
      <c r="A9" t="s">
        <v>4</v>
      </c>
    </row>
    <row r="10" spans="1:17" x14ac:dyDescent="0.25">
      <c r="A10" s="3" t="s">
        <v>61</v>
      </c>
      <c r="B10" s="50">
        <f>C10+D10+E10+F10+G10+H10+I10</f>
        <v>4803.75</v>
      </c>
      <c r="C10" s="13">
        <f>(+'I Trimestre'!C10+'II trimestre'!C10+'III Trimestre'!C10+'IV Trimestre'!C10)/4</f>
        <v>746.50000000000011</v>
      </c>
      <c r="D10" s="13">
        <f>(+'I Trimestre'!D10+'II trimestre'!D10+'III Trimestre'!D10+'IV Trimestre'!D10)/4</f>
        <v>1641.25</v>
      </c>
      <c r="E10" s="13">
        <f>(+'I Trimestre'!E10+'II trimestre'!E10+'III Trimestre'!E10+'IV Trimestre'!E10)/4</f>
        <v>1728.2500000000002</v>
      </c>
      <c r="F10" s="13">
        <f>(+'I Trimestre'!F10+'II trimestre'!F10+'III Trimestre'!F10+'IV Trimestre'!F10)/4</f>
        <v>687.75</v>
      </c>
      <c r="G10" s="13">
        <f>(+'I Trimestre'!G10+'II trimestre'!G10+'III Trimestre'!G10+'IV Trimestre'!G10)/4</f>
        <v>0</v>
      </c>
      <c r="H10" s="13">
        <f>(+'I Trimestre'!H10+'II trimestre'!H10+'III Trimestre'!H10+'IV Trimestre'!H10)/4</f>
        <v>0</v>
      </c>
      <c r="I10" s="13">
        <f>(+'I Trimestre'!I10+'II trimestre'!I10+'III Trimestre'!I10+'IV Trimestre'!I10)/4</f>
        <v>0</v>
      </c>
      <c r="J10" s="13">
        <f>(+'I Trimestre'!J10+'II trimestre'!J10+'III Trimestre'!J10+'IV Trimestre'!J10)/4</f>
        <v>0</v>
      </c>
      <c r="K10" s="24"/>
    </row>
    <row r="11" spans="1:17" x14ac:dyDescent="0.25">
      <c r="A11" s="3" t="s">
        <v>126</v>
      </c>
      <c r="B11" s="50">
        <f t="shared" ref="B11:B13" si="0">C11+D11+E11+F11+G11+H11+I11</f>
        <v>11148.5</v>
      </c>
      <c r="C11" s="13">
        <f>(+'I Trimestre'!C11+'II trimestre'!C11+'III Trimestre'!C11+'IV Trimestre'!C11)/4</f>
        <v>0</v>
      </c>
      <c r="D11" s="13">
        <f>(+'I Trimestre'!D11+'II trimestre'!D11+'III Trimestre'!D11+'IV Trimestre'!D11)/4</f>
        <v>1125.5</v>
      </c>
      <c r="E11" s="13">
        <f>(+'I Trimestre'!E11+'II trimestre'!E11+'III Trimestre'!E11+'IV Trimestre'!E11)/4</f>
        <v>500</v>
      </c>
      <c r="F11" s="13">
        <f>(+'I Trimestre'!F11+'II trimestre'!F11+'III Trimestre'!F11+'IV Trimestre'!F11)/4</f>
        <v>557.25</v>
      </c>
      <c r="G11" s="13">
        <f>(+'I Trimestre'!G11+'II trimestre'!G11+'III Trimestre'!G11+'IV Trimestre'!G11)/4</f>
        <v>6026.75</v>
      </c>
      <c r="H11" s="13">
        <f>(+'I Trimestre'!H11+'II trimestre'!H11+'III Trimestre'!H11+'IV Trimestre'!H11)/4</f>
        <v>937.5</v>
      </c>
      <c r="I11" s="13">
        <f>(+'I Trimestre'!I11+'II trimestre'!I11+'III Trimestre'!I11+'IV Trimestre'!I11)/4</f>
        <v>2001.5</v>
      </c>
      <c r="J11" s="13">
        <f>(+'I Trimestre'!J11+'II trimestre'!J11+'III Trimestre'!J11+'IV Trimestre'!J11)/4</f>
        <v>0</v>
      </c>
      <c r="K11" s="24"/>
    </row>
    <row r="12" spans="1:17" x14ac:dyDescent="0.25">
      <c r="A12" s="3" t="s">
        <v>127</v>
      </c>
      <c r="B12" s="50">
        <f t="shared" si="0"/>
        <v>9383.1666666666679</v>
      </c>
      <c r="C12" s="13">
        <f>(+'I Trimestre'!C12+'II trimestre'!C12+'III Trimestre'!C12+'IV Trimestre'!C12)/4</f>
        <v>0</v>
      </c>
      <c r="D12" s="13">
        <f>(+'I Trimestre'!D12+'II trimestre'!D12+'III Trimestre'!D12+'IV Trimestre'!D12)/4</f>
        <v>2285.5833333333335</v>
      </c>
      <c r="E12" s="13">
        <f>(+'I Trimestre'!E12+'II trimestre'!E12+'III Trimestre'!E12+'IV Trimestre'!E12)/4</f>
        <v>1662.5</v>
      </c>
      <c r="F12" s="13">
        <f>(+'I Trimestre'!F12+'II trimestre'!F12+'III Trimestre'!F12+'IV Trimestre'!F12)/4</f>
        <v>760.08333333333326</v>
      </c>
      <c r="G12" s="13">
        <f>(+'I Trimestre'!G12+'II trimestre'!G12+'III Trimestre'!G12+'IV Trimestre'!G12)/4</f>
        <v>3760</v>
      </c>
      <c r="H12" s="13">
        <f>(+'I Trimestre'!H12+'II trimestre'!H12+'III Trimestre'!H12+'IV Trimestre'!H12)/4</f>
        <v>915</v>
      </c>
      <c r="I12" s="13">
        <f>(+'I Trimestre'!I12+'II trimestre'!I12+'III Trimestre'!I12+'IV Trimestre'!I12)/4</f>
        <v>0</v>
      </c>
      <c r="J12" s="13">
        <f>(+'I Trimestre'!J12+'II trimestre'!J12+'III Trimestre'!J12+'IV Trimestre'!J12)/4</f>
        <v>0</v>
      </c>
    </row>
    <row r="13" spans="1:17" s="44" customFormat="1" x14ac:dyDescent="0.25">
      <c r="A13" s="45" t="s">
        <v>78</v>
      </c>
      <c r="B13" s="50">
        <f t="shared" si="0"/>
        <v>11149</v>
      </c>
      <c r="C13" s="13">
        <f>+'IV Trimestre'!C13</f>
        <v>0</v>
      </c>
      <c r="D13" s="13">
        <f>+'IV Trimestre'!D13</f>
        <v>1126</v>
      </c>
      <c r="E13" s="13">
        <f>+'IV Trimestre'!E13</f>
        <v>500</v>
      </c>
      <c r="F13" s="13">
        <f>+'IV Trimestre'!F13</f>
        <v>557</v>
      </c>
      <c r="G13" s="13">
        <f>+'IV Trimestre'!G13</f>
        <v>6027</v>
      </c>
      <c r="H13" s="13">
        <f>+'IV Trimestre'!H13</f>
        <v>937</v>
      </c>
      <c r="I13" s="13">
        <f>+'IV Trimestre'!I13</f>
        <v>2002</v>
      </c>
      <c r="J13" s="13">
        <f>+'IV Trimestre'!J13</f>
        <v>0</v>
      </c>
      <c r="K13" s="46"/>
    </row>
    <row r="15" spans="1:17" x14ac:dyDescent="0.25">
      <c r="A15" s="5" t="s">
        <v>5</v>
      </c>
    </row>
    <row r="16" spans="1:17" x14ac:dyDescent="0.25">
      <c r="A16" s="3" t="s">
        <v>37</v>
      </c>
      <c r="B16" s="4">
        <f>SUM(C16:K16)</f>
        <v>14494455002.460001</v>
      </c>
      <c r="C16" s="13">
        <f>+'I Trimestre'!C16+'II trimestre'!C16+'III Trimestre'!C16+'IV Trimestre'!C16</f>
        <v>102336832.75</v>
      </c>
      <c r="D16" s="13">
        <f>+'I Trimestre'!D16+'II trimestre'!D16+'III Trimestre'!D16+'IV Trimestre'!D16</f>
        <v>1269189296.8</v>
      </c>
      <c r="E16" s="13">
        <f>+'I Trimestre'!E16+'II trimestre'!E16+'III Trimestre'!E16+'IV Trimestre'!E16</f>
        <v>2125325633.0999999</v>
      </c>
      <c r="F16" s="13">
        <f>+'I Trimestre'!F16+'II trimestre'!F16+'III Trimestre'!F16+'IV Trimestre'!F16</f>
        <v>525250376.75</v>
      </c>
      <c r="G16" s="13">
        <f>+'I Trimestre'!G16+'II trimestre'!G16+'III Trimestre'!G16+'IV Trimestre'!G16</f>
        <v>0</v>
      </c>
      <c r="H16" s="13">
        <f>+'I Trimestre'!H16+'II trimestre'!H16+'III Trimestre'!H16+'IV Trimestre'!H16</f>
        <v>0</v>
      </c>
      <c r="I16" s="13">
        <f>+'I Trimestre'!I16+'II trimestre'!I16+'III Trimestre'!I16+'IV Trimestre'!I16</f>
        <v>0</v>
      </c>
      <c r="J16" s="13">
        <f>+'I Trimestre'!J16+'II trimestre'!J16+'III Trimestre'!J16+'IV Trimestre'!J16</f>
        <v>0</v>
      </c>
      <c r="K16" s="13">
        <f>+'I Trimestre'!K16+'II trimestre'!K16+'III Trimestre'!K16+'IV Trimestre'!K16</f>
        <v>10472352863.060001</v>
      </c>
    </row>
    <row r="17" spans="1:12" x14ac:dyDescent="0.25">
      <c r="A17" s="3" t="s">
        <v>126</v>
      </c>
      <c r="B17" s="4">
        <f t="shared" ref="B17:B19" si="1">SUM(C17:K17)</f>
        <v>18178685891.760002</v>
      </c>
      <c r="C17" s="13">
        <f>+'I Trimestre'!C17+'II trimestre'!C17+'III Trimestre'!C17+'IV Trimestre'!C17</f>
        <v>0</v>
      </c>
      <c r="D17" s="13">
        <f>+'I Trimestre'!D17+'II trimestre'!D17+'III Trimestre'!D17+'IV Trimestre'!D17</f>
        <v>922420796</v>
      </c>
      <c r="E17" s="13">
        <f>+'I Trimestre'!E17+'II trimestre'!E17+'III Trimestre'!E17+'IV Trimestre'!E17</f>
        <v>1653479421.48</v>
      </c>
      <c r="F17" s="13">
        <f>+'I Trimestre'!F17+'II trimestre'!F17+'III Trimestre'!F17+'IV Trimestre'!F17</f>
        <v>456703456</v>
      </c>
      <c r="G17" s="13">
        <f>+'I Trimestre'!G17+'II trimestre'!G17+'III Trimestre'!G17+'IV Trimestre'!G17</f>
        <v>286197411</v>
      </c>
      <c r="H17" s="13">
        <f>+'I Trimestre'!H17+'II trimestre'!H17+'III Trimestre'!H17+'IV Trimestre'!H17</f>
        <v>311970000</v>
      </c>
      <c r="I17" s="13">
        <f>+'I Trimestre'!I17+'II trimestre'!I17+'III Trimestre'!I17+'IV Trimestre'!I17</f>
        <v>2394450033.5999999</v>
      </c>
      <c r="J17" s="13">
        <f>+'I Trimestre'!J17+'II trimestre'!J17+'III Trimestre'!J17+'IV Trimestre'!J17</f>
        <v>170000010</v>
      </c>
      <c r="K17" s="13">
        <f>+'I Trimestre'!K17+'II trimestre'!K17+'III Trimestre'!K17+'IV Trimestre'!K17</f>
        <v>11983464763.68</v>
      </c>
    </row>
    <row r="18" spans="1:12" x14ac:dyDescent="0.25">
      <c r="A18" s="3" t="s">
        <v>127</v>
      </c>
      <c r="B18" s="4">
        <f t="shared" si="1"/>
        <v>16507982952.27</v>
      </c>
      <c r="C18" s="13">
        <f>+'I Trimestre'!C18+'II trimestre'!C18+'III Trimestre'!C18+'IV Trimestre'!C18</f>
        <v>0</v>
      </c>
      <c r="D18" s="13">
        <f>+'I Trimestre'!D18+'II trimestre'!D18+'III Trimestre'!D18+'IV Trimestre'!D18</f>
        <v>1365980920</v>
      </c>
      <c r="E18" s="13">
        <f>+'I Trimestre'!E18+'II trimestre'!E18+'III Trimestre'!E18+'IV Trimestre'!E18</f>
        <v>1668775711.25</v>
      </c>
      <c r="F18" s="13">
        <f>+'I Trimestre'!F18+'II trimestre'!F18+'III Trimestre'!F18+'IV Trimestre'!F18</f>
        <v>684907501</v>
      </c>
      <c r="G18" s="13">
        <f>+'I Trimestre'!G18+'II trimestre'!G18+'III Trimestre'!G18+'IV Trimestre'!G18</f>
        <v>121375328</v>
      </c>
      <c r="H18" s="13">
        <f>+'I Trimestre'!H18+'II trimestre'!H18+'III Trimestre'!H18+'IV Trimestre'!H18</f>
        <v>169730269</v>
      </c>
      <c r="I18" s="13">
        <f>+'I Trimestre'!I18+'II trimestre'!I18+'III Trimestre'!I18+'IV Trimestre'!I18</f>
        <v>1139982433.29</v>
      </c>
      <c r="J18" s="13">
        <f>+'I Trimestre'!J18+'II trimestre'!J18+'III Trimestre'!J18+'IV Trimestre'!J18</f>
        <v>433552732.67000002</v>
      </c>
      <c r="K18" s="13">
        <f>+'I Trimestre'!K18+'II trimestre'!K18+'III Trimestre'!K18+'IV Trimestre'!K18</f>
        <v>10923678057.060001</v>
      </c>
    </row>
    <row r="19" spans="1:12" x14ac:dyDescent="0.25">
      <c r="A19" s="3" t="s">
        <v>78</v>
      </c>
      <c r="B19" s="4">
        <f t="shared" si="1"/>
        <v>18178685845.459999</v>
      </c>
      <c r="C19" s="4">
        <f>+'IV Trimestre'!C19</f>
        <v>0</v>
      </c>
      <c r="D19" s="4">
        <f>+'IV Trimestre'!D19</f>
        <v>922420796</v>
      </c>
      <c r="E19" s="4">
        <f>+'IV Trimestre'!E19</f>
        <v>1653479421.4799993</v>
      </c>
      <c r="F19" s="4">
        <f>+'IV Trimestre'!F19</f>
        <v>456703456</v>
      </c>
      <c r="G19" s="4">
        <f>+'IV Trimestre'!G19</f>
        <v>286197411</v>
      </c>
      <c r="H19" s="4">
        <f>+'IV Trimestre'!H19</f>
        <v>311970000</v>
      </c>
      <c r="I19" s="4">
        <f>+'IV Trimestre'!I19</f>
        <v>2394449987.2999997</v>
      </c>
      <c r="J19" s="4">
        <f>+'IV Trimestre'!J19</f>
        <v>170000010</v>
      </c>
      <c r="K19" s="4">
        <f>+'IV Trimestre'!K19</f>
        <v>11983464763.679998</v>
      </c>
      <c r="L19" s="24"/>
    </row>
    <row r="20" spans="1:12" x14ac:dyDescent="0.25">
      <c r="A20" s="3" t="s">
        <v>128</v>
      </c>
      <c r="B20" s="51">
        <f>C20+D20+E20+F20+I20</f>
        <v>4859646565.54</v>
      </c>
      <c r="C20" s="50">
        <f>+'I Trimestre'!C20+'II trimestre'!C20+'III Trimestre'!C20+'IV Trimestre'!C20</f>
        <v>0</v>
      </c>
      <c r="D20" s="50">
        <f t="shared" ref="D20:J20" si="2">D18</f>
        <v>1365980920</v>
      </c>
      <c r="E20" s="50">
        <f t="shared" si="2"/>
        <v>1668775711.25</v>
      </c>
      <c r="F20" s="50">
        <f t="shared" si="2"/>
        <v>684907501</v>
      </c>
      <c r="G20" s="50">
        <f t="shared" si="2"/>
        <v>121375328</v>
      </c>
      <c r="H20" s="50">
        <f t="shared" si="2"/>
        <v>169730269</v>
      </c>
      <c r="I20" s="50">
        <f t="shared" si="2"/>
        <v>1139982433.29</v>
      </c>
      <c r="J20" s="50">
        <f t="shared" si="2"/>
        <v>433552732.67000002</v>
      </c>
      <c r="K20" s="57"/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126</v>
      </c>
      <c r="B23" s="13">
        <f>'I Trimestre'!B23+'II trimestre'!B23+'III Trimestre'!B23+'IV Trimestre'!B23</f>
        <v>18178685891.759998</v>
      </c>
      <c r="C23" s="13"/>
      <c r="D23" s="4"/>
      <c r="E23" s="4"/>
      <c r="F23" s="4"/>
      <c r="G23" s="4"/>
      <c r="H23" s="4"/>
    </row>
    <row r="24" spans="1:12" x14ac:dyDescent="0.25">
      <c r="A24" s="3" t="s">
        <v>127</v>
      </c>
      <c r="B24" s="13">
        <f>'I Trimestre'!B24+'II trimestre'!B24+'III Trimestre'!B24+'IV Trimestre'!B24</f>
        <v>15929256408.049999</v>
      </c>
      <c r="C24" s="13"/>
      <c r="D24" s="4"/>
      <c r="E24" s="4"/>
      <c r="F24" s="4"/>
      <c r="G24" s="4"/>
      <c r="H24" s="4"/>
    </row>
    <row r="25" spans="1:12" x14ac:dyDescent="0.25">
      <c r="B25" s="4"/>
      <c r="C25" s="4"/>
      <c r="D25" s="4"/>
      <c r="E25" s="4"/>
      <c r="F25" s="4"/>
      <c r="G25" s="4"/>
      <c r="H25" s="4"/>
    </row>
    <row r="26" spans="1:12" x14ac:dyDescent="0.25">
      <c r="A26" t="s">
        <v>7</v>
      </c>
    </row>
    <row r="27" spans="1:12" x14ac:dyDescent="0.25">
      <c r="A27" s="3" t="s">
        <v>62</v>
      </c>
      <c r="B27" s="16">
        <v>1.61</v>
      </c>
      <c r="C27" s="16">
        <v>1.61</v>
      </c>
      <c r="D27" s="16">
        <v>1.61</v>
      </c>
      <c r="E27" s="16">
        <v>1.61</v>
      </c>
      <c r="F27" s="16">
        <v>1.61</v>
      </c>
      <c r="G27" s="16">
        <v>1.61</v>
      </c>
      <c r="H27" s="16">
        <v>1.61</v>
      </c>
      <c r="I27" s="16">
        <v>1.61</v>
      </c>
      <c r="J27" s="16">
        <v>1.61</v>
      </c>
      <c r="K27" s="16">
        <v>1.61</v>
      </c>
    </row>
    <row r="28" spans="1:12" x14ac:dyDescent="0.25">
      <c r="A28" s="3" t="s">
        <v>129</v>
      </c>
      <c r="B28" s="11">
        <v>1.69</v>
      </c>
      <c r="C28" s="11">
        <v>1.69</v>
      </c>
      <c r="D28" s="11">
        <v>1.69</v>
      </c>
      <c r="E28" s="11">
        <v>1.69</v>
      </c>
      <c r="F28" s="11">
        <v>1.69</v>
      </c>
      <c r="G28" s="11">
        <v>1.69</v>
      </c>
      <c r="H28" s="11">
        <v>1.69</v>
      </c>
      <c r="I28" s="11">
        <v>1.69</v>
      </c>
      <c r="J28" s="11">
        <v>1.69</v>
      </c>
      <c r="K28" s="11">
        <v>1.69</v>
      </c>
    </row>
    <row r="29" spans="1:12" x14ac:dyDescent="0.25">
      <c r="A29" s="3" t="s">
        <v>8</v>
      </c>
      <c r="B29" s="19" t="s">
        <v>70</v>
      </c>
      <c r="C29" s="19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 t="s">
        <v>70</v>
      </c>
    </row>
    <row r="31" spans="1:12" x14ac:dyDescent="0.25">
      <c r="A31" s="3" t="s">
        <v>9</v>
      </c>
    </row>
    <row r="32" spans="1:12" x14ac:dyDescent="0.25">
      <c r="A32" s="3" t="s">
        <v>63</v>
      </c>
      <c r="B32" s="22">
        <f>B16/B27</f>
        <v>9002767082.2732925</v>
      </c>
      <c r="C32" s="22">
        <f>C16/C27</f>
        <v>63563250.155279502</v>
      </c>
      <c r="D32" s="22">
        <f t="shared" ref="D32:K32" si="3">D16/D27</f>
        <v>788316333.41614902</v>
      </c>
      <c r="E32" s="22">
        <f>E16/E27</f>
        <v>1320078032.9813664</v>
      </c>
      <c r="F32" s="22">
        <f t="shared" si="3"/>
        <v>326242470.03105587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6504566995.6894417</v>
      </c>
    </row>
    <row r="33" spans="1:11" x14ac:dyDescent="0.25">
      <c r="A33" s="3" t="s">
        <v>130</v>
      </c>
      <c r="B33" s="22">
        <f>B18/B28</f>
        <v>9768037249.863905</v>
      </c>
      <c r="C33" s="22">
        <f>C18/C28</f>
        <v>0</v>
      </c>
      <c r="D33" s="22">
        <f t="shared" ref="D33:G33" si="4">D18/D28</f>
        <v>808272733.72781062</v>
      </c>
      <c r="E33" s="22">
        <f>E18/E28</f>
        <v>987441249.26035511</v>
      </c>
      <c r="F33" s="22">
        <f t="shared" si="4"/>
        <v>405270710.65088761</v>
      </c>
      <c r="G33" s="22">
        <f t="shared" si="4"/>
        <v>71819720.710059181</v>
      </c>
      <c r="H33" s="22">
        <f t="shared" ref="H33:K33" si="5">H18/H28</f>
        <v>100432111.83431953</v>
      </c>
      <c r="I33" s="22">
        <f t="shared" si="5"/>
        <v>674545818.51479292</v>
      </c>
      <c r="J33" s="22">
        <f t="shared" si="5"/>
        <v>256540078.5029586</v>
      </c>
      <c r="K33" s="22">
        <f t="shared" si="5"/>
        <v>6463714826.6627226</v>
      </c>
    </row>
    <row r="34" spans="1:11" x14ac:dyDescent="0.25">
      <c r="A34" s="3" t="s">
        <v>64</v>
      </c>
      <c r="B34" s="6">
        <f>B32/B10</f>
        <v>1874112.3252195248</v>
      </c>
      <c r="C34" s="6">
        <f>C32/C10</f>
        <v>85148.359216717334</v>
      </c>
      <c r="D34" s="6">
        <f t="shared" ref="D34:K34" si="6">D32/D10</f>
        <v>480314.59766406642</v>
      </c>
      <c r="E34" s="6">
        <f>E32/E10</f>
        <v>763823.53998632508</v>
      </c>
      <c r="F34" s="6">
        <f t="shared" si="6"/>
        <v>474362.00658823102</v>
      </c>
      <c r="G34" s="6" t="e">
        <f t="shared" si="6"/>
        <v>#DIV/0!</v>
      </c>
      <c r="H34" s="6" t="e">
        <f t="shared" si="6"/>
        <v>#DIV/0!</v>
      </c>
      <c r="I34" s="6" t="e">
        <f t="shared" si="6"/>
        <v>#DIV/0!</v>
      </c>
      <c r="J34" s="6" t="e">
        <f t="shared" si="6"/>
        <v>#DIV/0!</v>
      </c>
      <c r="K34" s="6" t="e">
        <f t="shared" si="6"/>
        <v>#DIV/0!</v>
      </c>
    </row>
    <row r="35" spans="1:11" x14ac:dyDescent="0.25">
      <c r="A35" s="3" t="s">
        <v>131</v>
      </c>
      <c r="B35" s="6">
        <f>B33/B12</f>
        <v>1041017.1317285107</v>
      </c>
      <c r="C35" s="6" t="e">
        <f>C33/C12</f>
        <v>#DIV/0!</v>
      </c>
      <c r="D35" s="6">
        <f t="shared" ref="D35:K35" si="7">D33/D12</f>
        <v>353639.58160694671</v>
      </c>
      <c r="E35" s="6">
        <f>E33/E12</f>
        <v>593949.62361525116</v>
      </c>
      <c r="F35" s="6">
        <f t="shared" si="7"/>
        <v>533192.47098022711</v>
      </c>
      <c r="G35" s="6">
        <f t="shared" si="7"/>
        <v>19100.989550547656</v>
      </c>
      <c r="H35" s="6">
        <f t="shared" si="7"/>
        <v>109761.87085717982</v>
      </c>
      <c r="I35" s="6" t="e">
        <f t="shared" si="7"/>
        <v>#DIV/0!</v>
      </c>
      <c r="J35" s="6" t="e">
        <f t="shared" si="7"/>
        <v>#DIV/0!</v>
      </c>
      <c r="K35" s="6" t="e">
        <f t="shared" si="7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69</v>
      </c>
      <c r="C40" s="23" t="s">
        <v>69</v>
      </c>
      <c r="D40" s="23" t="s">
        <v>69</v>
      </c>
      <c r="E40" s="23" t="s">
        <v>69</v>
      </c>
      <c r="F40" s="23" t="s">
        <v>69</v>
      </c>
      <c r="G40" s="23" t="s">
        <v>69</v>
      </c>
      <c r="H40" s="23" t="s">
        <v>69</v>
      </c>
      <c r="I40" s="23" t="s">
        <v>69</v>
      </c>
      <c r="J40" s="23" t="s">
        <v>69</v>
      </c>
      <c r="K40" s="23" t="s">
        <v>69</v>
      </c>
    </row>
    <row r="41" spans="1:11" x14ac:dyDescent="0.25">
      <c r="A41" t="s">
        <v>13</v>
      </c>
      <c r="B41" s="23" t="s">
        <v>69</v>
      </c>
      <c r="C41" s="23" t="s">
        <v>69</v>
      </c>
      <c r="D41" s="23" t="s">
        <v>69</v>
      </c>
      <c r="E41" s="23" t="s">
        <v>69</v>
      </c>
      <c r="F41" s="23" t="s">
        <v>69</v>
      </c>
      <c r="G41" s="23" t="s">
        <v>69</v>
      </c>
      <c r="H41" s="23" t="s">
        <v>69</v>
      </c>
      <c r="I41" s="23" t="s">
        <v>69</v>
      </c>
      <c r="J41" s="23" t="s">
        <v>69</v>
      </c>
      <c r="K41" s="23" t="s">
        <v>69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84.165283819945884</v>
      </c>
      <c r="C44" s="7" t="e">
        <f>C12/C11*100</f>
        <v>#DIV/0!</v>
      </c>
      <c r="D44" s="7">
        <f t="shared" ref="D44:K44" si="8">D12/D11*100</f>
        <v>203.0727084258848</v>
      </c>
      <c r="E44" s="7">
        <f>E12/E11*100</f>
        <v>332.5</v>
      </c>
      <c r="F44" s="7">
        <f t="shared" si="8"/>
        <v>136.3989831015403</v>
      </c>
      <c r="G44" s="7">
        <f t="shared" si="8"/>
        <v>62.388517857883606</v>
      </c>
      <c r="H44" s="7">
        <f t="shared" si="8"/>
        <v>97.6</v>
      </c>
      <c r="I44" s="7">
        <f t="shared" si="8"/>
        <v>0</v>
      </c>
      <c r="J44" s="7" t="e">
        <f t="shared" si="8"/>
        <v>#DIV/0!</v>
      </c>
      <c r="K44" s="7" t="e">
        <f t="shared" si="8"/>
        <v>#DIV/0!</v>
      </c>
    </row>
    <row r="45" spans="1:11" x14ac:dyDescent="0.25">
      <c r="A45" t="s">
        <v>16</v>
      </c>
      <c r="B45" s="7">
        <f>B18/B17*100</f>
        <v>90.809550539363826</v>
      </c>
      <c r="C45" s="7" t="e">
        <f>C18/C17*100</f>
        <v>#DIV/0!</v>
      </c>
      <c r="D45" s="7">
        <f t="shared" ref="D45:K45" si="9">D18/D17*100</f>
        <v>148.08652687834675</v>
      </c>
      <c r="E45" s="7">
        <f>E18/E17*100</f>
        <v>100.92509707537265</v>
      </c>
      <c r="F45" s="7">
        <f t="shared" si="9"/>
        <v>149.9676632620008</v>
      </c>
      <c r="G45" s="7">
        <f t="shared" si="9"/>
        <v>42.409652685502458</v>
      </c>
      <c r="H45" s="7">
        <f t="shared" si="9"/>
        <v>54.405958585761446</v>
      </c>
      <c r="I45" s="7">
        <f t="shared" si="9"/>
        <v>47.609364041565023</v>
      </c>
      <c r="J45" s="7">
        <f t="shared" si="9"/>
        <v>255.03100421582329</v>
      </c>
      <c r="K45" s="7">
        <f t="shared" si="9"/>
        <v>91.156257997836761</v>
      </c>
    </row>
    <row r="46" spans="1:11" x14ac:dyDescent="0.25">
      <c r="A46" t="s">
        <v>17</v>
      </c>
      <c r="B46" s="7">
        <f>AVERAGE(B44:B45)</f>
        <v>87.487417179654855</v>
      </c>
      <c r="C46" s="7" t="e">
        <f>AVERAGE(C44:C45)</f>
        <v>#DIV/0!</v>
      </c>
      <c r="D46" s="7">
        <f t="shared" ref="D46:K46" si="10">AVERAGE(D44:D45)</f>
        <v>175.57961765211576</v>
      </c>
      <c r="E46" s="7">
        <f>AVERAGE(E44:E45)</f>
        <v>216.71254853768633</v>
      </c>
      <c r="F46" s="7">
        <f t="shared" si="10"/>
        <v>143.18332318177056</v>
      </c>
      <c r="G46" s="7">
        <f t="shared" si="10"/>
        <v>52.399085271693032</v>
      </c>
      <c r="H46" s="7">
        <f t="shared" si="10"/>
        <v>76.002979292880724</v>
      </c>
      <c r="I46" s="7">
        <f t="shared" si="10"/>
        <v>23.804682020782511</v>
      </c>
      <c r="J46" s="7" t="e">
        <f t="shared" si="10"/>
        <v>#DIV/0!</v>
      </c>
      <c r="K46" s="7" t="e">
        <f t="shared" si="10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7">
        <f>B12/B13*100</f>
        <v>84.161509253445772</v>
      </c>
      <c r="C49" s="7" t="e">
        <f>C12/C13*100</f>
        <v>#DIV/0!</v>
      </c>
      <c r="D49" s="7">
        <f t="shared" ref="D49:K49" si="11">D12/D13*100</f>
        <v>202.9825340438129</v>
      </c>
      <c r="E49" s="7">
        <f>E12/E13*100</f>
        <v>332.5</v>
      </c>
      <c r="F49" s="7">
        <f t="shared" si="11"/>
        <v>136.46020347097544</v>
      </c>
      <c r="G49" s="7">
        <f t="shared" si="11"/>
        <v>62.385929981748802</v>
      </c>
      <c r="H49" s="7">
        <f t="shared" si="11"/>
        <v>97.652081109925291</v>
      </c>
      <c r="I49" s="7">
        <f t="shared" si="11"/>
        <v>0</v>
      </c>
      <c r="J49" s="7" t="e">
        <f t="shared" si="11"/>
        <v>#DIV/0!</v>
      </c>
      <c r="K49" s="7" t="e">
        <f t="shared" si="11"/>
        <v>#DIV/0!</v>
      </c>
    </row>
    <row r="50" spans="1:12" x14ac:dyDescent="0.25">
      <c r="A50" t="s">
        <v>20</v>
      </c>
      <c r="B50" s="7">
        <f>B18/B19*100</f>
        <v>90.809550770650205</v>
      </c>
      <c r="C50" s="7" t="e">
        <f>C18/C19*100</f>
        <v>#DIV/0!</v>
      </c>
      <c r="D50" s="7">
        <f t="shared" ref="D50:K50" si="12">D18/D19*100</f>
        <v>148.08652687834675</v>
      </c>
      <c r="E50" s="7">
        <f>E18/E19*100</f>
        <v>100.92509707537269</v>
      </c>
      <c r="F50" s="7">
        <f t="shared" si="12"/>
        <v>149.9676632620008</v>
      </c>
      <c r="G50" s="7">
        <f t="shared" si="12"/>
        <v>42.409652685502458</v>
      </c>
      <c r="H50" s="7">
        <f t="shared" si="12"/>
        <v>54.405958585761446</v>
      </c>
      <c r="I50" s="7">
        <f t="shared" si="12"/>
        <v>47.609364962157883</v>
      </c>
      <c r="J50" s="7">
        <f t="shared" si="12"/>
        <v>255.03100421582329</v>
      </c>
      <c r="K50" s="7">
        <f t="shared" si="12"/>
        <v>91.156257997836789</v>
      </c>
    </row>
    <row r="51" spans="1:12" x14ac:dyDescent="0.25">
      <c r="A51" t="s">
        <v>21</v>
      </c>
      <c r="B51" s="7">
        <f>(B49+B50)/2</f>
        <v>87.485530012047988</v>
      </c>
      <c r="C51" s="7" t="e">
        <f>(C49+C50)/2</f>
        <v>#DIV/0!</v>
      </c>
      <c r="D51" s="7">
        <f t="shared" ref="D51:K51" si="13">(D49+D50)/2</f>
        <v>175.53453046107984</v>
      </c>
      <c r="E51" s="7">
        <f>(E49+E50)/2</f>
        <v>216.71254853768636</v>
      </c>
      <c r="F51" s="7">
        <f t="shared" si="13"/>
        <v>143.21393336648811</v>
      </c>
      <c r="G51" s="7">
        <f t="shared" si="13"/>
        <v>52.397791333625634</v>
      </c>
      <c r="H51" s="7">
        <f t="shared" si="13"/>
        <v>76.029019847843372</v>
      </c>
      <c r="I51" s="7">
        <f t="shared" si="13"/>
        <v>23.804682481078942</v>
      </c>
      <c r="J51" s="7" t="e">
        <f t="shared" si="13"/>
        <v>#DIV/0!</v>
      </c>
      <c r="K51" s="7" t="e">
        <f t="shared" si="13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>B20/B18*100</f>
        <v>29.4381607952397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 t="shared" ref="B57:K57" si="14">((B12/B10)-1)*100</f>
        <v>95.330037297250442</v>
      </c>
      <c r="C57" s="34">
        <f t="shared" si="14"/>
        <v>-100</v>
      </c>
      <c r="D57" s="7">
        <f t="shared" si="14"/>
        <v>39.258695100279262</v>
      </c>
      <c r="E57" s="7">
        <f t="shared" si="14"/>
        <v>-3.8044264429336172</v>
      </c>
      <c r="F57" s="7">
        <f t="shared" si="14"/>
        <v>10.517387616624241</v>
      </c>
      <c r="G57" s="7" t="e">
        <f t="shared" si="14"/>
        <v>#DIV/0!</v>
      </c>
      <c r="H57" s="7" t="e">
        <f t="shared" si="14"/>
        <v>#DIV/0!</v>
      </c>
      <c r="I57" s="7" t="e">
        <f t="shared" si="14"/>
        <v>#DIV/0!</v>
      </c>
      <c r="J57" s="7" t="e">
        <f t="shared" si="14"/>
        <v>#DIV/0!</v>
      </c>
      <c r="K57" s="7" t="e">
        <f t="shared" si="14"/>
        <v>#DIV/0!</v>
      </c>
      <c r="L57" s="24"/>
    </row>
    <row r="58" spans="1:12" x14ac:dyDescent="0.25">
      <c r="A58" t="s">
        <v>25</v>
      </c>
      <c r="B58" s="7">
        <f>((B33/B32)-1)*100</f>
        <v>8.5003883872265327</v>
      </c>
      <c r="C58" s="34">
        <f>((C33/C32)-1)*100</f>
        <v>-100</v>
      </c>
      <c r="D58" s="7">
        <f t="shared" ref="D58:K58" si="15">((D33/D32)-1)*100</f>
        <v>2.5315218606699386</v>
      </c>
      <c r="E58" s="7">
        <f>((E33/E32)-1)*100</f>
        <v>-25.198266724411631</v>
      </c>
      <c r="F58" s="7">
        <f t="shared" si="15"/>
        <v>24.223774609206707</v>
      </c>
      <c r="G58" s="7" t="e">
        <f t="shared" si="15"/>
        <v>#DIV/0!</v>
      </c>
      <c r="H58" s="7" t="e">
        <f t="shared" si="15"/>
        <v>#DIV/0!</v>
      </c>
      <c r="I58" s="7" t="e">
        <f t="shared" si="15"/>
        <v>#DIV/0!</v>
      </c>
      <c r="J58" s="7" t="e">
        <f t="shared" si="15"/>
        <v>#DIV/0!</v>
      </c>
      <c r="K58" s="7">
        <f t="shared" si="15"/>
        <v>-0.62805362837821122</v>
      </c>
      <c r="L58" s="24"/>
    </row>
    <row r="59" spans="1:12" x14ac:dyDescent="0.25">
      <c r="A59" t="s">
        <v>26</v>
      </c>
      <c r="B59" s="7">
        <f t="shared" ref="B59:K59" si="16">((B35/B34)-1)*100</f>
        <v>-44.452788783267259</v>
      </c>
      <c r="C59" s="7" t="e">
        <f t="shared" si="16"/>
        <v>#DIV/0!</v>
      </c>
      <c r="D59" s="7">
        <f t="shared" si="16"/>
        <v>-26.373342945057988</v>
      </c>
      <c r="E59" s="7">
        <f t="shared" si="16"/>
        <v>-22.239942536219193</v>
      </c>
      <c r="F59" s="7">
        <f t="shared" si="16"/>
        <v>12.402018621837851</v>
      </c>
      <c r="G59" s="7" t="e">
        <f t="shared" si="16"/>
        <v>#DIV/0!</v>
      </c>
      <c r="H59" s="7" t="e">
        <f t="shared" si="16"/>
        <v>#DIV/0!</v>
      </c>
      <c r="I59" s="7" t="e">
        <f t="shared" si="16"/>
        <v>#DIV/0!</v>
      </c>
      <c r="J59" s="7" t="e">
        <f t="shared" si="16"/>
        <v>#DIV/0!</v>
      </c>
      <c r="K59" s="7" t="e">
        <f t="shared" si="16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65</v>
      </c>
      <c r="B62" s="4">
        <f>B17/(B11*12)</f>
        <v>135882.89823563708</v>
      </c>
      <c r="C62" s="4" t="e">
        <f>C17/(C11*12)</f>
        <v>#DIV/0!</v>
      </c>
      <c r="D62" s="4">
        <f t="shared" ref="D62:K62" si="17">D17/(D11*12)</f>
        <v>68297.112098326674</v>
      </c>
      <c r="E62" s="4">
        <f t="shared" si="17"/>
        <v>275579.90357999998</v>
      </c>
      <c r="F62" s="4">
        <f t="shared" si="17"/>
        <v>68297.211903693737</v>
      </c>
      <c r="G62" s="4">
        <f t="shared" si="17"/>
        <v>3957.3209856058406</v>
      </c>
      <c r="H62" s="4">
        <f t="shared" si="17"/>
        <v>27730.666666666668</v>
      </c>
      <c r="I62" s="4">
        <f t="shared" si="17"/>
        <v>99693.980914314263</v>
      </c>
      <c r="J62" s="4" t="e">
        <f t="shared" si="17"/>
        <v>#DIV/0!</v>
      </c>
      <c r="K62" s="4" t="e">
        <f t="shared" si="17"/>
        <v>#DIV/0!</v>
      </c>
    </row>
    <row r="63" spans="1:12" x14ac:dyDescent="0.25">
      <c r="A63" t="s">
        <v>66</v>
      </c>
      <c r="B63" s="4">
        <f>B18/(B12*12)</f>
        <v>146609.91271843194</v>
      </c>
      <c r="C63" s="4" t="e">
        <f>C18/(C12*12)</f>
        <v>#DIV/0!</v>
      </c>
      <c r="D63" s="4">
        <f t="shared" ref="D63:K63" si="18">D18/(D12*12)</f>
        <v>49804.241076311664</v>
      </c>
      <c r="E63" s="4">
        <f t="shared" si="18"/>
        <v>83647.905325814543</v>
      </c>
      <c r="F63" s="4">
        <f t="shared" si="18"/>
        <v>75091.272996381973</v>
      </c>
      <c r="G63" s="4">
        <f t="shared" si="18"/>
        <v>2690.0560283687942</v>
      </c>
      <c r="H63" s="4">
        <f t="shared" si="18"/>
        <v>15458.13014571949</v>
      </c>
      <c r="I63" s="4" t="e">
        <f t="shared" si="18"/>
        <v>#DIV/0!</v>
      </c>
      <c r="J63" s="4" t="e">
        <f t="shared" si="18"/>
        <v>#DIV/0!</v>
      </c>
      <c r="K63" s="4" t="e">
        <f t="shared" si="18"/>
        <v>#DIV/0!</v>
      </c>
    </row>
    <row r="64" spans="1:12" x14ac:dyDescent="0.25">
      <c r="A64" t="s">
        <v>30</v>
      </c>
      <c r="B64" s="10">
        <f>(B62/B63)*B46</f>
        <v>81.086221150360132</v>
      </c>
      <c r="C64" s="10" t="e">
        <f>(C62/C63)*C46</f>
        <v>#DIV/0!</v>
      </c>
      <c r="D64" s="10">
        <f t="shared" ref="D64:K64" si="19">(D62/D63)*D46</f>
        <v>240.77429090012635</v>
      </c>
      <c r="E64" s="10">
        <f>(E62/E63)*E46</f>
        <v>713.96436046989686</v>
      </c>
      <c r="F64" s="10">
        <f t="shared" si="19"/>
        <v>130.2284722872073</v>
      </c>
      <c r="G64" s="10">
        <f t="shared" si="19"/>
        <v>77.083896240614905</v>
      </c>
      <c r="H64" s="10">
        <f t="shared" si="19"/>
        <v>136.34335230565151</v>
      </c>
      <c r="I64" s="10" t="e">
        <f t="shared" si="19"/>
        <v>#DIV/0!</v>
      </c>
      <c r="J64" s="10" t="e">
        <f t="shared" si="19"/>
        <v>#DIV/0!</v>
      </c>
      <c r="K64" s="10" t="e">
        <f t="shared" si="19"/>
        <v>#DIV/0!</v>
      </c>
    </row>
    <row r="65" spans="1:11" x14ac:dyDescent="0.25">
      <c r="A65" t="s">
        <v>73</v>
      </c>
      <c r="B65" s="4">
        <f>B17/B11</f>
        <v>1630594.7788276451</v>
      </c>
      <c r="C65" s="4" t="e">
        <f>C17/C11</f>
        <v>#DIV/0!</v>
      </c>
      <c r="D65" s="4">
        <f t="shared" ref="D65:K66" si="20">D17/D11</f>
        <v>819565.34517992008</v>
      </c>
      <c r="E65" s="4">
        <f t="shared" si="20"/>
        <v>3306958.84296</v>
      </c>
      <c r="F65" s="4">
        <f t="shared" si="20"/>
        <v>819566.54284432484</v>
      </c>
      <c r="G65" s="4">
        <f t="shared" si="20"/>
        <v>47487.851827270089</v>
      </c>
      <c r="H65" s="4">
        <f t="shared" si="20"/>
        <v>332768</v>
      </c>
      <c r="I65" s="4">
        <f t="shared" si="20"/>
        <v>1196327.7709717711</v>
      </c>
      <c r="J65" s="4" t="e">
        <f t="shared" si="20"/>
        <v>#DIV/0!</v>
      </c>
      <c r="K65" s="4" t="e">
        <f t="shared" si="20"/>
        <v>#DIV/0!</v>
      </c>
    </row>
    <row r="66" spans="1:11" x14ac:dyDescent="0.25">
      <c r="A66" t="s">
        <v>74</v>
      </c>
      <c r="B66" s="4">
        <f>B18/B12</f>
        <v>1759318.9526211831</v>
      </c>
      <c r="C66" s="4" t="e">
        <f>C18/C12</f>
        <v>#DIV/0!</v>
      </c>
      <c r="D66" s="4">
        <f t="shared" si="20"/>
        <v>597650.89291573991</v>
      </c>
      <c r="E66" s="4">
        <f t="shared" si="20"/>
        <v>1003774.8639097745</v>
      </c>
      <c r="F66" s="4">
        <f t="shared" si="20"/>
        <v>901095.27595658379</v>
      </c>
      <c r="G66" s="4">
        <f t="shared" si="20"/>
        <v>32280.672340425532</v>
      </c>
      <c r="H66" s="4">
        <f t="shared" si="20"/>
        <v>185497.56174863389</v>
      </c>
      <c r="I66" s="4" t="e">
        <f t="shared" si="20"/>
        <v>#DIV/0!</v>
      </c>
      <c r="J66" s="4" t="e">
        <f t="shared" si="20"/>
        <v>#DIV/0!</v>
      </c>
      <c r="K66" s="4" t="e">
        <f t="shared" si="20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87.626006098000644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103.63310458062271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83</v>
      </c>
    </row>
    <row r="75" spans="1:11" x14ac:dyDescent="0.25">
      <c r="A75" t="s">
        <v>84</v>
      </c>
      <c r="B75" s="10"/>
      <c r="C75" s="10"/>
      <c r="D75" s="10"/>
      <c r="E75" s="10"/>
      <c r="F75" s="10"/>
    </row>
    <row r="76" spans="1:11" x14ac:dyDescent="0.25">
      <c r="A76" t="s">
        <v>85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136</v>
      </c>
    </row>
  </sheetData>
  <mergeCells count="3">
    <mergeCell ref="A4:A5"/>
    <mergeCell ref="D4:J4"/>
    <mergeCell ref="A2:K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2012-04-10T15:25:06Z</dcterms:created>
  <dcterms:modified xsi:type="dcterms:W3CDTF">2015-08-24T16:32:55Z</dcterms:modified>
</cp:coreProperties>
</file>