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odo\DESAF 2014\Indicadores 2014-Horacio\CEN-CINAI\Indicadores\"/>
    </mc:Choice>
  </mc:AlternateContent>
  <bookViews>
    <workbookView xWindow="0" yWindow="0" windowWidth="21600" windowHeight="9735" activeTab="7"/>
  </bookViews>
  <sheets>
    <sheet name="I Trimestre" sheetId="4" r:id="rId1"/>
    <sheet name="Hoja2 (2)" sheetId="15" state="hidden" r:id="rId2"/>
    <sheet name="II Trimestre" sheetId="7" r:id="rId3"/>
    <sheet name="III Trimestre" sheetId="8" r:id="rId4"/>
    <sheet name="IV Trimestre" sheetId="3" r:id="rId5"/>
    <sheet name="I Semestre" sheetId="9" r:id="rId6"/>
    <sheet name="III T Acumulado" sheetId="10" r:id="rId7"/>
    <sheet name="Anual" sheetId="2" r:id="rId8"/>
    <sheet name="Observaciones" sheetId="11" r:id="rId9"/>
    <sheet name="Hoja1" sheetId="16" r:id="rId10"/>
  </sheets>
  <calcPr calcId="152511"/>
</workbook>
</file>

<file path=xl/calcChain.xml><?xml version="1.0" encoding="utf-8"?>
<calcChain xmlns="http://schemas.openxmlformats.org/spreadsheetml/2006/main">
  <c r="B23" i="2" l="1"/>
  <c r="O38" i="10"/>
  <c r="P38" i="10"/>
  <c r="O37" i="10"/>
  <c r="P37" i="10"/>
  <c r="O36" i="10"/>
  <c r="P36" i="10"/>
  <c r="O35" i="10"/>
  <c r="P35" i="10"/>
  <c r="O23" i="10"/>
  <c r="P23" i="10"/>
  <c r="B23" i="10"/>
  <c r="O22" i="10"/>
  <c r="P22" i="10"/>
  <c r="O21" i="10"/>
  <c r="P21" i="10"/>
  <c r="O20" i="10"/>
  <c r="P20" i="10"/>
  <c r="O19" i="10"/>
  <c r="P19" i="10"/>
  <c r="O16" i="10"/>
  <c r="P16" i="10"/>
  <c r="O15" i="10"/>
  <c r="P15" i="10"/>
  <c r="O14" i="10"/>
  <c r="P14" i="10"/>
  <c r="O13" i="10"/>
  <c r="P13" i="10"/>
  <c r="O12" i="10"/>
  <c r="P12" i="10"/>
  <c r="O11" i="10"/>
  <c r="P11" i="10"/>
  <c r="O10" i="10"/>
  <c r="P10" i="10"/>
  <c r="O38" i="9"/>
  <c r="P38" i="9"/>
  <c r="O37" i="9"/>
  <c r="P37" i="9"/>
  <c r="O36" i="9"/>
  <c r="P36" i="9"/>
  <c r="O35" i="9"/>
  <c r="P35" i="9"/>
  <c r="O23" i="9"/>
  <c r="P23" i="9"/>
  <c r="O22" i="9"/>
  <c r="P22" i="9"/>
  <c r="O21" i="9"/>
  <c r="P21" i="9"/>
  <c r="O20" i="9"/>
  <c r="P20" i="9"/>
  <c r="O19" i="9"/>
  <c r="P19" i="9"/>
  <c r="B23" i="9"/>
  <c r="O16" i="9"/>
  <c r="P16" i="9"/>
  <c r="O15" i="9"/>
  <c r="P15" i="9"/>
  <c r="O14" i="9"/>
  <c r="P14" i="9"/>
  <c r="O13" i="9"/>
  <c r="P13" i="9"/>
  <c r="O12" i="9"/>
  <c r="P12" i="9"/>
  <c r="O11" i="9"/>
  <c r="P11" i="9"/>
  <c r="O10" i="9"/>
  <c r="P10" i="9"/>
  <c r="M52" i="3"/>
  <c r="N23" i="3"/>
  <c r="O23" i="3"/>
  <c r="P23" i="3"/>
  <c r="O38" i="8" l="1"/>
  <c r="P38" i="8"/>
  <c r="O37" i="8"/>
  <c r="P37" i="8"/>
  <c r="O36" i="8"/>
  <c r="P36" i="8"/>
  <c r="O35" i="8"/>
  <c r="P35" i="8"/>
  <c r="P23" i="8" l="1"/>
  <c r="O23" i="8"/>
  <c r="B23" i="8"/>
  <c r="M23" i="8"/>
  <c r="N23" i="8"/>
  <c r="F16" i="8"/>
  <c r="O38" i="7"/>
  <c r="P38" i="7"/>
  <c r="O37" i="7"/>
  <c r="P37" i="7"/>
  <c r="O36" i="7"/>
  <c r="P36" i="7"/>
  <c r="O35" i="7"/>
  <c r="P35" i="7"/>
  <c r="B23" i="7"/>
  <c r="M23" i="7"/>
  <c r="N23" i="7"/>
  <c r="O23" i="7"/>
  <c r="P23" i="7"/>
  <c r="O38" i="4" l="1"/>
  <c r="P38" i="4"/>
  <c r="O37" i="4"/>
  <c r="P37" i="4"/>
  <c r="O36" i="4"/>
  <c r="P36" i="4"/>
  <c r="O35" i="4"/>
  <c r="P35" i="4"/>
  <c r="N23" i="4" l="1"/>
  <c r="O23" i="4"/>
  <c r="P23" i="4"/>
  <c r="B23" i="4" l="1"/>
  <c r="J47" i="4" l="1"/>
  <c r="B19" i="4"/>
  <c r="B13" i="3"/>
  <c r="P22" i="2" l="1"/>
  <c r="P21" i="2"/>
  <c r="P23" i="2" s="1"/>
  <c r="P20" i="2"/>
  <c r="P19" i="2"/>
  <c r="P35" i="2" s="1"/>
  <c r="P16" i="2"/>
  <c r="P15" i="2"/>
  <c r="P44" i="2" s="1"/>
  <c r="P14" i="2"/>
  <c r="P13" i="2"/>
  <c r="P43" i="2" s="1"/>
  <c r="P12" i="2"/>
  <c r="P11" i="2"/>
  <c r="P10" i="2"/>
  <c r="P69" i="3"/>
  <c r="P68" i="3"/>
  <c r="P66" i="3"/>
  <c r="P65" i="3"/>
  <c r="P60" i="3"/>
  <c r="P53" i="3"/>
  <c r="P52" i="3"/>
  <c r="P54" i="3" s="1"/>
  <c r="P48" i="3"/>
  <c r="P49" i="3" s="1"/>
  <c r="P47" i="3"/>
  <c r="P44" i="3"/>
  <c r="P43" i="3"/>
  <c r="P36" i="3"/>
  <c r="P38" i="3" s="1"/>
  <c r="P62" i="3" s="1"/>
  <c r="P35" i="3"/>
  <c r="P37" i="3" s="1"/>
  <c r="P67" i="3" l="1"/>
  <c r="P68" i="2"/>
  <c r="P53" i="2"/>
  <c r="P37" i="2"/>
  <c r="P60" i="2"/>
  <c r="P61" i="3"/>
  <c r="P66" i="2"/>
  <c r="P65" i="2"/>
  <c r="P48" i="2"/>
  <c r="P69" i="2"/>
  <c r="P47" i="2"/>
  <c r="P36" i="2"/>
  <c r="P52" i="2"/>
  <c r="O16" i="2"/>
  <c r="N16" i="2"/>
  <c r="N20" i="2"/>
  <c r="O22" i="2"/>
  <c r="O21" i="2"/>
  <c r="O20" i="2"/>
  <c r="O19" i="2"/>
  <c r="O35" i="2" s="1"/>
  <c r="N22" i="2"/>
  <c r="M22" i="2"/>
  <c r="N21" i="2"/>
  <c r="N19" i="2"/>
  <c r="N35" i="2" s="1"/>
  <c r="M20" i="2"/>
  <c r="M21" i="2"/>
  <c r="M19" i="2"/>
  <c r="M35" i="2" s="1"/>
  <c r="O11" i="2"/>
  <c r="O12" i="2"/>
  <c r="O13" i="2"/>
  <c r="O43" i="2" s="1"/>
  <c r="O14" i="2"/>
  <c r="O15" i="2"/>
  <c r="O44" i="2" s="1"/>
  <c r="O10" i="2"/>
  <c r="N11" i="2"/>
  <c r="N12" i="2"/>
  <c r="N13" i="2"/>
  <c r="N43" i="2" s="1"/>
  <c r="N14" i="2"/>
  <c r="N15" i="2"/>
  <c r="N44" i="2" s="1"/>
  <c r="N10" i="2"/>
  <c r="M16" i="2"/>
  <c r="M11" i="2"/>
  <c r="M12" i="2"/>
  <c r="M13" i="2"/>
  <c r="M43" i="2" s="1"/>
  <c r="M14" i="2"/>
  <c r="M15" i="2"/>
  <c r="M44" i="2" s="1"/>
  <c r="M10" i="2"/>
  <c r="O69" i="3"/>
  <c r="O68" i="3"/>
  <c r="O66" i="3"/>
  <c r="O65" i="3"/>
  <c r="O60" i="3"/>
  <c r="O53" i="3"/>
  <c r="O52" i="3"/>
  <c r="O48" i="3"/>
  <c r="O47" i="3"/>
  <c r="O49" i="3" s="1"/>
  <c r="O44" i="3"/>
  <c r="O43" i="3"/>
  <c r="O36" i="3"/>
  <c r="O61" i="3" s="1"/>
  <c r="O35" i="3"/>
  <c r="O37" i="3" s="1"/>
  <c r="B21" i="3"/>
  <c r="B19" i="3"/>
  <c r="N22" i="9"/>
  <c r="M22" i="9"/>
  <c r="N16" i="9"/>
  <c r="M16" i="9"/>
  <c r="N16" i="10"/>
  <c r="M16" i="10"/>
  <c r="N22" i="10"/>
  <c r="M22" i="10"/>
  <c r="N20" i="10"/>
  <c r="N68" i="10" s="1"/>
  <c r="N21" i="10"/>
  <c r="M20" i="10"/>
  <c r="M21" i="10"/>
  <c r="M66" i="10" s="1"/>
  <c r="N19" i="10"/>
  <c r="N35" i="10" s="1"/>
  <c r="M19" i="10"/>
  <c r="M35" i="10" s="1"/>
  <c r="N11" i="10"/>
  <c r="N12" i="10"/>
  <c r="N13" i="10"/>
  <c r="N43" i="10" s="1"/>
  <c r="N14" i="10"/>
  <c r="N15" i="10"/>
  <c r="N44" i="10" s="1"/>
  <c r="M11" i="10"/>
  <c r="M12" i="10"/>
  <c r="M13" i="10"/>
  <c r="M43" i="10" s="1"/>
  <c r="M14" i="10"/>
  <c r="M15" i="10"/>
  <c r="M44" i="10" s="1"/>
  <c r="N10" i="10"/>
  <c r="M10" i="10"/>
  <c r="N20" i="9"/>
  <c r="N21" i="9"/>
  <c r="M20" i="9"/>
  <c r="M21" i="9"/>
  <c r="M23" i="9" s="1"/>
  <c r="N19" i="9"/>
  <c r="N35" i="9" s="1"/>
  <c r="M19" i="9"/>
  <c r="M35" i="9" s="1"/>
  <c r="N11" i="9"/>
  <c r="N12" i="9"/>
  <c r="N13" i="9"/>
  <c r="N43" i="9" s="1"/>
  <c r="N14" i="9"/>
  <c r="N52" i="9" s="1"/>
  <c r="N15" i="9"/>
  <c r="N44" i="9" s="1"/>
  <c r="M11" i="9"/>
  <c r="M12" i="9"/>
  <c r="M13" i="9"/>
  <c r="M43" i="9" s="1"/>
  <c r="M14" i="9"/>
  <c r="M52" i="9" s="1"/>
  <c r="M15" i="9"/>
  <c r="M44" i="9" s="1"/>
  <c r="N10" i="9"/>
  <c r="M10" i="9"/>
  <c r="O67" i="3" l="1"/>
  <c r="O54" i="3"/>
  <c r="M68" i="10"/>
  <c r="O38" i="3"/>
  <c r="O62" i="3" s="1"/>
  <c r="N60" i="10"/>
  <c r="N66" i="10"/>
  <c r="P54" i="2"/>
  <c r="N37" i="9"/>
  <c r="M60" i="10"/>
  <c r="N69" i="9"/>
  <c r="M37" i="9"/>
  <c r="N65" i="9"/>
  <c r="M65" i="9"/>
  <c r="N37" i="10"/>
  <c r="P49" i="2"/>
  <c r="P67" i="2" s="1"/>
  <c r="M37" i="10"/>
  <c r="N52" i="2"/>
  <c r="N47" i="2"/>
  <c r="N49" i="2" s="1"/>
  <c r="N60" i="2"/>
  <c r="M65" i="2"/>
  <c r="M68" i="2"/>
  <c r="O53" i="2"/>
  <c r="O36" i="2"/>
  <c r="O66" i="2"/>
  <c r="O69" i="2"/>
  <c r="O48" i="2"/>
  <c r="P61" i="2"/>
  <c r="P38" i="2"/>
  <c r="P62" i="2" s="1"/>
  <c r="M47" i="9"/>
  <c r="M60" i="9"/>
  <c r="M66" i="9"/>
  <c r="M68" i="9"/>
  <c r="N23" i="10"/>
  <c r="N53" i="9"/>
  <c r="N54" i="9" s="1"/>
  <c r="M36" i="10"/>
  <c r="M48" i="10"/>
  <c r="M52" i="10"/>
  <c r="M65" i="10"/>
  <c r="M69" i="10"/>
  <c r="M66" i="2"/>
  <c r="M69" i="2"/>
  <c r="M48" i="2"/>
  <c r="M36" i="2"/>
  <c r="M53" i="2"/>
  <c r="N69" i="2"/>
  <c r="N48" i="2"/>
  <c r="N53" i="2"/>
  <c r="N66" i="2"/>
  <c r="N36" i="2"/>
  <c r="O68" i="2"/>
  <c r="O65" i="2"/>
  <c r="M36" i="9"/>
  <c r="N47" i="9"/>
  <c r="N49" i="9" s="1"/>
  <c r="N60" i="9"/>
  <c r="N66" i="9"/>
  <c r="N68" i="9"/>
  <c r="M23" i="10"/>
  <c r="M53" i="9"/>
  <c r="M54" i="9" s="1"/>
  <c r="N36" i="10"/>
  <c r="N48" i="10"/>
  <c r="N52" i="10"/>
  <c r="N65" i="10"/>
  <c r="N69" i="10"/>
  <c r="O47" i="2"/>
  <c r="O52" i="2"/>
  <c r="O60" i="2"/>
  <c r="N65" i="2"/>
  <c r="N68" i="2"/>
  <c r="N36" i="9"/>
  <c r="M48" i="9"/>
  <c r="M69" i="9"/>
  <c r="N23" i="9"/>
  <c r="M47" i="10"/>
  <c r="M53" i="10"/>
  <c r="M37" i="2"/>
  <c r="N37" i="2"/>
  <c r="O37" i="2"/>
  <c r="O23" i="2"/>
  <c r="M60" i="2"/>
  <c r="M52" i="2"/>
  <c r="M54" i="2" s="1"/>
  <c r="M47" i="2"/>
  <c r="N48" i="9"/>
  <c r="N47" i="10"/>
  <c r="N49" i="10" s="1"/>
  <c r="N53" i="10"/>
  <c r="M23" i="2"/>
  <c r="N23" i="2"/>
  <c r="N67" i="9" l="1"/>
  <c r="M49" i="10"/>
  <c r="O54" i="2"/>
  <c r="O49" i="2"/>
  <c r="O67" i="2" s="1"/>
  <c r="M49" i="2"/>
  <c r="M67" i="2" s="1"/>
  <c r="N67" i="2"/>
  <c r="N61" i="10"/>
  <c r="N38" i="10"/>
  <c r="N62" i="10" s="1"/>
  <c r="M38" i="2"/>
  <c r="M62" i="2" s="1"/>
  <c r="M61" i="2"/>
  <c r="M61" i="10"/>
  <c r="M38" i="10"/>
  <c r="M62" i="10" s="1"/>
  <c r="O61" i="2"/>
  <c r="O38" i="2"/>
  <c r="O62" i="2" s="1"/>
  <c r="M61" i="9"/>
  <c r="M38" i="9"/>
  <c r="M62" i="9" s="1"/>
  <c r="N61" i="9"/>
  <c r="N38" i="9"/>
  <c r="N62" i="9" s="1"/>
  <c r="N38" i="2"/>
  <c r="N62" i="2" s="1"/>
  <c r="N61" i="2"/>
  <c r="N54" i="10"/>
  <c r="M54" i="10"/>
  <c r="M49" i="9"/>
  <c r="M67" i="9" s="1"/>
  <c r="N54" i="2"/>
  <c r="N67" i="10"/>
  <c r="M67" i="10"/>
  <c r="M69" i="3"/>
  <c r="N69" i="3"/>
  <c r="M68" i="3"/>
  <c r="N68" i="3"/>
  <c r="M66" i="3"/>
  <c r="N66" i="3"/>
  <c r="M65" i="3"/>
  <c r="N65" i="3"/>
  <c r="M60" i="3"/>
  <c r="N60" i="3"/>
  <c r="M53" i="3"/>
  <c r="N53" i="3"/>
  <c r="N52" i="3"/>
  <c r="M48" i="3"/>
  <c r="N48" i="3"/>
  <c r="M47" i="3"/>
  <c r="M49" i="3" s="1"/>
  <c r="N47" i="3"/>
  <c r="N49" i="3" s="1"/>
  <c r="M44" i="3"/>
  <c r="N44" i="3"/>
  <c r="M43" i="3"/>
  <c r="N43" i="3"/>
  <c r="N38" i="3"/>
  <c r="M36" i="3"/>
  <c r="M38" i="3" s="1"/>
  <c r="N36" i="3"/>
  <c r="M35" i="3"/>
  <c r="M37" i="3" s="1"/>
  <c r="N35" i="3"/>
  <c r="N37" i="3" s="1"/>
  <c r="M23" i="3"/>
  <c r="M69" i="8"/>
  <c r="N69" i="8"/>
  <c r="M68" i="8"/>
  <c r="N68" i="8"/>
  <c r="M66" i="8"/>
  <c r="N66" i="8"/>
  <c r="M65" i="8"/>
  <c r="N65" i="8"/>
  <c r="M60" i="8"/>
  <c r="N60" i="8"/>
  <c r="M53" i="8"/>
  <c r="N53" i="8"/>
  <c r="M52" i="8"/>
  <c r="N52" i="8"/>
  <c r="M48" i="8"/>
  <c r="N48" i="8"/>
  <c r="M47" i="8"/>
  <c r="N47" i="8"/>
  <c r="N49" i="8" s="1"/>
  <c r="M44" i="8"/>
  <c r="N44" i="8"/>
  <c r="M43" i="8"/>
  <c r="N43" i="8"/>
  <c r="M38" i="8"/>
  <c r="M36" i="8"/>
  <c r="N36" i="8"/>
  <c r="N38" i="8" s="1"/>
  <c r="M35" i="8"/>
  <c r="M37" i="8" s="1"/>
  <c r="N35" i="8"/>
  <c r="N37" i="8" s="1"/>
  <c r="B21" i="8"/>
  <c r="B19" i="8"/>
  <c r="M69" i="7"/>
  <c r="N69" i="7"/>
  <c r="M68" i="7"/>
  <c r="N68" i="7"/>
  <c r="M66" i="7"/>
  <c r="N66" i="7"/>
  <c r="M65" i="7"/>
  <c r="N65" i="7"/>
  <c r="M60" i="7"/>
  <c r="N60" i="7"/>
  <c r="M53" i="7"/>
  <c r="N53" i="7"/>
  <c r="N54" i="7" s="1"/>
  <c r="M52" i="7"/>
  <c r="M54" i="7" s="1"/>
  <c r="N52" i="7"/>
  <c r="M48" i="7"/>
  <c r="N48" i="7"/>
  <c r="M47" i="7"/>
  <c r="M49" i="7" s="1"/>
  <c r="N47" i="7"/>
  <c r="N49" i="7" s="1"/>
  <c r="M44" i="7"/>
  <c r="N44" i="7"/>
  <c r="M43" i="7"/>
  <c r="N43" i="7"/>
  <c r="M36" i="7"/>
  <c r="M38" i="7" s="1"/>
  <c r="N36" i="7"/>
  <c r="M35" i="7"/>
  <c r="M37" i="7" s="1"/>
  <c r="N35" i="7"/>
  <c r="N37" i="7" s="1"/>
  <c r="B21" i="7"/>
  <c r="B19" i="7"/>
  <c r="M69" i="4"/>
  <c r="N69" i="4"/>
  <c r="M68" i="4"/>
  <c r="N68" i="4"/>
  <c r="M66" i="4"/>
  <c r="N66" i="4"/>
  <c r="M65" i="4"/>
  <c r="N65" i="4"/>
  <c r="N67" i="4" s="1"/>
  <c r="M60" i="4"/>
  <c r="N60" i="4"/>
  <c r="M53" i="4"/>
  <c r="N53" i="4"/>
  <c r="M52" i="4"/>
  <c r="N52" i="4"/>
  <c r="M48" i="4"/>
  <c r="N48" i="4"/>
  <c r="M47" i="4"/>
  <c r="M49" i="4" s="1"/>
  <c r="N47" i="4"/>
  <c r="N49" i="4" s="1"/>
  <c r="M44" i="4"/>
  <c r="N44" i="4"/>
  <c r="M43" i="4"/>
  <c r="N43" i="4"/>
  <c r="M36" i="4"/>
  <c r="M61" i="4" s="1"/>
  <c r="N36" i="4"/>
  <c r="N38" i="4" s="1"/>
  <c r="M35" i="4"/>
  <c r="M37" i="4" s="1"/>
  <c r="N35" i="4"/>
  <c r="N37" i="4" s="1"/>
  <c r="B21" i="4"/>
  <c r="M23" i="4"/>
  <c r="N54" i="4" l="1"/>
  <c r="M67" i="3"/>
  <c r="M62" i="7"/>
  <c r="M38" i="4"/>
  <c r="M61" i="7"/>
  <c r="M62" i="8"/>
  <c r="M54" i="8"/>
  <c r="N62" i="3"/>
  <c r="M62" i="4"/>
  <c r="N62" i="8"/>
  <c r="M49" i="8"/>
  <c r="M67" i="8" s="1"/>
  <c r="M54" i="4"/>
  <c r="M67" i="4"/>
  <c r="N61" i="7"/>
  <c r="M67" i="7"/>
  <c r="M61" i="8"/>
  <c r="N61" i="3"/>
  <c r="N67" i="3"/>
  <c r="M62" i="3"/>
  <c r="N67" i="8"/>
  <c r="N62" i="4"/>
  <c r="N67" i="7"/>
  <c r="N38" i="7"/>
  <c r="N62" i="7" s="1"/>
  <c r="N54" i="8"/>
  <c r="N54" i="3"/>
  <c r="N61" i="4"/>
  <c r="N61" i="8"/>
  <c r="M61" i="3"/>
  <c r="M54" i="3"/>
  <c r="J13" i="2" l="1"/>
  <c r="J12" i="2"/>
  <c r="H11" i="2"/>
  <c r="H10" i="2"/>
  <c r="J13" i="10" l="1"/>
  <c r="J12" i="10"/>
  <c r="H11" i="10"/>
  <c r="H10" i="10"/>
  <c r="J13" i="9"/>
  <c r="J12" i="9"/>
  <c r="H11" i="9"/>
  <c r="H10" i="9"/>
  <c r="L36" i="3"/>
  <c r="K36" i="3"/>
  <c r="F36" i="3"/>
  <c r="C36" i="3"/>
  <c r="B36" i="3"/>
  <c r="L35" i="3"/>
  <c r="K35" i="3"/>
  <c r="F35" i="3"/>
  <c r="C35" i="3"/>
  <c r="B35" i="3"/>
  <c r="F11" i="7" l="1"/>
  <c r="F10" i="7"/>
  <c r="F11" i="4"/>
  <c r="F10" i="4"/>
  <c r="F11" i="3"/>
  <c r="F10" i="3"/>
  <c r="L36" i="8"/>
  <c r="L37" i="8"/>
  <c r="K36" i="8"/>
  <c r="F36" i="8"/>
  <c r="C36" i="8"/>
  <c r="B36" i="8"/>
  <c r="L35" i="8"/>
  <c r="K35" i="8"/>
  <c r="F35" i="8"/>
  <c r="C35" i="8"/>
  <c r="B35" i="8"/>
  <c r="F11" i="8" l="1"/>
  <c r="F10" i="8"/>
  <c r="J43" i="4" l="1"/>
  <c r="F12" i="4" l="1"/>
  <c r="C20" i="8" l="1"/>
  <c r="B20" i="8" s="1"/>
  <c r="F22" i="2" l="1"/>
  <c r="F22" i="10"/>
  <c r="F22" i="9"/>
  <c r="F13" i="7"/>
  <c r="F43" i="7" s="1"/>
  <c r="F14" i="7"/>
  <c r="F69" i="7" s="1"/>
  <c r="F15" i="7"/>
  <c r="F44" i="7" s="1"/>
  <c r="F16" i="7"/>
  <c r="F13" i="8"/>
  <c r="F43" i="8" s="1"/>
  <c r="F14" i="8"/>
  <c r="F69" i="8" s="1"/>
  <c r="F15" i="8"/>
  <c r="F13" i="3"/>
  <c r="F43" i="3" s="1"/>
  <c r="F14" i="3"/>
  <c r="F69" i="3" s="1"/>
  <c r="F15" i="3"/>
  <c r="F16" i="3"/>
  <c r="F13" i="4"/>
  <c r="F43" i="4" s="1"/>
  <c r="F14" i="4"/>
  <c r="F69" i="4" s="1"/>
  <c r="F15" i="4"/>
  <c r="F44" i="4" s="1"/>
  <c r="F16" i="4"/>
  <c r="F12" i="7"/>
  <c r="F68" i="7" s="1"/>
  <c r="F12" i="8"/>
  <c r="F65" i="8" s="1"/>
  <c r="F12" i="3"/>
  <c r="F68" i="3" s="1"/>
  <c r="F68" i="4"/>
  <c r="B11" i="7"/>
  <c r="B13" i="7"/>
  <c r="B43" i="7" s="1"/>
  <c r="B14" i="7"/>
  <c r="B15" i="7"/>
  <c r="B44" i="7" s="1"/>
  <c r="B11" i="8"/>
  <c r="B12" i="8"/>
  <c r="B13" i="8"/>
  <c r="B43" i="8" s="1"/>
  <c r="B14" i="8"/>
  <c r="B15" i="8"/>
  <c r="B44" i="8" s="1"/>
  <c r="B11" i="3"/>
  <c r="B12" i="3"/>
  <c r="B43" i="3"/>
  <c r="B14" i="3"/>
  <c r="B15" i="3"/>
  <c r="B44" i="3" s="1"/>
  <c r="B11" i="4"/>
  <c r="B13" i="4"/>
  <c r="B14" i="4"/>
  <c r="B15" i="4"/>
  <c r="B10" i="7"/>
  <c r="B10" i="8"/>
  <c r="B10" i="3"/>
  <c r="B10" i="4"/>
  <c r="B35" i="7"/>
  <c r="L53" i="4"/>
  <c r="F20" i="2"/>
  <c r="F21" i="2"/>
  <c r="F19" i="2"/>
  <c r="F35" i="2" s="1"/>
  <c r="C21" i="2"/>
  <c r="C19" i="2"/>
  <c r="F20" i="10"/>
  <c r="F21" i="10"/>
  <c r="F36" i="10" s="1"/>
  <c r="F19" i="10"/>
  <c r="F35" i="10" s="1"/>
  <c r="C21" i="10"/>
  <c r="C19" i="10"/>
  <c r="F20" i="9"/>
  <c r="F21" i="9"/>
  <c r="F23" i="9" s="1"/>
  <c r="F19" i="9"/>
  <c r="F35" i="9" s="1"/>
  <c r="C21" i="9"/>
  <c r="C19" i="9"/>
  <c r="C22" i="3"/>
  <c r="B22" i="3" s="1"/>
  <c r="C20" i="3"/>
  <c r="B20" i="3" s="1"/>
  <c r="F44" i="3"/>
  <c r="C11" i="3"/>
  <c r="C12" i="3"/>
  <c r="C13" i="3"/>
  <c r="C43" i="3" s="1"/>
  <c r="C14" i="3"/>
  <c r="C69" i="3" s="1"/>
  <c r="C15" i="3"/>
  <c r="C44" i="3" s="1"/>
  <c r="C10" i="3"/>
  <c r="C37" i="3" s="1"/>
  <c r="C22" i="8"/>
  <c r="B22" i="8" s="1"/>
  <c r="C11" i="8"/>
  <c r="C12" i="8"/>
  <c r="C68" i="8" s="1"/>
  <c r="C13" i="8"/>
  <c r="C43" i="8" s="1"/>
  <c r="C14" i="8"/>
  <c r="C66" i="8" s="1"/>
  <c r="C15" i="8"/>
  <c r="C44" i="8" s="1"/>
  <c r="C10" i="8"/>
  <c r="L69" i="3"/>
  <c r="K69" i="3"/>
  <c r="L68" i="3"/>
  <c r="K68" i="3"/>
  <c r="L66" i="3"/>
  <c r="K66" i="3"/>
  <c r="L65" i="3"/>
  <c r="K65" i="3"/>
  <c r="L60" i="3"/>
  <c r="K60" i="3"/>
  <c r="J60" i="3"/>
  <c r="I60" i="3"/>
  <c r="H60" i="3"/>
  <c r="G60" i="3"/>
  <c r="E60" i="3"/>
  <c r="D60" i="3"/>
  <c r="L53" i="3"/>
  <c r="K53" i="3"/>
  <c r="F53" i="3"/>
  <c r="L52" i="3"/>
  <c r="K52" i="3"/>
  <c r="J52" i="3"/>
  <c r="I52" i="3"/>
  <c r="H52" i="3"/>
  <c r="G52" i="3"/>
  <c r="E52" i="3"/>
  <c r="L48" i="3"/>
  <c r="K48" i="3"/>
  <c r="F48" i="3"/>
  <c r="L47" i="3"/>
  <c r="K47" i="3"/>
  <c r="J47" i="3"/>
  <c r="I47" i="3"/>
  <c r="H47" i="3"/>
  <c r="G47" i="3"/>
  <c r="E47" i="3"/>
  <c r="D47" i="3"/>
  <c r="L44" i="3"/>
  <c r="K44" i="3"/>
  <c r="J44" i="3"/>
  <c r="I44" i="3"/>
  <c r="H44" i="3"/>
  <c r="G44" i="3"/>
  <c r="E44" i="3"/>
  <c r="D44" i="3"/>
  <c r="L43" i="3"/>
  <c r="K43" i="3"/>
  <c r="J43" i="3"/>
  <c r="I43" i="3"/>
  <c r="H43" i="3"/>
  <c r="G43" i="3"/>
  <c r="E43" i="3"/>
  <c r="D43" i="3"/>
  <c r="L38" i="3"/>
  <c r="K38" i="3"/>
  <c r="L37" i="3"/>
  <c r="K37" i="3"/>
  <c r="L69" i="8"/>
  <c r="K69" i="8"/>
  <c r="L68" i="8"/>
  <c r="K68" i="8"/>
  <c r="F68" i="8"/>
  <c r="L66" i="8"/>
  <c r="K66" i="8"/>
  <c r="L65" i="8"/>
  <c r="K65" i="8"/>
  <c r="L60" i="8"/>
  <c r="K60" i="8"/>
  <c r="J60" i="8"/>
  <c r="I60" i="8"/>
  <c r="H60" i="8"/>
  <c r="G60" i="8"/>
  <c r="E60" i="8"/>
  <c r="D60" i="8"/>
  <c r="L53" i="8"/>
  <c r="K53" i="8"/>
  <c r="F53" i="8"/>
  <c r="L52" i="8"/>
  <c r="K52" i="8"/>
  <c r="J52" i="8"/>
  <c r="I52" i="8"/>
  <c r="H52" i="8"/>
  <c r="G52" i="8"/>
  <c r="E52" i="8"/>
  <c r="L48" i="8"/>
  <c r="K48" i="8"/>
  <c r="F48" i="8"/>
  <c r="L47" i="8"/>
  <c r="K47" i="8"/>
  <c r="J47" i="8"/>
  <c r="I47" i="8"/>
  <c r="H47" i="8"/>
  <c r="G47" i="8"/>
  <c r="E47" i="8"/>
  <c r="D47" i="8"/>
  <c r="L44" i="8"/>
  <c r="K44" i="8"/>
  <c r="J44" i="8"/>
  <c r="I44" i="8"/>
  <c r="H44" i="8"/>
  <c r="G44" i="8"/>
  <c r="F44" i="8"/>
  <c r="E44" i="8"/>
  <c r="D44" i="8"/>
  <c r="L43" i="8"/>
  <c r="K43" i="8"/>
  <c r="J43" i="8"/>
  <c r="I43" i="8"/>
  <c r="H43" i="8"/>
  <c r="G43" i="8"/>
  <c r="E43" i="8"/>
  <c r="D43" i="8"/>
  <c r="L38" i="8"/>
  <c r="K38" i="8"/>
  <c r="K37" i="8"/>
  <c r="B73" i="7"/>
  <c r="L69" i="7"/>
  <c r="K69" i="7"/>
  <c r="L68" i="7"/>
  <c r="K68" i="7"/>
  <c r="L66" i="7"/>
  <c r="K66" i="7"/>
  <c r="F66" i="7"/>
  <c r="L65" i="7"/>
  <c r="K65" i="7"/>
  <c r="L60" i="7"/>
  <c r="K60" i="7"/>
  <c r="J60" i="7"/>
  <c r="I60" i="7"/>
  <c r="H60" i="7"/>
  <c r="G60" i="7"/>
  <c r="E60" i="7"/>
  <c r="D60" i="7"/>
  <c r="L53" i="7"/>
  <c r="K53" i="7"/>
  <c r="F53" i="7"/>
  <c r="L52" i="7"/>
  <c r="K52" i="7"/>
  <c r="J52" i="7"/>
  <c r="I52" i="7"/>
  <c r="H52" i="7"/>
  <c r="G52" i="7"/>
  <c r="E52" i="7"/>
  <c r="L48" i="7"/>
  <c r="K48" i="7"/>
  <c r="F48" i="7"/>
  <c r="L47" i="7"/>
  <c r="K47" i="7"/>
  <c r="J47" i="7"/>
  <c r="I47" i="7"/>
  <c r="H47" i="7"/>
  <c r="G47" i="7"/>
  <c r="E47" i="7"/>
  <c r="L44" i="7"/>
  <c r="K44" i="7"/>
  <c r="J44" i="7"/>
  <c r="I44" i="7"/>
  <c r="H44" i="7"/>
  <c r="G44" i="7"/>
  <c r="E44" i="7"/>
  <c r="D44" i="7"/>
  <c r="L43" i="7"/>
  <c r="K43" i="7"/>
  <c r="J43" i="7"/>
  <c r="I43" i="7"/>
  <c r="H43" i="7"/>
  <c r="G43" i="7"/>
  <c r="E43" i="7"/>
  <c r="D43" i="7"/>
  <c r="L36" i="7"/>
  <c r="L38" i="7" s="1"/>
  <c r="K36" i="7"/>
  <c r="K38" i="7" s="1"/>
  <c r="F36" i="7"/>
  <c r="C36" i="7"/>
  <c r="B36" i="7"/>
  <c r="L35" i="7"/>
  <c r="L37" i="7" s="1"/>
  <c r="K35" i="7"/>
  <c r="K37" i="7" s="1"/>
  <c r="F35" i="7"/>
  <c r="C35" i="7"/>
  <c r="L23" i="3"/>
  <c r="K23" i="3"/>
  <c r="F23" i="3"/>
  <c r="C23" i="3"/>
  <c r="L23" i="8"/>
  <c r="K23" i="8"/>
  <c r="F23" i="8"/>
  <c r="C23" i="8"/>
  <c r="L23" i="7"/>
  <c r="K23" i="7"/>
  <c r="F23" i="7"/>
  <c r="C23" i="7"/>
  <c r="C23" i="4"/>
  <c r="C22" i="7"/>
  <c r="C20" i="7"/>
  <c r="B20" i="7" s="1"/>
  <c r="C11" i="7"/>
  <c r="C13" i="7"/>
  <c r="C43" i="7" s="1"/>
  <c r="C14" i="7"/>
  <c r="C15" i="7"/>
  <c r="C44" i="7" s="1"/>
  <c r="C10" i="7"/>
  <c r="D60" i="4"/>
  <c r="E60" i="4"/>
  <c r="G60" i="4"/>
  <c r="H60" i="4"/>
  <c r="I60" i="4"/>
  <c r="J60" i="4"/>
  <c r="K60" i="4"/>
  <c r="L60" i="4"/>
  <c r="F53" i="4"/>
  <c r="E52" i="4"/>
  <c r="G52" i="4"/>
  <c r="H52" i="4"/>
  <c r="I52" i="4"/>
  <c r="J52" i="4"/>
  <c r="K52" i="4"/>
  <c r="L52" i="4"/>
  <c r="F35" i="4"/>
  <c r="F36" i="4"/>
  <c r="F38" i="4" s="1"/>
  <c r="C35" i="4"/>
  <c r="C36" i="4"/>
  <c r="C61" i="4" s="1"/>
  <c r="F48" i="4"/>
  <c r="E47" i="4"/>
  <c r="G47" i="4"/>
  <c r="H47" i="4"/>
  <c r="I47" i="4"/>
  <c r="K47" i="4"/>
  <c r="L47" i="4"/>
  <c r="D43" i="4"/>
  <c r="E43" i="4"/>
  <c r="G43" i="4"/>
  <c r="H43" i="4"/>
  <c r="I43" i="4"/>
  <c r="K43" i="4"/>
  <c r="L43" i="4"/>
  <c r="D44" i="4"/>
  <c r="E44" i="4"/>
  <c r="G44" i="4"/>
  <c r="H44" i="4"/>
  <c r="I44" i="4"/>
  <c r="J44" i="4"/>
  <c r="K44" i="4"/>
  <c r="L44" i="4"/>
  <c r="F23" i="4"/>
  <c r="C22" i="4"/>
  <c r="C20" i="4"/>
  <c r="B20" i="4" s="1"/>
  <c r="C11" i="4"/>
  <c r="C13" i="4"/>
  <c r="C43" i="4" s="1"/>
  <c r="C14" i="4"/>
  <c r="C66" i="4" s="1"/>
  <c r="C15" i="4"/>
  <c r="C44" i="4" s="1"/>
  <c r="C10" i="4"/>
  <c r="B23" i="3" l="1"/>
  <c r="C53" i="4"/>
  <c r="B22" i="4"/>
  <c r="B37" i="7"/>
  <c r="C53" i="7"/>
  <c r="B22" i="7"/>
  <c r="B53" i="7" s="1"/>
  <c r="K49" i="8"/>
  <c r="B60" i="4"/>
  <c r="L49" i="3"/>
  <c r="C36" i="10"/>
  <c r="C35" i="2"/>
  <c r="C36" i="9"/>
  <c r="C23" i="2"/>
  <c r="C36" i="2"/>
  <c r="C35" i="10"/>
  <c r="F23" i="2"/>
  <c r="F36" i="2"/>
  <c r="F61" i="2" s="1"/>
  <c r="F66" i="3"/>
  <c r="F52" i="3"/>
  <c r="F54" i="3" s="1"/>
  <c r="B47" i="3"/>
  <c r="F52" i="8"/>
  <c r="F54" i="8" s="1"/>
  <c r="F66" i="8"/>
  <c r="F60" i="8"/>
  <c r="F47" i="8"/>
  <c r="F49" i="8" s="1"/>
  <c r="F67" i="8" s="1"/>
  <c r="F37" i="8"/>
  <c r="L49" i="7"/>
  <c r="C23" i="10"/>
  <c r="B69" i="7"/>
  <c r="F38" i="7"/>
  <c r="F60" i="7"/>
  <c r="F52" i="7"/>
  <c r="F54" i="7" s="1"/>
  <c r="L54" i="4"/>
  <c r="F66" i="4"/>
  <c r="F60" i="4"/>
  <c r="F52" i="4"/>
  <c r="F47" i="4"/>
  <c r="F49" i="4" s="1"/>
  <c r="C69" i="4"/>
  <c r="F23" i="10"/>
  <c r="L54" i="3"/>
  <c r="K54" i="3"/>
  <c r="C53" i="3"/>
  <c r="F37" i="3"/>
  <c r="F47" i="3"/>
  <c r="F49" i="3" s="1"/>
  <c r="F65" i="3"/>
  <c r="C38" i="3"/>
  <c r="C62" i="3" s="1"/>
  <c r="C60" i="3"/>
  <c r="L54" i="8"/>
  <c r="K54" i="8"/>
  <c r="B60" i="8"/>
  <c r="B47" i="8"/>
  <c r="C37" i="8"/>
  <c r="C38" i="8"/>
  <c r="K54" i="7"/>
  <c r="B66" i="7"/>
  <c r="F47" i="7"/>
  <c r="F49" i="7" s="1"/>
  <c r="F65" i="7"/>
  <c r="F37" i="7"/>
  <c r="C37" i="7"/>
  <c r="B60" i="7"/>
  <c r="F65" i="4"/>
  <c r="F37" i="4"/>
  <c r="F62" i="4" s="1"/>
  <c r="L62" i="3"/>
  <c r="B60" i="3"/>
  <c r="C66" i="3"/>
  <c r="F53" i="9"/>
  <c r="F53" i="2"/>
  <c r="F36" i="9"/>
  <c r="F61" i="9" s="1"/>
  <c r="F48" i="10"/>
  <c r="C22" i="10"/>
  <c r="C38" i="7"/>
  <c r="C62" i="7" s="1"/>
  <c r="K49" i="7"/>
  <c r="K67" i="7" s="1"/>
  <c r="F61" i="8"/>
  <c r="F53" i="10"/>
  <c r="C22" i="9"/>
  <c r="C22" i="2"/>
  <c r="C20" i="2"/>
  <c r="C37" i="4"/>
  <c r="F48" i="9"/>
  <c r="L49" i="8"/>
  <c r="L67" i="8" s="1"/>
  <c r="B57" i="7"/>
  <c r="K61" i="7"/>
  <c r="C48" i="8"/>
  <c r="C53" i="8"/>
  <c r="K49" i="3"/>
  <c r="K67" i="3" s="1"/>
  <c r="C65" i="3"/>
  <c r="F61" i="10"/>
  <c r="B48" i="7"/>
  <c r="F61" i="4"/>
  <c r="L62" i="7"/>
  <c r="C69" i="7"/>
  <c r="C69" i="8"/>
  <c r="C68" i="3"/>
  <c r="F48" i="2"/>
  <c r="C48" i="4"/>
  <c r="C48" i="7"/>
  <c r="C60" i="7"/>
  <c r="C66" i="7"/>
  <c r="F54" i="4"/>
  <c r="C60" i="4"/>
  <c r="L54" i="7"/>
  <c r="C47" i="8"/>
  <c r="C65" i="8"/>
  <c r="K62" i="3"/>
  <c r="C20" i="9"/>
  <c r="C20" i="10"/>
  <c r="B61" i="7"/>
  <c r="L67" i="7"/>
  <c r="L62" i="8"/>
  <c r="C48" i="3"/>
  <c r="K61" i="8"/>
  <c r="L67" i="3"/>
  <c r="K67" i="8"/>
  <c r="C35" i="9"/>
  <c r="C38" i="4"/>
  <c r="K61" i="3"/>
  <c r="C61" i="2"/>
  <c r="B38" i="7"/>
  <c r="B62" i="7" s="1"/>
  <c r="C61" i="10"/>
  <c r="C23" i="9"/>
  <c r="F61" i="3"/>
  <c r="F38" i="3"/>
  <c r="F60" i="3"/>
  <c r="C47" i="3"/>
  <c r="C49" i="3" s="1"/>
  <c r="F38" i="8"/>
  <c r="C60" i="8"/>
  <c r="L61" i="3"/>
  <c r="C61" i="3"/>
  <c r="K62" i="8"/>
  <c r="L61" i="8"/>
  <c r="C61" i="8"/>
  <c r="K62" i="7"/>
  <c r="L61" i="7"/>
  <c r="F61" i="7"/>
  <c r="C61" i="7"/>
  <c r="L66" i="4"/>
  <c r="L65" i="4"/>
  <c r="K65" i="4"/>
  <c r="K53" i="4"/>
  <c r="K54" i="4" s="1"/>
  <c r="K66" i="4"/>
  <c r="B44" i="4"/>
  <c r="B43" i="4"/>
  <c r="B73" i="4"/>
  <c r="B35" i="4"/>
  <c r="B37" i="4" s="1"/>
  <c r="D14" i="2"/>
  <c r="C53" i="2" l="1"/>
  <c r="C48" i="2"/>
  <c r="F62" i="8"/>
  <c r="C49" i="8"/>
  <c r="C67" i="8" s="1"/>
  <c r="C62" i="8"/>
  <c r="F62" i="7"/>
  <c r="F67" i="3"/>
  <c r="F62" i="3"/>
  <c r="C67" i="3"/>
  <c r="F67" i="7"/>
  <c r="F67" i="4"/>
  <c r="C62" i="4"/>
  <c r="C48" i="9"/>
  <c r="C53" i="9"/>
  <c r="C48" i="10"/>
  <c r="C53" i="10"/>
  <c r="C61" i="9"/>
  <c r="B66" i="4"/>
  <c r="B48" i="4"/>
  <c r="L23" i="4" l="1"/>
  <c r="D52" i="3" l="1"/>
  <c r="C16" i="3"/>
  <c r="C52" i="3" s="1"/>
  <c r="C54" i="3" s="1"/>
  <c r="B16" i="3"/>
  <c r="B52" i="3" s="1"/>
  <c r="D52" i="8"/>
  <c r="B16" i="8"/>
  <c r="B52" i="8" s="1"/>
  <c r="C16" i="8"/>
  <c r="C52" i="8" s="1"/>
  <c r="C54" i="8" s="1"/>
  <c r="L35" i="4"/>
  <c r="L37" i="4" s="1"/>
  <c r="L36" i="4"/>
  <c r="L61" i="4" l="1"/>
  <c r="L38" i="4"/>
  <c r="L62" i="4" s="1"/>
  <c r="J16" i="2"/>
  <c r="I16" i="2"/>
  <c r="I11" i="2"/>
  <c r="J11" i="2"/>
  <c r="I12" i="2"/>
  <c r="I13" i="2"/>
  <c r="I43" i="2" s="1"/>
  <c r="J43" i="2"/>
  <c r="I14" i="2"/>
  <c r="J14" i="2"/>
  <c r="I15" i="2"/>
  <c r="I44" i="2" s="1"/>
  <c r="J15" i="2"/>
  <c r="J44" i="2" s="1"/>
  <c r="J10" i="2"/>
  <c r="I10" i="2"/>
  <c r="J16" i="10"/>
  <c r="I16" i="10"/>
  <c r="I11" i="10"/>
  <c r="J11" i="10"/>
  <c r="I12" i="10"/>
  <c r="I13" i="10"/>
  <c r="I43" i="10" s="1"/>
  <c r="J43" i="10"/>
  <c r="I14" i="10"/>
  <c r="J14" i="10"/>
  <c r="I15" i="10"/>
  <c r="I44" i="10" s="1"/>
  <c r="J15" i="10"/>
  <c r="J44" i="10" s="1"/>
  <c r="J10" i="10"/>
  <c r="I10" i="10"/>
  <c r="J16" i="9"/>
  <c r="I16" i="9"/>
  <c r="I11" i="9"/>
  <c r="J11" i="9"/>
  <c r="I12" i="9"/>
  <c r="I13" i="9"/>
  <c r="I43" i="9" s="1"/>
  <c r="J43" i="9"/>
  <c r="I14" i="9"/>
  <c r="J14" i="9"/>
  <c r="I15" i="9"/>
  <c r="I44" i="9" s="1"/>
  <c r="J15" i="9"/>
  <c r="J44" i="9" s="1"/>
  <c r="I10" i="9"/>
  <c r="J10" i="9"/>
  <c r="K36" i="4"/>
  <c r="I52" i="10" l="1"/>
  <c r="I47" i="10"/>
  <c r="I60" i="10"/>
  <c r="J52" i="10"/>
  <c r="J47" i="10"/>
  <c r="J60" i="10"/>
  <c r="I47" i="2"/>
  <c r="I52" i="2"/>
  <c r="I60" i="2"/>
  <c r="J47" i="2"/>
  <c r="J52" i="2"/>
  <c r="J60" i="2"/>
  <c r="K38" i="4"/>
  <c r="I60" i="9"/>
  <c r="I52" i="9"/>
  <c r="I47" i="9"/>
  <c r="J60" i="9"/>
  <c r="J52" i="9"/>
  <c r="J47" i="9"/>
  <c r="L48" i="4"/>
  <c r="L68" i="4"/>
  <c r="L69" i="4"/>
  <c r="D47" i="7" l="1"/>
  <c r="C12" i="7"/>
  <c r="B12" i="7"/>
  <c r="L49" i="4"/>
  <c r="L67" i="4" s="1"/>
  <c r="C68" i="7" l="1"/>
  <c r="C47" i="7"/>
  <c r="C49" i="7" s="1"/>
  <c r="C65" i="7"/>
  <c r="B47" i="7"/>
  <c r="B49" i="7" s="1"/>
  <c r="B68" i="7"/>
  <c r="B65" i="7"/>
  <c r="K23" i="4"/>
  <c r="L19" i="2"/>
  <c r="L35" i="2" s="1"/>
  <c r="L20" i="2"/>
  <c r="L21" i="2"/>
  <c r="L36" i="2" s="1"/>
  <c r="K20" i="2"/>
  <c r="K21" i="2"/>
  <c r="K19" i="2"/>
  <c r="B57" i="4" l="1"/>
  <c r="K35" i="2"/>
  <c r="B19" i="2"/>
  <c r="B35" i="2" s="1"/>
  <c r="K36" i="2"/>
  <c r="B21" i="2"/>
  <c r="B36" i="2" s="1"/>
  <c r="B20" i="2"/>
  <c r="B67" i="7"/>
  <c r="L48" i="2"/>
  <c r="L23" i="2"/>
  <c r="C67" i="7"/>
  <c r="K48" i="2"/>
  <c r="K23" i="2"/>
  <c r="K10" i="9"/>
  <c r="L10" i="9"/>
  <c r="K11" i="9"/>
  <c r="L11" i="9"/>
  <c r="H12" i="9"/>
  <c r="K12" i="9"/>
  <c r="L12" i="9"/>
  <c r="H13" i="9"/>
  <c r="H43" i="9" s="1"/>
  <c r="K13" i="9"/>
  <c r="K43" i="9" s="1"/>
  <c r="L13" i="9"/>
  <c r="L43" i="9" s="1"/>
  <c r="H14" i="9"/>
  <c r="K14" i="9"/>
  <c r="L14" i="9"/>
  <c r="H15" i="9"/>
  <c r="H44" i="9" s="1"/>
  <c r="K15" i="9"/>
  <c r="K44" i="9" s="1"/>
  <c r="L15" i="9"/>
  <c r="L44" i="9" s="1"/>
  <c r="H16" i="9"/>
  <c r="K16" i="9"/>
  <c r="L16" i="9"/>
  <c r="K10" i="10"/>
  <c r="L10" i="10"/>
  <c r="K11" i="10"/>
  <c r="L11" i="10"/>
  <c r="H12" i="10"/>
  <c r="K12" i="10"/>
  <c r="L12" i="10"/>
  <c r="H13" i="10"/>
  <c r="H43" i="10" s="1"/>
  <c r="K13" i="10"/>
  <c r="K43" i="10" s="1"/>
  <c r="L13" i="10"/>
  <c r="L43" i="10" s="1"/>
  <c r="H14" i="10"/>
  <c r="K14" i="10"/>
  <c r="L14" i="10"/>
  <c r="H15" i="10"/>
  <c r="H44" i="10" s="1"/>
  <c r="K15" i="10"/>
  <c r="K44" i="10" s="1"/>
  <c r="L15" i="10"/>
  <c r="L44" i="10" s="1"/>
  <c r="H16" i="10"/>
  <c r="K16" i="10"/>
  <c r="L16" i="10"/>
  <c r="K10" i="2"/>
  <c r="L10" i="2"/>
  <c r="L37" i="2" s="1"/>
  <c r="K11" i="2"/>
  <c r="L11" i="2"/>
  <c r="H12" i="2"/>
  <c r="K12" i="2"/>
  <c r="K65" i="2" s="1"/>
  <c r="L12" i="2"/>
  <c r="L65" i="2" s="1"/>
  <c r="H13" i="2"/>
  <c r="H43" i="2" s="1"/>
  <c r="K13" i="2"/>
  <c r="K43" i="2" s="1"/>
  <c r="L13" i="2"/>
  <c r="L43" i="2" s="1"/>
  <c r="H14" i="2"/>
  <c r="K14" i="2"/>
  <c r="K69" i="2" s="1"/>
  <c r="L14" i="2"/>
  <c r="H15" i="2"/>
  <c r="H44" i="2" s="1"/>
  <c r="K15" i="2"/>
  <c r="K44" i="2" s="1"/>
  <c r="L15" i="2"/>
  <c r="L44" i="2" s="1"/>
  <c r="H16" i="2"/>
  <c r="K16" i="2"/>
  <c r="L16" i="2"/>
  <c r="D11" i="2"/>
  <c r="E11" i="2"/>
  <c r="G11" i="2"/>
  <c r="F11" i="2" s="1"/>
  <c r="E12" i="2"/>
  <c r="G12" i="2"/>
  <c r="D13" i="2"/>
  <c r="E13" i="2"/>
  <c r="E43" i="2" s="1"/>
  <c r="G13" i="2"/>
  <c r="E14" i="2"/>
  <c r="G14" i="2"/>
  <c r="D15" i="2"/>
  <c r="E15" i="2"/>
  <c r="E44" i="2" s="1"/>
  <c r="G15" i="2"/>
  <c r="G10" i="2"/>
  <c r="E10" i="2"/>
  <c r="D10" i="2"/>
  <c r="L22" i="2"/>
  <c r="L53" i="2" s="1"/>
  <c r="D11" i="10"/>
  <c r="E11" i="10"/>
  <c r="G11" i="10"/>
  <c r="F11" i="10" s="1"/>
  <c r="E12" i="10"/>
  <c r="G12" i="10"/>
  <c r="D13" i="10"/>
  <c r="E13" i="10"/>
  <c r="E43" i="10" s="1"/>
  <c r="G13" i="10"/>
  <c r="D14" i="10"/>
  <c r="E14" i="10"/>
  <c r="G14" i="10"/>
  <c r="D15" i="10"/>
  <c r="E15" i="10"/>
  <c r="E44" i="10" s="1"/>
  <c r="G15" i="10"/>
  <c r="G10" i="10"/>
  <c r="E10" i="10"/>
  <c r="D10" i="10"/>
  <c r="G11" i="9"/>
  <c r="F11" i="9" s="1"/>
  <c r="G12" i="9"/>
  <c r="F12" i="9" s="1"/>
  <c r="G13" i="9"/>
  <c r="G14" i="9"/>
  <c r="G15" i="9"/>
  <c r="G10" i="9"/>
  <c r="F10" i="9" s="1"/>
  <c r="E11" i="9"/>
  <c r="E12" i="9"/>
  <c r="E13" i="9"/>
  <c r="E43" i="9" s="1"/>
  <c r="E14" i="9"/>
  <c r="E15" i="9"/>
  <c r="E44" i="9" s="1"/>
  <c r="E10" i="9"/>
  <c r="D11" i="9"/>
  <c r="D13" i="9"/>
  <c r="D14" i="9"/>
  <c r="D15" i="9"/>
  <c r="C15" i="9" s="1"/>
  <c r="C44" i="9" s="1"/>
  <c r="D10" i="9"/>
  <c r="C10" i="9" l="1"/>
  <c r="C37" i="9" s="1"/>
  <c r="C11" i="9"/>
  <c r="C14" i="9"/>
  <c r="B57" i="2"/>
  <c r="C13" i="9"/>
  <c r="C43" i="9" s="1"/>
  <c r="F10" i="10"/>
  <c r="F37" i="10" s="1"/>
  <c r="F12" i="10"/>
  <c r="F65" i="10" s="1"/>
  <c r="K66" i="2"/>
  <c r="F10" i="2"/>
  <c r="F37" i="2" s="1"/>
  <c r="L68" i="2"/>
  <c r="F12" i="2"/>
  <c r="F68" i="2" s="1"/>
  <c r="F37" i="9"/>
  <c r="B10" i="2"/>
  <c r="B37" i="2" s="1"/>
  <c r="C10" i="2"/>
  <c r="C37" i="2" s="1"/>
  <c r="D60" i="2"/>
  <c r="D44" i="9"/>
  <c r="B15" i="9"/>
  <c r="B44" i="9" s="1"/>
  <c r="B10" i="10"/>
  <c r="C10" i="10"/>
  <c r="C37" i="10" s="1"/>
  <c r="B14" i="10"/>
  <c r="D60" i="10"/>
  <c r="C14" i="10"/>
  <c r="B11" i="10"/>
  <c r="C11" i="10"/>
  <c r="G60" i="2"/>
  <c r="F14" i="2"/>
  <c r="G47" i="2"/>
  <c r="B14" i="2"/>
  <c r="B69" i="2" s="1"/>
  <c r="L47" i="2"/>
  <c r="L49" i="2" s="1"/>
  <c r="L52" i="2"/>
  <c r="L54" i="2" s="1"/>
  <c r="L60" i="2"/>
  <c r="H60" i="9"/>
  <c r="H52" i="9"/>
  <c r="H47" i="9"/>
  <c r="L66" i="2"/>
  <c r="B16" i="7"/>
  <c r="B52" i="7" s="1"/>
  <c r="B54" i="7" s="1"/>
  <c r="D52" i="7"/>
  <c r="C16" i="7"/>
  <c r="E47" i="9"/>
  <c r="E60" i="9"/>
  <c r="F68" i="9"/>
  <c r="F65" i="9"/>
  <c r="F14" i="10"/>
  <c r="G60" i="10"/>
  <c r="G47" i="10"/>
  <c r="L60" i="9"/>
  <c r="L52" i="9"/>
  <c r="L47" i="9"/>
  <c r="B10" i="9"/>
  <c r="K68" i="2"/>
  <c r="K60" i="9"/>
  <c r="K52" i="9"/>
  <c r="K47" i="9"/>
  <c r="D52" i="4"/>
  <c r="C16" i="4"/>
  <c r="C52" i="4" s="1"/>
  <c r="C54" i="4" s="1"/>
  <c r="B16" i="4"/>
  <c r="B52" i="4" s="1"/>
  <c r="G43" i="9"/>
  <c r="F13" i="9"/>
  <c r="F43" i="9" s="1"/>
  <c r="D44" i="10"/>
  <c r="B15" i="10"/>
  <c r="B44" i="10" s="1"/>
  <c r="C15" i="10"/>
  <c r="C44" i="10" s="1"/>
  <c r="F15" i="2"/>
  <c r="F44" i="2" s="1"/>
  <c r="G44" i="2"/>
  <c r="H60" i="10"/>
  <c r="H52" i="10"/>
  <c r="H47" i="10"/>
  <c r="K61" i="2"/>
  <c r="K38" i="2"/>
  <c r="L38" i="2"/>
  <c r="L62" i="2" s="1"/>
  <c r="L61" i="2"/>
  <c r="E47" i="10"/>
  <c r="E60" i="10"/>
  <c r="B13" i="2"/>
  <c r="B43" i="2" s="1"/>
  <c r="D43" i="2"/>
  <c r="C13" i="2"/>
  <c r="C43" i="2" s="1"/>
  <c r="K52" i="10"/>
  <c r="K47" i="10"/>
  <c r="K60" i="10"/>
  <c r="D44" i="2"/>
  <c r="C15" i="2"/>
  <c r="C44" i="2" s="1"/>
  <c r="B15" i="2"/>
  <c r="B44" i="2" s="1"/>
  <c r="F14" i="9"/>
  <c r="G60" i="9"/>
  <c r="G47" i="9"/>
  <c r="F15" i="9"/>
  <c r="F44" i="9" s="1"/>
  <c r="G44" i="9"/>
  <c r="G44" i="10"/>
  <c r="F15" i="10"/>
  <c r="F44" i="10" s="1"/>
  <c r="B13" i="10"/>
  <c r="B43" i="10" s="1"/>
  <c r="D43" i="10"/>
  <c r="C13" i="10"/>
  <c r="C43" i="10" s="1"/>
  <c r="L52" i="10"/>
  <c r="L47" i="10"/>
  <c r="L60" i="10"/>
  <c r="B11" i="9"/>
  <c r="L69" i="2"/>
  <c r="B13" i="9"/>
  <c r="B43" i="9" s="1"/>
  <c r="D43" i="9"/>
  <c r="G43" i="2"/>
  <c r="F13" i="2"/>
  <c r="F43" i="2" s="1"/>
  <c r="H47" i="2"/>
  <c r="H52" i="2"/>
  <c r="H60" i="2"/>
  <c r="B14" i="9"/>
  <c r="D60" i="9"/>
  <c r="F13" i="10"/>
  <c r="F43" i="10" s="1"/>
  <c r="G43" i="10"/>
  <c r="E47" i="2"/>
  <c r="E60" i="2"/>
  <c r="C14" i="2"/>
  <c r="B11" i="2"/>
  <c r="C11" i="2"/>
  <c r="K47" i="2"/>
  <c r="K49" i="2" s="1"/>
  <c r="K52" i="2"/>
  <c r="K60" i="2"/>
  <c r="B48" i="2"/>
  <c r="K37" i="2"/>
  <c r="K69" i="4"/>
  <c r="C38" i="9" l="1"/>
  <c r="C62" i="9" s="1"/>
  <c r="C69" i="9"/>
  <c r="C60" i="9"/>
  <c r="C66" i="9"/>
  <c r="L67" i="2"/>
  <c r="F68" i="10"/>
  <c r="F65" i="2"/>
  <c r="K67" i="2"/>
  <c r="K62" i="2"/>
  <c r="F66" i="2"/>
  <c r="F60" i="2"/>
  <c r="F47" i="2"/>
  <c r="F49" i="2" s="1"/>
  <c r="F38" i="2"/>
  <c r="F62" i="2" s="1"/>
  <c r="F69" i="2"/>
  <c r="B60" i="9"/>
  <c r="B60" i="10"/>
  <c r="C60" i="2"/>
  <c r="C69" i="2"/>
  <c r="C66" i="2"/>
  <c r="C38" i="2"/>
  <c r="C62" i="2" s="1"/>
  <c r="F69" i="9"/>
  <c r="F47" i="9"/>
  <c r="F49" i="9" s="1"/>
  <c r="F38" i="9"/>
  <c r="F62" i="9" s="1"/>
  <c r="F66" i="9"/>
  <c r="F60" i="9"/>
  <c r="B66" i="2"/>
  <c r="B60" i="2"/>
  <c r="F66" i="10"/>
  <c r="F47" i="10"/>
  <c r="F49" i="10" s="1"/>
  <c r="F69" i="10"/>
  <c r="F60" i="10"/>
  <c r="F38" i="10"/>
  <c r="F62" i="10" s="1"/>
  <c r="C60" i="10"/>
  <c r="C69" i="10"/>
  <c r="C66" i="10"/>
  <c r="C38" i="10"/>
  <c r="C62" i="10" s="1"/>
  <c r="B61" i="2"/>
  <c r="B38" i="2"/>
  <c r="B62" i="2" s="1"/>
  <c r="C52" i="7"/>
  <c r="C54" i="7" s="1"/>
  <c r="F67" i="2" l="1"/>
  <c r="F67" i="10"/>
  <c r="F67" i="9"/>
  <c r="B12" i="4"/>
  <c r="D47" i="4"/>
  <c r="C12" i="4"/>
  <c r="D12" i="2"/>
  <c r="D12" i="10"/>
  <c r="D12" i="9"/>
  <c r="C12" i="9" s="1"/>
  <c r="C68" i="4" l="1"/>
  <c r="C47" i="4"/>
  <c r="C49" i="4" s="1"/>
  <c r="C65" i="4"/>
  <c r="B47" i="4"/>
  <c r="B49" i="4" s="1"/>
  <c r="B65" i="4"/>
  <c r="B12" i="2"/>
  <c r="C12" i="2"/>
  <c r="D47" i="2"/>
  <c r="B12" i="10"/>
  <c r="B47" i="10" s="1"/>
  <c r="C12" i="10"/>
  <c r="D47" i="10"/>
  <c r="B12" i="9"/>
  <c r="B47" i="9" s="1"/>
  <c r="D47" i="9"/>
  <c r="B27" i="9"/>
  <c r="B27" i="10"/>
  <c r="B27" i="2"/>
  <c r="B73" i="2" s="1"/>
  <c r="L22" i="9"/>
  <c r="K22" i="9"/>
  <c r="L20" i="9"/>
  <c r="K21" i="9"/>
  <c r="B21" i="9" s="1"/>
  <c r="L21" i="9"/>
  <c r="L19" i="9"/>
  <c r="L35" i="9" s="1"/>
  <c r="L37" i="9" s="1"/>
  <c r="K19" i="9"/>
  <c r="L20" i="10"/>
  <c r="K21" i="10"/>
  <c r="L21" i="10"/>
  <c r="L19" i="10"/>
  <c r="L35" i="10" s="1"/>
  <c r="L37" i="10" s="1"/>
  <c r="K19" i="10"/>
  <c r="L22" i="10"/>
  <c r="K22" i="10"/>
  <c r="K22" i="2"/>
  <c r="B22" i="2" s="1"/>
  <c r="E16" i="9"/>
  <c r="E52" i="9" s="1"/>
  <c r="G16" i="9"/>
  <c r="D16" i="9"/>
  <c r="E16" i="10"/>
  <c r="E52" i="10" s="1"/>
  <c r="G16" i="10"/>
  <c r="D16" i="10"/>
  <c r="E16" i="2"/>
  <c r="E52" i="2" s="1"/>
  <c r="G16" i="2"/>
  <c r="D16" i="2"/>
  <c r="B19" i="9" l="1"/>
  <c r="B21" i="10"/>
  <c r="C16" i="9"/>
  <c r="C52" i="9" s="1"/>
  <c r="C54" i="9" s="1"/>
  <c r="B19" i="10"/>
  <c r="B35" i="10" s="1"/>
  <c r="B37" i="10" s="1"/>
  <c r="B22" i="10"/>
  <c r="B22" i="9"/>
  <c r="C67" i="4"/>
  <c r="C16" i="2"/>
  <c r="C52" i="2" s="1"/>
  <c r="C54" i="2" s="1"/>
  <c r="B16" i="2"/>
  <c r="B52" i="2" s="1"/>
  <c r="D52" i="2"/>
  <c r="L65" i="10"/>
  <c r="L68" i="10"/>
  <c r="F16" i="9"/>
  <c r="F52" i="9" s="1"/>
  <c r="F54" i="9" s="1"/>
  <c r="G52" i="9"/>
  <c r="K66" i="10"/>
  <c r="K36" i="10"/>
  <c r="K23" i="10"/>
  <c r="K69" i="10"/>
  <c r="K53" i="10"/>
  <c r="K54" i="10" s="1"/>
  <c r="B16" i="9"/>
  <c r="B52" i="9" s="1"/>
  <c r="D52" i="9"/>
  <c r="L69" i="10"/>
  <c r="L53" i="10"/>
  <c r="L54" i="10" s="1"/>
  <c r="L48" i="10"/>
  <c r="L49" i="10" s="1"/>
  <c r="L36" i="10"/>
  <c r="L66" i="10"/>
  <c r="L23" i="10"/>
  <c r="C65" i="10"/>
  <c r="C68" i="10"/>
  <c r="C47" i="10"/>
  <c r="C49" i="10" s="1"/>
  <c r="C47" i="9"/>
  <c r="C49" i="9" s="1"/>
  <c r="C68" i="9"/>
  <c r="C65" i="9"/>
  <c r="F16" i="10"/>
  <c r="F52" i="10" s="1"/>
  <c r="F54" i="10" s="1"/>
  <c r="G52" i="10"/>
  <c r="K69" i="9"/>
  <c r="K23" i="9"/>
  <c r="K66" i="9"/>
  <c r="K53" i="9"/>
  <c r="K54" i="9" s="1"/>
  <c r="K36" i="9"/>
  <c r="B67" i="4"/>
  <c r="L65" i="9"/>
  <c r="L68" i="9"/>
  <c r="K35" i="10"/>
  <c r="K37" i="10" s="1"/>
  <c r="B16" i="10"/>
  <c r="B52" i="10" s="1"/>
  <c r="C16" i="10"/>
  <c r="C52" i="10" s="1"/>
  <c r="C54" i="10" s="1"/>
  <c r="D52" i="10"/>
  <c r="L53" i="9"/>
  <c r="L54" i="9" s="1"/>
  <c r="L48" i="9"/>
  <c r="L49" i="9" s="1"/>
  <c r="L36" i="9"/>
  <c r="L66" i="9"/>
  <c r="L23" i="9"/>
  <c r="L69" i="9"/>
  <c r="B65" i="2"/>
  <c r="B68" i="2"/>
  <c r="B47" i="2"/>
  <c r="B49" i="2" s="1"/>
  <c r="F16" i="2"/>
  <c r="F52" i="2" s="1"/>
  <c r="F54" i="2" s="1"/>
  <c r="G52" i="2"/>
  <c r="B53" i="2"/>
  <c r="K53" i="2"/>
  <c r="K54" i="2" s="1"/>
  <c r="K35" i="9"/>
  <c r="K37" i="9" s="1"/>
  <c r="B35" i="9"/>
  <c r="B37" i="9" s="1"/>
  <c r="C65" i="2"/>
  <c r="C68" i="2"/>
  <c r="C47" i="2"/>
  <c r="C49" i="2" s="1"/>
  <c r="K20" i="9"/>
  <c r="K20" i="10"/>
  <c r="B20" i="10" s="1"/>
  <c r="B37" i="8"/>
  <c r="B26" i="4"/>
  <c r="B72" i="4" s="1"/>
  <c r="B53" i="4"/>
  <c r="B54" i="4" s="1"/>
  <c r="B57" i="9" l="1"/>
  <c r="K48" i="9"/>
  <c r="K49" i="9" s="1"/>
  <c r="B20" i="9"/>
  <c r="C67" i="9"/>
  <c r="L67" i="10"/>
  <c r="K38" i="10"/>
  <c r="K62" i="10" s="1"/>
  <c r="K61" i="10"/>
  <c r="B67" i="2"/>
  <c r="L67" i="9"/>
  <c r="L38" i="9"/>
  <c r="L62" i="9" s="1"/>
  <c r="L61" i="9"/>
  <c r="B36" i="9"/>
  <c r="B66" i="9"/>
  <c r="B69" i="9"/>
  <c r="B53" i="9"/>
  <c r="B54" i="9" s="1"/>
  <c r="B73" i="9"/>
  <c r="B57" i="10"/>
  <c r="B54" i="2"/>
  <c r="L38" i="10"/>
  <c r="L62" i="10" s="1"/>
  <c r="L61" i="10"/>
  <c r="K68" i="10"/>
  <c r="K65" i="10"/>
  <c r="B48" i="10"/>
  <c r="B49" i="10" s="1"/>
  <c r="K48" i="10"/>
  <c r="K49" i="10" s="1"/>
  <c r="B73" i="10"/>
  <c r="B66" i="10"/>
  <c r="B69" i="10"/>
  <c r="B53" i="10"/>
  <c r="B54" i="10" s="1"/>
  <c r="B36" i="10"/>
  <c r="K68" i="9"/>
  <c r="K65" i="9"/>
  <c r="K67" i="9" s="1"/>
  <c r="K38" i="9"/>
  <c r="K62" i="9" s="1"/>
  <c r="K61" i="9"/>
  <c r="C67" i="10"/>
  <c r="C67" i="2"/>
  <c r="B26" i="3"/>
  <c r="B72" i="3" s="1"/>
  <c r="B68" i="3"/>
  <c r="B65" i="3"/>
  <c r="B38" i="3"/>
  <c r="B73" i="3"/>
  <c r="B66" i="3"/>
  <c r="B69" i="3"/>
  <c r="B53" i="3"/>
  <c r="B54" i="3" s="1"/>
  <c r="B48" i="3"/>
  <c r="B49" i="3" s="1"/>
  <c r="B57" i="3"/>
  <c r="B37" i="3"/>
  <c r="B66" i="8"/>
  <c r="B69" i="8"/>
  <c r="B53" i="8"/>
  <c r="B54" i="8" s="1"/>
  <c r="B48" i="8"/>
  <c r="B49" i="8" s="1"/>
  <c r="B73" i="8"/>
  <c r="B57" i="8"/>
  <c r="B65" i="8"/>
  <c r="B68" i="8"/>
  <c r="B26" i="7"/>
  <c r="B72" i="7" s="1"/>
  <c r="B26" i="8"/>
  <c r="B72" i="8" s="1"/>
  <c r="B26" i="2"/>
  <c r="B72" i="2" s="1"/>
  <c r="B26" i="10" l="1"/>
  <c r="B72" i="10" s="1"/>
  <c r="B65" i="9"/>
  <c r="B68" i="9"/>
  <c r="B38" i="9"/>
  <c r="B62" i="9" s="1"/>
  <c r="B61" i="9"/>
  <c r="B38" i="10"/>
  <c r="B62" i="10" s="1"/>
  <c r="B61" i="10"/>
  <c r="B65" i="10"/>
  <c r="B67" i="10" s="1"/>
  <c r="B68" i="10"/>
  <c r="K67" i="10"/>
  <c r="B48" i="9"/>
  <c r="B49" i="9" s="1"/>
  <c r="B26" i="9"/>
  <c r="B72" i="9" s="1"/>
  <c r="B61" i="3"/>
  <c r="B67" i="3"/>
  <c r="B62" i="3"/>
  <c r="B67" i="8"/>
  <c r="B61" i="8"/>
  <c r="B38" i="8"/>
  <c r="B62" i="8" s="1"/>
  <c r="B67" i="9" l="1"/>
  <c r="K68" i="4"/>
  <c r="B69" i="4" l="1"/>
  <c r="B68" i="4" l="1"/>
  <c r="K48" i="4" l="1"/>
  <c r="K35" i="4"/>
  <c r="K37" i="4" l="1"/>
  <c r="K62" i="4" s="1"/>
  <c r="K61" i="4"/>
  <c r="K49" i="4"/>
  <c r="K67" i="4" s="1"/>
  <c r="B36" i="4"/>
  <c r="B38" i="4" s="1"/>
  <c r="B61" i="4" l="1"/>
  <c r="B62" i="4"/>
</calcChain>
</file>

<file path=xl/sharedStrings.xml><?xml version="1.0" encoding="utf-8"?>
<sst xmlns="http://schemas.openxmlformats.org/spreadsheetml/2006/main" count="617" uniqueCount="142">
  <si>
    <t>Indicador</t>
  </si>
  <si>
    <t>Total</t>
  </si>
  <si>
    <t>Productos</t>
  </si>
  <si>
    <t>programa</t>
  </si>
  <si>
    <t>Comidas Servidas</t>
  </si>
  <si>
    <t>DAF</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</si>
  <si>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</si>
  <si>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</si>
  <si>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</si>
  <si>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</si>
  <si>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</si>
  <si>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</si>
  <si>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</si>
  <si>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</si>
  <si>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</si>
  <si>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</si>
  <si>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</si>
  <si>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</si>
  <si>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</si>
  <si>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</si>
  <si>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</si>
  <si>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</si>
  <si>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</si>
  <si>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</si>
  <si>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</si>
  <si>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</si>
  <si>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</si>
  <si>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</si>
  <si>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</si>
  <si>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</si>
  <si>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</si>
  <si>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Gasto programado por beneficiario (GPB) </t>
  </si>
  <si>
    <t xml:space="preserve">Gasto efectivo por beneficiario (GEB) </t>
  </si>
  <si>
    <t xml:space="preserve">Índice de eficiencia (IE) </t>
  </si>
  <si>
    <t>De giro de recursos</t>
  </si>
  <si>
    <t>Índice de giro efectivo (IGE)</t>
  </si>
  <si>
    <t xml:space="preserve">Índice de uso de recursos (IUR) </t>
  </si>
  <si>
    <t>(Niños de 2 a 6 años)</t>
  </si>
  <si>
    <t xml:space="preserve">Gasto efectivo trimestral por beneficiario (GEB) </t>
  </si>
  <si>
    <t xml:space="preserve">Gasto programado trimestral por beneficiario (GPB) </t>
  </si>
  <si>
    <t>De composición</t>
  </si>
  <si>
    <t xml:space="preserve">Gasto programado acumulado por beneficiario (GPB) </t>
  </si>
  <si>
    <t xml:space="preserve">Gasto efectivo acumulado por beneficiario (GEB) </t>
  </si>
  <si>
    <t>NOTAS</t>
  </si>
  <si>
    <t xml:space="preserve">Gasto mensual programado por beneficiario (GPB) </t>
  </si>
  <si>
    <t xml:space="preserve">Gasto mensual efectivo por beneficiario (GEB) </t>
  </si>
  <si>
    <t xml:space="preserve">Gasto programado mensual por beneficiario (GPB) </t>
  </si>
  <si>
    <t xml:space="preserve">Gasto efectivo mensual por beneficiario (GEB) </t>
  </si>
  <si>
    <t>Intramuros</t>
  </si>
  <si>
    <t>Extramuros</t>
  </si>
  <si>
    <t>El cálculo de beneficiarios del trimestre se toma como el promedio de los individuos atendidos en los tres meses, debido a que el grueso de la población es la misma a través del período.</t>
  </si>
  <si>
    <t>Red de cuido</t>
  </si>
  <si>
    <t>Leche  (kg)</t>
  </si>
  <si>
    <t>Los beneficiarios se miden como comidas servidas intramuros + leche 1600 para evitar la duplicación de individuos, debido a que un mismo individuo puede recibir varios beneficios del programa.</t>
  </si>
  <si>
    <t>Efectivos 1T 2013</t>
  </si>
  <si>
    <t>IPC (1T 2013)</t>
  </si>
  <si>
    <t>Gasto efectivo real 1T 2013</t>
  </si>
  <si>
    <t>Gasto efectivo real por beneficiario 1T 2013</t>
  </si>
  <si>
    <t>Efectivos 2T 2013</t>
  </si>
  <si>
    <t>IPC (2T 2013)</t>
  </si>
  <si>
    <t>Gasto efectivo real 2T 2013</t>
  </si>
  <si>
    <t>Gasto efectivo real por beneficiario 2T 2013</t>
  </si>
  <si>
    <t>Efectivos 3T 2013</t>
  </si>
  <si>
    <t>IPC (3T 2013)</t>
  </si>
  <si>
    <t>Gasto efectivo real 3T 2013</t>
  </si>
  <si>
    <t>Gasto efectivo real por beneficiario 3T 2013</t>
  </si>
  <si>
    <t>Efectivos 4T 2013</t>
  </si>
  <si>
    <t>IPC (4T 2013)</t>
  </si>
  <si>
    <t>Gasto efectivo real 4T 2013</t>
  </si>
  <si>
    <t>Gasto efectivo real por beneficiario 4T 2013</t>
  </si>
  <si>
    <t>Efectivos 1S 2013</t>
  </si>
  <si>
    <t>IPC (1S 2013)</t>
  </si>
  <si>
    <t>Gasto efectivo real 1S 2013</t>
  </si>
  <si>
    <t>Gasto efectivo real por beneficiario 1S 2013</t>
  </si>
  <si>
    <t>Efectivos  2013</t>
  </si>
  <si>
    <t>IPC ( 2013)</t>
  </si>
  <si>
    <t>Gasto efectivo real  2013</t>
  </si>
  <si>
    <t>Gasto efectivo real por beneficiario  2013</t>
  </si>
  <si>
    <t>No se toman en cuenta modificaciones a las metas o al presupuesto que sean retroactivas, ni aquellas que respondan a cambios de precios.</t>
  </si>
  <si>
    <t>IPC, BCCR</t>
  </si>
  <si>
    <t>Total Comidas</t>
  </si>
  <si>
    <t>Total Leche</t>
  </si>
  <si>
    <t xml:space="preserve"> </t>
  </si>
  <si>
    <t>Comidas</t>
  </si>
  <si>
    <t>Leche</t>
  </si>
  <si>
    <t>Red de Cuido</t>
  </si>
  <si>
    <t>Indicadores propuestos aplicado a CEN-CINAI. Primer trimestre 2014</t>
  </si>
  <si>
    <t>Programados 1T 2014</t>
  </si>
  <si>
    <t>Efectivos 1T 2014</t>
  </si>
  <si>
    <t>Programados año 2014</t>
  </si>
  <si>
    <t>En transferencias 1T 2014</t>
  </si>
  <si>
    <t>IPC (1T 2014)</t>
  </si>
  <si>
    <t>Gasto efectivo real 1T 2014</t>
  </si>
  <si>
    <t>Gasto efectivo real por beneficiario 1T 2014</t>
  </si>
  <si>
    <t>Fuentes: Informes trimestrales, CEN CINAI, 2013 y 2014</t>
  </si>
  <si>
    <t>Metas y Modificaciones CEN CINAI, Desaf 2014</t>
  </si>
  <si>
    <t>ENAHO 2013</t>
  </si>
  <si>
    <t>Indicadores propuestos aplicado a CEN-CINAI. Segundo trimestre 2014</t>
  </si>
  <si>
    <t>Programados 2T 2014</t>
  </si>
  <si>
    <t>Efectivos 2T 2014</t>
  </si>
  <si>
    <t>En transferencias 2T 2014</t>
  </si>
  <si>
    <t>IPC (2T 2014)</t>
  </si>
  <si>
    <t>Gasto efectivo real 2T 2014</t>
  </si>
  <si>
    <t>Gasto efectivo real por beneficiario 2T 2014</t>
  </si>
  <si>
    <t>Indicadores propuestos aplicado a CEN-CINAI. Tercer trimestre 2014</t>
  </si>
  <si>
    <t>Programados 3T 2014</t>
  </si>
  <si>
    <t>Efectivos 3T 2014</t>
  </si>
  <si>
    <t>En transferencias 3T 2014</t>
  </si>
  <si>
    <t>IPC (3T 2014)</t>
  </si>
  <si>
    <t>Gasto efectivo real 3T 2014</t>
  </si>
  <si>
    <t>Gasto efectivo real por beneficiario 3T 2014</t>
  </si>
  <si>
    <t>Indicadores propuestos aplicado a CEN-CINAI. Cuarto trimestre 2014</t>
  </si>
  <si>
    <t>Programados 4T 2014</t>
  </si>
  <si>
    <t>Efectivos 4T 2014</t>
  </si>
  <si>
    <t>En transferencias 4T 2014</t>
  </si>
  <si>
    <t>IPC (4T 2014)</t>
  </si>
  <si>
    <t>Gasto efectivo real 4T 2014</t>
  </si>
  <si>
    <t>Gasto efectivo real por beneficiario 4T 2014</t>
  </si>
  <si>
    <t>Indicadores propuestos aplicado a CEN-CINAI. Primer Semestre 2014</t>
  </si>
  <si>
    <t>Programados 1S 2014</t>
  </si>
  <si>
    <t>Efectivos 1S 2014</t>
  </si>
  <si>
    <t>En transferencias 1S 2014</t>
  </si>
  <si>
    <t>IPC (1S 2014)</t>
  </si>
  <si>
    <t>Gasto efectivo real 1S 2014</t>
  </si>
  <si>
    <t>Gasto efectivo real por beneficiario 1S 2014</t>
  </si>
  <si>
    <t>Indicadores propuestos aplicado a CEN-CINAI. Tercer trimestre ACUMULADO 2014</t>
  </si>
  <si>
    <t>Indicadores propuestos aplicado a CEN-CINAI. Año 2014</t>
  </si>
  <si>
    <t>Programados  2014</t>
  </si>
  <si>
    <t>Efectivos  2014</t>
  </si>
  <si>
    <t>Programados 2014</t>
  </si>
  <si>
    <t>En transferencias  2014</t>
  </si>
  <si>
    <t>IPC ( 2014)</t>
  </si>
  <si>
    <t>Gasto efectivo real  2014</t>
  </si>
  <si>
    <t>Gasto efectivo real por beneficiario  2014</t>
  </si>
  <si>
    <t xml:space="preserve">Para el cálculo de Costos Medios por beneficiario en el caso de leche, se toma el total de beneficiarios de leche (1600, 640 y 320 grs). </t>
  </si>
  <si>
    <t>Fecha de actualización: 27/05/2015</t>
  </si>
  <si>
    <t>Fecha de actualización: 29/05/2015</t>
  </si>
  <si>
    <t>Equipamiento</t>
  </si>
  <si>
    <t>Compra de alimentos</t>
  </si>
  <si>
    <t>Vehiculos</t>
  </si>
  <si>
    <t>Proyecto prevención</t>
  </si>
  <si>
    <t xml:space="preserve">Debido a modificaciones se introdujo el producto vehiculos y el proyecto de prevención.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</si>
</sst>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0.0____"/>
    <numFmt numFmtId="165" formatCode="#,##0.0"/>
    <numFmt numFmtId="166" formatCode="_(* #,##0_);_(* \(#,##0\);_(* &quot;-&quot;??_);_(@_)"/>
    <numFmt numFmtId="167" formatCode="#,##0____"/>
    <numFmt numFmtId="168" formatCode="&quot;$&quot;#,##0.00"/>
    <numFmt numFmtId="169" formatCode="_(* #,##0.0_);_(* \(#,##0.0\);_(* &quot;-&quot;??_);_(@_)"/>
    <numFmt numFmtId="170" formatCode="0_);\(0\)"/>
  </numFmts>
  <fonts count="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i/>
      <sz val="11"/>
      <color theme="1"/>
      <name val="Calibri"/>
      <family val="2"/>
      <scheme val="minor"/>
    </font>
    <font>
      <sz val="11"/>
      <color theme="9" tint="-0.249977111117893"/>
      <name val="Calibri"/>
      <family val="2"/>
      <scheme val="minor"/>
    </font>
    <font>
      <sz val="11"/>
      <color theme="3" tint="0.3999755851924192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s>
  <borders count="6">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0" fillId="0" borderId="3" xfId="0" applyBorder="1" applyAlignment="1">
      <alignment horizontal="center"/>
    </xf>
    <xf numFmtId="0" fontId="3" fillId="0" borderId="0" xfId="0" applyFont="1"/>
    <xf numFmtId="0" fontId="0" fillId="0" borderId="0" xfId="0" applyAlignment="1">
      <alignment horizontal="left" indent="1"/>
    </xf>
    <xf numFmtId="3" fontId="0" fillId="0" borderId="0" xfId="0" applyNumberFormat="1"/>
    <xf numFmtId="3" fontId="0" fillId="0" borderId="0" xfId="0" applyNumberFormat="1" applyFill="1"/>
    <xf numFmtId="0" fontId="0" fillId="0" borderId="0" xfId="0" applyAlignment="1">
      <alignment horizontal="left"/>
    </xf>
    <xf numFmtId="0" fontId="0" fillId="2" borderId="0" xfId="0" applyFill="1" applyAlignment="1">
      <alignment horizontal="left"/>
    </xf>
    <xf numFmtId="3" fontId="0" fillId="2" borderId="0" xfId="0" applyNumberFormat="1" applyFill="1"/>
    <xf numFmtId="0" fontId="0" fillId="2" borderId="0" xfId="0" applyFill="1" applyAlignment="1">
      <alignment horizontal="left" indent="1"/>
    </xf>
    <xf numFmtId="0" fontId="0" fillId="3" borderId="0" xfId="0" applyFill="1" applyAlignment="1">
      <alignment horizontal="left" indent="1"/>
    </xf>
    <xf numFmtId="2" fontId="0" fillId="3" borderId="0" xfId="0" applyNumberFormat="1" applyFill="1"/>
    <xf numFmtId="0" fontId="3" fillId="3" borderId="0" xfId="0" applyFont="1" applyFill="1"/>
    <xf numFmtId="0" fontId="0" fillId="3" borderId="0" xfId="0" applyFill="1"/>
    <xf numFmtId="3" fontId="0" fillId="3" borderId="0" xfId="0" applyNumberFormat="1" applyFill="1"/>
    <xf numFmtId="164" fontId="0" fillId="0" borderId="0" xfId="0" applyNumberFormat="1"/>
    <xf numFmtId="164" fontId="0" fillId="3" borderId="0" xfId="0" applyNumberFormat="1" applyFill="1"/>
    <xf numFmtId="164" fontId="0" fillId="0" borderId="0" xfId="0" applyNumberFormat="1" applyFill="1"/>
    <xf numFmtId="0" fontId="0" fillId="2" borderId="0" xfId="0" applyFill="1"/>
    <xf numFmtId="164" fontId="0" fillId="2" borderId="0" xfId="0" applyNumberFormat="1" applyFill="1"/>
    <xf numFmtId="0" fontId="0" fillId="0" borderId="3" xfId="0" applyBorder="1"/>
    <xf numFmtId="165" fontId="0" fillId="0" borderId="0" xfId="0" applyNumberFormat="1"/>
    <xf numFmtId="43" fontId="0" fillId="0" borderId="0" xfId="1" applyFont="1"/>
    <xf numFmtId="43" fontId="0" fillId="2" borderId="0" xfId="1" applyFont="1" applyFill="1"/>
    <xf numFmtId="166" fontId="0" fillId="0" borderId="0" xfId="1" applyNumberFormat="1" applyFont="1"/>
    <xf numFmtId="0" fontId="0" fillId="0" borderId="1" xfId="0" applyBorder="1" applyAlignment="1">
      <alignment horizontal="center"/>
    </xf>
    <xf numFmtId="0" fontId="6" fillId="0" borderId="0" xfId="0" applyFont="1" applyAlignment="1">
      <alignment horizontal="left" indent="1"/>
    </xf>
    <xf numFmtId="0" fontId="6" fillId="0" borderId="0" xfId="0" applyFont="1" applyAlignment="1">
      <alignment horizontal="left" indent="2"/>
    </xf>
    <xf numFmtId="3" fontId="2" fillId="2" borderId="0" xfId="0" applyNumberFormat="1" applyFont="1" applyFill="1"/>
    <xf numFmtId="166" fontId="0" fillId="0" borderId="0" xfId="0" applyNumberFormat="1"/>
    <xf numFmtId="167" fontId="0" fillId="0" borderId="0" xfId="0" applyNumberFormat="1" applyFill="1"/>
    <xf numFmtId="3" fontId="4" fillId="2" borderId="0" xfId="0" applyNumberFormat="1" applyFont="1" applyFill="1"/>
    <xf numFmtId="0" fontId="0" fillId="0" borderId="0" xfId="0" applyFill="1"/>
    <xf numFmtId="0" fontId="0" fillId="0" borderId="0" xfId="0" applyFill="1" applyBorder="1"/>
    <xf numFmtId="3" fontId="0" fillId="3" borderId="0" xfId="0" applyNumberFormat="1" applyFill="1" applyAlignment="1">
      <alignment horizontal="right"/>
    </xf>
    <xf numFmtId="166" fontId="0" fillId="2" borderId="0" xfId="1" applyNumberFormat="1" applyFont="1" applyFill="1"/>
    <xf numFmtId="0" fontId="0" fillId="0" borderId="0" xfId="0" applyAlignment="1">
      <alignment horizontal="center"/>
    </xf>
    <xf numFmtId="166" fontId="0" fillId="0" borderId="0" xfId="1" applyNumberFormat="1" applyFont="1" applyFill="1"/>
    <xf numFmtId="0" fontId="2" fillId="0" borderId="0" xfId="0" applyFont="1" applyFill="1"/>
    <xf numFmtId="166" fontId="0" fillId="0" borderId="0" xfId="1" applyNumberFormat="1" applyFont="1" applyAlignment="1"/>
    <xf numFmtId="3" fontId="0" fillId="0" borderId="0" xfId="0" applyNumberFormat="1" applyAlignment="1"/>
    <xf numFmtId="168" fontId="0" fillId="0" borderId="0" xfId="0" applyNumberFormat="1"/>
    <xf numFmtId="14" fontId="0" fillId="0" borderId="0" xfId="0" applyNumberFormat="1" applyAlignment="1">
      <alignment horizontal="left"/>
    </xf>
    <xf numFmtId="43" fontId="2" fillId="2" borderId="0" xfId="1" applyFont="1" applyFill="1"/>
    <xf numFmtId="3" fontId="0" fillId="0" borderId="0" xfId="0" applyNumberFormat="1" applyFill="1" applyAlignment="1"/>
    <xf numFmtId="43" fontId="0" fillId="0" borderId="0" xfId="1" applyFont="1" applyFill="1"/>
    <xf numFmtId="166" fontId="0" fillId="0" borderId="0" xfId="0" applyNumberFormat="1" applyFill="1"/>
    <xf numFmtId="0" fontId="0" fillId="0" borderId="0" xfId="0" applyFill="1" applyAlignment="1">
      <alignment horizontal="center"/>
    </xf>
    <xf numFmtId="0" fontId="0" fillId="0" borderId="3" xfId="0" applyFill="1" applyBorder="1" applyAlignment="1">
      <alignment horizontal="center"/>
    </xf>
    <xf numFmtId="0" fontId="0" fillId="0" borderId="3" xfId="0" applyFill="1" applyBorder="1"/>
    <xf numFmtId="3" fontId="0" fillId="3" borderId="0" xfId="0" applyNumberFormat="1" applyFill="1" applyAlignment="1"/>
    <xf numFmtId="0" fontId="0" fillId="3" borderId="0" xfId="0" applyFill="1" applyAlignment="1"/>
    <xf numFmtId="166" fontId="4" fillId="0" borderId="0" xfId="1" applyNumberFormat="1" applyFont="1"/>
    <xf numFmtId="166" fontId="0" fillId="2" borderId="0" xfId="0" applyNumberFormat="1" applyFill="1"/>
    <xf numFmtId="3" fontId="0" fillId="0" borderId="0" xfId="0" applyNumberFormat="1" applyAlignment="1">
      <alignment horizontal="center"/>
    </xf>
    <xf numFmtId="3"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164" fontId="0" fillId="0" borderId="0" xfId="0" applyNumberFormat="1" applyAlignment="1"/>
    <xf numFmtId="164" fontId="0" fillId="3" borderId="0" xfId="0" applyNumberFormat="1" applyFill="1" applyAlignment="1"/>
    <xf numFmtId="167" fontId="0" fillId="0" borderId="0" xfId="0" applyNumberFormat="1" applyFill="1" applyAlignment="1"/>
    <xf numFmtId="0" fontId="0" fillId="0" borderId="0" xfId="0" applyFill="1" applyAlignment="1">
      <alignment horizontal="left" indent="1"/>
    </xf>
    <xf numFmtId="169" fontId="0" fillId="0" borderId="0" xfId="1" applyNumberFormat="1" applyFont="1"/>
    <xf numFmtId="37" fontId="0" fillId="0" borderId="0" xfId="1" applyNumberFormat="1" applyFont="1"/>
    <xf numFmtId="37" fontId="0" fillId="0" borderId="0" xfId="1" applyNumberFormat="1" applyFont="1" applyFill="1"/>
    <xf numFmtId="0" fontId="0" fillId="0" borderId="4" xfId="0" applyBorder="1"/>
    <xf numFmtId="3" fontId="4" fillId="0" borderId="0" xfId="0" applyNumberFormat="1" applyFont="1"/>
    <xf numFmtId="0" fontId="0" fillId="0" borderId="0" xfId="0" applyBorder="1"/>
    <xf numFmtId="170" fontId="0" fillId="0" borderId="0" xfId="1" applyNumberFormat="1" applyFont="1"/>
    <xf numFmtId="170" fontId="0" fillId="0" borderId="0" xfId="0" applyNumberFormat="1"/>
    <xf numFmtId="170" fontId="4" fillId="0" borderId="0" xfId="0" applyNumberFormat="1" applyFont="1"/>
    <xf numFmtId="0" fontId="4" fillId="0" borderId="0" xfId="0" applyFont="1" applyFill="1"/>
    <xf numFmtId="0" fontId="4" fillId="0" borderId="0" xfId="0" applyFont="1"/>
    <xf numFmtId="37" fontId="0" fillId="0" borderId="0" xfId="0" applyNumberFormat="1"/>
    <xf numFmtId="0" fontId="2" fillId="0" borderId="0" xfId="0" applyFont="1"/>
    <xf numFmtId="3" fontId="4" fillId="0" borderId="0" xfId="0" applyNumberFormat="1" applyFont="1" applyFill="1"/>
    <xf numFmtId="43" fontId="2" fillId="0" borderId="0" xfId="1" applyFont="1"/>
    <xf numFmtId="0" fontId="7" fillId="0" borderId="0" xfId="0" applyFont="1"/>
    <xf numFmtId="3" fontId="4" fillId="0" borderId="0" xfId="0" applyNumberFormat="1" applyFont="1" applyFill="1" applyAlignment="1"/>
    <xf numFmtId="0" fontId="8" fillId="0" borderId="0" xfId="0" applyFont="1"/>
    <xf numFmtId="37" fontId="4" fillId="0" borderId="0" xfId="1" applyNumberFormat="1" applyFont="1"/>
    <xf numFmtId="170" fontId="4" fillId="0" borderId="0" xfId="1" applyNumberFormat="1" applyFont="1" applyFill="1"/>
    <xf numFmtId="170" fontId="4" fillId="0" borderId="0" xfId="0" applyNumberFormat="1" applyFont="1" applyFill="1"/>
    <xf numFmtId="166" fontId="4" fillId="0" borderId="0" xfId="1" applyNumberFormat="1" applyFont="1" applyFill="1"/>
    <xf numFmtId="0" fontId="0" fillId="0" borderId="1" xfId="0" applyBorder="1" applyAlignment="1"/>
    <xf numFmtId="0" fontId="0" fillId="0" borderId="0" xfId="0" applyBorder="1" applyAlignment="1"/>
    <xf numFmtId="43" fontId="4" fillId="0" borderId="0" xfId="1" applyFont="1"/>
    <xf numFmtId="0" fontId="0" fillId="3" borderId="0" xfId="0" applyFill="1" applyAlignment="1">
      <alignment horizontal="center"/>
    </xf>
    <xf numFmtId="0" fontId="0" fillId="0" borderId="1" xfId="0" applyBorder="1" applyAlignment="1">
      <alignment horizontal="center" vertical="center"/>
    </xf>
    <xf numFmtId="0" fontId="0" fillId="0" borderId="3" xfId="0" applyBorder="1" applyAlignment="1">
      <alignment horizontal="center" vertical="center"/>
    </xf>
    <xf numFmtId="0" fontId="5"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0" fillId="0" borderId="0" xfId="0" applyBorder="1" applyAlignment="1">
      <alignment horizontal="center"/>
    </xf>
    <xf numFmtId="0" fontId="0" fillId="0" borderId="2" xfId="0" applyBorder="1" applyAlignment="1">
      <alignment horizontal="center"/>
    </xf>
    <xf numFmtId="166" fontId="0" fillId="0" borderId="0" xfId="1" applyNumberFormat="1" applyFont="1" applyAlignment="1">
      <alignment horizontal="center"/>
    </xf>
    <xf numFmtId="1" fontId="4" fillId="0" borderId="0" xfId="1" applyNumberFormat="1" applyFont="1" applyFill="1"/>
    <xf numFmtId="1" fontId="4" fillId="0" borderId="0" xfId="0" applyNumberFormat="1" applyFont="1" applyFill="1"/>
    <xf numFmtId="1" fontId="0" fillId="0" borderId="0" xfId="1" applyNumberFormat="1" applyFont="1"/>
    <xf numFmtId="1" fontId="0" fillId="0" borderId="0" xfId="0" applyNumberFormat="1"/>
    <xf numFmtId="0" fontId="7" fillId="0" borderId="0" xfId="0" applyFont="1" applyFill="1"/>
    <xf numFmtId="4" fontId="0" fillId="0" borderId="0" xfId="1" applyNumberFormat="1" applyFont="1"/>
    <xf numFmtId="4" fontId="0" fillId="0" borderId="0" xfId="0" applyNumberFormat="1"/>
    <xf numFmtId="4" fontId="4" fillId="0" borderId="0" xfId="0" applyNumberFormat="1" applyFont="1"/>
    <xf numFmtId="4" fontId="0" fillId="0" borderId="0" xfId="1" applyNumberFormat="1" applyFont="1" applyAlignment="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304800</xdr:colOff>
      <xdr:row>42</xdr:row>
      <xdr:rowOff>180975</xdr:rowOff>
    </xdr:to>
    <xdr:sp macro="" textlink="">
      <xdr:nvSpPr>
        <xdr:cNvPr id="2" name="1 CuadroTexto"/>
        <xdr:cNvSpPr txBox="1"/>
      </xdr:nvSpPr>
      <xdr:spPr>
        <a:xfrm>
          <a:off x="0" y="0"/>
          <a:ext cx="7924800" cy="818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R" sz="1100" u="sng">
              <a:solidFill>
                <a:sysClr val="windowText" lastClr="000000"/>
              </a:solidFill>
            </a:rPr>
            <a:t>Observaciones</a:t>
          </a:r>
        </a:p>
        <a:p>
          <a:endParaRPr lang="es-CR" sz="1100">
            <a:solidFill>
              <a:sysClr val="windowText" lastClr="000000"/>
            </a:solidFill>
          </a:endParaRP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mn-ea"/>
              <a:cs typeface="+mn-cs"/>
            </a:rPr>
            <a:t>La información es proporcionada por las unidades ejecutoras de cada programa. </a:t>
          </a:r>
        </a:p>
        <a:p>
          <a:pPr marL="0" marR="0" indent="0" defTabSz="914400" eaLnBrk="1" fontAlgn="auto" latinLnBrk="0" hangingPunct="1">
            <a:lnSpc>
              <a:spcPct val="200000"/>
            </a:lnSpc>
            <a:spcBef>
              <a:spcPts val="0"/>
            </a:spcBef>
            <a:spcAft>
              <a:spcPts val="1000"/>
            </a:spcAft>
            <a:buClrTx/>
            <a:buSzTx/>
            <a:buFontTx/>
            <a:buNone/>
            <a:tabLst/>
            <a:defRPr/>
          </a:pPr>
          <a:r>
            <a:rPr lang="es-CR" sz="1100">
              <a:solidFill>
                <a:sysClr val="windowText" lastClr="000000"/>
              </a:solidFill>
              <a:effectLst/>
              <a:latin typeface="+mn-lt"/>
              <a:ea typeface="Calibri"/>
              <a:cs typeface="Times New Roman"/>
            </a:rPr>
            <a:t>Se deben tomar en cuenta las particularidades de cada programa .</a:t>
          </a:r>
        </a:p>
        <a:p>
          <a:pPr>
            <a:lnSpc>
              <a:spcPct val="200000"/>
            </a:lnSpc>
            <a:spcAft>
              <a:spcPts val="1000"/>
            </a:spcAft>
          </a:pPr>
          <a:r>
            <a:rPr lang="es-CR" sz="1100">
              <a:solidFill>
                <a:sysClr val="windowText" lastClr="000000"/>
              </a:solidFill>
              <a:effectLst/>
              <a:latin typeface="+mn-lt"/>
              <a:ea typeface="Calibri"/>
              <a:cs typeface="Times New Roman"/>
            </a:rPr>
            <a:t>En el caso particular de</a:t>
          </a:r>
          <a:r>
            <a:rPr lang="es-CR" sz="1100" baseline="0">
              <a:solidFill>
                <a:sysClr val="windowText" lastClr="000000"/>
              </a:solidFill>
              <a:effectLst/>
              <a:latin typeface="+mn-lt"/>
              <a:ea typeface="Calibri"/>
              <a:cs typeface="Times New Roman"/>
            </a:rPr>
            <a:t> CEN-CINAI</a:t>
          </a:r>
          <a:r>
            <a:rPr lang="es-CR" sz="1100">
              <a:solidFill>
                <a:sysClr val="windowText" lastClr="000000"/>
              </a:solidFill>
              <a:effectLst/>
              <a:latin typeface="+mn-lt"/>
              <a:ea typeface="Calibri"/>
              <a:cs typeface="Times New Roman"/>
            </a:rPr>
            <a:t>:</a:t>
          </a:r>
        </a:p>
        <a:p>
          <a:pPr>
            <a:lnSpc>
              <a:spcPct val="200000"/>
            </a:lnSpc>
            <a:spcAft>
              <a:spcPts val="1000"/>
            </a:spcAft>
          </a:pPr>
          <a:r>
            <a:rPr lang="es-CR" sz="1100">
              <a:solidFill>
                <a:sysClr val="windowText" lastClr="000000"/>
              </a:solidFill>
              <a:effectLst/>
              <a:latin typeface="+mn-lt"/>
              <a:ea typeface="Calibri"/>
              <a:cs typeface="Times New Roman"/>
            </a:rPr>
            <a:t>Los</a:t>
          </a:r>
          <a:r>
            <a:rPr lang="es-CR" sz="1100" baseline="0">
              <a:solidFill>
                <a:sysClr val="windowText" lastClr="000000"/>
              </a:solidFill>
              <a:effectLst/>
              <a:latin typeface="+mn-lt"/>
              <a:ea typeface="Calibri"/>
              <a:cs typeface="Times New Roman"/>
            </a:rPr>
            <a:t> giros de dinero por parte de Desaf no se hacen siempre con la programación preestablecida (en el caso de leche) sino que se toman en cuenta las existencias en inventario para sólo girar lo necesario. Siempre cubriendo el total de los beneficiarios, utilizando tanto las existencias como las nuevas compras.</a:t>
          </a:r>
        </a:p>
        <a:p>
          <a:pPr>
            <a:lnSpc>
              <a:spcPct val="200000"/>
            </a:lnSpc>
            <a:spcAft>
              <a:spcPts val="1000"/>
            </a:spcAft>
          </a:pPr>
          <a:r>
            <a:rPr lang="es-CR" sz="1100" baseline="0">
              <a:solidFill>
                <a:sysClr val="windowText" lastClr="000000"/>
              </a:solidFill>
              <a:effectLst/>
              <a:latin typeface="+mn-lt"/>
              <a:ea typeface="Calibri"/>
              <a:cs typeface="Times New Roman"/>
            </a:rPr>
            <a:t>Los giros de dinero también están sujetos a los cambios en precios de  mercado de la leche, por lo que el monto cobrado por factura puede diferir del presupuestado. Este cambio en precios puede provocar variaciones en el costo promedio por beneficiario entre períodos.</a:t>
          </a:r>
        </a:p>
        <a:p>
          <a:pPr>
            <a:lnSpc>
              <a:spcPct val="200000"/>
            </a:lnSpc>
            <a:spcAft>
              <a:spcPts val="1000"/>
            </a:spcAft>
          </a:pPr>
          <a:r>
            <a:rPr lang="es-CR" sz="1100" baseline="0">
              <a:solidFill>
                <a:sysClr val="windowText" lastClr="000000"/>
              </a:solidFill>
              <a:effectLst/>
              <a:latin typeface="+mn-lt"/>
              <a:ea typeface="Calibri"/>
              <a:cs typeface="Times New Roman"/>
            </a:rPr>
            <a:t>En enero se pueden estar utilizando saldos de leche del año anterior, por lo que puede haber cobertura sin gasto de dinero del año en ejecución.</a:t>
          </a:r>
        </a:p>
        <a:p>
          <a:pPr>
            <a:lnSpc>
              <a:spcPct val="200000"/>
            </a:lnSpc>
            <a:spcAft>
              <a:spcPts val="1000"/>
            </a:spcAft>
          </a:pPr>
          <a:r>
            <a:rPr lang="es-CR" sz="1100" baseline="0">
              <a:solidFill>
                <a:sysClr val="windowText" lastClr="000000"/>
              </a:solidFill>
              <a:effectLst/>
              <a:latin typeface="+mn-lt"/>
              <a:ea typeface="Calibri"/>
              <a:cs typeface="Times New Roman"/>
            </a:rPr>
            <a:t>Los mismos beneficiarios pueden recibir varios productos (por ejemplo leche y comida) y las mismas personas pueden ser atendidas durante todo el año.</a:t>
          </a:r>
        </a:p>
        <a:p>
          <a:pPr>
            <a:lnSpc>
              <a:spcPct val="200000"/>
            </a:lnSpc>
            <a:spcAft>
              <a:spcPts val="1000"/>
            </a:spcAft>
          </a:pPr>
          <a:endParaRPr lang="es-CR" sz="1100" baseline="0">
            <a:solidFill>
              <a:sysClr val="windowText" lastClr="000000"/>
            </a:solidFill>
            <a:effectLst/>
            <a:latin typeface="+mn-lt"/>
            <a:ea typeface="Calibri"/>
            <a:cs typeface="Times New Roman"/>
          </a:endParaRPr>
        </a:p>
        <a:p>
          <a:pPr>
            <a:lnSpc>
              <a:spcPct val="200000"/>
            </a:lnSpc>
            <a:spcAft>
              <a:spcPts val="1000"/>
            </a:spcAft>
          </a:pPr>
          <a:r>
            <a:rPr lang="es-CR" sz="1100">
              <a:solidFill>
                <a:sysClr val="windowText" lastClr="000000"/>
              </a:solidFill>
              <a:effectLst/>
              <a:latin typeface="+mn-lt"/>
              <a:ea typeface="Calibri"/>
              <a:cs typeface="Times New Roman"/>
            </a:rPr>
            <a:t>Se recomienda observar la fórmula utilizada en Excel cuando existan dudas sobre algún resultado obtenido.</a:t>
          </a:r>
        </a:p>
        <a:p>
          <a:pPr>
            <a:lnSpc>
              <a:spcPct val="200000"/>
            </a:lnSpc>
            <a:spcAft>
              <a:spcPts val="1000"/>
            </a:spcAft>
          </a:pPr>
          <a:endParaRPr lang="es-CR" sz="1100">
            <a:solidFill>
              <a:srgbClr val="1F497D"/>
            </a:solidFill>
            <a:effectLst/>
            <a:latin typeface="+mn-lt"/>
            <a:ea typeface="Calibri"/>
            <a:cs typeface="Times New Roman"/>
          </a:endParaRPr>
        </a:p>
        <a:p>
          <a:pPr>
            <a:lnSpc>
              <a:spcPct val="200000"/>
            </a:lnSpc>
            <a:spcAft>
              <a:spcPts val="1000"/>
            </a:spcAft>
          </a:pPr>
          <a:endParaRPr lang="es-CR" sz="1100">
            <a:solidFill>
              <a:srgbClr val="1F497D"/>
            </a:solidFill>
            <a:effectLst/>
            <a:latin typeface="+mn-lt"/>
            <a:ea typeface="Calibri"/>
            <a:cs typeface="Times New Roman"/>
          </a:endParaRPr>
        </a:p>
        <a:p>
          <a:endParaRPr lang="es-CR" sz="1100"/>
        </a:p>
        <a:p>
          <a:endParaRPr lang="es-CR" sz="1100"/>
        </a:p>
        <a:p>
          <a:endParaRPr lang="es-CR" sz="1100"/>
        </a:p>
        <a:p>
          <a:endParaRPr lang="es-CR"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9"/>
  <sheetViews>
    <sheetView zoomScale="69" zoomScaleNormal="69" workbookViewId="0">
      <pane xSplit="1" ySplit="6" topLeftCell="I7" activePane="bottomRight" state="frozen"/>
      <selection pane="topRight" activeCell="B1" sqref="B1"/>
      <selection pane="bottomLeft" activeCell="A7" sqref="A7"/>
      <selection pane="bottomRight" activeCell="A44" sqref="A44"/>
    </sheetView>
  </sheetViews>
  <sheetFormatPr baseColWidth="10" defaultColWidth="11.42578125" defaultRowHeight="15" x14ac:dyDescent="0.25"/>
  <cols>
    <col min="1" max="1" width="50.85546875" customWidth="1"/>
    <col min="2" max="2" width="26.7109375" customWidth="1"/>
    <col min="3" max="3" width="16" customWidth="1"/>
    <col min="4" max="6" width="15.5703125" customWidth="1"/>
    <col min="7" max="7" width="16.140625" customWidth="1"/>
    <col min="8" max="10" width="14.5703125" customWidth="1"/>
    <col min="11" max="11" width="15.42578125" customWidth="1"/>
    <col min="12" max="12" width="16.42578125" customWidth="1"/>
    <col min="13" max="13" width="23.7109375" bestFit="1" customWidth="1"/>
    <col min="14" max="14" width="20.85546875" customWidth="1"/>
    <col min="15" max="15" width="15.28515625" customWidth="1"/>
    <col min="16" max="16" width="23.7109375" customWidth="1"/>
  </cols>
  <sheetData>
    <row r="1" spans="1:16" x14ac:dyDescent="0.25">
      <c r="I1" s="38"/>
      <c r="J1" s="38"/>
    </row>
    <row r="2" spans="1:16" ht="15.75" x14ac:dyDescent="0.25">
      <c r="A2" s="90" t="s">
        <v>86</v>
      </c>
      <c r="B2" s="90"/>
      <c r="C2" s="90"/>
      <c r="D2" s="90"/>
      <c r="E2" s="90"/>
      <c r="F2" s="90"/>
      <c r="G2" s="90"/>
      <c r="H2" s="90"/>
      <c r="I2" s="90"/>
      <c r="J2" s="90"/>
      <c r="K2" s="90"/>
    </row>
    <row r="4" spans="1:16" x14ac:dyDescent="0.25">
      <c r="A4" s="88" t="s">
        <v>0</v>
      </c>
      <c r="B4" s="56" t="s">
        <v>1</v>
      </c>
      <c r="C4" s="25"/>
      <c r="D4" s="93" t="s">
        <v>2</v>
      </c>
      <c r="E4" s="93"/>
      <c r="F4" s="93"/>
      <c r="G4" s="93"/>
      <c r="H4" s="93"/>
      <c r="I4" s="93"/>
      <c r="J4" s="93"/>
      <c r="K4" s="93"/>
      <c r="L4" s="93"/>
      <c r="M4" s="93"/>
      <c r="N4" s="93"/>
    </row>
    <row r="5" spans="1:16" ht="15.75" thickBot="1" x14ac:dyDescent="0.3">
      <c r="A5" s="89"/>
      <c r="B5" s="57" t="s">
        <v>3</v>
      </c>
      <c r="C5" s="57" t="s">
        <v>80</v>
      </c>
      <c r="D5" s="91" t="s">
        <v>4</v>
      </c>
      <c r="E5" s="91"/>
      <c r="F5" s="57" t="s">
        <v>81</v>
      </c>
      <c r="G5" s="92" t="s">
        <v>52</v>
      </c>
      <c r="H5" s="92"/>
      <c r="I5" s="92"/>
      <c r="J5" s="92"/>
      <c r="K5" s="1" t="s">
        <v>5</v>
      </c>
      <c r="L5" s="20" t="s">
        <v>51</v>
      </c>
      <c r="M5" s="65" t="s">
        <v>137</v>
      </c>
      <c r="N5" s="65" t="s">
        <v>138</v>
      </c>
      <c r="O5" s="20" t="s">
        <v>139</v>
      </c>
      <c r="P5" s="20" t="s">
        <v>140</v>
      </c>
    </row>
    <row r="6" spans="1:16" ht="15.75" thickTop="1" x14ac:dyDescent="0.25">
      <c r="B6" s="36" t="s">
        <v>1</v>
      </c>
      <c r="C6" s="36" t="s">
        <v>83</v>
      </c>
      <c r="D6" s="36" t="s">
        <v>48</v>
      </c>
      <c r="E6" s="36" t="s">
        <v>49</v>
      </c>
      <c r="F6" s="36" t="s">
        <v>84</v>
      </c>
      <c r="G6" s="36">
        <v>1600</v>
      </c>
      <c r="H6" s="36">
        <v>640</v>
      </c>
      <c r="I6" s="47">
        <v>320</v>
      </c>
      <c r="J6" s="47">
        <v>800</v>
      </c>
      <c r="K6" s="36" t="s">
        <v>5</v>
      </c>
      <c r="L6" t="s">
        <v>85</v>
      </c>
      <c r="M6" t="s">
        <v>137</v>
      </c>
      <c r="N6" t="s">
        <v>138</v>
      </c>
      <c r="O6" s="33" t="s">
        <v>139</v>
      </c>
      <c r="P6" s="33" t="s">
        <v>140</v>
      </c>
    </row>
    <row r="7" spans="1:16" x14ac:dyDescent="0.25">
      <c r="A7" s="2" t="s">
        <v>6</v>
      </c>
      <c r="I7" s="32"/>
      <c r="J7" s="32"/>
    </row>
    <row r="8" spans="1:16" x14ac:dyDescent="0.25">
      <c r="I8" s="32"/>
      <c r="J8" s="32"/>
    </row>
    <row r="9" spans="1:16" x14ac:dyDescent="0.25">
      <c r="A9" t="s">
        <v>7</v>
      </c>
      <c r="I9" s="32"/>
      <c r="J9" s="32"/>
    </row>
    <row r="10" spans="1:16" x14ac:dyDescent="0.25">
      <c r="A10" s="3" t="s">
        <v>54</v>
      </c>
      <c r="B10" s="4">
        <f>+D10+G10</f>
        <v>113195.66666666667</v>
      </c>
      <c r="C10" s="4">
        <f>D10+E10</f>
        <v>20493</v>
      </c>
      <c r="D10" s="4">
        <v>18921.666666666668</v>
      </c>
      <c r="E10" s="4">
        <v>1571.3333333333333</v>
      </c>
      <c r="F10" s="66">
        <f>SUM(G10:I10)</f>
        <v>111301</v>
      </c>
      <c r="G10" s="66">
        <v>94274</v>
      </c>
      <c r="H10" s="66">
        <v>2456</v>
      </c>
      <c r="I10" s="66">
        <v>14571</v>
      </c>
      <c r="J10" s="75">
        <v>19277</v>
      </c>
      <c r="K10" s="4">
        <v>1347.3333333333333</v>
      </c>
      <c r="L10" s="5">
        <v>188</v>
      </c>
      <c r="M10" s="75">
        <v>0</v>
      </c>
      <c r="N10" s="5">
        <v>0</v>
      </c>
      <c r="O10" s="5">
        <v>0</v>
      </c>
      <c r="P10" s="5">
        <v>0</v>
      </c>
    </row>
    <row r="11" spans="1:16" x14ac:dyDescent="0.25">
      <c r="A11" s="26" t="s">
        <v>37</v>
      </c>
      <c r="B11" s="4">
        <f t="shared" ref="B11:B16" si="0">+D11+G11</f>
        <v>94513</v>
      </c>
      <c r="C11" s="4">
        <f t="shared" ref="C11:C16" si="1">D11+E11</f>
        <v>16217.333333333334</v>
      </c>
      <c r="D11" s="4">
        <v>14646</v>
      </c>
      <c r="E11" s="4">
        <v>1571.3333333333333</v>
      </c>
      <c r="F11" s="4">
        <f>SUM(G11:I11)</f>
        <v>96894</v>
      </c>
      <c r="G11" s="4">
        <v>79867</v>
      </c>
      <c r="H11" s="4">
        <v>2456</v>
      </c>
      <c r="I11" s="4">
        <v>14571</v>
      </c>
      <c r="J11" s="5">
        <v>19277</v>
      </c>
      <c r="K11" s="4">
        <v>1347.3333333333333</v>
      </c>
      <c r="L11" s="5">
        <v>188</v>
      </c>
      <c r="M11" s="75">
        <v>0</v>
      </c>
      <c r="N11" s="5">
        <v>0</v>
      </c>
      <c r="O11" s="5">
        <v>0</v>
      </c>
      <c r="P11" s="5">
        <v>0</v>
      </c>
    </row>
    <row r="12" spans="1:16" x14ac:dyDescent="0.25">
      <c r="A12" s="3" t="s">
        <v>87</v>
      </c>
      <c r="B12" s="4">
        <f t="shared" si="0"/>
        <v>117339.33333333333</v>
      </c>
      <c r="C12" s="4">
        <f t="shared" si="1"/>
        <v>38434.333333333328</v>
      </c>
      <c r="D12" s="8">
        <v>31066.333333333332</v>
      </c>
      <c r="E12" s="4">
        <v>7368</v>
      </c>
      <c r="F12" s="4">
        <f>SUM(G12:I12)</f>
        <v>117054</v>
      </c>
      <c r="G12" s="4">
        <v>86273</v>
      </c>
      <c r="H12" s="4">
        <v>4994</v>
      </c>
      <c r="I12" s="5">
        <v>25787</v>
      </c>
      <c r="J12" s="5">
        <v>27942</v>
      </c>
      <c r="K12" s="4">
        <v>9270</v>
      </c>
      <c r="L12" s="5">
        <v>2615</v>
      </c>
      <c r="M12" s="75">
        <v>0</v>
      </c>
      <c r="N12" s="5">
        <v>0</v>
      </c>
      <c r="O12" s="5">
        <v>0</v>
      </c>
      <c r="P12" s="5">
        <v>0</v>
      </c>
    </row>
    <row r="13" spans="1:16" x14ac:dyDescent="0.25">
      <c r="A13" s="26" t="s">
        <v>37</v>
      </c>
      <c r="B13" s="4">
        <f t="shared" si="0"/>
        <v>110062</v>
      </c>
      <c r="C13" s="4">
        <f t="shared" si="1"/>
        <v>31157</v>
      </c>
      <c r="D13" s="8">
        <v>23789</v>
      </c>
      <c r="E13" s="4">
        <v>7368</v>
      </c>
      <c r="F13" s="4">
        <f t="shared" ref="F13:F16" si="2">SUM(G13:I13)</f>
        <v>117054</v>
      </c>
      <c r="G13" s="4">
        <v>86273</v>
      </c>
      <c r="H13" s="4">
        <v>4994</v>
      </c>
      <c r="I13" s="5">
        <v>25787</v>
      </c>
      <c r="J13" s="5">
        <v>27942</v>
      </c>
      <c r="K13" s="4">
        <v>9270</v>
      </c>
      <c r="L13" s="5">
        <v>2615</v>
      </c>
      <c r="M13" s="75">
        <v>0</v>
      </c>
      <c r="N13" s="5">
        <v>0</v>
      </c>
      <c r="O13" s="5">
        <v>0</v>
      </c>
      <c r="P13" s="5">
        <v>0</v>
      </c>
    </row>
    <row r="14" spans="1:16" x14ac:dyDescent="0.25">
      <c r="A14" s="3" t="s">
        <v>88</v>
      </c>
      <c r="B14" s="4">
        <f t="shared" si="0"/>
        <v>112826.33333333333</v>
      </c>
      <c r="C14" s="4">
        <f t="shared" si="1"/>
        <v>22718.333333333332</v>
      </c>
      <c r="D14" s="5">
        <v>19889</v>
      </c>
      <c r="E14" s="4">
        <v>2829.3333333333335</v>
      </c>
      <c r="F14" s="4">
        <f t="shared" si="2"/>
        <v>111589.99999999999</v>
      </c>
      <c r="G14" s="4">
        <v>92937.333333333328</v>
      </c>
      <c r="H14" s="4">
        <v>2997.3333333333335</v>
      </c>
      <c r="I14" s="5">
        <v>15655.333333333334</v>
      </c>
      <c r="J14" s="5">
        <v>21561.333333333332</v>
      </c>
      <c r="K14" s="4">
        <v>6584.666666666667</v>
      </c>
      <c r="L14" s="5">
        <v>664.66666666666663</v>
      </c>
      <c r="M14" s="75">
        <v>0</v>
      </c>
      <c r="N14" s="5">
        <v>0</v>
      </c>
      <c r="O14" s="5">
        <v>0</v>
      </c>
      <c r="P14" s="5">
        <v>0</v>
      </c>
    </row>
    <row r="15" spans="1:16" x14ac:dyDescent="0.25">
      <c r="A15" s="26" t="s">
        <v>37</v>
      </c>
      <c r="B15" s="4">
        <f t="shared" si="0"/>
        <v>93928</v>
      </c>
      <c r="C15" s="4">
        <f t="shared" si="1"/>
        <v>17610.666666666668</v>
      </c>
      <c r="D15" s="4">
        <v>14781.333333333334</v>
      </c>
      <c r="E15" s="4">
        <v>2829.3333333333335</v>
      </c>
      <c r="F15" s="4">
        <f t="shared" si="2"/>
        <v>97799.333333333328</v>
      </c>
      <c r="G15" s="4">
        <v>79146.666666666672</v>
      </c>
      <c r="H15" s="4">
        <v>2997.3333333333335</v>
      </c>
      <c r="I15" s="5">
        <v>15655.333333333334</v>
      </c>
      <c r="J15" s="5">
        <v>21561.333333333332</v>
      </c>
      <c r="K15" s="4">
        <v>6584.666666666667</v>
      </c>
      <c r="L15" s="5">
        <v>664.66666666666663</v>
      </c>
      <c r="M15" s="75">
        <v>0</v>
      </c>
      <c r="N15" s="5">
        <v>0</v>
      </c>
      <c r="O15" s="5">
        <v>0</v>
      </c>
      <c r="P15" s="5">
        <v>0</v>
      </c>
    </row>
    <row r="16" spans="1:16" x14ac:dyDescent="0.25">
      <c r="A16" s="3" t="s">
        <v>89</v>
      </c>
      <c r="B16" s="4">
        <f t="shared" si="0"/>
        <v>133387</v>
      </c>
      <c r="C16" s="4">
        <f t="shared" si="1"/>
        <v>41541</v>
      </c>
      <c r="D16" s="4">
        <v>34173</v>
      </c>
      <c r="E16" s="4">
        <v>7368</v>
      </c>
      <c r="F16" s="4">
        <f t="shared" si="2"/>
        <v>133074</v>
      </c>
      <c r="G16" s="4">
        <v>99214</v>
      </c>
      <c r="H16" s="4">
        <v>5494</v>
      </c>
      <c r="I16" s="5">
        <v>28366</v>
      </c>
      <c r="J16" s="5">
        <v>30737</v>
      </c>
      <c r="K16" s="4">
        <v>9270</v>
      </c>
      <c r="L16" s="5">
        <v>3596</v>
      </c>
      <c r="M16" s="75">
        <v>0</v>
      </c>
      <c r="N16" s="5">
        <v>0</v>
      </c>
      <c r="O16" s="5">
        <v>0</v>
      </c>
      <c r="P16" s="4">
        <v>1000</v>
      </c>
    </row>
    <row r="17" spans="1:17" x14ac:dyDescent="0.25">
      <c r="I17" s="5"/>
      <c r="J17" s="5"/>
      <c r="Q17" s="79"/>
    </row>
    <row r="18" spans="1:17" x14ac:dyDescent="0.25">
      <c r="A18" s="6" t="s">
        <v>8</v>
      </c>
      <c r="I18" s="5"/>
      <c r="J18" s="5"/>
      <c r="M18" s="41"/>
    </row>
    <row r="19" spans="1:17" x14ac:dyDescent="0.25">
      <c r="A19" s="3" t="s">
        <v>54</v>
      </c>
      <c r="B19" s="4">
        <f>C19+F19+K19+L19+M19+N19</f>
        <v>2254136249</v>
      </c>
      <c r="C19" s="40">
        <v>1085344376</v>
      </c>
      <c r="D19" s="40"/>
      <c r="E19" s="40"/>
      <c r="F19" s="40">
        <v>848793379</v>
      </c>
      <c r="G19" s="40"/>
      <c r="H19" s="40"/>
      <c r="I19" s="40"/>
      <c r="J19" s="40"/>
      <c r="K19" s="4">
        <v>304615810</v>
      </c>
      <c r="L19" s="4">
        <v>15382684</v>
      </c>
      <c r="M19" s="66">
        <v>0</v>
      </c>
      <c r="N19" s="5">
        <v>0</v>
      </c>
      <c r="O19" s="5">
        <v>0</v>
      </c>
      <c r="P19" s="5">
        <v>0</v>
      </c>
    </row>
    <row r="20" spans="1:17" x14ac:dyDescent="0.25">
      <c r="A20" s="61" t="s">
        <v>87</v>
      </c>
      <c r="B20" s="4">
        <f>C20+F20+K20+L20+M20+N20</f>
        <v>4477963764.7720003</v>
      </c>
      <c r="C20" s="4">
        <f>+D20+E20</f>
        <v>1454168980</v>
      </c>
      <c r="D20" s="40">
        <v>1437701500</v>
      </c>
      <c r="E20" s="40">
        <v>16467480</v>
      </c>
      <c r="F20" s="40">
        <v>1620839892.2720003</v>
      </c>
      <c r="G20" s="40"/>
      <c r="H20" s="40"/>
      <c r="I20" s="40"/>
      <c r="J20" s="40"/>
      <c r="K20" s="4">
        <v>755041500</v>
      </c>
      <c r="L20" s="5">
        <v>395005310</v>
      </c>
      <c r="M20" s="66">
        <v>252908082.5</v>
      </c>
      <c r="N20" s="5">
        <v>0</v>
      </c>
      <c r="O20" s="5">
        <v>0</v>
      </c>
      <c r="P20" s="5">
        <v>0</v>
      </c>
    </row>
    <row r="21" spans="1:17" x14ac:dyDescent="0.25">
      <c r="A21" s="3" t="s">
        <v>88</v>
      </c>
      <c r="B21" s="4">
        <f>C21+F21+K21+L21+M21+N21</f>
        <v>2128775858</v>
      </c>
      <c r="C21" s="40">
        <v>1100750448</v>
      </c>
      <c r="D21" s="40"/>
      <c r="E21" s="40"/>
      <c r="F21" s="40">
        <v>744359364</v>
      </c>
      <c r="G21" s="40"/>
      <c r="H21" s="40"/>
      <c r="I21" s="40"/>
      <c r="J21" s="40"/>
      <c r="K21" s="40">
        <v>241667289</v>
      </c>
      <c r="L21" s="4">
        <v>41998757</v>
      </c>
      <c r="M21" s="66">
        <v>0</v>
      </c>
      <c r="N21" s="5">
        <v>0</v>
      </c>
      <c r="O21" s="5">
        <v>0</v>
      </c>
      <c r="P21" s="5">
        <v>0</v>
      </c>
    </row>
    <row r="22" spans="1:17" x14ac:dyDescent="0.25">
      <c r="A22" s="3" t="s">
        <v>89</v>
      </c>
      <c r="B22" s="4">
        <f>C22+F22+K22+L22+M22+N22</f>
        <v>19259538715.292</v>
      </c>
      <c r="C22" s="4">
        <f>+D22+E22</f>
        <v>6391825820</v>
      </c>
      <c r="D22" s="40">
        <v>6325955900</v>
      </c>
      <c r="E22" s="40">
        <v>65869920</v>
      </c>
      <c r="F22" s="40">
        <v>7392109607.7919998</v>
      </c>
      <c r="G22" s="40"/>
      <c r="H22" s="40"/>
      <c r="I22" s="40"/>
      <c r="J22" s="40"/>
      <c r="K22" s="4">
        <v>3020166000</v>
      </c>
      <c r="L22" s="5">
        <v>2172529205</v>
      </c>
      <c r="M22" s="66">
        <v>252908082.5</v>
      </c>
      <c r="N22" s="73">
        <v>30000000</v>
      </c>
      <c r="O22" s="73">
        <v>300000000</v>
      </c>
      <c r="P22" s="73">
        <v>210000000</v>
      </c>
    </row>
    <row r="23" spans="1:17" x14ac:dyDescent="0.25">
      <c r="A23" s="3" t="s">
        <v>90</v>
      </c>
      <c r="B23" s="66">
        <f>C23+F23+K23+L23+N23</f>
        <v>2128775858</v>
      </c>
      <c r="C23" s="4">
        <f>C21</f>
        <v>1100750448</v>
      </c>
      <c r="D23" s="40"/>
      <c r="E23" s="40"/>
      <c r="F23" s="40">
        <f>F21</f>
        <v>744359364</v>
      </c>
      <c r="G23" s="40"/>
      <c r="H23" s="40"/>
      <c r="I23" s="40"/>
      <c r="J23" s="40"/>
      <c r="K23" s="4">
        <f>K21</f>
        <v>241667289</v>
      </c>
      <c r="L23" s="4">
        <f>L21</f>
        <v>41998757</v>
      </c>
      <c r="M23" s="66">
        <f>M21</f>
        <v>0</v>
      </c>
      <c r="N23" s="66">
        <f t="shared" ref="N23:P23" si="3">N21</f>
        <v>0</v>
      </c>
      <c r="O23" s="66">
        <f t="shared" si="3"/>
        <v>0</v>
      </c>
      <c r="P23" s="66">
        <f t="shared" si="3"/>
        <v>0</v>
      </c>
    </row>
    <row r="24" spans="1:17" x14ac:dyDescent="0.25">
      <c r="B24" s="4"/>
      <c r="C24" s="4"/>
      <c r="D24" s="4"/>
      <c r="E24" s="4"/>
      <c r="F24" s="4"/>
      <c r="G24" s="4"/>
      <c r="H24" s="4"/>
      <c r="I24" s="5"/>
      <c r="J24" s="5"/>
      <c r="K24" s="4"/>
    </row>
    <row r="25" spans="1:17" x14ac:dyDescent="0.25">
      <c r="A25" s="7" t="s">
        <v>9</v>
      </c>
      <c r="B25" s="8"/>
      <c r="C25" s="8"/>
      <c r="D25" s="8"/>
      <c r="E25" s="8"/>
      <c r="F25" s="8"/>
      <c r="G25" s="8"/>
      <c r="H25" s="8"/>
      <c r="I25" s="8"/>
      <c r="J25" s="8"/>
      <c r="K25" s="8"/>
      <c r="L25" s="8"/>
    </row>
    <row r="26" spans="1:17" x14ac:dyDescent="0.25">
      <c r="A26" s="9" t="s">
        <v>87</v>
      </c>
      <c r="B26" s="8">
        <f>B20</f>
        <v>4477963764.7720003</v>
      </c>
      <c r="C26" s="8"/>
      <c r="D26" s="8"/>
      <c r="E26" s="8"/>
      <c r="F26" s="8"/>
      <c r="G26" s="8"/>
      <c r="H26" s="8"/>
      <c r="I26" s="8"/>
      <c r="J26" s="8"/>
      <c r="K26" s="8"/>
      <c r="L26" s="8"/>
    </row>
    <row r="27" spans="1:17" x14ac:dyDescent="0.25">
      <c r="A27" s="9" t="s">
        <v>88</v>
      </c>
      <c r="B27" s="8">
        <v>1993321044</v>
      </c>
      <c r="C27" s="8"/>
      <c r="D27" s="53"/>
      <c r="E27" s="8"/>
      <c r="F27" s="8"/>
      <c r="G27" s="8"/>
      <c r="H27" s="8"/>
      <c r="I27" s="8"/>
      <c r="J27" s="8"/>
      <c r="K27" s="8"/>
      <c r="L27" s="8"/>
    </row>
    <row r="28" spans="1:17" x14ac:dyDescent="0.25">
      <c r="I28" s="32"/>
      <c r="J28" s="32"/>
    </row>
    <row r="29" spans="1:17" x14ac:dyDescent="0.25">
      <c r="A29" t="s">
        <v>10</v>
      </c>
      <c r="I29" s="32"/>
      <c r="J29" s="32"/>
    </row>
    <row r="30" spans="1:17" x14ac:dyDescent="0.25">
      <c r="A30" s="10" t="s">
        <v>55</v>
      </c>
      <c r="B30" s="11">
        <v>1.5969752303666667</v>
      </c>
      <c r="C30" s="11">
        <v>1.5969752303666667</v>
      </c>
      <c r="D30" s="11">
        <v>1.5969752303666667</v>
      </c>
      <c r="E30" s="11">
        <v>1.5969752303666667</v>
      </c>
      <c r="F30" s="11">
        <v>1.5969752303666667</v>
      </c>
      <c r="G30" s="11">
        <v>1.5969752303666667</v>
      </c>
      <c r="H30" s="11">
        <v>1.5969752303666667</v>
      </c>
      <c r="I30" s="11">
        <v>1.5969752303666667</v>
      </c>
      <c r="J30" s="11">
        <v>1.5969752303666667</v>
      </c>
      <c r="K30" s="11">
        <v>1.5969752303666667</v>
      </c>
      <c r="L30" s="11">
        <v>1.5969752303666667</v>
      </c>
      <c r="M30" s="11">
        <v>1.5969752303666667</v>
      </c>
      <c r="N30" s="11">
        <v>1.5969752303666667</v>
      </c>
      <c r="O30" s="11">
        <v>1.5969752303666667</v>
      </c>
      <c r="P30" s="11">
        <v>1.5969752303666667</v>
      </c>
    </row>
    <row r="31" spans="1:17" x14ac:dyDescent="0.25">
      <c r="A31" s="10" t="s">
        <v>91</v>
      </c>
      <c r="B31" s="11">
        <v>1.65</v>
      </c>
      <c r="C31" s="11">
        <v>1.65</v>
      </c>
      <c r="D31" s="11">
        <v>1.65</v>
      </c>
      <c r="E31" s="11">
        <v>1.65</v>
      </c>
      <c r="F31" s="11">
        <v>1.65</v>
      </c>
      <c r="G31" s="11">
        <v>1.65</v>
      </c>
      <c r="H31" s="11">
        <v>1.65</v>
      </c>
      <c r="I31" s="11">
        <v>1.65</v>
      </c>
      <c r="J31" s="11">
        <v>1.65</v>
      </c>
      <c r="K31" s="11">
        <v>1.65</v>
      </c>
      <c r="L31" s="11">
        <v>1.65</v>
      </c>
      <c r="M31" s="11">
        <v>1.65</v>
      </c>
      <c r="N31" s="11">
        <v>1.65</v>
      </c>
      <c r="O31" s="11">
        <v>1.65</v>
      </c>
      <c r="P31" s="11">
        <v>1.65</v>
      </c>
    </row>
    <row r="32" spans="1:17" x14ac:dyDescent="0.25">
      <c r="A32" s="3" t="s">
        <v>11</v>
      </c>
      <c r="B32" s="4">
        <v>112666</v>
      </c>
      <c r="C32" s="4">
        <v>112666</v>
      </c>
      <c r="D32" s="4">
        <v>112666</v>
      </c>
      <c r="E32" s="4">
        <v>112666</v>
      </c>
      <c r="F32" s="4">
        <v>112666</v>
      </c>
      <c r="G32" s="4">
        <v>112666</v>
      </c>
      <c r="H32" s="4">
        <v>112666</v>
      </c>
      <c r="I32" s="4">
        <v>112666</v>
      </c>
      <c r="J32" s="4">
        <v>112666</v>
      </c>
      <c r="K32" s="4">
        <v>112666</v>
      </c>
      <c r="L32" s="4">
        <v>112666</v>
      </c>
      <c r="M32" s="4">
        <v>112666</v>
      </c>
      <c r="N32" s="4">
        <v>112666</v>
      </c>
      <c r="O32" s="4">
        <v>112666</v>
      </c>
      <c r="P32" s="4">
        <v>112666</v>
      </c>
    </row>
    <row r="33" spans="1:16" x14ac:dyDescent="0.25">
      <c r="E33" s="33"/>
      <c r="F33" s="33"/>
      <c r="I33" s="32"/>
      <c r="J33" s="32"/>
    </row>
    <row r="34" spans="1:16" x14ac:dyDescent="0.25">
      <c r="A34" s="12" t="s">
        <v>12</v>
      </c>
      <c r="B34" s="13"/>
      <c r="C34" s="13"/>
      <c r="D34" s="51"/>
      <c r="E34" s="51"/>
      <c r="F34" s="51"/>
      <c r="G34" s="87"/>
      <c r="H34" s="87"/>
      <c r="I34" s="87"/>
      <c r="J34" s="87"/>
      <c r="K34" s="13"/>
      <c r="L34" s="13"/>
      <c r="M34" s="13"/>
      <c r="N34" s="13"/>
    </row>
    <row r="35" spans="1:16" x14ac:dyDescent="0.25">
      <c r="A35" s="13" t="s">
        <v>56</v>
      </c>
      <c r="B35" s="14">
        <f>B19/B30</f>
        <v>1411503576.3469222</v>
      </c>
      <c r="C35" s="50">
        <f>C19/C30</f>
        <v>679625053.2644794</v>
      </c>
      <c r="D35" s="50"/>
      <c r="E35" s="50"/>
      <c r="F35" s="50">
        <f>F19/F30</f>
        <v>531500653.77351934</v>
      </c>
      <c r="G35" s="50"/>
      <c r="H35" s="50"/>
      <c r="I35" s="50"/>
      <c r="J35" s="50"/>
      <c r="K35" s="14">
        <f t="shared" ref="K35" si="4">K19/K30</f>
        <v>190745481.96346164</v>
      </c>
      <c r="L35" s="14">
        <f t="shared" ref="L35:P35" si="5">L19/L30</f>
        <v>9632387.3454619106</v>
      </c>
      <c r="M35" s="14">
        <f t="shared" si="5"/>
        <v>0</v>
      </c>
      <c r="N35" s="14">
        <f t="shared" si="5"/>
        <v>0</v>
      </c>
      <c r="O35" s="14">
        <f t="shared" si="5"/>
        <v>0</v>
      </c>
      <c r="P35" s="14">
        <f t="shared" si="5"/>
        <v>0</v>
      </c>
    </row>
    <row r="36" spans="1:16" x14ac:dyDescent="0.25">
      <c r="A36" s="13" t="s">
        <v>92</v>
      </c>
      <c r="B36" s="14">
        <f>B21/B31</f>
        <v>1290167186.6666667</v>
      </c>
      <c r="C36" s="50">
        <f>C21/C31</f>
        <v>667121483.63636363</v>
      </c>
      <c r="D36" s="50"/>
      <c r="E36" s="50"/>
      <c r="F36" s="50">
        <f>F21/F31</f>
        <v>451126887.27272731</v>
      </c>
      <c r="G36" s="50"/>
      <c r="H36" s="50"/>
      <c r="I36" s="50"/>
      <c r="J36" s="50"/>
      <c r="K36" s="14">
        <f>K21/K31</f>
        <v>146465023.63636366</v>
      </c>
      <c r="L36" s="14">
        <f>L21/L31</f>
        <v>25453792.121212121</v>
      </c>
      <c r="M36" s="14">
        <f t="shared" ref="M36:P36" si="6">M21/M31</f>
        <v>0</v>
      </c>
      <c r="N36" s="14">
        <f t="shared" si="6"/>
        <v>0</v>
      </c>
      <c r="O36" s="14">
        <f t="shared" si="6"/>
        <v>0</v>
      </c>
      <c r="P36" s="14">
        <f t="shared" si="6"/>
        <v>0</v>
      </c>
    </row>
    <row r="37" spans="1:16" x14ac:dyDescent="0.25">
      <c r="A37" s="13" t="s">
        <v>57</v>
      </c>
      <c r="B37" s="14">
        <f>B35/B10</f>
        <v>12469.590205281022</v>
      </c>
      <c r="C37" s="50">
        <f>C35/C10</f>
        <v>33163.765835381811</v>
      </c>
      <c r="D37" s="50"/>
      <c r="E37" s="50"/>
      <c r="F37" s="50">
        <f>F35/F10</f>
        <v>4775.3448196648669</v>
      </c>
      <c r="G37" s="50"/>
      <c r="H37" s="50"/>
      <c r="I37" s="50"/>
      <c r="J37" s="50"/>
      <c r="K37" s="14">
        <f>K35/K10</f>
        <v>141572.59918119371</v>
      </c>
      <c r="L37" s="14">
        <f>L35/L10</f>
        <v>51236.10290139314</v>
      </c>
      <c r="M37" s="14" t="e">
        <f t="shared" ref="M37:P37" si="7">M35/M10</f>
        <v>#DIV/0!</v>
      </c>
      <c r="N37" s="14" t="e">
        <f t="shared" si="7"/>
        <v>#DIV/0!</v>
      </c>
      <c r="O37" s="14" t="e">
        <f t="shared" si="7"/>
        <v>#DIV/0!</v>
      </c>
      <c r="P37" s="14" t="e">
        <f t="shared" si="7"/>
        <v>#DIV/0!</v>
      </c>
    </row>
    <row r="38" spans="1:16" x14ac:dyDescent="0.25">
      <c r="A38" s="13" t="s">
        <v>93</v>
      </c>
      <c r="B38" s="14">
        <f>B36/B14</f>
        <v>11434.982849748434</v>
      </c>
      <c r="C38" s="50">
        <f>C36/C14</f>
        <v>29364.895472219076</v>
      </c>
      <c r="D38" s="50"/>
      <c r="E38" s="50"/>
      <c r="F38" s="50">
        <f>F36/F14</f>
        <v>4042.7178714286888</v>
      </c>
      <c r="G38" s="50"/>
      <c r="H38" s="50"/>
      <c r="I38" s="50"/>
      <c r="J38" s="50"/>
      <c r="K38" s="34">
        <f>K36/K14</f>
        <v>22243.346709987392</v>
      </c>
      <c r="L38" s="34">
        <f>L36/L14</f>
        <v>38295.574906537797</v>
      </c>
      <c r="M38" s="34" t="e">
        <f t="shared" ref="M38:P38" si="8">M36/M14</f>
        <v>#DIV/0!</v>
      </c>
      <c r="N38" s="34" t="e">
        <f t="shared" si="8"/>
        <v>#DIV/0!</v>
      </c>
      <c r="O38" s="34" t="e">
        <f t="shared" si="8"/>
        <v>#DIV/0!</v>
      </c>
      <c r="P38" s="34" t="e">
        <f t="shared" si="8"/>
        <v>#DIV/0!</v>
      </c>
    </row>
    <row r="39" spans="1:16" x14ac:dyDescent="0.25">
      <c r="I39" s="32"/>
      <c r="J39" s="32"/>
    </row>
    <row r="40" spans="1:16" x14ac:dyDescent="0.25">
      <c r="A40" s="2" t="s">
        <v>13</v>
      </c>
      <c r="I40" s="32"/>
      <c r="J40" s="32"/>
    </row>
    <row r="41" spans="1:16" x14ac:dyDescent="0.25">
      <c r="I41" s="32"/>
      <c r="J41" s="32"/>
    </row>
    <row r="42" spans="1:16" x14ac:dyDescent="0.25">
      <c r="A42" t="s">
        <v>14</v>
      </c>
      <c r="I42" s="32"/>
      <c r="J42" s="32"/>
    </row>
    <row r="43" spans="1:16" x14ac:dyDescent="0.25">
      <c r="A43" t="s">
        <v>15</v>
      </c>
      <c r="B43" s="17">
        <f>(B13/B32)*100</f>
        <v>97.688743720377047</v>
      </c>
      <c r="C43" s="17">
        <f t="shared" ref="C43:N43" si="9">(C13/C32)*100</f>
        <v>27.654305646778976</v>
      </c>
      <c r="D43" s="17">
        <f t="shared" si="9"/>
        <v>21.114621980011716</v>
      </c>
      <c r="E43" s="17">
        <f t="shared" si="9"/>
        <v>6.5396836667672584</v>
      </c>
      <c r="F43" s="17">
        <f t="shared" si="9"/>
        <v>103.89469760176095</v>
      </c>
      <c r="G43" s="17">
        <f t="shared" si="9"/>
        <v>76.574121740365328</v>
      </c>
      <c r="H43" s="17">
        <f t="shared" si="9"/>
        <v>4.4325706069266682</v>
      </c>
      <c r="I43" s="17">
        <f t="shared" si="9"/>
        <v>22.888005254468961</v>
      </c>
      <c r="J43" s="17">
        <f>(J13/J32)*100</f>
        <v>24.800738465908083</v>
      </c>
      <c r="K43" s="17">
        <f t="shared" si="9"/>
        <v>8.2278593364457784</v>
      </c>
      <c r="L43" s="17">
        <f t="shared" si="9"/>
        <v>2.3210196510038519</v>
      </c>
      <c r="M43" s="17">
        <f t="shared" si="9"/>
        <v>0</v>
      </c>
      <c r="N43" s="17">
        <f t="shared" si="9"/>
        <v>0</v>
      </c>
    </row>
    <row r="44" spans="1:16" x14ac:dyDescent="0.25">
      <c r="A44" t="s">
        <v>16</v>
      </c>
      <c r="B44" s="17">
        <f>(B15/B32)*100</f>
        <v>83.368540642252327</v>
      </c>
      <c r="C44" s="17">
        <f t="shared" ref="C44:N44" si="10">(C15/C32)*100</f>
        <v>15.630861721075274</v>
      </c>
      <c r="D44" s="17">
        <f t="shared" si="10"/>
        <v>13.119604258013362</v>
      </c>
      <c r="E44" s="17">
        <f t="shared" si="10"/>
        <v>2.511257463061912</v>
      </c>
      <c r="F44" s="17">
        <f t="shared" si="10"/>
        <v>86.804655648849987</v>
      </c>
      <c r="G44" s="17">
        <f t="shared" si="10"/>
        <v>70.248936384238974</v>
      </c>
      <c r="H44" s="17">
        <f t="shared" si="10"/>
        <v>2.6603707714246831</v>
      </c>
      <c r="I44" s="17">
        <f t="shared" si="10"/>
        <v>13.895348493186352</v>
      </c>
      <c r="J44" s="17">
        <f t="shared" si="10"/>
        <v>19.137391345510917</v>
      </c>
      <c r="K44" s="17">
        <f t="shared" si="10"/>
        <v>5.8444132805519562</v>
      </c>
      <c r="L44" s="17">
        <f t="shared" si="10"/>
        <v>0.58994431919715495</v>
      </c>
      <c r="M44" s="17">
        <f t="shared" si="10"/>
        <v>0</v>
      </c>
      <c r="N44" s="17">
        <f t="shared" si="10"/>
        <v>0</v>
      </c>
    </row>
    <row r="45" spans="1:16" x14ac:dyDescent="0.25">
      <c r="I45" s="32"/>
      <c r="J45" s="32"/>
    </row>
    <row r="46" spans="1:16" x14ac:dyDescent="0.25">
      <c r="A46" t="s">
        <v>17</v>
      </c>
      <c r="I46" s="32"/>
      <c r="J46" s="32"/>
    </row>
    <row r="47" spans="1:16" x14ac:dyDescent="0.25">
      <c r="A47" t="s">
        <v>18</v>
      </c>
      <c r="B47" s="15">
        <f>B14/B12*100</f>
        <v>96.153889857905</v>
      </c>
      <c r="C47" s="15">
        <f t="shared" ref="C47:N47" si="11">C14/C12*100</f>
        <v>59.109476769901917</v>
      </c>
      <c r="D47" s="15">
        <f t="shared" si="11"/>
        <v>64.021073187480553</v>
      </c>
      <c r="E47" s="15">
        <f t="shared" si="11"/>
        <v>38.400289540354684</v>
      </c>
      <c r="F47" s="15">
        <f t="shared" si="11"/>
        <v>95.33206895962546</v>
      </c>
      <c r="G47" s="15">
        <f t="shared" si="11"/>
        <v>107.72470336412705</v>
      </c>
      <c r="H47" s="15">
        <f t="shared" si="11"/>
        <v>60.018689093578971</v>
      </c>
      <c r="I47" s="15">
        <f t="shared" si="11"/>
        <v>60.710176962552197</v>
      </c>
      <c r="J47" s="15">
        <f t="shared" si="11"/>
        <v>77.164602867845289</v>
      </c>
      <c r="K47" s="15">
        <f t="shared" si="11"/>
        <v>71.032002876663071</v>
      </c>
      <c r="L47" s="15">
        <f t="shared" si="11"/>
        <v>25.41746335245379</v>
      </c>
      <c r="M47" s="15" t="e">
        <f t="shared" si="11"/>
        <v>#DIV/0!</v>
      </c>
      <c r="N47" s="15" t="e">
        <f t="shared" si="11"/>
        <v>#DIV/0!</v>
      </c>
      <c r="O47" s="74"/>
    </row>
    <row r="48" spans="1:16" x14ac:dyDescent="0.25">
      <c r="A48" t="s">
        <v>19</v>
      </c>
      <c r="B48" s="15">
        <f>B21/B20*100</f>
        <v>47.538925498839731</v>
      </c>
      <c r="C48" s="15">
        <f>C21/C20*100</f>
        <v>75.696185459821876</v>
      </c>
      <c r="D48" s="15"/>
      <c r="E48" s="15"/>
      <c r="F48" s="58">
        <f>F21/F20*100</f>
        <v>45.924299343138685</v>
      </c>
      <c r="G48" s="58"/>
      <c r="H48" s="58"/>
      <c r="I48" s="58"/>
      <c r="J48" s="58"/>
      <c r="K48" s="15">
        <f>K21/K20*100</f>
        <v>32.007153116749208</v>
      </c>
      <c r="L48" s="15">
        <f>L21/L20*100</f>
        <v>10.63245377638088</v>
      </c>
      <c r="M48" s="15">
        <f t="shared" ref="M48:N48" si="12">M21/M20*100</f>
        <v>0</v>
      </c>
      <c r="N48" s="15" t="e">
        <f t="shared" si="12"/>
        <v>#DIV/0!</v>
      </c>
    </row>
    <row r="49" spans="1:14" x14ac:dyDescent="0.25">
      <c r="A49" s="13" t="s">
        <v>20</v>
      </c>
      <c r="B49" s="16">
        <f>AVERAGE(B47:B48)</f>
        <v>71.846407678372373</v>
      </c>
      <c r="C49" s="16">
        <f t="shared" ref="C49:K49" si="13">AVERAGE(C47:C48)</f>
        <v>67.402831114861897</v>
      </c>
      <c r="D49" s="16"/>
      <c r="E49" s="16"/>
      <c r="F49" s="59">
        <f>AVERAGE(F47:F48)</f>
        <v>70.628184151382072</v>
      </c>
      <c r="G49" s="59"/>
      <c r="H49" s="59"/>
      <c r="I49" s="59"/>
      <c r="J49" s="59"/>
      <c r="K49" s="16">
        <f t="shared" si="13"/>
        <v>51.51957799670614</v>
      </c>
      <c r="L49" s="16">
        <f t="shared" ref="L49:N49" si="14">AVERAGE(L47:L48)</f>
        <v>18.024958564417336</v>
      </c>
      <c r="M49" s="16" t="e">
        <f t="shared" si="14"/>
        <v>#DIV/0!</v>
      </c>
      <c r="N49" s="16" t="e">
        <f t="shared" si="14"/>
        <v>#DIV/0!</v>
      </c>
    </row>
    <row r="50" spans="1:14" x14ac:dyDescent="0.25">
      <c r="B50" s="15"/>
      <c r="C50" s="15"/>
      <c r="D50" s="15"/>
      <c r="E50" s="15"/>
      <c r="F50" s="15"/>
      <c r="G50" s="15"/>
      <c r="H50" s="15"/>
      <c r="I50" s="15"/>
      <c r="J50" s="15"/>
      <c r="K50" s="15"/>
      <c r="L50" s="15"/>
    </row>
    <row r="51" spans="1:14" x14ac:dyDescent="0.25">
      <c r="A51" t="s">
        <v>21</v>
      </c>
    </row>
    <row r="52" spans="1:14" x14ac:dyDescent="0.25">
      <c r="A52" t="s">
        <v>22</v>
      </c>
      <c r="B52" s="15">
        <f>((B14/B16)*100)</f>
        <v>84.585704254037736</v>
      </c>
      <c r="C52" s="15">
        <f t="shared" ref="C52:N52" si="15">((C14/C16)*100)</f>
        <v>54.688941848615421</v>
      </c>
      <c r="D52" s="15">
        <f t="shared" si="15"/>
        <v>58.200918854066074</v>
      </c>
      <c r="E52" s="15">
        <f t="shared" si="15"/>
        <v>38.400289540354684</v>
      </c>
      <c r="F52" s="15">
        <f t="shared" si="15"/>
        <v>83.855599140327925</v>
      </c>
      <c r="G52" s="15">
        <f t="shared" si="15"/>
        <v>93.67360789135941</v>
      </c>
      <c r="H52" s="15">
        <f t="shared" si="15"/>
        <v>54.556485863366099</v>
      </c>
      <c r="I52" s="15">
        <f t="shared" si="15"/>
        <v>55.190486262896897</v>
      </c>
      <c r="J52" s="15">
        <f t="shared" si="15"/>
        <v>70.14781316762641</v>
      </c>
      <c r="K52" s="15">
        <f t="shared" si="15"/>
        <v>71.032002876663071</v>
      </c>
      <c r="L52" s="15">
        <f t="shared" si="15"/>
        <v>18.483500185391176</v>
      </c>
      <c r="M52" s="15" t="e">
        <f t="shared" si="15"/>
        <v>#DIV/0!</v>
      </c>
      <c r="N52" s="15" t="e">
        <f t="shared" si="15"/>
        <v>#DIV/0!</v>
      </c>
    </row>
    <row r="53" spans="1:14" x14ac:dyDescent="0.25">
      <c r="A53" t="s">
        <v>23</v>
      </c>
      <c r="B53" s="15">
        <f>B21/B22*100</f>
        <v>11.053098879828104</v>
      </c>
      <c r="C53" s="15">
        <f>C21/C22*100</f>
        <v>17.221220962494876</v>
      </c>
      <c r="D53" s="15"/>
      <c r="E53" s="15"/>
      <c r="F53" s="15">
        <f>F21/F22*100</f>
        <v>10.069647279247228</v>
      </c>
      <c r="G53" s="15"/>
      <c r="H53" s="15"/>
      <c r="I53" s="15"/>
      <c r="J53" s="15"/>
      <c r="K53" s="15">
        <f t="shared" ref="K53" si="16">K21/K22*100</f>
        <v>8.0017882791873021</v>
      </c>
      <c r="L53" s="15">
        <f>L21/L22*100</f>
        <v>1.9331734138874326</v>
      </c>
      <c r="M53" s="15">
        <f t="shared" ref="M53:N53" si="17">M21/M22*100</f>
        <v>0</v>
      </c>
      <c r="N53" s="15">
        <f t="shared" si="17"/>
        <v>0</v>
      </c>
    </row>
    <row r="54" spans="1:14" x14ac:dyDescent="0.25">
      <c r="A54" t="s">
        <v>24</v>
      </c>
      <c r="B54" s="15">
        <f>(B52+B53)/2</f>
        <v>47.819401566932918</v>
      </c>
      <c r="C54" s="15">
        <f t="shared" ref="C54:K54" si="18">(C52+C53)/2</f>
        <v>35.955081405555148</v>
      </c>
      <c r="D54" s="15"/>
      <c r="E54" s="15"/>
      <c r="F54" s="15">
        <f t="shared" ref="F54" si="19">(F52+F53)/2</f>
        <v>46.96262320978758</v>
      </c>
      <c r="G54" s="15"/>
      <c r="H54" s="15"/>
      <c r="I54" s="15"/>
      <c r="J54" s="15"/>
      <c r="K54" s="15">
        <f t="shared" si="18"/>
        <v>39.516895577925183</v>
      </c>
      <c r="L54" s="15">
        <f>(L52+L53)/2</f>
        <v>10.208336799639303</v>
      </c>
      <c r="M54" s="15" t="e">
        <f t="shared" ref="M54:N54" si="20">(M52+M53)/2</f>
        <v>#DIV/0!</v>
      </c>
      <c r="N54" s="15" t="e">
        <f t="shared" si="20"/>
        <v>#DIV/0!</v>
      </c>
    </row>
    <row r="55" spans="1:14" x14ac:dyDescent="0.25">
      <c r="B55" s="15"/>
      <c r="C55" s="15"/>
      <c r="D55" s="15"/>
      <c r="E55" s="15"/>
      <c r="F55" s="15"/>
      <c r="G55" s="15"/>
      <c r="H55" s="15"/>
      <c r="I55" s="15"/>
      <c r="J55" s="15"/>
      <c r="K55" s="15"/>
      <c r="L55" s="15"/>
    </row>
    <row r="56" spans="1:14" x14ac:dyDescent="0.25">
      <c r="A56" t="s">
        <v>40</v>
      </c>
    </row>
    <row r="57" spans="1:14" x14ac:dyDescent="0.25">
      <c r="A57" t="s">
        <v>25</v>
      </c>
      <c r="B57" s="15">
        <f>B23/B21*100</f>
        <v>100</v>
      </c>
      <c r="C57" s="15"/>
      <c r="D57" s="15"/>
      <c r="E57" s="15"/>
      <c r="F57" s="15"/>
      <c r="G57" s="15"/>
      <c r="H57" s="15"/>
      <c r="I57" s="15"/>
      <c r="J57" s="15"/>
      <c r="K57" s="15"/>
      <c r="L57" s="15"/>
    </row>
    <row r="59" spans="1:14" x14ac:dyDescent="0.25">
      <c r="A59" t="s">
        <v>26</v>
      </c>
    </row>
    <row r="60" spans="1:14" x14ac:dyDescent="0.25">
      <c r="A60" t="s">
        <v>27</v>
      </c>
      <c r="B60" s="15">
        <f>((B14/B10)-1)*100</f>
        <v>-0.32627868557985051</v>
      </c>
      <c r="C60" s="15">
        <f t="shared" ref="C60:N60" si="21">((C14/C10)-1)*100</f>
        <v>10.858992501504572</v>
      </c>
      <c r="D60" s="15">
        <f t="shared" si="21"/>
        <v>5.1123051175900658</v>
      </c>
      <c r="E60" s="15">
        <f t="shared" si="21"/>
        <v>80.059397539244827</v>
      </c>
      <c r="F60" s="15">
        <f t="shared" si="21"/>
        <v>0.25965624747306126</v>
      </c>
      <c r="G60" s="15">
        <f t="shared" si="21"/>
        <v>-1.4178529251614114</v>
      </c>
      <c r="H60" s="15">
        <f t="shared" si="21"/>
        <v>22.0412595005429</v>
      </c>
      <c r="I60" s="15">
        <f t="shared" si="21"/>
        <v>7.4417221421545054</v>
      </c>
      <c r="J60" s="15">
        <f t="shared" si="21"/>
        <v>11.850045823174415</v>
      </c>
      <c r="K60" s="15">
        <f t="shared" si="21"/>
        <v>388.71845620979724</v>
      </c>
      <c r="L60" s="15">
        <f t="shared" si="21"/>
        <v>253.54609929078015</v>
      </c>
      <c r="M60" s="15" t="e">
        <f t="shared" si="21"/>
        <v>#DIV/0!</v>
      </c>
      <c r="N60" s="15" t="e">
        <f t="shared" si="21"/>
        <v>#DIV/0!</v>
      </c>
    </row>
    <row r="61" spans="1:14" x14ac:dyDescent="0.25">
      <c r="A61" t="s">
        <v>28</v>
      </c>
      <c r="B61" s="15">
        <f>((B36/B35)-1)*100</f>
        <v>-8.5962509563229812</v>
      </c>
      <c r="C61" s="15">
        <f t="shared" ref="C61:N61" si="22">((C36/C35)-1)*100</f>
        <v>-1.8397746769423406</v>
      </c>
      <c r="D61" s="15"/>
      <c r="E61" s="15"/>
      <c r="F61" s="15">
        <f t="shared" si="22"/>
        <v>-15.122044710605476</v>
      </c>
      <c r="G61" s="15"/>
      <c r="H61" s="15"/>
      <c r="I61" s="15"/>
      <c r="J61" s="15"/>
      <c r="K61" s="15">
        <f t="shared" si="22"/>
        <v>-23.214420531113888</v>
      </c>
      <c r="L61" s="15">
        <f t="shared" si="22"/>
        <v>164.25216520392652</v>
      </c>
      <c r="M61" s="15" t="e">
        <f t="shared" si="22"/>
        <v>#DIV/0!</v>
      </c>
      <c r="N61" s="15" t="e">
        <f t="shared" si="22"/>
        <v>#DIV/0!</v>
      </c>
    </row>
    <row r="62" spans="1:14" x14ac:dyDescent="0.25">
      <c r="A62" s="13" t="s">
        <v>29</v>
      </c>
      <c r="B62" s="16">
        <f>((B38/B37)-1)*100</f>
        <v>-8.2970437560523695</v>
      </c>
      <c r="C62" s="16">
        <f t="shared" ref="C62:N62" si="23">((C38/C37)-1)*100</f>
        <v>-11.454882361730434</v>
      </c>
      <c r="D62" s="16"/>
      <c r="E62" s="16"/>
      <c r="F62" s="16">
        <f t="shared" si="23"/>
        <v>-15.341864847523068</v>
      </c>
      <c r="G62" s="16"/>
      <c r="H62" s="16"/>
      <c r="I62" s="16"/>
      <c r="J62" s="16"/>
      <c r="K62" s="16">
        <f t="shared" si="23"/>
        <v>-84.288381481561331</v>
      </c>
      <c r="L62" s="16">
        <f t="shared" si="23"/>
        <v>-25.256659390664705</v>
      </c>
      <c r="M62" s="16" t="e">
        <f t="shared" si="23"/>
        <v>#DIV/0!</v>
      </c>
      <c r="N62" s="16" t="e">
        <f t="shared" si="23"/>
        <v>#DIV/0!</v>
      </c>
    </row>
    <row r="63" spans="1:14" x14ac:dyDescent="0.25">
      <c r="B63" s="17"/>
      <c r="C63" s="17"/>
      <c r="D63" s="17"/>
      <c r="E63" s="17"/>
      <c r="F63" s="17"/>
      <c r="G63" s="17"/>
      <c r="H63" s="17"/>
      <c r="I63" s="17"/>
      <c r="J63" s="17"/>
      <c r="K63" s="17"/>
      <c r="L63" s="17"/>
    </row>
    <row r="64" spans="1:14" x14ac:dyDescent="0.25">
      <c r="A64" t="s">
        <v>30</v>
      </c>
    </row>
    <row r="65" spans="1:14" x14ac:dyDescent="0.25">
      <c r="A65" t="s">
        <v>44</v>
      </c>
      <c r="B65" s="4">
        <f>B20/(B12*3)</f>
        <v>12720.837470731611</v>
      </c>
      <c r="C65" s="4">
        <f>C20/(C12*3)</f>
        <v>12611.718515563343</v>
      </c>
      <c r="D65" s="4"/>
      <c r="E65" s="4"/>
      <c r="F65" s="4">
        <f t="shared" ref="F65" si="24">F20/(F12*3)</f>
        <v>4615.6471721655544</v>
      </c>
      <c r="G65" s="4"/>
      <c r="H65" s="40"/>
      <c r="I65" s="40"/>
      <c r="J65" s="40"/>
      <c r="K65" s="4">
        <f>K20/(K12*3)</f>
        <v>27150</v>
      </c>
      <c r="L65" s="4">
        <f>L20/(L12*3)</f>
        <v>50351.218610579985</v>
      </c>
      <c r="M65" s="4" t="e">
        <f t="shared" ref="M65:N65" si="25">M20/(M12*3)</f>
        <v>#DIV/0!</v>
      </c>
      <c r="N65" s="4" t="e">
        <f t="shared" si="25"/>
        <v>#DIV/0!</v>
      </c>
    </row>
    <row r="66" spans="1:14" x14ac:dyDescent="0.25">
      <c r="A66" t="s">
        <v>45</v>
      </c>
      <c r="B66" s="4">
        <f>B21/(B14*3)</f>
        <v>6289.2405673616386</v>
      </c>
      <c r="C66" s="4">
        <f>C21/(C14*3)</f>
        <v>16150.692509720489</v>
      </c>
      <c r="D66" s="4"/>
      <c r="E66" s="44"/>
      <c r="F66" s="4">
        <f>F21/(F14*3)</f>
        <v>2223.4948292857789</v>
      </c>
      <c r="G66" s="40"/>
      <c r="H66" s="40"/>
      <c r="I66" s="40"/>
      <c r="J66" s="40"/>
      <c r="K66" s="4">
        <f>K21/(K14*3)</f>
        <v>12233.840690493065</v>
      </c>
      <c r="L66" s="4">
        <f>L21/(L14*3)</f>
        <v>21062.566198595789</v>
      </c>
      <c r="M66" s="4" t="e">
        <f t="shared" ref="M66:N66" si="26">M21/(M14*3)</f>
        <v>#DIV/0!</v>
      </c>
      <c r="N66" s="4" t="e">
        <f t="shared" si="26"/>
        <v>#DIV/0!</v>
      </c>
    </row>
    <row r="67" spans="1:14" x14ac:dyDescent="0.25">
      <c r="A67" s="13" t="s">
        <v>33</v>
      </c>
      <c r="B67" s="16">
        <f>(B65/B66)*B49</f>
        <v>145.31905166348292</v>
      </c>
      <c r="C67" s="16">
        <f>(C65/C66)*C49</f>
        <v>52.633379817061744</v>
      </c>
      <c r="D67" s="16"/>
      <c r="E67" s="16"/>
      <c r="F67" s="16">
        <f t="shared" ref="F67" si="27">(F65/F66)*F49</f>
        <v>146.61368857701785</v>
      </c>
      <c r="G67" s="59"/>
      <c r="H67" s="59"/>
      <c r="I67" s="59"/>
      <c r="J67" s="59"/>
      <c r="K67" s="16">
        <f>(K65/K66)*K49</f>
        <v>114.33503002025743</v>
      </c>
      <c r="L67" s="16">
        <f>(L65/L66)*L49</f>
        <v>43.089651116877214</v>
      </c>
      <c r="M67" s="16" t="e">
        <f t="shared" ref="M67:N67" si="28">(M65/M66)*M49</f>
        <v>#DIV/0!</v>
      </c>
      <c r="N67" s="16" t="e">
        <f t="shared" si="28"/>
        <v>#DIV/0!</v>
      </c>
    </row>
    <row r="68" spans="1:14" x14ac:dyDescent="0.25">
      <c r="A68" s="17" t="s">
        <v>39</v>
      </c>
      <c r="B68" s="30">
        <f>B20/B12</f>
        <v>38162.512412194832</v>
      </c>
      <c r="C68" s="30">
        <f>C20/C12</f>
        <v>37835.155546690032</v>
      </c>
      <c r="D68" s="30"/>
      <c r="E68" s="30"/>
      <c r="F68" s="30">
        <f t="shared" ref="F68" si="29">F20/F12</f>
        <v>13846.941516496663</v>
      </c>
      <c r="G68" s="60"/>
      <c r="H68" s="60"/>
      <c r="I68" s="60"/>
      <c r="J68" s="60"/>
      <c r="K68" s="30">
        <f t="shared" ref="K68:N68" si="30">K20/K12</f>
        <v>81450</v>
      </c>
      <c r="L68" s="30">
        <f t="shared" si="30"/>
        <v>151053.65583173998</v>
      </c>
      <c r="M68" s="30" t="e">
        <f t="shared" si="30"/>
        <v>#DIV/0!</v>
      </c>
      <c r="N68" s="30" t="e">
        <f t="shared" si="30"/>
        <v>#DIV/0!</v>
      </c>
    </row>
    <row r="69" spans="1:14" x14ac:dyDescent="0.25">
      <c r="A69" s="17" t="s">
        <v>38</v>
      </c>
      <c r="B69" s="17">
        <f>B21/B14</f>
        <v>18867.721702084917</v>
      </c>
      <c r="C69" s="17">
        <f>C21/C14</f>
        <v>48452.07752916147</v>
      </c>
      <c r="D69" s="17"/>
      <c r="E69" s="17"/>
      <c r="F69" s="17">
        <f t="shared" ref="F69" si="31">F21/F14</f>
        <v>6670.4844878573358</v>
      </c>
      <c r="G69" s="60"/>
      <c r="H69" s="60"/>
      <c r="I69" s="60"/>
      <c r="J69" s="60"/>
      <c r="K69" s="30">
        <f>K21/K14</f>
        <v>36701.522071479194</v>
      </c>
      <c r="L69" s="30">
        <f>L21/L14</f>
        <v>63187.698595787362</v>
      </c>
      <c r="M69" s="30" t="e">
        <f t="shared" ref="M69:N69" si="32">M21/M14</f>
        <v>#DIV/0!</v>
      </c>
      <c r="N69" s="30" t="e">
        <f t="shared" si="32"/>
        <v>#DIV/0!</v>
      </c>
    </row>
    <row r="70" spans="1:14" x14ac:dyDescent="0.25">
      <c r="B70" s="15"/>
      <c r="C70" s="15"/>
      <c r="D70" s="15"/>
      <c r="E70" s="15"/>
      <c r="F70" s="15"/>
      <c r="G70" s="15"/>
      <c r="H70" s="15"/>
      <c r="I70" s="17"/>
      <c r="J70" s="17"/>
      <c r="K70" s="15"/>
      <c r="L70" s="15"/>
    </row>
    <row r="71" spans="1:14" x14ac:dyDescent="0.25">
      <c r="A71" t="s">
        <v>34</v>
      </c>
      <c r="B71" s="15"/>
      <c r="C71" s="15"/>
      <c r="D71" s="15"/>
      <c r="E71" s="15"/>
      <c r="F71" s="15"/>
      <c r="G71" s="15"/>
      <c r="H71" s="15"/>
      <c r="I71" s="17"/>
      <c r="J71" s="17"/>
      <c r="K71" s="15"/>
      <c r="L71" s="15"/>
    </row>
    <row r="72" spans="1:14" x14ac:dyDescent="0.25">
      <c r="A72" s="18" t="s">
        <v>35</v>
      </c>
      <c r="B72" s="19">
        <f>(B27/B26)*100</f>
        <v>44.514005666624499</v>
      </c>
      <c r="C72" s="19"/>
      <c r="D72" s="19"/>
      <c r="E72" s="19"/>
      <c r="F72" s="19"/>
      <c r="G72" s="19"/>
      <c r="H72" s="19"/>
      <c r="I72" s="19"/>
      <c r="J72" s="19"/>
      <c r="K72" s="19"/>
      <c r="L72" s="19"/>
    </row>
    <row r="73" spans="1:14" x14ac:dyDescent="0.25">
      <c r="A73" s="18" t="s">
        <v>36</v>
      </c>
      <c r="B73" s="19">
        <f>(B21/B27)*100</f>
        <v>106.79543390201624</v>
      </c>
      <c r="C73" s="19"/>
      <c r="D73" s="19"/>
      <c r="E73" s="19"/>
      <c r="F73" s="19"/>
      <c r="G73" s="19"/>
      <c r="H73" s="19"/>
      <c r="I73" s="19"/>
      <c r="J73" s="19"/>
      <c r="K73" s="19"/>
      <c r="L73" s="19"/>
    </row>
    <row r="74" spans="1:14" ht="15.75" thickBot="1" x14ac:dyDescent="0.3">
      <c r="A74" s="20"/>
      <c r="B74" s="20"/>
      <c r="C74" s="20"/>
      <c r="D74" s="20"/>
      <c r="E74" s="20"/>
      <c r="F74" s="20"/>
      <c r="G74" s="20"/>
      <c r="H74" s="20"/>
      <c r="I74" s="49"/>
      <c r="J74" s="49"/>
      <c r="K74" s="20"/>
      <c r="L74" s="20"/>
      <c r="M74" s="20"/>
      <c r="N74" s="20"/>
    </row>
    <row r="75" spans="1:14" ht="15.75" thickTop="1" x14ac:dyDescent="0.25">
      <c r="A75" s="33" t="s">
        <v>94</v>
      </c>
    </row>
    <row r="76" spans="1:14" x14ac:dyDescent="0.25">
      <c r="A76" t="s">
        <v>95</v>
      </c>
    </row>
    <row r="77" spans="1:14" x14ac:dyDescent="0.25">
      <c r="A77" t="s">
        <v>96</v>
      </c>
    </row>
    <row r="78" spans="1:14" x14ac:dyDescent="0.25">
      <c r="A78" t="s">
        <v>79</v>
      </c>
    </row>
    <row r="80" spans="1:14" x14ac:dyDescent="0.25">
      <c r="A80" t="s">
        <v>43</v>
      </c>
    </row>
    <row r="81" spans="1:10" x14ac:dyDescent="0.25">
      <c r="A81" t="s">
        <v>53</v>
      </c>
      <c r="B81" s="21"/>
      <c r="C81" s="21"/>
      <c r="D81" s="21"/>
      <c r="E81" s="21"/>
      <c r="F81" s="21"/>
      <c r="G81" s="21"/>
      <c r="H81" s="21"/>
      <c r="I81" s="21"/>
      <c r="J81" s="21"/>
    </row>
    <row r="82" spans="1:10" x14ac:dyDescent="0.25">
      <c r="A82" t="s">
        <v>134</v>
      </c>
    </row>
    <row r="83" spans="1:10" x14ac:dyDescent="0.25">
      <c r="A83" t="s">
        <v>50</v>
      </c>
    </row>
    <row r="84" spans="1:10" x14ac:dyDescent="0.25">
      <c r="A84" t="s">
        <v>78</v>
      </c>
    </row>
    <row r="86" spans="1:10" x14ac:dyDescent="0.25">
      <c r="A86" t="s">
        <v>135</v>
      </c>
    </row>
    <row r="87" spans="1:10" x14ac:dyDescent="0.25">
      <c r="A87" s="42"/>
    </row>
    <row r="108" spans="27:31" x14ac:dyDescent="0.25">
      <c r="AA108" s="18"/>
      <c r="AB108" s="62"/>
      <c r="AC108" s="62"/>
      <c r="AD108" s="62"/>
      <c r="AE108" s="62"/>
    </row>
    <row r="109" spans="27:31" x14ac:dyDescent="0.25">
      <c r="AA109" s="18"/>
      <c r="AB109" s="62"/>
      <c r="AC109" s="62"/>
      <c r="AD109" s="62"/>
      <c r="AE109" s="62"/>
    </row>
  </sheetData>
  <mergeCells count="6">
    <mergeCell ref="G34:J34"/>
    <mergeCell ref="A4:A5"/>
    <mergeCell ref="A2:K2"/>
    <mergeCell ref="D5:E5"/>
    <mergeCell ref="G5:J5"/>
    <mergeCell ref="D4:N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38" sqref="I38"/>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6" sqref="B36"/>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7"/>
  <sheetViews>
    <sheetView zoomScale="60" zoomScaleNormal="60" workbookViewId="0">
      <pane xSplit="1" topLeftCell="C1" activePane="topRight" state="frozen"/>
      <selection activeCell="E28" sqref="E28"/>
      <selection pane="topRight" activeCell="P16" sqref="P16"/>
    </sheetView>
  </sheetViews>
  <sheetFormatPr baseColWidth="10" defaultColWidth="11.42578125" defaultRowHeight="15" x14ac:dyDescent="0.25"/>
  <cols>
    <col min="1" max="1" width="50.85546875" customWidth="1"/>
    <col min="2" max="3" width="26.85546875" customWidth="1"/>
    <col min="4" max="6" width="16.5703125" customWidth="1"/>
    <col min="7" max="7" width="16.140625" customWidth="1"/>
    <col min="8" max="10" width="17.42578125" customWidth="1"/>
    <col min="11" max="11" width="15.42578125" customWidth="1"/>
    <col min="12" max="12" width="16.42578125" customWidth="1"/>
    <col min="13" max="13" width="23.5703125" customWidth="1"/>
    <col min="14" max="14" width="22.7109375" customWidth="1"/>
    <col min="15" max="15" width="18.28515625" customWidth="1"/>
    <col min="16" max="16" width="23.5703125" customWidth="1"/>
  </cols>
  <sheetData>
    <row r="2" spans="1:17" ht="15.75" x14ac:dyDescent="0.25">
      <c r="A2" s="90" t="s">
        <v>97</v>
      </c>
      <c r="B2" s="90"/>
      <c r="C2" s="90"/>
      <c r="D2" s="90"/>
      <c r="E2" s="90"/>
      <c r="F2" s="90"/>
      <c r="G2" s="90"/>
      <c r="H2" s="90"/>
      <c r="I2" s="90"/>
      <c r="J2" s="90"/>
      <c r="K2" s="90"/>
    </row>
    <row r="4" spans="1:17" x14ac:dyDescent="0.25">
      <c r="A4" s="88" t="s">
        <v>0</v>
      </c>
      <c r="B4" s="25" t="s">
        <v>1</v>
      </c>
      <c r="C4" s="94" t="s">
        <v>2</v>
      </c>
      <c r="D4" s="94"/>
      <c r="E4" s="94"/>
      <c r="F4" s="94"/>
      <c r="G4" s="94"/>
      <c r="H4" s="94"/>
      <c r="I4" s="94"/>
      <c r="J4" s="94"/>
      <c r="K4" s="94"/>
      <c r="L4" s="94"/>
      <c r="M4" s="94"/>
      <c r="N4" s="94"/>
      <c r="O4" s="84"/>
      <c r="P4" s="84"/>
      <c r="Q4" s="85"/>
    </row>
    <row r="5" spans="1:17" ht="15.75" thickBot="1" x14ac:dyDescent="0.3">
      <c r="A5" s="89"/>
      <c r="B5" s="1" t="s">
        <v>3</v>
      </c>
      <c r="C5" s="57" t="s">
        <v>80</v>
      </c>
      <c r="D5" s="91" t="s">
        <v>4</v>
      </c>
      <c r="E5" s="91"/>
      <c r="F5" s="57" t="s">
        <v>81</v>
      </c>
      <c r="G5" s="91" t="s">
        <v>52</v>
      </c>
      <c r="H5" s="91"/>
      <c r="I5" s="48"/>
      <c r="J5" s="48"/>
      <c r="K5" s="1" t="s">
        <v>5</v>
      </c>
      <c r="L5" s="20" t="s">
        <v>51</v>
      </c>
      <c r="M5" s="20" t="s">
        <v>137</v>
      </c>
      <c r="N5" s="20" t="s">
        <v>138</v>
      </c>
      <c r="O5" s="20" t="s">
        <v>139</v>
      </c>
      <c r="P5" s="20" t="s">
        <v>140</v>
      </c>
      <c r="Q5" s="67"/>
    </row>
    <row r="6" spans="1:17" ht="15.75" thickTop="1" x14ac:dyDescent="0.25">
      <c r="B6" s="36" t="s">
        <v>1</v>
      </c>
      <c r="D6" s="36" t="s">
        <v>48</v>
      </c>
      <c r="E6" s="36" t="s">
        <v>49</v>
      </c>
      <c r="F6" s="36"/>
      <c r="G6" s="36">
        <v>1600</v>
      </c>
      <c r="H6" s="36">
        <v>640</v>
      </c>
      <c r="I6" s="47">
        <v>320</v>
      </c>
      <c r="J6" s="47">
        <v>800</v>
      </c>
      <c r="K6" s="36" t="s">
        <v>5</v>
      </c>
      <c r="M6" s="67" t="s">
        <v>137</v>
      </c>
      <c r="N6" s="67" t="s">
        <v>138</v>
      </c>
      <c r="O6" s="33" t="s">
        <v>139</v>
      </c>
      <c r="P6" s="33" t="s">
        <v>140</v>
      </c>
      <c r="Q6" s="33"/>
    </row>
    <row r="7" spans="1:17" x14ac:dyDescent="0.25">
      <c r="A7" s="2" t="s">
        <v>6</v>
      </c>
      <c r="I7" s="32"/>
      <c r="J7" s="32"/>
    </row>
    <row r="8" spans="1:17" x14ac:dyDescent="0.25">
      <c r="I8" s="32"/>
      <c r="J8" s="32"/>
    </row>
    <row r="9" spans="1:17" x14ac:dyDescent="0.25">
      <c r="A9" t="s">
        <v>7</v>
      </c>
      <c r="I9" s="32"/>
      <c r="J9" s="32"/>
      <c r="O9" s="74"/>
    </row>
    <row r="10" spans="1:17" x14ac:dyDescent="0.25">
      <c r="A10" s="3" t="s">
        <v>58</v>
      </c>
      <c r="B10" s="24">
        <f>+D10+G10</f>
        <v>127901</v>
      </c>
      <c r="C10" s="24">
        <f>+D10+E10</f>
        <v>32125</v>
      </c>
      <c r="D10" s="37">
        <v>26839</v>
      </c>
      <c r="E10" s="24">
        <v>5286</v>
      </c>
      <c r="F10" s="52">
        <f>SUM(G10:I10)</f>
        <v>125094</v>
      </c>
      <c r="G10" s="24">
        <v>101062</v>
      </c>
      <c r="H10" s="80">
        <v>3541</v>
      </c>
      <c r="I10" s="80">
        <v>20491</v>
      </c>
      <c r="J10" s="37">
        <v>24936</v>
      </c>
      <c r="K10" s="24">
        <v>8183</v>
      </c>
      <c r="L10" s="24">
        <v>937</v>
      </c>
      <c r="M10" s="81">
        <v>0</v>
      </c>
      <c r="N10" s="68">
        <v>0</v>
      </c>
      <c r="O10" s="5">
        <v>0</v>
      </c>
      <c r="P10">
        <v>0</v>
      </c>
    </row>
    <row r="11" spans="1:17" x14ac:dyDescent="0.25">
      <c r="A11" s="27" t="s">
        <v>37</v>
      </c>
      <c r="B11" s="24">
        <f t="shared" ref="B11:B16" si="0">+D11+G11</f>
        <v>104651</v>
      </c>
      <c r="C11" s="24">
        <f t="shared" ref="C11:C16" si="1">+D11+E11</f>
        <v>25679</v>
      </c>
      <c r="D11" s="24">
        <v>20393</v>
      </c>
      <c r="E11" s="24">
        <v>5286</v>
      </c>
      <c r="F11" s="24">
        <f>SUM(G11:I11)</f>
        <v>108290</v>
      </c>
      <c r="G11" s="24">
        <v>84258</v>
      </c>
      <c r="H11" s="80">
        <v>3541</v>
      </c>
      <c r="I11" s="80">
        <v>20491</v>
      </c>
      <c r="J11" s="37">
        <v>24936</v>
      </c>
      <c r="K11" s="24">
        <v>8183</v>
      </c>
      <c r="L11" s="24">
        <v>937</v>
      </c>
      <c r="M11" s="81">
        <v>0</v>
      </c>
      <c r="N11" s="68">
        <v>0</v>
      </c>
      <c r="O11" s="5">
        <v>0</v>
      </c>
      <c r="P11">
        <v>0</v>
      </c>
    </row>
    <row r="12" spans="1:17" x14ac:dyDescent="0.25">
      <c r="A12" s="3" t="s">
        <v>98</v>
      </c>
      <c r="B12" s="24">
        <f t="shared" si="0"/>
        <v>140808</v>
      </c>
      <c r="C12" s="24">
        <f t="shared" si="1"/>
        <v>44648</v>
      </c>
      <c r="D12" s="35">
        <v>37280</v>
      </c>
      <c r="E12" s="24">
        <v>7368</v>
      </c>
      <c r="F12" s="24">
        <f>SUM(G12:I12)</f>
        <v>140466</v>
      </c>
      <c r="G12" s="24">
        <v>103528</v>
      </c>
      <c r="H12" s="24">
        <v>5993</v>
      </c>
      <c r="I12" s="46">
        <v>30945</v>
      </c>
      <c r="J12" s="46">
        <v>33531</v>
      </c>
      <c r="K12" s="4">
        <v>9270</v>
      </c>
      <c r="L12" s="29">
        <v>3923</v>
      </c>
      <c r="M12" s="82">
        <v>0</v>
      </c>
      <c r="N12" s="69">
        <v>0</v>
      </c>
      <c r="O12" s="5">
        <v>0</v>
      </c>
      <c r="P12">
        <v>0</v>
      </c>
    </row>
    <row r="13" spans="1:17" x14ac:dyDescent="0.25">
      <c r="A13" s="27" t="s">
        <v>37</v>
      </c>
      <c r="B13" s="24">
        <f t="shared" si="0"/>
        <v>132075</v>
      </c>
      <c r="C13" s="24">
        <f t="shared" si="1"/>
        <v>35915</v>
      </c>
      <c r="D13" s="35">
        <v>28547</v>
      </c>
      <c r="E13" s="24">
        <v>7368</v>
      </c>
      <c r="F13" s="24">
        <f t="shared" ref="F13:F16" si="2">SUM(G13:I13)</f>
        <v>140466</v>
      </c>
      <c r="G13" s="24">
        <v>103528</v>
      </c>
      <c r="H13" s="24">
        <v>5993</v>
      </c>
      <c r="I13" s="46">
        <v>30945</v>
      </c>
      <c r="J13" s="46">
        <v>33531</v>
      </c>
      <c r="K13" s="4">
        <v>9270</v>
      </c>
      <c r="L13" s="29">
        <v>3923</v>
      </c>
      <c r="M13" s="82">
        <v>0</v>
      </c>
      <c r="N13" s="69">
        <v>0</v>
      </c>
      <c r="O13" s="5">
        <v>0</v>
      </c>
      <c r="P13">
        <v>0</v>
      </c>
    </row>
    <row r="14" spans="1:17" x14ac:dyDescent="0.25">
      <c r="A14" s="3" t="s">
        <v>99</v>
      </c>
      <c r="B14" s="24">
        <f t="shared" si="0"/>
        <v>127525.66666666666</v>
      </c>
      <c r="C14" s="24">
        <f t="shared" si="1"/>
        <v>33496.666666666664</v>
      </c>
      <c r="D14" s="37">
        <v>27159.333333333332</v>
      </c>
      <c r="E14" s="24">
        <v>6337.333333333333</v>
      </c>
      <c r="F14" s="24">
        <f t="shared" si="2"/>
        <v>125830.33333333333</v>
      </c>
      <c r="G14" s="24">
        <v>100366.33333333333</v>
      </c>
      <c r="H14" s="24">
        <v>4412.333333333333</v>
      </c>
      <c r="I14" s="37">
        <v>21051.666666666668</v>
      </c>
      <c r="J14" s="37">
        <v>26145</v>
      </c>
      <c r="K14" s="24">
        <v>9588.6666666666661</v>
      </c>
      <c r="L14" s="24">
        <v>1578.3333333333333</v>
      </c>
      <c r="M14" s="82">
        <v>0</v>
      </c>
      <c r="N14" s="69">
        <v>0</v>
      </c>
      <c r="O14" s="5">
        <v>0</v>
      </c>
      <c r="P14" s="72">
        <v>0</v>
      </c>
    </row>
    <row r="15" spans="1:17" x14ac:dyDescent="0.25">
      <c r="A15" s="27" t="s">
        <v>37</v>
      </c>
      <c r="B15" s="24">
        <f t="shared" si="0"/>
        <v>104142.66666666667</v>
      </c>
      <c r="C15" s="24">
        <f t="shared" si="1"/>
        <v>26486</v>
      </c>
      <c r="D15" s="37">
        <v>20148.666666666668</v>
      </c>
      <c r="E15" s="24">
        <v>6337.333333333333</v>
      </c>
      <c r="F15" s="24">
        <f t="shared" si="2"/>
        <v>109458</v>
      </c>
      <c r="G15" s="24">
        <v>83994</v>
      </c>
      <c r="H15" s="24">
        <v>4412.333333333333</v>
      </c>
      <c r="I15" s="37">
        <v>21051.666666666668</v>
      </c>
      <c r="J15" s="37">
        <v>26145</v>
      </c>
      <c r="K15" s="24">
        <v>9588.6666666666661</v>
      </c>
      <c r="L15" s="24">
        <v>1578.3333333333333</v>
      </c>
      <c r="M15" s="82">
        <v>0</v>
      </c>
      <c r="N15" s="69">
        <v>0</v>
      </c>
      <c r="O15" s="5">
        <v>0</v>
      </c>
      <c r="P15">
        <v>0</v>
      </c>
    </row>
    <row r="16" spans="1:17" x14ac:dyDescent="0.25">
      <c r="A16" s="3" t="s">
        <v>89</v>
      </c>
      <c r="B16" s="24">
        <f t="shared" si="0"/>
        <v>133387</v>
      </c>
      <c r="C16" s="24">
        <f t="shared" si="1"/>
        <v>41541</v>
      </c>
      <c r="D16" s="4">
        <v>34173</v>
      </c>
      <c r="E16" s="4">
        <v>7368</v>
      </c>
      <c r="F16" s="24">
        <f t="shared" si="2"/>
        <v>133074</v>
      </c>
      <c r="G16" s="4">
        <v>99214</v>
      </c>
      <c r="H16" s="4">
        <v>5494</v>
      </c>
      <c r="I16" s="5">
        <v>28366</v>
      </c>
      <c r="J16" s="5">
        <v>30737</v>
      </c>
      <c r="K16" s="4">
        <v>9270</v>
      </c>
      <c r="L16" s="5">
        <v>3596</v>
      </c>
      <c r="M16" s="82">
        <v>0</v>
      </c>
      <c r="N16" s="69">
        <v>0</v>
      </c>
      <c r="O16" s="5">
        <v>0</v>
      </c>
      <c r="P16">
        <v>1000</v>
      </c>
    </row>
    <row r="17" spans="1:16" x14ac:dyDescent="0.25">
      <c r="B17" s="22"/>
      <c r="C17" s="22"/>
      <c r="D17" s="22"/>
      <c r="E17" s="22"/>
      <c r="F17" s="22"/>
      <c r="G17" s="22"/>
      <c r="H17" s="22"/>
      <c r="I17" s="46"/>
      <c r="J17" s="46"/>
      <c r="K17" s="22"/>
    </row>
    <row r="18" spans="1:16" x14ac:dyDescent="0.25">
      <c r="A18" s="6" t="s">
        <v>8</v>
      </c>
      <c r="B18" s="24"/>
      <c r="C18" s="24"/>
      <c r="D18" s="22"/>
      <c r="G18" s="22"/>
      <c r="H18" s="22"/>
      <c r="I18" s="37"/>
      <c r="J18" s="37"/>
      <c r="K18" s="22"/>
    </row>
    <row r="19" spans="1:16" x14ac:dyDescent="0.25">
      <c r="A19" s="3" t="s">
        <v>58</v>
      </c>
      <c r="B19" s="24">
        <f>C19+F19+K19+L19+M19+N19</f>
        <v>3453739476</v>
      </c>
      <c r="C19" s="40">
        <v>987552472</v>
      </c>
      <c r="D19" s="40"/>
      <c r="E19" s="40"/>
      <c r="F19" s="40">
        <v>1647557971</v>
      </c>
      <c r="G19" s="40"/>
      <c r="H19" s="40"/>
      <c r="I19" s="40"/>
      <c r="J19" s="40"/>
      <c r="K19" s="24">
        <v>736730003</v>
      </c>
      <c r="L19" s="4">
        <v>81899030</v>
      </c>
      <c r="M19" s="70">
        <v>0</v>
      </c>
      <c r="N19" s="69">
        <v>0</v>
      </c>
      <c r="O19" s="72">
        <v>0</v>
      </c>
      <c r="P19" s="72">
        <v>0</v>
      </c>
    </row>
    <row r="20" spans="1:16" x14ac:dyDescent="0.25">
      <c r="A20" s="61" t="s">
        <v>98</v>
      </c>
      <c r="B20" s="24">
        <f t="shared" ref="B20:B22" si="3">C20+F20+K20+L20+M20+N20</f>
        <v>5064288835.8959999</v>
      </c>
      <c r="C20" s="40">
        <f>+D20+E20</f>
        <v>1741728180</v>
      </c>
      <c r="D20" s="40">
        <v>1725260700</v>
      </c>
      <c r="E20" s="40">
        <v>16467480</v>
      </c>
      <c r="F20" s="40">
        <v>1945011190.8960004</v>
      </c>
      <c r="G20" s="40"/>
      <c r="H20" s="40"/>
      <c r="I20" s="40"/>
      <c r="J20" s="40"/>
      <c r="K20" s="24">
        <v>755041500</v>
      </c>
      <c r="L20" s="5">
        <v>592507965</v>
      </c>
      <c r="M20" s="71">
        <v>0</v>
      </c>
      <c r="N20" s="73">
        <v>30000000</v>
      </c>
      <c r="O20" s="72">
        <v>0</v>
      </c>
      <c r="P20" s="72">
        <v>0</v>
      </c>
    </row>
    <row r="21" spans="1:16" x14ac:dyDescent="0.25">
      <c r="A21" s="3" t="s">
        <v>99</v>
      </c>
      <c r="B21" s="52">
        <f t="shared" si="3"/>
        <v>3873602255.3699999</v>
      </c>
      <c r="C21" s="40">
        <v>1121935132</v>
      </c>
      <c r="D21" s="40"/>
      <c r="E21" s="40"/>
      <c r="F21" s="40">
        <v>1766329534.2</v>
      </c>
      <c r="G21" s="40"/>
      <c r="H21" s="40"/>
      <c r="I21" s="40"/>
      <c r="J21" s="40"/>
      <c r="K21" s="24">
        <v>822029647.17000008</v>
      </c>
      <c r="L21" s="4">
        <v>163307942</v>
      </c>
      <c r="M21" s="72">
        <v>0</v>
      </c>
      <c r="N21" s="69">
        <v>0</v>
      </c>
      <c r="O21" s="72">
        <v>0</v>
      </c>
      <c r="P21" s="72">
        <v>0</v>
      </c>
    </row>
    <row r="22" spans="1:16" x14ac:dyDescent="0.25">
      <c r="A22" s="3" t="s">
        <v>89</v>
      </c>
      <c r="B22" s="24">
        <f t="shared" si="3"/>
        <v>19006630632.792</v>
      </c>
      <c r="C22" s="24">
        <f>+D22+E22</f>
        <v>6391825820</v>
      </c>
      <c r="D22" s="40">
        <v>6325955900</v>
      </c>
      <c r="E22" s="40">
        <v>65869920</v>
      </c>
      <c r="F22" s="40">
        <v>7392109607.7919998</v>
      </c>
      <c r="G22" s="40"/>
      <c r="H22" s="40"/>
      <c r="I22" s="40"/>
      <c r="J22" s="40"/>
      <c r="K22" s="4">
        <v>3020166000</v>
      </c>
      <c r="L22" s="5">
        <v>2172529205</v>
      </c>
      <c r="M22" s="71">
        <v>0</v>
      </c>
      <c r="N22" s="73">
        <v>30000000</v>
      </c>
      <c r="O22" s="73">
        <v>300000000</v>
      </c>
      <c r="P22" s="73">
        <v>210000000</v>
      </c>
    </row>
    <row r="23" spans="1:16" x14ac:dyDescent="0.25">
      <c r="A23" s="3" t="s">
        <v>100</v>
      </c>
      <c r="B23" s="52">
        <f>C23+F23+K23+L23+N23</f>
        <v>3873602255.3699999</v>
      </c>
      <c r="C23" s="4">
        <f>C21</f>
        <v>1121935132</v>
      </c>
      <c r="D23" s="40"/>
      <c r="E23" s="40"/>
      <c r="F23" s="40">
        <f>F21</f>
        <v>1766329534.2</v>
      </c>
      <c r="G23" s="40"/>
      <c r="H23" s="40"/>
      <c r="I23" s="40"/>
      <c r="J23" s="40"/>
      <c r="K23" s="4">
        <f>K21</f>
        <v>822029647.17000008</v>
      </c>
      <c r="L23" s="4">
        <f>L21</f>
        <v>163307942</v>
      </c>
      <c r="M23" s="4">
        <f t="shared" ref="M23:P23" si="4">M21</f>
        <v>0</v>
      </c>
      <c r="N23" s="4">
        <f t="shared" si="4"/>
        <v>0</v>
      </c>
      <c r="O23" s="4">
        <f t="shared" si="4"/>
        <v>0</v>
      </c>
      <c r="P23" s="4">
        <f t="shared" si="4"/>
        <v>0</v>
      </c>
    </row>
    <row r="24" spans="1:16" x14ac:dyDescent="0.25">
      <c r="B24" s="22"/>
      <c r="C24" s="22"/>
      <c r="D24" s="22"/>
      <c r="E24" s="22"/>
      <c r="F24" s="22"/>
      <c r="G24" s="22"/>
      <c r="H24" s="22"/>
      <c r="I24" s="45"/>
      <c r="J24" s="45"/>
      <c r="K24" s="22"/>
      <c r="O24" s="74"/>
    </row>
    <row r="25" spans="1:16" x14ac:dyDescent="0.25">
      <c r="A25" s="7" t="s">
        <v>9</v>
      </c>
      <c r="B25" s="23"/>
      <c r="C25" s="23"/>
      <c r="D25" s="23"/>
      <c r="E25" s="23"/>
      <c r="F25" s="23"/>
      <c r="G25" s="23"/>
      <c r="H25" s="23"/>
      <c r="I25" s="23"/>
      <c r="J25" s="23"/>
      <c r="K25" s="23"/>
      <c r="L25" s="23"/>
    </row>
    <row r="26" spans="1:16" x14ac:dyDescent="0.25">
      <c r="A26" s="9" t="s">
        <v>98</v>
      </c>
      <c r="B26" s="35">
        <f>B20</f>
        <v>5064288835.8959999</v>
      </c>
      <c r="C26" s="35"/>
      <c r="D26" s="23"/>
      <c r="E26" s="23"/>
      <c r="F26" s="23"/>
      <c r="G26" s="23"/>
      <c r="H26" s="23"/>
      <c r="I26" s="23"/>
      <c r="J26" s="23"/>
      <c r="K26" s="23"/>
      <c r="L26" s="23"/>
    </row>
    <row r="27" spans="1:16" x14ac:dyDescent="0.25">
      <c r="A27" s="9" t="s">
        <v>99</v>
      </c>
      <c r="B27" s="35">
        <v>4762070370.4899998</v>
      </c>
      <c r="C27" s="35"/>
      <c r="D27" s="23"/>
      <c r="E27" s="23"/>
      <c r="F27" s="23"/>
      <c r="G27" s="23"/>
      <c r="H27" s="23"/>
      <c r="I27" s="23"/>
      <c r="J27" s="23"/>
      <c r="K27" s="23"/>
      <c r="L27" s="23"/>
    </row>
    <row r="28" spans="1:16" x14ac:dyDescent="0.25">
      <c r="I28" s="32"/>
      <c r="J28" s="32"/>
    </row>
    <row r="29" spans="1:16" x14ac:dyDescent="0.25">
      <c r="A29" t="s">
        <v>10</v>
      </c>
      <c r="I29" s="32"/>
      <c r="J29" s="32"/>
    </row>
    <row r="30" spans="1:16" ht="14.25" customHeight="1" x14ac:dyDescent="0.25">
      <c r="A30" s="10" t="s">
        <v>59</v>
      </c>
      <c r="B30" s="11">
        <v>1.6173</v>
      </c>
      <c r="C30" s="11">
        <v>1.6173</v>
      </c>
      <c r="D30" s="11">
        <v>1.6173</v>
      </c>
      <c r="E30" s="11">
        <v>1.6173</v>
      </c>
      <c r="F30" s="11">
        <v>1.6173</v>
      </c>
      <c r="G30" s="11">
        <v>1.6173</v>
      </c>
      <c r="H30" s="11">
        <v>1.6173</v>
      </c>
      <c r="I30" s="11">
        <v>1.6173</v>
      </c>
      <c r="J30" s="11">
        <v>1.6173</v>
      </c>
      <c r="K30" s="11">
        <v>1.6173</v>
      </c>
      <c r="L30" s="11">
        <v>1.6173</v>
      </c>
      <c r="M30" s="11">
        <v>1.6173</v>
      </c>
      <c r="N30" s="11">
        <v>1.6173</v>
      </c>
      <c r="O30" s="11">
        <v>1.6173</v>
      </c>
      <c r="P30" s="11">
        <v>1.6173</v>
      </c>
    </row>
    <row r="31" spans="1:16" x14ac:dyDescent="0.25">
      <c r="A31" s="10" t="s">
        <v>101</v>
      </c>
      <c r="B31" s="11">
        <v>1.68</v>
      </c>
      <c r="C31" s="11">
        <v>1.68</v>
      </c>
      <c r="D31" s="11">
        <v>1.68</v>
      </c>
      <c r="E31" s="11">
        <v>1.68</v>
      </c>
      <c r="F31" s="11">
        <v>1.68</v>
      </c>
      <c r="G31" s="11">
        <v>1.68</v>
      </c>
      <c r="H31" s="11">
        <v>1.68</v>
      </c>
      <c r="I31" s="11">
        <v>1.68</v>
      </c>
      <c r="J31" s="11">
        <v>1.68</v>
      </c>
      <c r="K31" s="11">
        <v>1.68</v>
      </c>
      <c r="L31" s="11">
        <v>1.68</v>
      </c>
      <c r="M31" s="11">
        <v>1.68</v>
      </c>
      <c r="N31" s="11">
        <v>1.68</v>
      </c>
      <c r="O31" s="11">
        <v>1.68</v>
      </c>
      <c r="P31" s="11">
        <v>1.68</v>
      </c>
    </row>
    <row r="32" spans="1:16" x14ac:dyDescent="0.25">
      <c r="A32" s="3" t="s">
        <v>11</v>
      </c>
      <c r="B32" s="4">
        <v>112666</v>
      </c>
      <c r="C32" s="4">
        <v>112666</v>
      </c>
      <c r="D32" s="4">
        <v>112666</v>
      </c>
      <c r="E32" s="4">
        <v>112666</v>
      </c>
      <c r="F32" s="4">
        <v>112666</v>
      </c>
      <c r="G32" s="4">
        <v>112666</v>
      </c>
      <c r="H32" s="4">
        <v>112666</v>
      </c>
      <c r="I32" s="4">
        <v>112666</v>
      </c>
      <c r="J32" s="4">
        <v>112666</v>
      </c>
      <c r="K32" s="4">
        <v>112666</v>
      </c>
      <c r="L32" s="4">
        <v>112666</v>
      </c>
      <c r="M32" s="4">
        <v>112666</v>
      </c>
      <c r="N32" s="4">
        <v>112666</v>
      </c>
      <c r="O32" s="4">
        <v>112666</v>
      </c>
      <c r="P32" s="4">
        <v>112666</v>
      </c>
    </row>
    <row r="33" spans="1:16" x14ac:dyDescent="0.25">
      <c r="I33" s="32"/>
      <c r="J33" s="32"/>
    </row>
    <row r="34" spans="1:16" x14ac:dyDescent="0.25">
      <c r="A34" s="12" t="s">
        <v>12</v>
      </c>
      <c r="B34" s="13"/>
      <c r="C34" s="13"/>
      <c r="D34" s="51"/>
      <c r="E34" s="51"/>
      <c r="F34" s="51"/>
      <c r="G34" s="87"/>
      <c r="H34" s="87"/>
      <c r="I34" s="87"/>
      <c r="J34" s="87"/>
      <c r="K34" s="13"/>
      <c r="L34" s="13"/>
      <c r="M34" s="13"/>
      <c r="N34" s="13"/>
    </row>
    <row r="35" spans="1:16" x14ac:dyDescent="0.25">
      <c r="A35" s="13" t="s">
        <v>60</v>
      </c>
      <c r="B35" s="14">
        <f>B19/B30</f>
        <v>2135497109.9981451</v>
      </c>
      <c r="C35" s="50">
        <f>C19/C30</f>
        <v>610617988.00469923</v>
      </c>
      <c r="D35" s="50"/>
      <c r="E35" s="50"/>
      <c r="F35" s="50">
        <f>F19/F30</f>
        <v>1018708941.4456192</v>
      </c>
      <c r="G35" s="50"/>
      <c r="H35" s="50"/>
      <c r="I35" s="50"/>
      <c r="J35" s="50"/>
      <c r="K35" s="14">
        <f t="shared" ref="K35:P35" si="5">K19/K30</f>
        <v>455530824.83150929</v>
      </c>
      <c r="L35" s="14">
        <f t="shared" si="5"/>
        <v>50639355.716317318</v>
      </c>
      <c r="M35" s="14">
        <f t="shared" si="5"/>
        <v>0</v>
      </c>
      <c r="N35" s="14">
        <f t="shared" si="5"/>
        <v>0</v>
      </c>
      <c r="O35" s="14">
        <f t="shared" si="5"/>
        <v>0</v>
      </c>
      <c r="P35" s="14">
        <f t="shared" si="5"/>
        <v>0</v>
      </c>
    </row>
    <row r="36" spans="1:16" x14ac:dyDescent="0.25">
      <c r="A36" s="13" t="s">
        <v>102</v>
      </c>
      <c r="B36" s="14">
        <f>B21/B31</f>
        <v>2305715628.1964288</v>
      </c>
      <c r="C36" s="50">
        <f>C21/C31</f>
        <v>667818530.95238101</v>
      </c>
      <c r="D36" s="50"/>
      <c r="E36" s="50"/>
      <c r="F36" s="50">
        <f>F21/F31</f>
        <v>1051386627.5000001</v>
      </c>
      <c r="G36" s="50"/>
      <c r="H36" s="50"/>
      <c r="I36" s="50"/>
      <c r="J36" s="50"/>
      <c r="K36" s="14">
        <f>K21/K31</f>
        <v>489303361.41071433</v>
      </c>
      <c r="L36" s="14">
        <f>L21/L31</f>
        <v>97207108.333333343</v>
      </c>
      <c r="M36" s="14">
        <f t="shared" ref="M36:P36" si="6">M21/M31</f>
        <v>0</v>
      </c>
      <c r="N36" s="14">
        <f t="shared" si="6"/>
        <v>0</v>
      </c>
      <c r="O36" s="14">
        <f t="shared" si="6"/>
        <v>0</v>
      </c>
      <c r="P36" s="14">
        <f t="shared" si="6"/>
        <v>0</v>
      </c>
    </row>
    <row r="37" spans="1:16" x14ac:dyDescent="0.25">
      <c r="A37" s="13" t="s">
        <v>61</v>
      </c>
      <c r="B37" s="14">
        <f>B35/B10</f>
        <v>16696.484859368928</v>
      </c>
      <c r="C37" s="50">
        <f>C35/C10</f>
        <v>19007.563828940052</v>
      </c>
      <c r="D37" s="50"/>
      <c r="E37" s="50"/>
      <c r="F37" s="50">
        <f>F35/F10</f>
        <v>8143.5475837819495</v>
      </c>
      <c r="G37" s="50"/>
      <c r="H37" s="50"/>
      <c r="I37" s="50"/>
      <c r="J37" s="50"/>
      <c r="K37" s="14">
        <f>K35/K10</f>
        <v>55667.948775694647</v>
      </c>
      <c r="L37" s="14">
        <f>L35/L10</f>
        <v>54044.136303433639</v>
      </c>
      <c r="M37" s="14" t="e">
        <f t="shared" ref="M37:P37" si="7">M35/M10</f>
        <v>#DIV/0!</v>
      </c>
      <c r="N37" s="14" t="e">
        <f t="shared" si="7"/>
        <v>#DIV/0!</v>
      </c>
      <c r="O37" s="14" t="e">
        <f t="shared" si="7"/>
        <v>#DIV/0!</v>
      </c>
      <c r="P37" s="14" t="e">
        <f t="shared" si="7"/>
        <v>#DIV/0!</v>
      </c>
    </row>
    <row r="38" spans="1:16" x14ac:dyDescent="0.25">
      <c r="A38" s="13" t="s">
        <v>103</v>
      </c>
      <c r="B38" s="14">
        <f>B36/B14</f>
        <v>18080.404427316036</v>
      </c>
      <c r="C38" s="50">
        <f>C36/C14</f>
        <v>19936.865288657013</v>
      </c>
      <c r="D38" s="50"/>
      <c r="E38" s="50"/>
      <c r="F38" s="50">
        <f>F36/F14</f>
        <v>8355.5896233287694</v>
      </c>
      <c r="G38" s="50"/>
      <c r="H38" s="50"/>
      <c r="I38" s="50"/>
      <c r="J38" s="50"/>
      <c r="K38" s="34">
        <f>K36/K14</f>
        <v>51029.343121467813</v>
      </c>
      <c r="L38" s="34">
        <f>L36/L14</f>
        <v>61588.453009503704</v>
      </c>
      <c r="M38" s="34" t="e">
        <f t="shared" ref="M38:P38" si="8">M36/M14</f>
        <v>#DIV/0!</v>
      </c>
      <c r="N38" s="34" t="e">
        <f t="shared" si="8"/>
        <v>#DIV/0!</v>
      </c>
      <c r="O38" s="34" t="e">
        <f t="shared" si="8"/>
        <v>#DIV/0!</v>
      </c>
      <c r="P38" s="34" t="e">
        <f t="shared" si="8"/>
        <v>#DIV/0!</v>
      </c>
    </row>
    <row r="39" spans="1:16" x14ac:dyDescent="0.25">
      <c r="I39" s="32"/>
      <c r="J39" s="32"/>
    </row>
    <row r="40" spans="1:16" x14ac:dyDescent="0.25">
      <c r="A40" s="2" t="s">
        <v>13</v>
      </c>
      <c r="I40" s="32"/>
      <c r="J40" s="32"/>
    </row>
    <row r="41" spans="1:16" x14ac:dyDescent="0.25">
      <c r="I41" s="32"/>
      <c r="J41" s="32"/>
    </row>
    <row r="42" spans="1:16" x14ac:dyDescent="0.25">
      <c r="A42" t="s">
        <v>14</v>
      </c>
      <c r="I42" s="32"/>
      <c r="J42" s="32"/>
    </row>
    <row r="43" spans="1:16" x14ac:dyDescent="0.25">
      <c r="A43" t="s">
        <v>15</v>
      </c>
      <c r="B43" s="17">
        <f>(B13/B32)*100</f>
        <v>117.22702501198232</v>
      </c>
      <c r="C43" s="17">
        <f t="shared" ref="C43:N43" si="9">(C13/C32)*100</f>
        <v>31.877407558624611</v>
      </c>
      <c r="D43" s="17">
        <f t="shared" si="9"/>
        <v>25.337723891857351</v>
      </c>
      <c r="E43" s="17">
        <f t="shared" si="9"/>
        <v>6.5396836667672584</v>
      </c>
      <c r="F43" s="17">
        <f t="shared" si="9"/>
        <v>124.67470221717288</v>
      </c>
      <c r="G43" s="17">
        <f t="shared" si="9"/>
        <v>91.889301120124969</v>
      </c>
      <c r="H43" s="17">
        <f t="shared" si="9"/>
        <v>5.3192622441552908</v>
      </c>
      <c r="I43" s="17">
        <f t="shared" si="9"/>
        <v>27.46613885289262</v>
      </c>
      <c r="J43" s="17">
        <f t="shared" si="9"/>
        <v>29.761418706619562</v>
      </c>
      <c r="K43" s="17">
        <f t="shared" si="9"/>
        <v>8.2278593364457784</v>
      </c>
      <c r="L43" s="17">
        <f t="shared" si="9"/>
        <v>3.481973266114001</v>
      </c>
      <c r="M43" s="17">
        <f t="shared" si="9"/>
        <v>0</v>
      </c>
      <c r="N43" s="17">
        <f t="shared" si="9"/>
        <v>0</v>
      </c>
    </row>
    <row r="44" spans="1:16" x14ac:dyDescent="0.25">
      <c r="A44" t="s">
        <v>16</v>
      </c>
      <c r="B44" s="17">
        <f>(B15/B32)*100</f>
        <v>92.434866478499885</v>
      </c>
      <c r="C44" s="17">
        <f t="shared" ref="C44:N44" si="10">(C15/C32)*100</f>
        <v>23.508423126764065</v>
      </c>
      <c r="D44" s="17">
        <f t="shared" si="10"/>
        <v>17.883537772412854</v>
      </c>
      <c r="E44" s="17">
        <f t="shared" si="10"/>
        <v>5.6248853543512087</v>
      </c>
      <c r="F44" s="17">
        <f t="shared" si="10"/>
        <v>97.152645873644232</v>
      </c>
      <c r="G44" s="17">
        <f t="shared" si="10"/>
        <v>74.55132870608702</v>
      </c>
      <c r="H44" s="17">
        <f t="shared" si="10"/>
        <v>3.9162953626944539</v>
      </c>
      <c r="I44" s="17">
        <f t="shared" si="10"/>
        <v>18.685021804862753</v>
      </c>
      <c r="J44" s="17">
        <f t="shared" si="10"/>
        <v>23.205758613956295</v>
      </c>
      <c r="K44" s="17">
        <f t="shared" si="10"/>
        <v>8.510701246752939</v>
      </c>
      <c r="L44" s="17">
        <f t="shared" si="10"/>
        <v>1.4008958632891317</v>
      </c>
      <c r="M44" s="17">
        <f t="shared" si="10"/>
        <v>0</v>
      </c>
      <c r="N44" s="17">
        <f t="shared" si="10"/>
        <v>0</v>
      </c>
    </row>
    <row r="45" spans="1:16" x14ac:dyDescent="0.25">
      <c r="I45" s="32"/>
      <c r="J45" s="32"/>
    </row>
    <row r="46" spans="1:16" x14ac:dyDescent="0.25">
      <c r="A46" t="s">
        <v>17</v>
      </c>
      <c r="I46" s="32"/>
      <c r="J46" s="32"/>
    </row>
    <row r="47" spans="1:16" x14ac:dyDescent="0.25">
      <c r="A47" t="s">
        <v>18</v>
      </c>
      <c r="B47" s="15">
        <f>B14/B12*100</f>
        <v>90.567060583678952</v>
      </c>
      <c r="C47" s="15">
        <f t="shared" ref="C47:N47" si="11">C14/C12*100</f>
        <v>75.023890581138389</v>
      </c>
      <c r="D47" s="15">
        <f t="shared" si="11"/>
        <v>72.852288984263225</v>
      </c>
      <c r="E47" s="15">
        <f t="shared" si="11"/>
        <v>86.011581614187477</v>
      </c>
      <c r="F47" s="15">
        <f t="shared" si="11"/>
        <v>89.580633984973829</v>
      </c>
      <c r="G47" s="15">
        <f t="shared" si="11"/>
        <v>96.946075779821243</v>
      </c>
      <c r="H47" s="15">
        <f t="shared" si="11"/>
        <v>73.624784470771459</v>
      </c>
      <c r="I47" s="15">
        <f t="shared" si="11"/>
        <v>68.029299294447142</v>
      </c>
      <c r="J47" s="15">
        <f t="shared" si="11"/>
        <v>77.972622349467656</v>
      </c>
      <c r="K47" s="15">
        <f t="shared" si="11"/>
        <v>103.43761236965119</v>
      </c>
      <c r="L47" s="15">
        <f t="shared" si="11"/>
        <v>40.232815022516775</v>
      </c>
      <c r="M47" s="15" t="e">
        <f t="shared" si="11"/>
        <v>#DIV/0!</v>
      </c>
      <c r="N47" s="15" t="e">
        <f t="shared" si="11"/>
        <v>#DIV/0!</v>
      </c>
    </row>
    <row r="48" spans="1:16" x14ac:dyDescent="0.25">
      <c r="A48" t="s">
        <v>19</v>
      </c>
      <c r="B48" s="15">
        <f>B21/B20*100</f>
        <v>76.488572845878409</v>
      </c>
      <c r="C48" s="15">
        <f>C21/C20*100</f>
        <v>64.415053099732248</v>
      </c>
      <c r="D48" s="15"/>
      <c r="E48" s="15"/>
      <c r="F48" s="58">
        <f>F21/F20*100</f>
        <v>90.81333528915647</v>
      </c>
      <c r="G48" s="58"/>
      <c r="H48" s="58"/>
      <c r="I48" s="58"/>
      <c r="J48" s="58"/>
      <c r="K48" s="15">
        <f>K21/K20*100</f>
        <v>108.87211460164774</v>
      </c>
      <c r="L48" s="15">
        <f>L21/L20*100</f>
        <v>27.562151337492992</v>
      </c>
      <c r="M48" s="15" t="e">
        <f t="shared" ref="M48:N48" si="12">M21/M20*100</f>
        <v>#DIV/0!</v>
      </c>
      <c r="N48" s="15">
        <f t="shared" si="12"/>
        <v>0</v>
      </c>
    </row>
    <row r="49" spans="1:14" x14ac:dyDescent="0.25">
      <c r="A49" s="13" t="s">
        <v>20</v>
      </c>
      <c r="B49" s="16">
        <f>AVERAGE(B47:B48)</f>
        <v>83.52781671477868</v>
      </c>
      <c r="C49" s="16">
        <f t="shared" ref="C49:N49" si="13">AVERAGE(C47:C48)</f>
        <v>69.719471840435318</v>
      </c>
      <c r="D49" s="16"/>
      <c r="E49" s="16"/>
      <c r="F49" s="59">
        <f>AVERAGE(F47:F48)</f>
        <v>90.196984637065157</v>
      </c>
      <c r="G49" s="59"/>
      <c r="H49" s="59"/>
      <c r="I49" s="59"/>
      <c r="J49" s="59"/>
      <c r="K49" s="16">
        <f t="shared" si="13"/>
        <v>106.15486348564946</v>
      </c>
      <c r="L49" s="16">
        <f t="shared" si="13"/>
        <v>33.897483180004883</v>
      </c>
      <c r="M49" s="16" t="e">
        <f t="shared" si="13"/>
        <v>#DIV/0!</v>
      </c>
      <c r="N49" s="16" t="e">
        <f t="shared" si="13"/>
        <v>#DIV/0!</v>
      </c>
    </row>
    <row r="50" spans="1:14" x14ac:dyDescent="0.25">
      <c r="B50" s="15"/>
      <c r="C50" s="15"/>
      <c r="D50" s="15"/>
      <c r="E50" s="15"/>
      <c r="F50" s="15"/>
      <c r="G50" s="15"/>
      <c r="H50" s="15"/>
      <c r="I50" s="15"/>
      <c r="J50" s="15"/>
      <c r="K50" s="15"/>
      <c r="L50" s="15"/>
    </row>
    <row r="51" spans="1:14" x14ac:dyDescent="0.25">
      <c r="A51" t="s">
        <v>21</v>
      </c>
    </row>
    <row r="52" spans="1:14" x14ac:dyDescent="0.25">
      <c r="A52" t="s">
        <v>22</v>
      </c>
      <c r="B52" s="15">
        <f>((B14/B16)*100)</f>
        <v>95.605768678107054</v>
      </c>
      <c r="C52" s="15">
        <f t="shared" ref="C52:N52" si="14">((C14/C16)*100)</f>
        <v>80.635195750383147</v>
      </c>
      <c r="D52" s="15">
        <f t="shared" si="14"/>
        <v>79.475999570811268</v>
      </c>
      <c r="E52" s="15">
        <f t="shared" si="14"/>
        <v>86.011581614187477</v>
      </c>
      <c r="F52" s="15">
        <f t="shared" si="14"/>
        <v>94.556662708968943</v>
      </c>
      <c r="G52" s="15">
        <f t="shared" si="14"/>
        <v>101.16146242801756</v>
      </c>
      <c r="H52" s="15">
        <f t="shared" si="14"/>
        <v>80.311855357359548</v>
      </c>
      <c r="I52" s="15">
        <f t="shared" si="14"/>
        <v>74.214435121859509</v>
      </c>
      <c r="J52" s="15">
        <f t="shared" si="14"/>
        <v>85.060350717376451</v>
      </c>
      <c r="K52" s="15">
        <f t="shared" si="14"/>
        <v>103.43761236965119</v>
      </c>
      <c r="L52" s="15">
        <f t="shared" si="14"/>
        <v>43.891360771227291</v>
      </c>
      <c r="M52" s="15" t="e">
        <f t="shared" si="14"/>
        <v>#DIV/0!</v>
      </c>
      <c r="N52" s="15" t="e">
        <f t="shared" si="14"/>
        <v>#DIV/0!</v>
      </c>
    </row>
    <row r="53" spans="1:14" x14ac:dyDescent="0.25">
      <c r="A53" t="s">
        <v>23</v>
      </c>
      <c r="B53" s="15">
        <f>B21/B22*100</f>
        <v>20.380267971782974</v>
      </c>
      <c r="C53" s="15">
        <f>C21/C22*100</f>
        <v>17.552654962678567</v>
      </c>
      <c r="D53" s="15"/>
      <c r="E53" s="15"/>
      <c r="F53" s="15">
        <f>F21/F22*100</f>
        <v>23.894796315494531</v>
      </c>
      <c r="G53" s="15"/>
      <c r="H53" s="15"/>
      <c r="I53" s="15"/>
      <c r="J53" s="15"/>
      <c r="K53" s="15">
        <f t="shared" ref="K53:N53" si="15">K21/K22*100</f>
        <v>27.218028650411934</v>
      </c>
      <c r="L53" s="15">
        <f t="shared" si="15"/>
        <v>7.5169503647708149</v>
      </c>
      <c r="M53" s="15" t="e">
        <f t="shared" si="15"/>
        <v>#DIV/0!</v>
      </c>
      <c r="N53" s="15">
        <f t="shared" si="15"/>
        <v>0</v>
      </c>
    </row>
    <row r="54" spans="1:14" x14ac:dyDescent="0.25">
      <c r="A54" t="s">
        <v>24</v>
      </c>
      <c r="B54" s="15">
        <f>(B52+B53)/2</f>
        <v>57.993018324945012</v>
      </c>
      <c r="C54" s="15">
        <f t="shared" ref="C54:N54" si="16">(C52+C53)/2</f>
        <v>49.09392535653086</v>
      </c>
      <c r="D54" s="15"/>
      <c r="E54" s="15"/>
      <c r="F54" s="15">
        <f t="shared" ref="F54" si="17">(F52+F53)/2</f>
        <v>59.225729512231737</v>
      </c>
      <c r="G54" s="15"/>
      <c r="H54" s="15"/>
      <c r="I54" s="15"/>
      <c r="J54" s="15"/>
      <c r="K54" s="15">
        <f t="shared" si="16"/>
        <v>65.327820510031557</v>
      </c>
      <c r="L54" s="15">
        <f t="shared" si="16"/>
        <v>25.704155567999052</v>
      </c>
      <c r="M54" s="15" t="e">
        <f t="shared" si="16"/>
        <v>#DIV/0!</v>
      </c>
      <c r="N54" s="15" t="e">
        <f t="shared" si="16"/>
        <v>#DIV/0!</v>
      </c>
    </row>
    <row r="55" spans="1:14" x14ac:dyDescent="0.25">
      <c r="B55" s="15"/>
      <c r="C55" s="15"/>
      <c r="D55" s="15"/>
      <c r="E55" s="15"/>
      <c r="F55" s="15"/>
      <c r="G55" s="15"/>
      <c r="H55" s="15"/>
      <c r="I55" s="15"/>
      <c r="J55" s="15"/>
      <c r="K55" s="15"/>
      <c r="L55" s="15"/>
    </row>
    <row r="56" spans="1:14" x14ac:dyDescent="0.25">
      <c r="A56" t="s">
        <v>40</v>
      </c>
    </row>
    <row r="57" spans="1:14" x14ac:dyDescent="0.25">
      <c r="A57" t="s">
        <v>25</v>
      </c>
      <c r="B57" s="15">
        <f>B23/B21*100</f>
        <v>100</v>
      </c>
      <c r="C57" s="15"/>
      <c r="D57" s="15"/>
      <c r="E57" s="15"/>
      <c r="F57" s="15"/>
      <c r="G57" s="15"/>
      <c r="H57" s="15"/>
      <c r="I57" s="15"/>
      <c r="J57" s="15"/>
      <c r="K57" s="15"/>
      <c r="L57" s="15"/>
    </row>
    <row r="59" spans="1:14" x14ac:dyDescent="0.25">
      <c r="A59" t="s">
        <v>26</v>
      </c>
    </row>
    <row r="60" spans="1:14" x14ac:dyDescent="0.25">
      <c r="A60" t="s">
        <v>27</v>
      </c>
      <c r="B60" s="15">
        <f>((B14/B10)-1)*100</f>
        <v>-0.29345613664736314</v>
      </c>
      <c r="C60" s="15">
        <f t="shared" ref="C60:N60" si="18">((C14/C10)-1)*100</f>
        <v>4.2697795071335864</v>
      </c>
      <c r="D60" s="15">
        <f t="shared" si="18"/>
        <v>1.193536768632697</v>
      </c>
      <c r="E60" s="15">
        <f t="shared" si="18"/>
        <v>19.889015008197752</v>
      </c>
      <c r="F60" s="15">
        <f t="shared" si="18"/>
        <v>0.58862402140256176</v>
      </c>
      <c r="G60" s="15">
        <f t="shared" si="18"/>
        <v>-0.68835632252148837</v>
      </c>
      <c r="H60" s="15">
        <f t="shared" si="18"/>
        <v>24.606984844205961</v>
      </c>
      <c r="I60" s="15">
        <f t="shared" si="18"/>
        <v>2.7361605908285069</v>
      </c>
      <c r="J60" s="15">
        <f t="shared" si="18"/>
        <v>4.8484119345524546</v>
      </c>
      <c r="K60" s="15">
        <f t="shared" si="18"/>
        <v>17.177889119719737</v>
      </c>
      <c r="L60" s="15">
        <f t="shared" si="18"/>
        <v>68.44539309854143</v>
      </c>
      <c r="M60" s="15" t="e">
        <f t="shared" si="18"/>
        <v>#DIV/0!</v>
      </c>
      <c r="N60" s="15" t="e">
        <f t="shared" si="18"/>
        <v>#DIV/0!</v>
      </c>
    </row>
    <row r="61" spans="1:14" x14ac:dyDescent="0.25">
      <c r="A61" t="s">
        <v>28</v>
      </c>
      <c r="B61" s="15">
        <f>((B36/B35)-1)*100</f>
        <v>7.9709083848131135</v>
      </c>
      <c r="C61" s="15">
        <f t="shared" ref="C61:N61" si="19">((C36/C35)-1)*100</f>
        <v>9.3676478700856158</v>
      </c>
      <c r="D61" s="15"/>
      <c r="E61" s="15"/>
      <c r="F61" s="15">
        <f t="shared" si="19"/>
        <v>3.2077549067164313</v>
      </c>
      <c r="G61" s="15"/>
      <c r="H61" s="15"/>
      <c r="I61" s="15"/>
      <c r="J61" s="15"/>
      <c r="K61" s="15">
        <f t="shared" si="19"/>
        <v>7.4138861166413328</v>
      </c>
      <c r="L61" s="15">
        <f t="shared" si="19"/>
        <v>91.959607223064822</v>
      </c>
      <c r="M61" s="15" t="e">
        <f t="shared" si="19"/>
        <v>#DIV/0!</v>
      </c>
      <c r="N61" s="15" t="e">
        <f t="shared" si="19"/>
        <v>#DIV/0!</v>
      </c>
    </row>
    <row r="62" spans="1:14" x14ac:dyDescent="0.25">
      <c r="A62" s="13" t="s">
        <v>29</v>
      </c>
      <c r="B62" s="16">
        <f>((B38/B37)-1)*100</f>
        <v>8.288688185588633</v>
      </c>
      <c r="C62" s="16">
        <f t="shared" ref="C62:N62" si="20">((C38/C37)-1)*100</f>
        <v>4.889113976311088</v>
      </c>
      <c r="D62" s="16"/>
      <c r="E62" s="16"/>
      <c r="F62" s="16">
        <f t="shared" si="20"/>
        <v>2.6038042679225715</v>
      </c>
      <c r="G62" s="16"/>
      <c r="H62" s="16"/>
      <c r="I62" s="16"/>
      <c r="J62" s="16"/>
      <c r="K62" s="16">
        <f t="shared" si="20"/>
        <v>-8.3326326122009178</v>
      </c>
      <c r="L62" s="16">
        <f t="shared" si="20"/>
        <v>13.959547181422426</v>
      </c>
      <c r="M62" s="16" t="e">
        <f t="shared" si="20"/>
        <v>#DIV/0!</v>
      </c>
      <c r="N62" s="16" t="e">
        <f t="shared" si="20"/>
        <v>#DIV/0!</v>
      </c>
    </row>
    <row r="63" spans="1:14" x14ac:dyDescent="0.25">
      <c r="B63" s="17"/>
      <c r="C63" s="17"/>
      <c r="D63" s="17"/>
      <c r="E63" s="17"/>
      <c r="F63" s="17"/>
      <c r="G63" s="17"/>
      <c r="H63" s="17"/>
      <c r="I63" s="17"/>
      <c r="J63" s="17"/>
      <c r="K63" s="17"/>
      <c r="L63" s="17"/>
    </row>
    <row r="64" spans="1:14" x14ac:dyDescent="0.25">
      <c r="A64" t="s">
        <v>30</v>
      </c>
    </row>
    <row r="65" spans="1:14" x14ac:dyDescent="0.25">
      <c r="A65" t="s">
        <v>46</v>
      </c>
      <c r="B65" s="4">
        <f>B20/(B12*3)</f>
        <v>11988.63898806886</v>
      </c>
      <c r="C65" s="4">
        <f>C20/(C12*3)</f>
        <v>13003.405751657408</v>
      </c>
      <c r="D65" s="4"/>
      <c r="E65" s="4"/>
      <c r="F65" s="4">
        <f t="shared" ref="F65" si="21">F20/(F12*3)</f>
        <v>4615.6156196659695</v>
      </c>
      <c r="G65" s="4"/>
      <c r="H65" s="40"/>
      <c r="I65" s="40"/>
      <c r="J65" s="40"/>
      <c r="K65" s="4">
        <f>K20/(K12*3)</f>
        <v>27150</v>
      </c>
      <c r="L65" s="4">
        <f>L20/(L12*3)</f>
        <v>50344.801172572013</v>
      </c>
      <c r="M65" s="4" t="e">
        <f t="shared" ref="M65:N65" si="22">M20/(M12*3)</f>
        <v>#DIV/0!</v>
      </c>
      <c r="N65" s="4" t="e">
        <f t="shared" si="22"/>
        <v>#DIV/0!</v>
      </c>
    </row>
    <row r="66" spans="1:14" x14ac:dyDescent="0.25">
      <c r="A66" t="s">
        <v>47</v>
      </c>
      <c r="B66" s="4">
        <f>B21/(B14*3)</f>
        <v>10125.026479296977</v>
      </c>
      <c r="C66" s="4">
        <f>C21/(C14*3)</f>
        <v>11164.644561647925</v>
      </c>
      <c r="D66" s="4"/>
      <c r="E66" s="44"/>
      <c r="F66" s="4">
        <f>F21/(F14*3)</f>
        <v>4679.1301890641107</v>
      </c>
      <c r="G66" s="40"/>
      <c r="H66" s="40"/>
      <c r="I66" s="40"/>
      <c r="J66" s="40"/>
      <c r="K66" s="4">
        <f>K21/(K14*3)</f>
        <v>28576.432148021973</v>
      </c>
      <c r="L66" s="4">
        <f>L21/(L14*3)</f>
        <v>34489.533685322072</v>
      </c>
      <c r="M66" s="4" t="e">
        <f t="shared" ref="M66:N66" si="23">M21/(M14*3)</f>
        <v>#DIV/0!</v>
      </c>
      <c r="N66" s="4" t="e">
        <f t="shared" si="23"/>
        <v>#DIV/0!</v>
      </c>
    </row>
    <row r="67" spans="1:14" x14ac:dyDescent="0.25">
      <c r="A67" s="13" t="s">
        <v>33</v>
      </c>
      <c r="B67" s="16">
        <f>(B65/B66)*B49</f>
        <v>98.901947772940119</v>
      </c>
      <c r="C67" s="16">
        <f>(C65/C66)*C49</f>
        <v>81.201920591963614</v>
      </c>
      <c r="D67" s="16"/>
      <c r="E67" s="16"/>
      <c r="F67" s="16">
        <f t="shared" ref="F67" si="24">(F65/F66)*F49</f>
        <v>88.972649684038387</v>
      </c>
      <c r="G67" s="59"/>
      <c r="H67" s="59"/>
      <c r="I67" s="59"/>
      <c r="J67" s="59"/>
      <c r="K67" s="16">
        <f>(K65/K66)*K49</f>
        <v>100.85599660260172</v>
      </c>
      <c r="L67" s="16">
        <f>(L65/L66)*L49</f>
        <v>49.480577688245823</v>
      </c>
      <c r="M67" s="16" t="e">
        <f t="shared" ref="M67:N67" si="25">(M65/M66)*M49</f>
        <v>#DIV/0!</v>
      </c>
      <c r="N67" s="16" t="e">
        <f t="shared" si="25"/>
        <v>#DIV/0!</v>
      </c>
    </row>
    <row r="68" spans="1:14" x14ac:dyDescent="0.25">
      <c r="A68" t="s">
        <v>39</v>
      </c>
      <c r="B68" s="30">
        <f>B20/B12</f>
        <v>35965.916964206575</v>
      </c>
      <c r="C68" s="30">
        <f>C20/C12</f>
        <v>39010.217254972224</v>
      </c>
      <c r="D68" s="30"/>
      <c r="E68" s="30"/>
      <c r="F68" s="30">
        <f t="shared" ref="F68" si="26">F20/F12</f>
        <v>13846.846858997909</v>
      </c>
      <c r="G68" s="60"/>
      <c r="H68" s="60"/>
      <c r="I68" s="60"/>
      <c r="J68" s="60"/>
      <c r="K68" s="30">
        <f t="shared" ref="K68:N68" si="27">K20/K12</f>
        <v>81450</v>
      </c>
      <c r="L68" s="30">
        <f t="shared" si="27"/>
        <v>151034.40351771604</v>
      </c>
      <c r="M68" s="30" t="e">
        <f t="shared" si="27"/>
        <v>#DIV/0!</v>
      </c>
      <c r="N68" s="30" t="e">
        <f t="shared" si="27"/>
        <v>#DIV/0!</v>
      </c>
    </row>
    <row r="69" spans="1:14" x14ac:dyDescent="0.25">
      <c r="A69" t="s">
        <v>38</v>
      </c>
      <c r="B69" s="17">
        <f>B21/B14</f>
        <v>30375.079437890934</v>
      </c>
      <c r="C69" s="17">
        <f>C21/C14</f>
        <v>33493.933684943775</v>
      </c>
      <c r="D69" s="17"/>
      <c r="E69" s="17"/>
      <c r="F69" s="17">
        <f t="shared" ref="F69" si="28">F21/F14</f>
        <v>14037.390567192331</v>
      </c>
      <c r="G69" s="60"/>
      <c r="H69" s="60"/>
      <c r="I69" s="60"/>
      <c r="J69" s="60"/>
      <c r="K69" s="30">
        <f>K21/K14</f>
        <v>85729.296444065927</v>
      </c>
      <c r="L69" s="30">
        <f>L21/L14</f>
        <v>103468.60105596621</v>
      </c>
      <c r="M69" s="30" t="e">
        <f t="shared" ref="M69:N69" si="29">M21/M14</f>
        <v>#DIV/0!</v>
      </c>
      <c r="N69" s="30" t="e">
        <f t="shared" si="29"/>
        <v>#DIV/0!</v>
      </c>
    </row>
    <row r="70" spans="1:14" x14ac:dyDescent="0.25">
      <c r="B70" s="15"/>
      <c r="C70" s="15"/>
      <c r="D70" s="15"/>
      <c r="E70" s="15"/>
      <c r="F70" s="15"/>
      <c r="G70" s="15"/>
      <c r="H70" s="15"/>
      <c r="I70" s="17"/>
      <c r="J70" s="17"/>
      <c r="K70" s="15"/>
      <c r="L70" s="15"/>
    </row>
    <row r="71" spans="1:14" x14ac:dyDescent="0.25">
      <c r="A71" t="s">
        <v>34</v>
      </c>
      <c r="B71" s="15"/>
      <c r="C71" s="15"/>
      <c r="D71" s="15"/>
      <c r="E71" s="15"/>
      <c r="F71" s="15"/>
      <c r="G71" s="15"/>
      <c r="H71" s="15"/>
      <c r="I71" s="17"/>
      <c r="J71" s="17"/>
      <c r="K71" s="15"/>
      <c r="L71" s="15"/>
    </row>
    <row r="72" spans="1:14" x14ac:dyDescent="0.25">
      <c r="A72" s="18" t="s">
        <v>35</v>
      </c>
      <c r="B72" s="19">
        <f>(B27/B26)*100</f>
        <v>94.032361202152288</v>
      </c>
      <c r="C72" s="19"/>
      <c r="D72" s="19"/>
      <c r="E72" s="19"/>
      <c r="F72" s="19"/>
      <c r="G72" s="19"/>
      <c r="H72" s="19"/>
      <c r="I72" s="19"/>
      <c r="J72" s="19"/>
      <c r="K72" s="19"/>
      <c r="L72" s="19"/>
    </row>
    <row r="73" spans="1:14" x14ac:dyDescent="0.25">
      <c r="A73" s="18" t="s">
        <v>36</v>
      </c>
      <c r="B73" s="19">
        <f>(B21/B27)*100</f>
        <v>81.342818438263023</v>
      </c>
      <c r="C73" s="19"/>
      <c r="D73" s="19"/>
      <c r="E73" s="19"/>
      <c r="F73" s="19"/>
      <c r="G73" s="19"/>
      <c r="H73" s="19"/>
      <c r="I73" s="19"/>
      <c r="J73" s="19"/>
      <c r="K73" s="19"/>
      <c r="L73" s="19"/>
    </row>
    <row r="74" spans="1:14" ht="15.75" thickBot="1" x14ac:dyDescent="0.3">
      <c r="A74" s="20"/>
      <c r="B74" s="20"/>
      <c r="C74" s="20"/>
      <c r="D74" s="20"/>
      <c r="E74" s="20"/>
      <c r="F74" s="20"/>
      <c r="G74" s="20"/>
      <c r="H74" s="20"/>
      <c r="I74" s="49"/>
      <c r="J74" s="49"/>
      <c r="K74" s="20"/>
      <c r="L74" s="20"/>
      <c r="M74" s="20"/>
      <c r="N74" s="20"/>
    </row>
    <row r="75" spans="1:14" ht="15.75" thickTop="1" x14ac:dyDescent="0.25">
      <c r="A75" s="33" t="s">
        <v>94</v>
      </c>
    </row>
    <row r="76" spans="1:14" x14ac:dyDescent="0.25">
      <c r="A76" t="s">
        <v>95</v>
      </c>
    </row>
    <row r="77" spans="1:14" x14ac:dyDescent="0.25">
      <c r="A77" t="s">
        <v>96</v>
      </c>
    </row>
    <row r="78" spans="1:14" x14ac:dyDescent="0.25">
      <c r="A78" t="s">
        <v>79</v>
      </c>
      <c r="B78" s="21"/>
      <c r="C78" s="21"/>
      <c r="D78" s="21"/>
      <c r="E78" s="21"/>
      <c r="F78" s="21"/>
      <c r="G78" s="21"/>
      <c r="H78" s="21"/>
      <c r="I78" s="21"/>
      <c r="J78" s="21"/>
    </row>
    <row r="80" spans="1:14" x14ac:dyDescent="0.25">
      <c r="A80" t="s">
        <v>43</v>
      </c>
    </row>
    <row r="81" spans="1:1" x14ac:dyDescent="0.25">
      <c r="A81" t="s">
        <v>53</v>
      </c>
    </row>
    <row r="82" spans="1:1" x14ac:dyDescent="0.25">
      <c r="A82" t="s">
        <v>134</v>
      </c>
    </row>
    <row r="83" spans="1:1" x14ac:dyDescent="0.25">
      <c r="A83" t="s">
        <v>50</v>
      </c>
    </row>
    <row r="84" spans="1:1" x14ac:dyDescent="0.25">
      <c r="A84" t="s">
        <v>78</v>
      </c>
    </row>
    <row r="86" spans="1:1" x14ac:dyDescent="0.25">
      <c r="A86" t="s">
        <v>135</v>
      </c>
    </row>
    <row r="87" spans="1:1" x14ac:dyDescent="0.25">
      <c r="A87" s="42"/>
    </row>
  </sheetData>
  <mergeCells count="6">
    <mergeCell ref="G34:J34"/>
    <mergeCell ref="A2:K2"/>
    <mergeCell ref="A4:A5"/>
    <mergeCell ref="D5:E5"/>
    <mergeCell ref="G5:H5"/>
    <mergeCell ref="C4:N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7"/>
  <sheetViews>
    <sheetView zoomScale="80" zoomScaleNormal="80" workbookViewId="0">
      <pane xSplit="1" topLeftCell="G1" activePane="topRight" state="frozen"/>
      <selection activeCell="E28" sqref="E28"/>
      <selection pane="topRight" activeCell="G16" sqref="G16"/>
    </sheetView>
  </sheetViews>
  <sheetFormatPr baseColWidth="10" defaultColWidth="11.42578125" defaultRowHeight="15" x14ac:dyDescent="0.25"/>
  <cols>
    <col min="1" max="1" width="50.85546875" customWidth="1"/>
    <col min="2" max="3" width="26.7109375" customWidth="1"/>
    <col min="4" max="6" width="16.5703125" customWidth="1"/>
    <col min="7" max="7" width="16.140625" customWidth="1"/>
    <col min="8" max="10" width="17.42578125" customWidth="1"/>
    <col min="11" max="11" width="17.28515625" customWidth="1"/>
    <col min="12" max="12" width="16.42578125" customWidth="1"/>
    <col min="13" max="13" width="18.7109375" customWidth="1"/>
    <col min="14" max="14" width="23.28515625" customWidth="1"/>
    <col min="15" max="15" width="14.85546875" customWidth="1"/>
    <col min="16" max="16" width="23.42578125" customWidth="1"/>
  </cols>
  <sheetData>
    <row r="2" spans="1:17" ht="15.75" x14ac:dyDescent="0.25">
      <c r="A2" s="90" t="s">
        <v>104</v>
      </c>
      <c r="B2" s="90"/>
      <c r="C2" s="90"/>
      <c r="D2" s="90"/>
      <c r="E2" s="90"/>
      <c r="F2" s="90"/>
      <c r="G2" s="90"/>
      <c r="H2" s="90"/>
      <c r="I2" s="90"/>
      <c r="J2" s="90"/>
      <c r="K2" s="90"/>
    </row>
    <row r="4" spans="1:17" x14ac:dyDescent="0.25">
      <c r="A4" s="88" t="s">
        <v>0</v>
      </c>
      <c r="B4" s="25" t="s">
        <v>1</v>
      </c>
      <c r="C4" s="25"/>
      <c r="D4" s="95" t="s">
        <v>2</v>
      </c>
      <c r="E4" s="95"/>
      <c r="F4" s="95"/>
      <c r="G4" s="95"/>
      <c r="H4" s="95"/>
      <c r="I4" s="95"/>
      <c r="J4" s="95"/>
      <c r="K4" s="95"/>
      <c r="L4" s="95"/>
      <c r="M4" s="95"/>
      <c r="N4" s="95"/>
      <c r="O4" s="85"/>
      <c r="P4" s="85"/>
    </row>
    <row r="5" spans="1:17" ht="15.75" thickBot="1" x14ac:dyDescent="0.3">
      <c r="A5" s="89"/>
      <c r="B5" s="1" t="s">
        <v>3</v>
      </c>
      <c r="C5" s="57" t="s">
        <v>80</v>
      </c>
      <c r="D5" s="91" t="s">
        <v>4</v>
      </c>
      <c r="E5" s="91"/>
      <c r="F5" s="57" t="s">
        <v>81</v>
      </c>
      <c r="G5" s="91" t="s">
        <v>52</v>
      </c>
      <c r="H5" s="91"/>
      <c r="I5" s="48"/>
      <c r="J5" s="48"/>
      <c r="K5" s="1" t="s">
        <v>5</v>
      </c>
      <c r="L5" s="20" t="s">
        <v>51</v>
      </c>
      <c r="M5" s="20" t="s">
        <v>137</v>
      </c>
      <c r="N5" s="20" t="s">
        <v>138</v>
      </c>
      <c r="O5" s="20" t="s">
        <v>139</v>
      </c>
      <c r="P5" s="20" t="s">
        <v>140</v>
      </c>
      <c r="Q5" s="67"/>
    </row>
    <row r="6" spans="1:17" ht="15.75" thickTop="1" x14ac:dyDescent="0.25">
      <c r="B6" s="36" t="s">
        <v>1</v>
      </c>
      <c r="D6" s="36" t="s">
        <v>48</v>
      </c>
      <c r="E6" s="36" t="s">
        <v>49</v>
      </c>
      <c r="F6" s="36"/>
      <c r="G6" s="36">
        <v>1600</v>
      </c>
      <c r="H6" s="36">
        <v>640</v>
      </c>
      <c r="I6" s="47">
        <v>320</v>
      </c>
      <c r="J6" s="47">
        <v>800</v>
      </c>
      <c r="K6" s="36" t="s">
        <v>5</v>
      </c>
      <c r="M6" s="67" t="s">
        <v>137</v>
      </c>
      <c r="N6" s="67" t="s">
        <v>138</v>
      </c>
      <c r="O6" s="33" t="s">
        <v>139</v>
      </c>
      <c r="P6" s="33" t="s">
        <v>140</v>
      </c>
    </row>
    <row r="7" spans="1:17" x14ac:dyDescent="0.25">
      <c r="A7" s="2" t="s">
        <v>6</v>
      </c>
      <c r="I7" s="32"/>
      <c r="J7" s="32"/>
    </row>
    <row r="8" spans="1:17" x14ac:dyDescent="0.25">
      <c r="I8" s="32"/>
      <c r="J8" s="32"/>
    </row>
    <row r="9" spans="1:17" x14ac:dyDescent="0.25">
      <c r="A9" t="s">
        <v>7</v>
      </c>
      <c r="I9" s="32"/>
      <c r="J9" s="32"/>
      <c r="O9" s="74"/>
    </row>
    <row r="10" spans="1:17" x14ac:dyDescent="0.25">
      <c r="A10" s="3" t="s">
        <v>62</v>
      </c>
      <c r="B10" s="24">
        <f>+D10+G10</f>
        <v>130818</v>
      </c>
      <c r="C10" s="24">
        <f>+D10+E10</f>
        <v>32411</v>
      </c>
      <c r="D10" s="37">
        <v>26039</v>
      </c>
      <c r="E10" s="37">
        <v>6372</v>
      </c>
      <c r="F10" s="83">
        <f>SUM(G10:I10)</f>
        <v>128103</v>
      </c>
      <c r="G10" s="37">
        <v>104779</v>
      </c>
      <c r="H10" s="80">
        <v>3177</v>
      </c>
      <c r="I10" s="80">
        <v>20147</v>
      </c>
      <c r="J10" s="37">
        <v>25404</v>
      </c>
      <c r="K10" s="24">
        <v>7021</v>
      </c>
      <c r="L10" s="24">
        <v>993</v>
      </c>
      <c r="M10" s="81">
        <v>0</v>
      </c>
      <c r="N10" s="68">
        <v>0</v>
      </c>
      <c r="O10" s="5">
        <v>0</v>
      </c>
      <c r="P10">
        <v>0</v>
      </c>
    </row>
    <row r="11" spans="1:17" x14ac:dyDescent="0.25">
      <c r="A11" s="27" t="s">
        <v>37</v>
      </c>
      <c r="B11" s="24">
        <f t="shared" ref="B11:B16" si="0">+D11+G11</f>
        <v>105816</v>
      </c>
      <c r="C11" s="24">
        <f t="shared" ref="C11:C16" si="1">+D11+E11</f>
        <v>25945</v>
      </c>
      <c r="D11" s="37">
        <v>19573</v>
      </c>
      <c r="E11" s="37">
        <v>6372</v>
      </c>
      <c r="F11" s="37">
        <f>SUM(G11:I11)</f>
        <v>109567</v>
      </c>
      <c r="G11" s="37">
        <v>86243</v>
      </c>
      <c r="H11" s="63">
        <v>3177</v>
      </c>
      <c r="I11" s="63">
        <v>20147</v>
      </c>
      <c r="J11" s="37">
        <v>25404</v>
      </c>
      <c r="K11" s="24">
        <v>7021</v>
      </c>
      <c r="L11" s="24">
        <v>993</v>
      </c>
      <c r="M11" s="81">
        <v>0</v>
      </c>
      <c r="N11" s="68">
        <v>0</v>
      </c>
      <c r="O11" s="5">
        <v>0</v>
      </c>
      <c r="P11">
        <v>0</v>
      </c>
    </row>
    <row r="12" spans="1:17" x14ac:dyDescent="0.25">
      <c r="A12" s="3" t="s">
        <v>105</v>
      </c>
      <c r="B12" s="24">
        <f t="shared" si="0"/>
        <v>134595</v>
      </c>
      <c r="C12" s="24">
        <f t="shared" si="1"/>
        <v>38435</v>
      </c>
      <c r="D12" s="35">
        <v>31067</v>
      </c>
      <c r="E12" s="24">
        <v>7368</v>
      </c>
      <c r="F12" s="24">
        <f>SUM(G12:I12)</f>
        <v>134310</v>
      </c>
      <c r="G12" s="24">
        <v>103528</v>
      </c>
      <c r="H12" s="24">
        <v>4994</v>
      </c>
      <c r="I12" s="37">
        <v>25788</v>
      </c>
      <c r="J12" s="37">
        <v>27943</v>
      </c>
      <c r="K12" s="4">
        <v>9403</v>
      </c>
      <c r="L12" s="29">
        <v>3923</v>
      </c>
      <c r="M12" s="81">
        <v>0</v>
      </c>
      <c r="N12" s="68">
        <v>0</v>
      </c>
      <c r="O12" s="5">
        <v>0</v>
      </c>
      <c r="P12">
        <v>0</v>
      </c>
    </row>
    <row r="13" spans="1:17" x14ac:dyDescent="0.25">
      <c r="A13" s="27" t="s">
        <v>37</v>
      </c>
      <c r="B13" s="24">
        <f t="shared" si="0"/>
        <v>127317.33333333333</v>
      </c>
      <c r="C13" s="24">
        <f t="shared" si="1"/>
        <v>31157.333333333332</v>
      </c>
      <c r="D13" s="35">
        <v>23789.333333333332</v>
      </c>
      <c r="E13" s="24">
        <v>7368</v>
      </c>
      <c r="F13" s="24">
        <f t="shared" ref="F13:F16" si="2">SUM(G13:I13)</f>
        <v>134310</v>
      </c>
      <c r="G13" s="24">
        <v>103528</v>
      </c>
      <c r="H13" s="24">
        <v>4994</v>
      </c>
      <c r="I13" s="37">
        <v>25788</v>
      </c>
      <c r="J13" s="37">
        <v>27943</v>
      </c>
      <c r="K13" s="4">
        <v>9403</v>
      </c>
      <c r="L13" s="29">
        <v>3923</v>
      </c>
      <c r="M13" s="81">
        <v>0</v>
      </c>
      <c r="N13" s="68">
        <v>0</v>
      </c>
      <c r="O13" s="5">
        <v>0</v>
      </c>
      <c r="P13">
        <v>0</v>
      </c>
    </row>
    <row r="14" spans="1:17" x14ac:dyDescent="0.25">
      <c r="A14" s="3" t="s">
        <v>106</v>
      </c>
      <c r="B14" s="24">
        <f t="shared" si="0"/>
        <v>127923</v>
      </c>
      <c r="C14" s="24">
        <f t="shared" si="1"/>
        <v>33566.666666666672</v>
      </c>
      <c r="D14" s="37">
        <v>26457.666666666668</v>
      </c>
      <c r="E14" s="37">
        <v>7109</v>
      </c>
      <c r="F14" s="24">
        <f t="shared" si="2"/>
        <v>126210.33333333333</v>
      </c>
      <c r="G14" s="37">
        <v>101465.33333333333</v>
      </c>
      <c r="H14" s="37">
        <v>4044</v>
      </c>
      <c r="I14" s="37">
        <v>20701</v>
      </c>
      <c r="J14" s="37">
        <v>26700</v>
      </c>
      <c r="K14" s="24">
        <v>9131.3333333333339</v>
      </c>
      <c r="L14" s="24">
        <v>1758</v>
      </c>
      <c r="M14" s="81">
        <v>0</v>
      </c>
      <c r="N14" s="68">
        <v>0</v>
      </c>
      <c r="O14" s="5">
        <v>0</v>
      </c>
      <c r="P14" s="72">
        <v>0</v>
      </c>
    </row>
    <row r="15" spans="1:17" x14ac:dyDescent="0.25">
      <c r="A15" s="27" t="s">
        <v>37</v>
      </c>
      <c r="B15" s="24">
        <f t="shared" si="0"/>
        <v>103437</v>
      </c>
      <c r="C15" s="24">
        <f t="shared" si="1"/>
        <v>26369</v>
      </c>
      <c r="D15" s="37">
        <v>19260</v>
      </c>
      <c r="E15" s="37">
        <v>7109</v>
      </c>
      <c r="F15" s="24">
        <f t="shared" si="2"/>
        <v>108922</v>
      </c>
      <c r="G15" s="37">
        <v>84177</v>
      </c>
      <c r="H15" s="37">
        <v>4044</v>
      </c>
      <c r="I15" s="37">
        <v>20701</v>
      </c>
      <c r="J15" s="37">
        <v>26700</v>
      </c>
      <c r="K15" s="24">
        <v>9131.3333333333339</v>
      </c>
      <c r="L15" s="24">
        <v>1758</v>
      </c>
      <c r="M15" s="81">
        <v>0</v>
      </c>
      <c r="N15" s="68">
        <v>0</v>
      </c>
      <c r="O15" s="5">
        <v>0</v>
      </c>
      <c r="P15">
        <v>0</v>
      </c>
    </row>
    <row r="16" spans="1:17" x14ac:dyDescent="0.25">
      <c r="A16" s="3" t="s">
        <v>89</v>
      </c>
      <c r="B16" s="24">
        <f t="shared" si="0"/>
        <v>133387</v>
      </c>
      <c r="C16" s="24">
        <f t="shared" si="1"/>
        <v>41541</v>
      </c>
      <c r="D16" s="4">
        <v>34173</v>
      </c>
      <c r="E16" s="4">
        <v>7368</v>
      </c>
      <c r="F16" s="24">
        <f t="shared" si="2"/>
        <v>133074</v>
      </c>
      <c r="G16" s="4">
        <v>99214</v>
      </c>
      <c r="H16" s="4">
        <v>5494</v>
      </c>
      <c r="I16" s="5">
        <v>28366</v>
      </c>
      <c r="J16" s="5">
        <v>30737</v>
      </c>
      <c r="K16" s="4">
        <v>9403</v>
      </c>
      <c r="L16" s="5">
        <v>3596</v>
      </c>
      <c r="M16" s="81">
        <v>0</v>
      </c>
      <c r="N16" s="68">
        <v>0</v>
      </c>
      <c r="O16" s="72">
        <v>0</v>
      </c>
      <c r="P16">
        <v>1000</v>
      </c>
    </row>
    <row r="17" spans="1:16" x14ac:dyDescent="0.25">
      <c r="B17" s="22"/>
      <c r="C17" s="22"/>
      <c r="D17" s="22"/>
      <c r="E17" s="22"/>
      <c r="F17" s="22"/>
      <c r="G17" s="22"/>
      <c r="H17" s="22"/>
      <c r="I17" s="37"/>
      <c r="J17" s="37"/>
      <c r="K17" s="22"/>
    </row>
    <row r="18" spans="1:16" x14ac:dyDescent="0.25">
      <c r="A18" s="6" t="s">
        <v>8</v>
      </c>
      <c r="B18" s="22"/>
      <c r="C18" s="22"/>
      <c r="D18" s="22"/>
      <c r="E18" s="22"/>
      <c r="F18" s="22"/>
      <c r="G18" s="22"/>
      <c r="H18" s="22"/>
      <c r="I18" s="37"/>
      <c r="J18" s="37"/>
      <c r="K18" s="22"/>
    </row>
    <row r="19" spans="1:16" x14ac:dyDescent="0.25">
      <c r="A19" s="3" t="s">
        <v>62</v>
      </c>
      <c r="B19" s="22">
        <f>C19+F19+K19+L19+M19+N19</f>
        <v>3420806142</v>
      </c>
      <c r="C19" s="40">
        <v>1156531079</v>
      </c>
      <c r="D19" s="40"/>
      <c r="E19" s="40"/>
      <c r="F19" s="40">
        <v>1870877092</v>
      </c>
      <c r="G19" s="40"/>
      <c r="H19" s="40"/>
      <c r="I19" s="40"/>
      <c r="J19" s="40"/>
      <c r="K19" s="24">
        <v>295165638</v>
      </c>
      <c r="L19" s="5">
        <v>98232333</v>
      </c>
      <c r="M19" s="63">
        <v>0</v>
      </c>
      <c r="N19" s="68">
        <v>0</v>
      </c>
      <c r="O19" s="72">
        <v>0</v>
      </c>
      <c r="P19" s="72">
        <v>0</v>
      </c>
    </row>
    <row r="20" spans="1:16" x14ac:dyDescent="0.25">
      <c r="A20" s="61" t="s">
        <v>105</v>
      </c>
      <c r="B20" s="22">
        <f t="shared" ref="B20:B22" si="3">C20+F20+K20+L20+M20+N20</f>
        <v>5070997053.7280006</v>
      </c>
      <c r="C20" s="22">
        <f>+D20+E20</f>
        <v>1454200480</v>
      </c>
      <c r="D20" s="40">
        <v>1437733000</v>
      </c>
      <c r="E20" s="40">
        <v>16467480</v>
      </c>
      <c r="F20" s="40">
        <v>1881247333.7280002</v>
      </c>
      <c r="G20" s="40"/>
      <c r="H20" s="40"/>
      <c r="I20" s="40"/>
      <c r="J20" s="40"/>
      <c r="K20" s="4">
        <v>755041500</v>
      </c>
      <c r="L20" s="5">
        <v>592507965</v>
      </c>
      <c r="M20" s="63">
        <v>387999775</v>
      </c>
      <c r="N20" s="68">
        <v>0</v>
      </c>
      <c r="O20" s="72">
        <v>0</v>
      </c>
      <c r="P20" s="72">
        <v>0</v>
      </c>
    </row>
    <row r="21" spans="1:16" x14ac:dyDescent="0.25">
      <c r="A21" s="3" t="s">
        <v>106</v>
      </c>
      <c r="B21" s="76">
        <f t="shared" si="3"/>
        <v>3587693044.8400002</v>
      </c>
      <c r="C21" s="40">
        <v>1131521024</v>
      </c>
      <c r="D21" s="40"/>
      <c r="E21" s="40"/>
      <c r="F21" s="40">
        <v>1820162460</v>
      </c>
      <c r="G21" s="40"/>
      <c r="H21" s="40"/>
      <c r="I21" s="40"/>
      <c r="J21" s="40"/>
      <c r="K21" s="24">
        <v>453362988.84000003</v>
      </c>
      <c r="L21" s="5">
        <v>182646572</v>
      </c>
      <c r="M21" s="63">
        <v>0</v>
      </c>
      <c r="N21" s="68">
        <v>0</v>
      </c>
      <c r="O21" s="72">
        <v>0</v>
      </c>
      <c r="P21" s="72">
        <v>0</v>
      </c>
    </row>
    <row r="22" spans="1:16" x14ac:dyDescent="0.25">
      <c r="A22" s="3" t="s">
        <v>89</v>
      </c>
      <c r="B22" s="22">
        <f t="shared" si="3"/>
        <v>19647538490.292</v>
      </c>
      <c r="C22" s="22">
        <f>+D22+E22</f>
        <v>6391825820</v>
      </c>
      <c r="D22" s="40">
        <v>6325955900</v>
      </c>
      <c r="E22" s="40">
        <v>65869920</v>
      </c>
      <c r="F22" s="40">
        <v>7392109607.7919998</v>
      </c>
      <c r="G22" s="40"/>
      <c r="H22" s="40"/>
      <c r="I22" s="40"/>
      <c r="J22" s="40"/>
      <c r="K22" s="4">
        <v>3020166000</v>
      </c>
      <c r="L22" s="5">
        <v>2172529205</v>
      </c>
      <c r="M22" s="63">
        <v>640907857.5</v>
      </c>
      <c r="N22" s="63">
        <v>30000000</v>
      </c>
      <c r="O22" s="73">
        <v>300000000</v>
      </c>
      <c r="P22" s="73">
        <v>210000000</v>
      </c>
    </row>
    <row r="23" spans="1:16" x14ac:dyDescent="0.25">
      <c r="A23" s="3" t="s">
        <v>107</v>
      </c>
      <c r="B23" s="86">
        <f>C23+F23+K23+L23+N23</f>
        <v>3587693044.8400002</v>
      </c>
      <c r="C23" s="4">
        <f>C21</f>
        <v>1131521024</v>
      </c>
      <c r="D23" s="40"/>
      <c r="E23" s="40"/>
      <c r="F23" s="40">
        <f>F21</f>
        <v>1820162460</v>
      </c>
      <c r="G23" s="40"/>
      <c r="H23" s="40"/>
      <c r="I23" s="40"/>
      <c r="J23" s="40"/>
      <c r="K23" s="4">
        <f>K21</f>
        <v>453362988.84000003</v>
      </c>
      <c r="L23" s="4">
        <f>L21</f>
        <v>182646572</v>
      </c>
      <c r="M23" s="4">
        <f t="shared" ref="M23:P23" si="4">M21</f>
        <v>0</v>
      </c>
      <c r="N23" s="4">
        <f t="shared" si="4"/>
        <v>0</v>
      </c>
      <c r="O23" s="4">
        <f t="shared" si="4"/>
        <v>0</v>
      </c>
      <c r="P23" s="4">
        <f t="shared" si="4"/>
        <v>0</v>
      </c>
    </row>
    <row r="24" spans="1:16" x14ac:dyDescent="0.25">
      <c r="B24" s="22"/>
      <c r="C24" s="22"/>
      <c r="D24" s="22"/>
      <c r="E24" s="22"/>
      <c r="F24" s="22"/>
      <c r="G24" s="22"/>
      <c r="H24" s="22"/>
      <c r="I24" s="45"/>
      <c r="J24" s="45"/>
      <c r="K24" s="22"/>
      <c r="N24" s="22"/>
      <c r="O24" s="74"/>
    </row>
    <row r="25" spans="1:16" x14ac:dyDescent="0.25">
      <c r="A25" s="7" t="s">
        <v>9</v>
      </c>
      <c r="B25" s="23"/>
      <c r="C25" s="23"/>
      <c r="D25" s="23"/>
      <c r="E25" s="23"/>
      <c r="F25" s="23"/>
      <c r="G25" s="23"/>
      <c r="H25" s="23"/>
      <c r="I25" s="23"/>
      <c r="J25" s="23"/>
      <c r="K25" s="23"/>
      <c r="L25" s="23"/>
    </row>
    <row r="26" spans="1:16" x14ac:dyDescent="0.25">
      <c r="A26" s="9" t="s">
        <v>105</v>
      </c>
      <c r="B26" s="23">
        <f>B20</f>
        <v>5070997053.7280006</v>
      </c>
      <c r="C26" s="23"/>
      <c r="D26" s="23"/>
      <c r="E26" s="23"/>
      <c r="F26" s="23"/>
      <c r="G26" s="23"/>
      <c r="H26" s="23"/>
      <c r="I26" s="23"/>
      <c r="J26" s="23"/>
      <c r="K26" s="23"/>
      <c r="L26" s="23"/>
    </row>
    <row r="27" spans="1:16" x14ac:dyDescent="0.25">
      <c r="A27" s="9" t="s">
        <v>106</v>
      </c>
      <c r="B27" s="23">
        <v>4468724565.4499998</v>
      </c>
      <c r="C27" s="23"/>
      <c r="D27" s="23"/>
      <c r="E27" s="23"/>
      <c r="F27" s="23"/>
      <c r="G27" s="23"/>
      <c r="H27" s="23"/>
      <c r="I27" s="23"/>
      <c r="J27" s="23"/>
      <c r="K27" s="23"/>
      <c r="L27" s="23"/>
    </row>
    <row r="28" spans="1:16" x14ac:dyDescent="0.25">
      <c r="I28" s="32"/>
      <c r="J28" s="32"/>
    </row>
    <row r="29" spans="1:16" x14ac:dyDescent="0.25">
      <c r="A29" t="s">
        <v>10</v>
      </c>
      <c r="I29" s="32"/>
      <c r="J29" s="32"/>
    </row>
    <row r="30" spans="1:16" x14ac:dyDescent="0.25">
      <c r="A30" s="10" t="s">
        <v>63</v>
      </c>
      <c r="B30" s="11">
        <v>1.6242666666666665</v>
      </c>
      <c r="C30" s="11">
        <v>1.6242666666666665</v>
      </c>
      <c r="D30" s="11">
        <v>1.6242666666666665</v>
      </c>
      <c r="E30" s="11">
        <v>1.6242666666666665</v>
      </c>
      <c r="F30" s="11">
        <v>1.6242666666666665</v>
      </c>
      <c r="G30" s="11">
        <v>1.6242666666666665</v>
      </c>
      <c r="H30" s="11">
        <v>1.6242666666666665</v>
      </c>
      <c r="I30" s="11">
        <v>1.6242666666666665</v>
      </c>
      <c r="J30" s="11">
        <v>1.6242666666666665</v>
      </c>
      <c r="K30" s="11">
        <v>1.6242666666666665</v>
      </c>
      <c r="L30" s="11">
        <v>1.6242666666666665</v>
      </c>
      <c r="M30" s="11">
        <v>1.6242666666666665</v>
      </c>
      <c r="N30" s="11">
        <v>1.6242666666666665</v>
      </c>
      <c r="O30" s="11">
        <v>1.6242666666666665</v>
      </c>
      <c r="P30" s="11">
        <v>1.6242666666666665</v>
      </c>
    </row>
    <row r="31" spans="1:16" x14ac:dyDescent="0.25">
      <c r="A31" s="10" t="s">
        <v>108</v>
      </c>
      <c r="B31">
        <v>1.71</v>
      </c>
      <c r="C31">
        <v>1.71</v>
      </c>
      <c r="D31">
        <v>1.71</v>
      </c>
      <c r="E31">
        <v>1.71</v>
      </c>
      <c r="F31">
        <v>1.71</v>
      </c>
      <c r="G31">
        <v>1.71</v>
      </c>
      <c r="H31">
        <v>1.71</v>
      </c>
      <c r="I31">
        <v>1.71</v>
      </c>
      <c r="J31">
        <v>1.71</v>
      </c>
      <c r="K31">
        <v>1.71</v>
      </c>
      <c r="L31">
        <v>1.71</v>
      </c>
      <c r="M31">
        <v>1.71</v>
      </c>
      <c r="N31">
        <v>1.71</v>
      </c>
      <c r="O31">
        <v>1.71</v>
      </c>
      <c r="P31">
        <v>1.71</v>
      </c>
    </row>
    <row r="32" spans="1:16" x14ac:dyDescent="0.25">
      <c r="A32" s="3" t="s">
        <v>11</v>
      </c>
      <c r="B32" s="4">
        <v>112666</v>
      </c>
      <c r="C32" s="4">
        <v>112666</v>
      </c>
      <c r="D32" s="4">
        <v>112666</v>
      </c>
      <c r="E32" s="4">
        <v>112666</v>
      </c>
      <c r="F32" s="4">
        <v>112666</v>
      </c>
      <c r="G32" s="4">
        <v>112666</v>
      </c>
      <c r="H32" s="4">
        <v>112666</v>
      </c>
      <c r="I32" s="4">
        <v>112666</v>
      </c>
      <c r="J32" s="4">
        <v>112666</v>
      </c>
      <c r="K32" s="4">
        <v>112666</v>
      </c>
      <c r="L32" s="4">
        <v>112666</v>
      </c>
      <c r="M32" s="4">
        <v>112666</v>
      </c>
      <c r="N32" s="4">
        <v>112666</v>
      </c>
      <c r="O32" s="4">
        <v>112666</v>
      </c>
      <c r="P32" s="4">
        <v>112666</v>
      </c>
    </row>
    <row r="33" spans="1:16" x14ac:dyDescent="0.25">
      <c r="I33" s="32"/>
      <c r="J33" s="32"/>
    </row>
    <row r="34" spans="1:16" x14ac:dyDescent="0.25">
      <c r="A34" s="12" t="s">
        <v>12</v>
      </c>
      <c r="B34" s="13"/>
      <c r="C34" s="13"/>
      <c r="D34" s="51"/>
      <c r="E34" s="51"/>
      <c r="F34" s="51"/>
      <c r="G34" s="87"/>
      <c r="H34" s="87"/>
      <c r="I34" s="87"/>
      <c r="J34" s="87"/>
      <c r="K34" s="13"/>
      <c r="L34" s="13"/>
      <c r="M34" s="13"/>
      <c r="N34" s="13"/>
    </row>
    <row r="35" spans="1:16" x14ac:dyDescent="0.25">
      <c r="A35" s="13" t="s">
        <v>64</v>
      </c>
      <c r="B35" s="14">
        <f>B19/B30</f>
        <v>2106061899.9343295</v>
      </c>
      <c r="C35" s="50">
        <f>C19/C30</f>
        <v>712032760.83565927</v>
      </c>
      <c r="D35" s="50"/>
      <c r="E35" s="50"/>
      <c r="F35" s="50">
        <f>F19/F30</f>
        <v>1151828779.3465769</v>
      </c>
      <c r="G35" s="50"/>
      <c r="H35" s="50"/>
      <c r="I35" s="50"/>
      <c r="J35" s="50"/>
      <c r="K35" s="14">
        <f>K19/K30</f>
        <v>181722400.67312428</v>
      </c>
      <c r="L35" s="14">
        <f>L19/L30</f>
        <v>60477959.078968979</v>
      </c>
      <c r="M35" s="14">
        <f t="shared" ref="M35:P35" si="5">M19/M30</f>
        <v>0</v>
      </c>
      <c r="N35" s="14">
        <f t="shared" si="5"/>
        <v>0</v>
      </c>
      <c r="O35" s="14">
        <f t="shared" si="5"/>
        <v>0</v>
      </c>
      <c r="P35" s="14">
        <f t="shared" si="5"/>
        <v>0</v>
      </c>
    </row>
    <row r="36" spans="1:16" x14ac:dyDescent="0.25">
      <c r="A36" s="13" t="s">
        <v>109</v>
      </c>
      <c r="B36" s="14">
        <f>B21/B31</f>
        <v>2098066108.0935674</v>
      </c>
      <c r="C36" s="50">
        <f>C21/C31</f>
        <v>661708201.16959071</v>
      </c>
      <c r="D36" s="50"/>
      <c r="E36" s="50"/>
      <c r="F36" s="50">
        <f>F21/F31</f>
        <v>1064422491.2280701</v>
      </c>
      <c r="G36" s="50"/>
      <c r="H36" s="50"/>
      <c r="I36" s="50"/>
      <c r="J36" s="50"/>
      <c r="K36" s="14">
        <f>K21/K31</f>
        <v>265124554.877193</v>
      </c>
      <c r="L36" s="14">
        <f>L21/L31</f>
        <v>106810860.81871346</v>
      </c>
      <c r="M36" s="14">
        <f t="shared" ref="M36:P36" si="6">M21/M31</f>
        <v>0</v>
      </c>
      <c r="N36" s="14">
        <f t="shared" si="6"/>
        <v>0</v>
      </c>
      <c r="O36" s="14">
        <f t="shared" si="6"/>
        <v>0</v>
      </c>
      <c r="P36" s="14">
        <f t="shared" si="6"/>
        <v>0</v>
      </c>
    </row>
    <row r="37" spans="1:16" x14ac:dyDescent="0.25">
      <c r="A37" s="13" t="s">
        <v>65</v>
      </c>
      <c r="B37" s="14">
        <f>B35/B10</f>
        <v>16099.17518945657</v>
      </c>
      <c r="C37" s="50">
        <f>C35/C10</f>
        <v>21968.861214885663</v>
      </c>
      <c r="D37" s="50"/>
      <c r="E37" s="50"/>
      <c r="F37" s="50">
        <f>F35/F10</f>
        <v>8991.4270496910831</v>
      </c>
      <c r="G37" s="50"/>
      <c r="H37" s="50"/>
      <c r="I37" s="50"/>
      <c r="J37" s="50"/>
      <c r="K37" s="14">
        <f>K35/K10</f>
        <v>25882.694868697377</v>
      </c>
      <c r="L37" s="14">
        <f>L35/L10</f>
        <v>60904.289102687791</v>
      </c>
      <c r="M37" s="14" t="e">
        <f t="shared" ref="M37:P37" si="7">M35/M10</f>
        <v>#DIV/0!</v>
      </c>
      <c r="N37" s="14" t="e">
        <f t="shared" si="7"/>
        <v>#DIV/0!</v>
      </c>
      <c r="O37" s="14" t="e">
        <f t="shared" si="7"/>
        <v>#DIV/0!</v>
      </c>
      <c r="P37" s="14" t="e">
        <f t="shared" si="7"/>
        <v>#DIV/0!</v>
      </c>
    </row>
    <row r="38" spans="1:16" x14ac:dyDescent="0.25">
      <c r="A38" s="13" t="s">
        <v>110</v>
      </c>
      <c r="B38" s="14">
        <f>B36/B14</f>
        <v>16401.007700675935</v>
      </c>
      <c r="C38" s="50">
        <f>C36/C14</f>
        <v>19713.253262251954</v>
      </c>
      <c r="D38" s="50"/>
      <c r="E38" s="50"/>
      <c r="F38" s="50">
        <f>F36/F14</f>
        <v>8433.7190396037586</v>
      </c>
      <c r="G38" s="50"/>
      <c r="H38" s="50"/>
      <c r="I38" s="50"/>
      <c r="J38" s="50"/>
      <c r="K38" s="34">
        <f>K36/K14</f>
        <v>29034.593875723844</v>
      </c>
      <c r="L38" s="34">
        <f>L36/L14</f>
        <v>60757.031182430859</v>
      </c>
      <c r="M38" s="34" t="e">
        <f t="shared" ref="M38:P38" si="8">M36/M14</f>
        <v>#DIV/0!</v>
      </c>
      <c r="N38" s="34" t="e">
        <f t="shared" si="8"/>
        <v>#DIV/0!</v>
      </c>
      <c r="O38" s="34" t="e">
        <f t="shared" si="8"/>
        <v>#DIV/0!</v>
      </c>
      <c r="P38" s="34" t="e">
        <f t="shared" si="8"/>
        <v>#DIV/0!</v>
      </c>
    </row>
    <row r="39" spans="1:16" x14ac:dyDescent="0.25">
      <c r="I39" s="32"/>
      <c r="J39" s="32"/>
    </row>
    <row r="40" spans="1:16" x14ac:dyDescent="0.25">
      <c r="A40" s="2" t="s">
        <v>13</v>
      </c>
      <c r="I40" s="32"/>
      <c r="J40" s="32"/>
    </row>
    <row r="41" spans="1:16" x14ac:dyDescent="0.25">
      <c r="I41" s="32"/>
      <c r="J41" s="32"/>
    </row>
    <row r="42" spans="1:16" x14ac:dyDescent="0.25">
      <c r="A42" t="s">
        <v>14</v>
      </c>
      <c r="I42" s="32"/>
      <c r="J42" s="32"/>
    </row>
    <row r="43" spans="1:16" x14ac:dyDescent="0.25">
      <c r="A43" t="s">
        <v>15</v>
      </c>
      <c r="B43" s="17">
        <f>(B13/B32)*100</f>
        <v>113.00421895987549</v>
      </c>
      <c r="C43" s="17">
        <f t="shared" ref="C43:N43" si="9">(C13/C32)*100</f>
        <v>27.654601506517789</v>
      </c>
      <c r="D43" s="17">
        <f t="shared" si="9"/>
        <v>21.114917839750529</v>
      </c>
      <c r="E43" s="17">
        <f t="shared" si="9"/>
        <v>6.5396836667672584</v>
      </c>
      <c r="F43" s="17">
        <f t="shared" si="9"/>
        <v>119.21076456073705</v>
      </c>
      <c r="G43" s="17">
        <f t="shared" si="9"/>
        <v>91.889301120124969</v>
      </c>
      <c r="H43" s="17">
        <f t="shared" si="9"/>
        <v>4.4325706069266682</v>
      </c>
      <c r="I43" s="17">
        <f t="shared" si="9"/>
        <v>22.888892833685407</v>
      </c>
      <c r="J43" s="17">
        <f t="shared" si="9"/>
        <v>24.801626045124529</v>
      </c>
      <c r="K43" s="17">
        <f t="shared" si="9"/>
        <v>8.345907372232972</v>
      </c>
      <c r="L43" s="17">
        <f t="shared" si="9"/>
        <v>3.481973266114001</v>
      </c>
      <c r="M43" s="17">
        <f t="shared" si="9"/>
        <v>0</v>
      </c>
      <c r="N43" s="17">
        <f t="shared" si="9"/>
        <v>0</v>
      </c>
    </row>
    <row r="44" spans="1:16" x14ac:dyDescent="0.25">
      <c r="A44" t="s">
        <v>16</v>
      </c>
      <c r="B44" s="17">
        <f>(B15/B32)*100</f>
        <v>91.808531411428476</v>
      </c>
      <c r="C44" s="17">
        <f t="shared" ref="C44:N44" si="10">(C15/C32)*100</f>
        <v>23.404576358439989</v>
      </c>
      <c r="D44" s="17">
        <f t="shared" si="10"/>
        <v>17.094775708732005</v>
      </c>
      <c r="E44" s="17">
        <f t="shared" si="10"/>
        <v>6.3098006497079862</v>
      </c>
      <c r="F44" s="17">
        <f t="shared" si="10"/>
        <v>96.676903413629674</v>
      </c>
      <c r="G44" s="17">
        <f t="shared" si="10"/>
        <v>74.71375570269646</v>
      </c>
      <c r="H44" s="17">
        <f t="shared" si="10"/>
        <v>3.5893703513038542</v>
      </c>
      <c r="I44" s="17">
        <f t="shared" si="10"/>
        <v>18.373777359629347</v>
      </c>
      <c r="J44" s="17">
        <f t="shared" si="10"/>
        <v>23.69836507908331</v>
      </c>
      <c r="K44" s="17">
        <f t="shared" si="10"/>
        <v>8.1047816850987289</v>
      </c>
      <c r="L44" s="17">
        <f t="shared" si="10"/>
        <v>1.560364262510429</v>
      </c>
      <c r="M44" s="17">
        <f t="shared" si="10"/>
        <v>0</v>
      </c>
      <c r="N44" s="17">
        <f t="shared" si="10"/>
        <v>0</v>
      </c>
    </row>
    <row r="45" spans="1:16" x14ac:dyDescent="0.25">
      <c r="I45" s="32"/>
      <c r="J45" s="32"/>
    </row>
    <row r="46" spans="1:16" x14ac:dyDescent="0.25">
      <c r="A46" t="s">
        <v>17</v>
      </c>
      <c r="I46" s="32"/>
      <c r="J46" s="32"/>
    </row>
    <row r="47" spans="1:16" x14ac:dyDescent="0.25">
      <c r="A47" t="s">
        <v>18</v>
      </c>
      <c r="B47" s="15">
        <f>B14/B12*100</f>
        <v>95.042906497269584</v>
      </c>
      <c r="C47" s="15">
        <f t="shared" ref="C47:N47" si="11">C14/C12*100</f>
        <v>87.33359351285722</v>
      </c>
      <c r="D47" s="15">
        <f t="shared" si="11"/>
        <v>85.163249321359217</v>
      </c>
      <c r="E47" s="15">
        <f t="shared" si="11"/>
        <v>96.484799131378935</v>
      </c>
      <c r="F47" s="15">
        <f t="shared" si="11"/>
        <v>93.969423969423971</v>
      </c>
      <c r="G47" s="15">
        <f t="shared" si="11"/>
        <v>98.007624346392603</v>
      </c>
      <c r="H47" s="15">
        <f t="shared" si="11"/>
        <v>80.977172607128551</v>
      </c>
      <c r="I47" s="15">
        <f t="shared" si="11"/>
        <v>80.273770746083457</v>
      </c>
      <c r="J47" s="15">
        <f t="shared" si="11"/>
        <v>95.551658733851056</v>
      </c>
      <c r="K47" s="15">
        <f t="shared" si="11"/>
        <v>97.110851146797131</v>
      </c>
      <c r="L47" s="15">
        <f t="shared" si="11"/>
        <v>44.812643385164414</v>
      </c>
      <c r="M47" s="15" t="e">
        <f t="shared" si="11"/>
        <v>#DIV/0!</v>
      </c>
      <c r="N47" s="15" t="e">
        <f t="shared" si="11"/>
        <v>#DIV/0!</v>
      </c>
    </row>
    <row r="48" spans="1:16" x14ac:dyDescent="0.25">
      <c r="A48" t="s">
        <v>19</v>
      </c>
      <c r="B48" s="15">
        <f>B21/B20*100</f>
        <v>70.749263050793274</v>
      </c>
      <c r="C48" s="15">
        <f>C21/C20*100</f>
        <v>77.810524722148358</v>
      </c>
      <c r="D48" s="15"/>
      <c r="E48" s="15"/>
      <c r="F48" s="58">
        <f>F21/F20*100</f>
        <v>96.752958920773565</v>
      </c>
      <c r="G48" s="58"/>
      <c r="H48" s="58"/>
      <c r="I48" s="58"/>
      <c r="J48" s="58"/>
      <c r="K48" s="15">
        <f>K21/K20*100</f>
        <v>60.04477751752718</v>
      </c>
      <c r="L48" s="15">
        <f>L21/L20*100</f>
        <v>30.826011258768478</v>
      </c>
      <c r="M48" s="15">
        <f t="shared" ref="M48:N48" si="12">M21/M20*100</f>
        <v>0</v>
      </c>
      <c r="N48" s="15" t="e">
        <f t="shared" si="12"/>
        <v>#DIV/0!</v>
      </c>
    </row>
    <row r="49" spans="1:14" x14ac:dyDescent="0.25">
      <c r="A49" s="13" t="s">
        <v>20</v>
      </c>
      <c r="B49" s="16">
        <f>AVERAGE(B47:B48)</f>
        <v>82.896084774031436</v>
      </c>
      <c r="C49" s="16">
        <f t="shared" ref="C49:N49" si="13">AVERAGE(C47:C48)</f>
        <v>82.572059117502789</v>
      </c>
      <c r="D49" s="16"/>
      <c r="E49" s="16"/>
      <c r="F49" s="59">
        <f>AVERAGE(F47:F48)</f>
        <v>95.361191445098768</v>
      </c>
      <c r="G49" s="59"/>
      <c r="H49" s="59"/>
      <c r="I49" s="59"/>
      <c r="J49" s="59"/>
      <c r="K49" s="16">
        <f t="shared" si="13"/>
        <v>78.577814332162149</v>
      </c>
      <c r="L49" s="16">
        <f t="shared" si="13"/>
        <v>37.819327321966448</v>
      </c>
      <c r="M49" s="16" t="e">
        <f t="shared" si="13"/>
        <v>#DIV/0!</v>
      </c>
      <c r="N49" s="16" t="e">
        <f t="shared" si="13"/>
        <v>#DIV/0!</v>
      </c>
    </row>
    <row r="50" spans="1:14" x14ac:dyDescent="0.25">
      <c r="B50" s="15"/>
      <c r="C50" s="15"/>
      <c r="D50" s="15"/>
      <c r="E50" s="15"/>
      <c r="F50" s="15"/>
      <c r="G50" s="15"/>
      <c r="H50" s="15"/>
      <c r="I50" s="15"/>
      <c r="J50" s="15"/>
      <c r="K50" s="15"/>
      <c r="L50" s="15"/>
    </row>
    <row r="51" spans="1:14" x14ac:dyDescent="0.25">
      <c r="A51" t="s">
        <v>21</v>
      </c>
    </row>
    <row r="52" spans="1:14" x14ac:dyDescent="0.25">
      <c r="A52" t="s">
        <v>22</v>
      </c>
      <c r="B52" s="15">
        <f>((B14/B16)*100)</f>
        <v>95.903648781365504</v>
      </c>
      <c r="C52" s="15">
        <f t="shared" ref="C52:N52" si="14">((C14/C16)*100)</f>
        <v>80.803703971177072</v>
      </c>
      <c r="D52" s="15">
        <f t="shared" si="14"/>
        <v>77.422721641842003</v>
      </c>
      <c r="E52" s="15">
        <f t="shared" si="14"/>
        <v>96.484799131378935</v>
      </c>
      <c r="F52" s="15">
        <f t="shared" si="14"/>
        <v>94.842218114232182</v>
      </c>
      <c r="G52" s="15">
        <f t="shared" si="14"/>
        <v>102.26916900168659</v>
      </c>
      <c r="H52" s="15">
        <f t="shared" si="14"/>
        <v>73.607571896614488</v>
      </c>
      <c r="I52" s="15">
        <f t="shared" si="14"/>
        <v>72.978213354015381</v>
      </c>
      <c r="J52" s="15">
        <f t="shared" si="14"/>
        <v>86.865992126752772</v>
      </c>
      <c r="K52" s="15">
        <f t="shared" si="14"/>
        <v>97.110851146797131</v>
      </c>
      <c r="L52" s="15">
        <f t="shared" si="14"/>
        <v>48.887652947719687</v>
      </c>
      <c r="M52" s="15" t="e">
        <f t="shared" si="14"/>
        <v>#DIV/0!</v>
      </c>
      <c r="N52" s="15" t="e">
        <f t="shared" si="14"/>
        <v>#DIV/0!</v>
      </c>
    </row>
    <row r="53" spans="1:14" x14ac:dyDescent="0.25">
      <c r="A53" t="s">
        <v>23</v>
      </c>
      <c r="B53" s="15">
        <f>B21/B22*100</f>
        <v>18.260267293089701</v>
      </c>
      <c r="C53" s="15">
        <f>C21/C22*100</f>
        <v>17.70262607062093</v>
      </c>
      <c r="D53" s="15"/>
      <c r="E53" s="15"/>
      <c r="F53" s="15">
        <f>F21/F22*100</f>
        <v>24.623044794700721</v>
      </c>
      <c r="G53" s="15"/>
      <c r="H53" s="15"/>
      <c r="I53" s="15"/>
      <c r="J53" s="15"/>
      <c r="K53" s="15">
        <f t="shared" ref="K53:N53" si="15">K21/K22*100</f>
        <v>15.011194379381795</v>
      </c>
      <c r="L53" s="15">
        <f t="shared" si="15"/>
        <v>8.4070939796641309</v>
      </c>
      <c r="M53" s="15">
        <f t="shared" si="15"/>
        <v>0</v>
      </c>
      <c r="N53" s="15">
        <f t="shared" si="15"/>
        <v>0</v>
      </c>
    </row>
    <row r="54" spans="1:14" x14ac:dyDescent="0.25">
      <c r="A54" t="s">
        <v>24</v>
      </c>
      <c r="B54" s="15">
        <f>(B52+B53)/2</f>
        <v>57.081958037227601</v>
      </c>
      <c r="C54" s="15">
        <f t="shared" ref="C54:N54" si="16">(C52+C53)/2</f>
        <v>49.253165020899004</v>
      </c>
      <c r="D54" s="15"/>
      <c r="E54" s="15"/>
      <c r="F54" s="15">
        <f t="shared" ref="F54" si="17">(F52+F53)/2</f>
        <v>59.73263145446645</v>
      </c>
      <c r="G54" s="15"/>
      <c r="H54" s="15"/>
      <c r="I54" s="15"/>
      <c r="J54" s="15"/>
      <c r="K54" s="15">
        <f t="shared" si="16"/>
        <v>56.061022763089461</v>
      </c>
      <c r="L54" s="15">
        <f t="shared" si="16"/>
        <v>28.64737346369191</v>
      </c>
      <c r="M54" s="15" t="e">
        <f t="shared" si="16"/>
        <v>#DIV/0!</v>
      </c>
      <c r="N54" s="15" t="e">
        <f t="shared" si="16"/>
        <v>#DIV/0!</v>
      </c>
    </row>
    <row r="55" spans="1:14" x14ac:dyDescent="0.25">
      <c r="B55" s="15"/>
      <c r="C55" s="15"/>
      <c r="D55" s="15"/>
      <c r="E55" s="15"/>
      <c r="F55" s="15"/>
      <c r="G55" s="15"/>
      <c r="H55" s="15"/>
      <c r="I55" s="15"/>
      <c r="J55" s="15"/>
      <c r="K55" s="15"/>
      <c r="L55" s="15"/>
    </row>
    <row r="56" spans="1:14" x14ac:dyDescent="0.25">
      <c r="A56" t="s">
        <v>40</v>
      </c>
    </row>
    <row r="57" spans="1:14" x14ac:dyDescent="0.25">
      <c r="A57" t="s">
        <v>25</v>
      </c>
      <c r="B57" s="15">
        <f>B23/B21*100</f>
        <v>100</v>
      </c>
      <c r="C57" s="15"/>
      <c r="D57" s="15"/>
      <c r="E57" s="15"/>
      <c r="F57" s="15"/>
      <c r="G57" s="15"/>
      <c r="H57" s="15"/>
      <c r="I57" s="15"/>
      <c r="J57" s="15"/>
      <c r="K57" s="15"/>
      <c r="L57" s="15"/>
    </row>
    <row r="59" spans="1:14" x14ac:dyDescent="0.25">
      <c r="A59" t="s">
        <v>26</v>
      </c>
    </row>
    <row r="60" spans="1:14" x14ac:dyDescent="0.25">
      <c r="A60" t="s">
        <v>27</v>
      </c>
      <c r="B60" s="15">
        <f>((B14/B10)-1)*100</f>
        <v>-2.2129982112553348</v>
      </c>
      <c r="C60" s="15">
        <f t="shared" ref="C60:N60" si="18">((C14/C10)-1)*100</f>
        <v>3.5656618637705417</v>
      </c>
      <c r="D60" s="15">
        <f t="shared" si="18"/>
        <v>1.6078446432914673</v>
      </c>
      <c r="E60" s="15">
        <f t="shared" si="18"/>
        <v>11.566227244193339</v>
      </c>
      <c r="F60" s="15">
        <f t="shared" si="18"/>
        <v>-1.4774569422001615</v>
      </c>
      <c r="G60" s="15">
        <f t="shared" si="18"/>
        <v>-3.1625293872499904</v>
      </c>
      <c r="H60" s="15">
        <f t="shared" si="18"/>
        <v>27.289896128423031</v>
      </c>
      <c r="I60" s="15">
        <f t="shared" si="18"/>
        <v>2.749789050478979</v>
      </c>
      <c r="J60" s="15">
        <f t="shared" si="18"/>
        <v>5.1015588096362752</v>
      </c>
      <c r="K60" s="15">
        <f t="shared" si="18"/>
        <v>30.05744670749657</v>
      </c>
      <c r="L60" s="15">
        <f t="shared" si="18"/>
        <v>77.039274924471286</v>
      </c>
      <c r="M60" s="15" t="e">
        <f t="shared" si="18"/>
        <v>#DIV/0!</v>
      </c>
      <c r="N60" s="15" t="e">
        <f t="shared" si="18"/>
        <v>#DIV/0!</v>
      </c>
    </row>
    <row r="61" spans="1:14" x14ac:dyDescent="0.25">
      <c r="A61" t="s">
        <v>28</v>
      </c>
      <c r="B61" s="15">
        <f>((B36/B35)-1)*100</f>
        <v>-0.37965606998595636</v>
      </c>
      <c r="C61" s="15">
        <f t="shared" ref="C61:N61" si="19">((C36/C35)-1)*100</f>
        <v>-7.06773092954408</v>
      </c>
      <c r="D61" s="15"/>
      <c r="E61" s="15"/>
      <c r="F61" s="15">
        <f t="shared" si="19"/>
        <v>-7.5884792675602109</v>
      </c>
      <c r="G61" s="15"/>
      <c r="H61" s="15"/>
      <c r="I61" s="15"/>
      <c r="J61" s="15"/>
      <c r="K61" s="15">
        <f t="shared" si="19"/>
        <v>45.89536231919449</v>
      </c>
      <c r="L61" s="15">
        <f t="shared" si="19"/>
        <v>76.611219104211798</v>
      </c>
      <c r="M61" s="15" t="e">
        <f t="shared" si="19"/>
        <v>#DIV/0!</v>
      </c>
      <c r="N61" s="15" t="e">
        <f t="shared" si="19"/>
        <v>#DIV/0!</v>
      </c>
    </row>
    <row r="62" spans="1:14" x14ac:dyDescent="0.25">
      <c r="A62" s="13" t="s">
        <v>29</v>
      </c>
      <c r="B62" s="16">
        <f>((B38/B37)-1)*100</f>
        <v>1.874832143059324</v>
      </c>
      <c r="C62" s="16">
        <f t="shared" ref="C62:N62" si="20">((C38/C37)-1)*100</f>
        <v>-10.267295744512028</v>
      </c>
      <c r="D62" s="16"/>
      <c r="E62" s="16"/>
      <c r="F62" s="16">
        <f t="shared" si="20"/>
        <v>-6.2026640154577599</v>
      </c>
      <c r="G62" s="16"/>
      <c r="H62" s="16"/>
      <c r="I62" s="16"/>
      <c r="J62" s="16"/>
      <c r="K62" s="16">
        <f t="shared" si="20"/>
        <v>12.17763074137379</v>
      </c>
      <c r="L62" s="16">
        <f t="shared" si="20"/>
        <v>-0.24178579608514772</v>
      </c>
      <c r="M62" s="16" t="e">
        <f t="shared" si="20"/>
        <v>#DIV/0!</v>
      </c>
      <c r="N62" s="16" t="e">
        <f t="shared" si="20"/>
        <v>#DIV/0!</v>
      </c>
    </row>
    <row r="63" spans="1:14" x14ac:dyDescent="0.25">
      <c r="B63" s="17"/>
      <c r="C63" s="17"/>
      <c r="D63" s="17"/>
      <c r="E63" s="17"/>
      <c r="F63" s="17"/>
      <c r="G63" s="17"/>
      <c r="H63" s="17"/>
      <c r="I63" s="17"/>
      <c r="J63" s="17"/>
      <c r="K63" s="17"/>
      <c r="L63" s="17"/>
    </row>
    <row r="64" spans="1:14" x14ac:dyDescent="0.25">
      <c r="A64" t="s">
        <v>30</v>
      </c>
    </row>
    <row r="65" spans="1:14" x14ac:dyDescent="0.25">
      <c r="A65" t="s">
        <v>46</v>
      </c>
      <c r="B65" s="4">
        <f>B20/(B12*3)</f>
        <v>12558.656348621174</v>
      </c>
      <c r="C65" s="4">
        <f>C20/(C12*3)</f>
        <v>12611.772950002169</v>
      </c>
      <c r="D65" s="4"/>
      <c r="E65" s="4"/>
      <c r="F65" s="4">
        <f t="shared" ref="F65" si="21">F20/(F12*3)</f>
        <v>4668.9185062616343</v>
      </c>
      <c r="G65" s="4"/>
      <c r="H65" s="40"/>
      <c r="I65" s="40"/>
      <c r="J65" s="40"/>
      <c r="K65" s="4">
        <f>K20/(K12*3)</f>
        <v>26765.978942890568</v>
      </c>
      <c r="L65" s="4">
        <f>L20/(L12*3)</f>
        <v>50344.801172572013</v>
      </c>
      <c r="M65" s="4" t="e">
        <f t="shared" ref="M65:N65" si="22">M20/(M12*3)</f>
        <v>#DIV/0!</v>
      </c>
      <c r="N65" s="4" t="e">
        <f t="shared" si="22"/>
        <v>#DIV/0!</v>
      </c>
    </row>
    <row r="66" spans="1:14" x14ac:dyDescent="0.25">
      <c r="A66" t="s">
        <v>47</v>
      </c>
      <c r="B66" s="4">
        <f>B21/(B14*3)</f>
        <v>9348.5743893852814</v>
      </c>
      <c r="C66" s="4">
        <f>C21/(C14*3)</f>
        <v>11236.554359483613</v>
      </c>
      <c r="D66" s="4"/>
      <c r="E66" s="44"/>
      <c r="F66" s="4">
        <f>F21/(F14*3)</f>
        <v>4807.2198525741424</v>
      </c>
      <c r="G66" s="40"/>
      <c r="H66" s="40"/>
      <c r="I66" s="40"/>
      <c r="J66" s="40"/>
      <c r="K66" s="4">
        <f>K21/(K14*3)</f>
        <v>16549.718509162591</v>
      </c>
      <c r="L66" s="4">
        <f>L21/(L14*3)</f>
        <v>34631.507773985591</v>
      </c>
      <c r="M66" s="4" t="e">
        <f t="shared" ref="M66:N66" si="23">M21/(M14*3)</f>
        <v>#DIV/0!</v>
      </c>
      <c r="N66" s="4" t="e">
        <f t="shared" si="23"/>
        <v>#DIV/0!</v>
      </c>
    </row>
    <row r="67" spans="1:14" x14ac:dyDescent="0.25">
      <c r="A67" s="13" t="s">
        <v>33</v>
      </c>
      <c r="B67" s="16">
        <f>(B65/B66)*B49</f>
        <v>111.36066291618656</v>
      </c>
      <c r="C67" s="16">
        <f>(C65/C66)*C49</f>
        <v>92.677882230434861</v>
      </c>
      <c r="D67" s="16"/>
      <c r="E67" s="16"/>
      <c r="F67" s="16">
        <f t="shared" ref="F67" si="24">(F65/F66)*F49</f>
        <v>92.6176969582053</v>
      </c>
      <c r="G67" s="59"/>
      <c r="H67" s="59"/>
      <c r="I67" s="59"/>
      <c r="J67" s="59"/>
      <c r="K67" s="16">
        <f>(K65/K66)*K49</f>
        <v>127.0844650698194</v>
      </c>
      <c r="L67" s="16">
        <f>(L65/L66)*L49</f>
        <v>54.979024503665073</v>
      </c>
      <c r="M67" s="16" t="e">
        <f t="shared" ref="M67:N67" si="25">(M65/M66)*M49</f>
        <v>#DIV/0!</v>
      </c>
      <c r="N67" s="16" t="e">
        <f t="shared" si="25"/>
        <v>#DIV/0!</v>
      </c>
    </row>
    <row r="68" spans="1:14" x14ac:dyDescent="0.25">
      <c r="A68" t="s">
        <v>39</v>
      </c>
      <c r="B68" s="30">
        <f>B20/B12</f>
        <v>37675.969045863523</v>
      </c>
      <c r="C68" s="30">
        <f>C20/C12</f>
        <v>37835.318850006508</v>
      </c>
      <c r="D68" s="30"/>
      <c r="E68" s="30"/>
      <c r="F68" s="30">
        <f t="shared" ref="F68" si="26">F20/F12</f>
        <v>14006.755518784901</v>
      </c>
      <c r="G68" s="60"/>
      <c r="H68" s="60"/>
      <c r="I68" s="60"/>
      <c r="J68" s="60"/>
      <c r="K68" s="30">
        <f t="shared" ref="K68:N68" si="27">K20/K12</f>
        <v>80297.936828671707</v>
      </c>
      <c r="L68" s="30">
        <f t="shared" si="27"/>
        <v>151034.40351771604</v>
      </c>
      <c r="M68" s="30" t="e">
        <f t="shared" si="27"/>
        <v>#DIV/0!</v>
      </c>
      <c r="N68" s="30" t="e">
        <f t="shared" si="27"/>
        <v>#DIV/0!</v>
      </c>
    </row>
    <row r="69" spans="1:14" x14ac:dyDescent="0.25">
      <c r="A69" t="s">
        <v>38</v>
      </c>
      <c r="B69" s="17">
        <f>B21/B14</f>
        <v>28045.723168155844</v>
      </c>
      <c r="C69" s="17">
        <f>C21/C14</f>
        <v>33709.663078450838</v>
      </c>
      <c r="D69" s="17"/>
      <c r="E69" s="17"/>
      <c r="F69" s="17">
        <f t="shared" ref="F69" si="28">F21/F14</f>
        <v>14421.659557722427</v>
      </c>
      <c r="G69" s="60"/>
      <c r="H69" s="60"/>
      <c r="I69" s="60"/>
      <c r="J69" s="60"/>
      <c r="K69" s="30">
        <f>K21/K14</f>
        <v>49649.155527487768</v>
      </c>
      <c r="L69" s="30">
        <f>L21/L14</f>
        <v>103894.52332195677</v>
      </c>
      <c r="M69" s="30" t="e">
        <f t="shared" ref="M69:N69" si="29">M21/M14</f>
        <v>#DIV/0!</v>
      </c>
      <c r="N69" s="30" t="e">
        <f t="shared" si="29"/>
        <v>#DIV/0!</v>
      </c>
    </row>
    <row r="70" spans="1:14" x14ac:dyDescent="0.25">
      <c r="B70" s="15"/>
      <c r="C70" s="15"/>
      <c r="D70" s="15"/>
      <c r="E70" s="15"/>
      <c r="F70" s="15"/>
      <c r="G70" s="15"/>
      <c r="H70" s="15"/>
      <c r="I70" s="17"/>
      <c r="J70" s="17"/>
      <c r="K70" s="15"/>
      <c r="L70" s="15"/>
    </row>
    <row r="71" spans="1:14" x14ac:dyDescent="0.25">
      <c r="A71" t="s">
        <v>34</v>
      </c>
      <c r="B71" s="15"/>
      <c r="C71" s="15"/>
      <c r="D71" s="15"/>
      <c r="E71" s="15"/>
      <c r="F71" s="15"/>
      <c r="G71" s="15"/>
      <c r="H71" s="15"/>
      <c r="I71" s="17"/>
      <c r="J71" s="17"/>
      <c r="K71" s="15"/>
      <c r="L71" s="15"/>
    </row>
    <row r="72" spans="1:14" x14ac:dyDescent="0.25">
      <c r="A72" s="18" t="s">
        <v>35</v>
      </c>
      <c r="B72" s="19">
        <f>(B27/B26)*100</f>
        <v>88.123193882843339</v>
      </c>
      <c r="C72" s="19"/>
      <c r="D72" s="19"/>
      <c r="E72" s="19"/>
      <c r="F72" s="19"/>
      <c r="G72" s="19"/>
      <c r="H72" s="19"/>
      <c r="I72" s="19"/>
      <c r="J72" s="19"/>
      <c r="K72" s="19"/>
      <c r="L72" s="19"/>
    </row>
    <row r="73" spans="1:14" x14ac:dyDescent="0.25">
      <c r="A73" s="18" t="s">
        <v>36</v>
      </c>
      <c r="B73" s="19">
        <f>(B21/B27)*100</f>
        <v>80.284497115313258</v>
      </c>
      <c r="C73" s="19"/>
      <c r="D73" s="19"/>
      <c r="E73" s="19"/>
      <c r="F73" s="19"/>
      <c r="G73" s="19"/>
      <c r="H73" s="19"/>
      <c r="I73" s="19"/>
      <c r="J73" s="19"/>
      <c r="K73" s="19"/>
      <c r="L73" s="19"/>
    </row>
    <row r="74" spans="1:14" ht="15.75" thickBot="1" x14ac:dyDescent="0.3">
      <c r="A74" s="20"/>
      <c r="B74" s="20"/>
      <c r="C74" s="20"/>
      <c r="D74" s="20"/>
      <c r="E74" s="20"/>
      <c r="F74" s="20"/>
      <c r="G74" s="20"/>
      <c r="H74" s="20"/>
      <c r="I74" s="49"/>
      <c r="J74" s="49"/>
      <c r="K74" s="20"/>
      <c r="L74" s="20"/>
      <c r="M74" s="20"/>
      <c r="N74" s="20"/>
    </row>
    <row r="75" spans="1:14" ht="15.75" thickTop="1" x14ac:dyDescent="0.25">
      <c r="A75" s="33" t="s">
        <v>94</v>
      </c>
    </row>
    <row r="76" spans="1:14" x14ac:dyDescent="0.25">
      <c r="A76" t="s">
        <v>95</v>
      </c>
    </row>
    <row r="77" spans="1:14" x14ac:dyDescent="0.25">
      <c r="A77" t="s">
        <v>96</v>
      </c>
    </row>
    <row r="78" spans="1:14" x14ac:dyDescent="0.25">
      <c r="A78" t="s">
        <v>79</v>
      </c>
      <c r="B78" s="21"/>
      <c r="C78" s="21"/>
      <c r="D78" s="21"/>
      <c r="E78" s="21"/>
      <c r="F78" s="21"/>
      <c r="G78" s="21"/>
      <c r="H78" s="21"/>
      <c r="I78" s="21"/>
      <c r="J78" s="21"/>
    </row>
    <row r="80" spans="1:14" x14ac:dyDescent="0.25">
      <c r="A80" t="s">
        <v>43</v>
      </c>
    </row>
    <row r="81" spans="1:1" x14ac:dyDescent="0.25">
      <c r="A81" t="s">
        <v>53</v>
      </c>
    </row>
    <row r="82" spans="1:1" x14ac:dyDescent="0.25">
      <c r="A82" t="s">
        <v>134</v>
      </c>
    </row>
    <row r="83" spans="1:1" x14ac:dyDescent="0.25">
      <c r="A83" t="s">
        <v>50</v>
      </c>
    </row>
    <row r="84" spans="1:1" x14ac:dyDescent="0.25">
      <c r="A84" t="s">
        <v>78</v>
      </c>
    </row>
    <row r="86" spans="1:1" x14ac:dyDescent="0.25">
      <c r="A86" t="s">
        <v>135</v>
      </c>
    </row>
    <row r="87" spans="1:1" x14ac:dyDescent="0.25">
      <c r="A87" s="42"/>
    </row>
  </sheetData>
  <mergeCells count="6">
    <mergeCell ref="G34:J34"/>
    <mergeCell ref="A2:K2"/>
    <mergeCell ref="A4:A5"/>
    <mergeCell ref="G5:H5"/>
    <mergeCell ref="D5:E5"/>
    <mergeCell ref="D4:N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8"/>
  <sheetViews>
    <sheetView topLeftCell="C1" zoomScale="70" zoomScaleNormal="70" workbookViewId="0">
      <selection activeCell="Q5" sqref="Q5"/>
    </sheetView>
  </sheetViews>
  <sheetFormatPr baseColWidth="10" defaultColWidth="11.42578125" defaultRowHeight="15" x14ac:dyDescent="0.25"/>
  <cols>
    <col min="1" max="1" width="50.85546875" customWidth="1"/>
    <col min="2" max="3" width="26.7109375" customWidth="1"/>
    <col min="4" max="6" width="15.5703125" customWidth="1"/>
    <col min="7" max="7" width="16.140625" customWidth="1"/>
    <col min="8" max="10" width="14.5703125" customWidth="1"/>
    <col min="11" max="11" width="15.42578125" customWidth="1"/>
    <col min="12" max="12" width="16.42578125" customWidth="1"/>
    <col min="13" max="13" width="18.140625" customWidth="1"/>
    <col min="14" max="14" width="22.7109375" customWidth="1"/>
    <col min="15" max="15" width="23.85546875" customWidth="1"/>
    <col min="16" max="16" width="22.7109375" customWidth="1"/>
  </cols>
  <sheetData>
    <row r="2" spans="1:17" ht="15.75" x14ac:dyDescent="0.25">
      <c r="A2" s="90" t="s">
        <v>111</v>
      </c>
      <c r="B2" s="90"/>
      <c r="C2" s="90"/>
      <c r="D2" s="90"/>
      <c r="E2" s="90"/>
      <c r="F2" s="90"/>
      <c r="G2" s="90"/>
      <c r="H2" s="90"/>
      <c r="I2" s="90"/>
      <c r="J2" s="90"/>
      <c r="K2" s="90"/>
    </row>
    <row r="4" spans="1:17" x14ac:dyDescent="0.25">
      <c r="A4" s="88" t="s">
        <v>0</v>
      </c>
      <c r="B4" s="25" t="s">
        <v>1</v>
      </c>
      <c r="C4" s="25"/>
      <c r="D4" s="95" t="s">
        <v>2</v>
      </c>
      <c r="E4" s="95"/>
      <c r="F4" s="95"/>
      <c r="G4" s="95"/>
      <c r="H4" s="95"/>
      <c r="I4" s="95"/>
      <c r="J4" s="95"/>
      <c r="K4" s="95"/>
      <c r="L4" s="95"/>
      <c r="M4" s="95"/>
      <c r="N4" s="95"/>
      <c r="O4" s="95"/>
      <c r="P4" s="95"/>
    </row>
    <row r="5" spans="1:17" ht="15.75" thickBot="1" x14ac:dyDescent="0.3">
      <c r="A5" s="89"/>
      <c r="B5" s="1" t="s">
        <v>3</v>
      </c>
      <c r="C5" s="57" t="s">
        <v>80</v>
      </c>
      <c r="D5" s="91" t="s">
        <v>4</v>
      </c>
      <c r="E5" s="91"/>
      <c r="F5" s="57" t="s">
        <v>81</v>
      </c>
      <c r="G5" s="91" t="s">
        <v>52</v>
      </c>
      <c r="H5" s="91"/>
      <c r="I5" s="48"/>
      <c r="J5" s="48"/>
      <c r="K5" s="1" t="s">
        <v>5</v>
      </c>
      <c r="L5" s="20" t="s">
        <v>51</v>
      </c>
      <c r="M5" s="20" t="s">
        <v>137</v>
      </c>
      <c r="N5" s="20" t="s">
        <v>138</v>
      </c>
      <c r="O5" s="20" t="s">
        <v>139</v>
      </c>
      <c r="P5" s="20" t="s">
        <v>140</v>
      </c>
      <c r="Q5" s="74"/>
    </row>
    <row r="6" spans="1:17" ht="15.75" thickTop="1" x14ac:dyDescent="0.25">
      <c r="B6" s="36" t="s">
        <v>1</v>
      </c>
      <c r="D6" s="36" t="s">
        <v>48</v>
      </c>
      <c r="E6" s="36" t="s">
        <v>49</v>
      </c>
      <c r="F6" s="36"/>
      <c r="G6" s="36">
        <v>1600</v>
      </c>
      <c r="H6" s="36">
        <v>640</v>
      </c>
      <c r="I6" s="47">
        <v>320</v>
      </c>
      <c r="J6" s="47">
        <v>800</v>
      </c>
      <c r="K6" s="36" t="s">
        <v>5</v>
      </c>
      <c r="M6" s="67" t="s">
        <v>137</v>
      </c>
      <c r="N6" s="67" t="s">
        <v>138</v>
      </c>
      <c r="O6" s="33" t="s">
        <v>139</v>
      </c>
      <c r="P6" s="33" t="s">
        <v>140</v>
      </c>
    </row>
    <row r="7" spans="1:17" x14ac:dyDescent="0.25">
      <c r="A7" s="2" t="s">
        <v>6</v>
      </c>
      <c r="I7" s="32"/>
      <c r="J7" s="32"/>
    </row>
    <row r="8" spans="1:17" x14ac:dyDescent="0.25">
      <c r="I8" s="32"/>
      <c r="J8" s="32"/>
    </row>
    <row r="9" spans="1:17" x14ac:dyDescent="0.25">
      <c r="A9" t="s">
        <v>7</v>
      </c>
      <c r="I9" s="32"/>
      <c r="J9" s="32"/>
      <c r="Q9" s="74"/>
    </row>
    <row r="10" spans="1:17" x14ac:dyDescent="0.25">
      <c r="A10" s="3" t="s">
        <v>66</v>
      </c>
      <c r="B10" s="4">
        <f>+D10+G10</f>
        <v>130334</v>
      </c>
      <c r="C10" s="4">
        <f>+D10+E10</f>
        <v>33652</v>
      </c>
      <c r="D10" s="5">
        <v>26327</v>
      </c>
      <c r="E10" s="4">
        <v>7325</v>
      </c>
      <c r="F10" s="66">
        <f>SUM(G10:I10)</f>
        <v>127723</v>
      </c>
      <c r="G10" s="4">
        <v>104007</v>
      </c>
      <c r="H10" s="80">
        <v>3255</v>
      </c>
      <c r="I10" s="80">
        <v>20461</v>
      </c>
      <c r="J10" s="37">
        <v>25432</v>
      </c>
      <c r="K10" s="4">
        <v>10792</v>
      </c>
      <c r="L10" s="5">
        <v>1283</v>
      </c>
      <c r="M10" s="71">
        <v>0</v>
      </c>
      <c r="N10">
        <v>0</v>
      </c>
      <c r="O10" s="71">
        <v>0</v>
      </c>
      <c r="P10">
        <v>0</v>
      </c>
      <c r="Q10" s="38"/>
    </row>
    <row r="11" spans="1:17" x14ac:dyDescent="0.25">
      <c r="A11" s="26" t="s">
        <v>37</v>
      </c>
      <c r="B11" s="4">
        <f t="shared" ref="B11:B16" si="0">+D11+G11</f>
        <v>105011</v>
      </c>
      <c r="C11" s="4">
        <f t="shared" ref="C11:C16" si="1">+D11+E11</f>
        <v>27191</v>
      </c>
      <c r="D11" s="4">
        <v>19866</v>
      </c>
      <c r="E11" s="4">
        <v>7325</v>
      </c>
      <c r="F11" s="4">
        <f>SUM(G11:I11)</f>
        <v>108861</v>
      </c>
      <c r="G11" s="4">
        <v>85145</v>
      </c>
      <c r="H11" s="80">
        <v>3255</v>
      </c>
      <c r="I11" s="80">
        <v>20461</v>
      </c>
      <c r="J11" s="37">
        <v>25432</v>
      </c>
      <c r="K11" s="4">
        <v>10792</v>
      </c>
      <c r="L11" s="5">
        <v>1283</v>
      </c>
      <c r="M11" s="71">
        <v>0</v>
      </c>
      <c r="N11">
        <v>0</v>
      </c>
      <c r="O11" s="71">
        <v>0</v>
      </c>
      <c r="P11">
        <v>0</v>
      </c>
    </row>
    <row r="12" spans="1:17" x14ac:dyDescent="0.25">
      <c r="A12" s="3" t="s">
        <v>112</v>
      </c>
      <c r="B12" s="4">
        <f t="shared" si="0"/>
        <v>140828</v>
      </c>
      <c r="C12" s="4">
        <f t="shared" si="1"/>
        <v>44668</v>
      </c>
      <c r="D12" s="8">
        <v>37300</v>
      </c>
      <c r="E12" s="24">
        <v>7368</v>
      </c>
      <c r="F12" s="24">
        <f>SUM(G12:I12)</f>
        <v>140466</v>
      </c>
      <c r="G12" s="24">
        <v>103528</v>
      </c>
      <c r="H12" s="24">
        <v>5993</v>
      </c>
      <c r="I12" s="5">
        <v>30945</v>
      </c>
      <c r="J12" s="5">
        <v>33531</v>
      </c>
      <c r="K12" s="4">
        <v>9670</v>
      </c>
      <c r="L12" s="29">
        <v>3923</v>
      </c>
      <c r="M12" s="71">
        <v>0</v>
      </c>
      <c r="N12">
        <v>0</v>
      </c>
      <c r="O12" s="71">
        <v>0</v>
      </c>
      <c r="P12" s="4">
        <v>1000</v>
      </c>
    </row>
    <row r="13" spans="1:17" x14ac:dyDescent="0.25">
      <c r="A13" s="26" t="s">
        <v>37</v>
      </c>
      <c r="B13" s="4">
        <f>+D13+G13</f>
        <v>132075</v>
      </c>
      <c r="C13" s="4">
        <f t="shared" si="1"/>
        <v>35915</v>
      </c>
      <c r="D13" s="8">
        <v>28547</v>
      </c>
      <c r="E13" s="24">
        <v>7368</v>
      </c>
      <c r="F13" s="24">
        <f t="shared" ref="F13:F16" si="2">SUM(G13:I13)</f>
        <v>140466</v>
      </c>
      <c r="G13" s="24">
        <v>103528</v>
      </c>
      <c r="H13" s="24">
        <v>5993</v>
      </c>
      <c r="I13" s="5">
        <v>30945</v>
      </c>
      <c r="J13" s="5">
        <v>33531</v>
      </c>
      <c r="K13" s="4">
        <v>9670</v>
      </c>
      <c r="L13" s="29">
        <v>3923</v>
      </c>
      <c r="M13" s="71">
        <v>0</v>
      </c>
      <c r="N13">
        <v>0</v>
      </c>
      <c r="O13" s="71">
        <v>0</v>
      </c>
      <c r="P13" s="4">
        <v>1000</v>
      </c>
    </row>
    <row r="14" spans="1:17" x14ac:dyDescent="0.25">
      <c r="A14" s="3" t="s">
        <v>113</v>
      </c>
      <c r="B14" s="4">
        <f t="shared" si="0"/>
        <v>126466</v>
      </c>
      <c r="C14" s="4">
        <f t="shared" si="1"/>
        <v>32483</v>
      </c>
      <c r="D14" s="5">
        <v>25999.666666666668</v>
      </c>
      <c r="E14" s="4">
        <v>6483.333333333333</v>
      </c>
      <c r="F14" s="24">
        <f t="shared" si="2"/>
        <v>124835.66666666667</v>
      </c>
      <c r="G14" s="4">
        <v>100466.33333333333</v>
      </c>
      <c r="H14" s="4">
        <v>4091.6666666666665</v>
      </c>
      <c r="I14" s="37">
        <v>20277.666666666668</v>
      </c>
      <c r="J14" s="37">
        <v>26568.666666666668</v>
      </c>
      <c r="K14" s="4">
        <v>9263</v>
      </c>
      <c r="L14" s="5">
        <v>1844</v>
      </c>
      <c r="M14" s="71">
        <v>0</v>
      </c>
      <c r="N14">
        <v>0</v>
      </c>
      <c r="O14" s="71">
        <v>0</v>
      </c>
      <c r="P14">
        <v>0</v>
      </c>
    </row>
    <row r="15" spans="1:17" x14ac:dyDescent="0.25">
      <c r="A15" s="26" t="s">
        <v>37</v>
      </c>
      <c r="B15" s="4">
        <f t="shared" si="0"/>
        <v>101981.66666666667</v>
      </c>
      <c r="C15" s="4">
        <f t="shared" si="1"/>
        <v>25550</v>
      </c>
      <c r="D15" s="5">
        <v>19066.666666666668</v>
      </c>
      <c r="E15" s="4">
        <v>6483.333333333333</v>
      </c>
      <c r="F15" s="24">
        <f t="shared" si="2"/>
        <v>107284.33333333334</v>
      </c>
      <c r="G15" s="4">
        <v>82915</v>
      </c>
      <c r="H15" s="4">
        <v>4091.6666666666665</v>
      </c>
      <c r="I15" s="37">
        <v>20277.666666666668</v>
      </c>
      <c r="J15" s="37">
        <v>26568.666666666668</v>
      </c>
      <c r="K15" s="4">
        <v>9263</v>
      </c>
      <c r="L15" s="5">
        <v>1844</v>
      </c>
      <c r="M15" s="71">
        <v>0</v>
      </c>
      <c r="N15">
        <v>0</v>
      </c>
      <c r="O15" s="71">
        <v>0</v>
      </c>
      <c r="P15">
        <v>0</v>
      </c>
    </row>
    <row r="16" spans="1:17" x14ac:dyDescent="0.25">
      <c r="A16" s="3" t="s">
        <v>89</v>
      </c>
      <c r="B16" s="4">
        <f t="shared" si="0"/>
        <v>133392</v>
      </c>
      <c r="C16" s="4">
        <f t="shared" si="1"/>
        <v>41546</v>
      </c>
      <c r="D16" s="4">
        <v>34178</v>
      </c>
      <c r="E16" s="4">
        <v>7368</v>
      </c>
      <c r="F16" s="24">
        <f t="shared" si="2"/>
        <v>133074</v>
      </c>
      <c r="G16" s="75">
        <v>99214</v>
      </c>
      <c r="H16" s="4">
        <v>5494</v>
      </c>
      <c r="I16" s="5">
        <v>28366</v>
      </c>
      <c r="J16" s="5">
        <v>30737</v>
      </c>
      <c r="K16" s="4">
        <v>9403</v>
      </c>
      <c r="L16" s="5">
        <v>3596</v>
      </c>
      <c r="M16" s="81">
        <v>0</v>
      </c>
      <c r="N16" s="5">
        <v>0</v>
      </c>
      <c r="O16" s="75">
        <v>0</v>
      </c>
      <c r="P16" s="4">
        <v>1000</v>
      </c>
    </row>
    <row r="17" spans="1:17" x14ac:dyDescent="0.25">
      <c r="G17" s="38"/>
      <c r="I17" s="5"/>
      <c r="J17" s="5"/>
    </row>
    <row r="18" spans="1:17" x14ac:dyDescent="0.25">
      <c r="A18" s="6" t="s">
        <v>8</v>
      </c>
      <c r="I18" s="37"/>
      <c r="J18" s="37"/>
    </row>
    <row r="19" spans="1:17" x14ac:dyDescent="0.25">
      <c r="A19" s="3" t="s">
        <v>66</v>
      </c>
      <c r="B19" s="4">
        <f>C19+F19+K19+L19+M19+N19+O19</f>
        <v>5013884287</v>
      </c>
      <c r="C19" s="44">
        <v>1018878246</v>
      </c>
      <c r="D19" s="44"/>
      <c r="E19" s="44"/>
      <c r="F19" s="44">
        <v>2927860656</v>
      </c>
      <c r="G19" s="44"/>
      <c r="H19" s="44"/>
      <c r="I19" s="44"/>
      <c r="J19" s="44"/>
      <c r="K19" s="5">
        <v>962474090</v>
      </c>
      <c r="L19" s="5">
        <v>104671295</v>
      </c>
      <c r="M19">
        <v>0</v>
      </c>
      <c r="N19" s="5">
        <v>0</v>
      </c>
      <c r="O19" s="5">
        <v>0</v>
      </c>
      <c r="P19" s="5">
        <v>0</v>
      </c>
    </row>
    <row r="20" spans="1:17" x14ac:dyDescent="0.25">
      <c r="A20" s="61" t="s">
        <v>112</v>
      </c>
      <c r="B20" s="4">
        <f t="shared" ref="B20:B22" si="3">C20+F20+K20+L20+M20+N20+O20</f>
        <v>5129307637.8959999</v>
      </c>
      <c r="C20" s="4">
        <f>+D20+E20</f>
        <v>1746746982</v>
      </c>
      <c r="D20" s="40">
        <v>1730279502</v>
      </c>
      <c r="E20" s="40">
        <v>16467480</v>
      </c>
      <c r="F20" s="78">
        <v>1735011190.8960004</v>
      </c>
      <c r="G20" s="44"/>
      <c r="H20" s="44"/>
      <c r="I20" s="44"/>
      <c r="J20" s="44"/>
      <c r="K20" s="4">
        <v>755041500</v>
      </c>
      <c r="L20" s="5">
        <v>592507965</v>
      </c>
      <c r="M20">
        <v>0</v>
      </c>
      <c r="N20" s="5">
        <v>0</v>
      </c>
      <c r="O20" s="5">
        <v>300000000</v>
      </c>
      <c r="P20" s="5">
        <v>210000000</v>
      </c>
      <c r="Q20" s="74"/>
    </row>
    <row r="21" spans="1:17" x14ac:dyDescent="0.25">
      <c r="A21" s="3" t="s">
        <v>113</v>
      </c>
      <c r="B21" s="4">
        <f t="shared" si="3"/>
        <v>5399110455.2200003</v>
      </c>
      <c r="C21" s="44">
        <v>1259613671</v>
      </c>
      <c r="D21" s="44"/>
      <c r="E21" s="44"/>
      <c r="F21" s="44">
        <v>2439060720</v>
      </c>
      <c r="G21" s="44"/>
      <c r="H21" s="44"/>
      <c r="I21" s="44"/>
      <c r="J21" s="44"/>
      <c r="K21" s="5">
        <v>1290302203.22</v>
      </c>
      <c r="L21" s="5">
        <v>163225786</v>
      </c>
      <c r="M21" s="4">
        <v>246908075</v>
      </c>
      <c r="N21" s="5">
        <v>0</v>
      </c>
      <c r="O21" s="5">
        <v>0</v>
      </c>
      <c r="P21" s="5">
        <v>0</v>
      </c>
    </row>
    <row r="22" spans="1:17" x14ac:dyDescent="0.25">
      <c r="A22" s="3" t="s">
        <v>89</v>
      </c>
      <c r="B22" s="4">
        <f t="shared" si="3"/>
        <v>18733424090.292</v>
      </c>
      <c r="C22" s="4">
        <f>+D22+E22</f>
        <v>6396844622</v>
      </c>
      <c r="D22" s="40">
        <v>6330974702</v>
      </c>
      <c r="E22" s="40">
        <v>65869920</v>
      </c>
      <c r="F22" s="40">
        <v>7182109607.7919998</v>
      </c>
      <c r="G22" s="40"/>
      <c r="H22" s="40"/>
      <c r="I22" s="40"/>
      <c r="J22" s="40"/>
      <c r="K22" s="4">
        <v>3020166000</v>
      </c>
      <c r="L22" s="5">
        <v>1163396003</v>
      </c>
      <c r="M22" s="4">
        <v>640907857.5</v>
      </c>
      <c r="N22" s="5">
        <v>30000000</v>
      </c>
      <c r="O22" s="5">
        <v>300000000</v>
      </c>
      <c r="P22" s="5">
        <v>210000000</v>
      </c>
    </row>
    <row r="23" spans="1:17" x14ac:dyDescent="0.25">
      <c r="A23" s="3" t="s">
        <v>114</v>
      </c>
      <c r="B23" s="66">
        <f>C23+F23+K23+L23+N23+O23+P23</f>
        <v>5152202380.2200003</v>
      </c>
      <c r="C23" s="4">
        <f>C21</f>
        <v>1259613671</v>
      </c>
      <c r="D23" s="40"/>
      <c r="E23" s="40"/>
      <c r="F23" s="40">
        <f>F21</f>
        <v>2439060720</v>
      </c>
      <c r="G23" s="40"/>
      <c r="H23" s="40"/>
      <c r="I23" s="40"/>
      <c r="J23" s="40"/>
      <c r="K23" s="4">
        <f t="shared" ref="K23:P23" si="4">K21</f>
        <v>1290302203.22</v>
      </c>
      <c r="L23" s="4">
        <f t="shared" si="4"/>
        <v>163225786</v>
      </c>
      <c r="M23" s="66">
        <f t="shared" si="4"/>
        <v>246908075</v>
      </c>
      <c r="N23" s="66">
        <f t="shared" si="4"/>
        <v>0</v>
      </c>
      <c r="O23" s="66">
        <f t="shared" si="4"/>
        <v>0</v>
      </c>
      <c r="P23" s="66">
        <f t="shared" si="4"/>
        <v>0</v>
      </c>
      <c r="Q23" s="74"/>
    </row>
    <row r="24" spans="1:17" x14ac:dyDescent="0.25">
      <c r="B24" s="4"/>
      <c r="C24" s="4"/>
      <c r="D24" s="4"/>
      <c r="E24" s="4"/>
      <c r="F24" s="4"/>
      <c r="G24" s="4"/>
      <c r="H24" s="4"/>
      <c r="I24" s="5"/>
      <c r="J24" s="5"/>
      <c r="K24" s="4"/>
      <c r="O24" s="24"/>
    </row>
    <row r="25" spans="1:17" x14ac:dyDescent="0.25">
      <c r="A25" s="7" t="s">
        <v>9</v>
      </c>
      <c r="B25" s="8"/>
      <c r="C25" s="8"/>
      <c r="D25" s="8"/>
      <c r="E25" s="8"/>
      <c r="F25" s="8"/>
      <c r="G25" s="8"/>
      <c r="H25" s="8"/>
      <c r="I25" s="8"/>
      <c r="J25" s="8"/>
      <c r="K25" s="8"/>
      <c r="L25" s="8"/>
    </row>
    <row r="26" spans="1:17" x14ac:dyDescent="0.25">
      <c r="A26" s="9" t="s">
        <v>112</v>
      </c>
      <c r="B26" s="8">
        <f>B20</f>
        <v>5129307637.8959999</v>
      </c>
      <c r="C26" s="8"/>
      <c r="D26" s="8"/>
      <c r="E26" s="8"/>
      <c r="F26" s="8"/>
      <c r="G26" s="8"/>
      <c r="H26" s="8"/>
      <c r="I26" s="8"/>
      <c r="J26" s="8"/>
      <c r="K26" s="8"/>
      <c r="L26" s="8"/>
    </row>
    <row r="27" spans="1:17" x14ac:dyDescent="0.25">
      <c r="A27" s="9" t="s">
        <v>113</v>
      </c>
      <c r="B27" s="31">
        <v>4220591780.5999999</v>
      </c>
      <c r="C27" s="31"/>
      <c r="D27" s="28"/>
      <c r="E27" s="28"/>
      <c r="F27" s="28"/>
      <c r="G27" s="8"/>
      <c r="H27" s="8"/>
      <c r="I27" s="8"/>
      <c r="J27" s="8"/>
      <c r="K27" s="8"/>
      <c r="L27" s="8"/>
    </row>
    <row r="28" spans="1:17" x14ac:dyDescent="0.25">
      <c r="D28" s="29"/>
      <c r="I28" s="32"/>
      <c r="J28" s="32"/>
    </row>
    <row r="29" spans="1:17" x14ac:dyDescent="0.25">
      <c r="A29" t="s">
        <v>10</v>
      </c>
      <c r="I29" s="32"/>
      <c r="J29" s="32"/>
    </row>
    <row r="30" spans="1:17" x14ac:dyDescent="0.25">
      <c r="A30" s="10" t="s">
        <v>67</v>
      </c>
      <c r="B30" s="11">
        <v>1.6181333333333334</v>
      </c>
      <c r="C30" s="11">
        <v>1.6181333333333334</v>
      </c>
      <c r="D30" s="11">
        <v>1.6181333333333334</v>
      </c>
      <c r="E30" s="11">
        <v>1.6181333333333334</v>
      </c>
      <c r="F30" s="11">
        <v>1.6181333333333334</v>
      </c>
      <c r="G30" s="11">
        <v>1.6181333333333334</v>
      </c>
      <c r="H30" s="11">
        <v>1.6181333333333334</v>
      </c>
      <c r="I30" s="11">
        <v>1.6181333333333334</v>
      </c>
      <c r="J30" s="11">
        <v>1.6181333333333334</v>
      </c>
      <c r="K30" s="11">
        <v>1.6181333333333334</v>
      </c>
      <c r="L30" s="11">
        <v>1.6181333333333334</v>
      </c>
      <c r="M30" s="11">
        <v>1.6181333333333334</v>
      </c>
      <c r="N30" s="11">
        <v>1.6181333333333334</v>
      </c>
      <c r="O30" s="11">
        <v>1.6181333333333334</v>
      </c>
      <c r="P30" s="11">
        <v>1.6181333333333334</v>
      </c>
    </row>
    <row r="31" spans="1:17" x14ac:dyDescent="0.25">
      <c r="A31" s="10" t="s">
        <v>115</v>
      </c>
      <c r="B31">
        <v>1.71</v>
      </c>
      <c r="C31">
        <v>1.71</v>
      </c>
      <c r="D31">
        <v>1.71</v>
      </c>
      <c r="E31">
        <v>1.71</v>
      </c>
      <c r="F31">
        <v>1.71</v>
      </c>
      <c r="G31">
        <v>1.71</v>
      </c>
      <c r="H31">
        <v>1.71</v>
      </c>
      <c r="I31">
        <v>1.71</v>
      </c>
      <c r="J31">
        <v>1.71</v>
      </c>
      <c r="K31">
        <v>1.71</v>
      </c>
      <c r="L31">
        <v>1.71</v>
      </c>
      <c r="M31">
        <v>1.71</v>
      </c>
      <c r="N31">
        <v>1.71</v>
      </c>
      <c r="O31">
        <v>1.71</v>
      </c>
      <c r="P31">
        <v>1.71</v>
      </c>
    </row>
    <row r="32" spans="1:17" x14ac:dyDescent="0.25">
      <c r="A32" s="3" t="s">
        <v>11</v>
      </c>
      <c r="B32" s="4">
        <v>112666</v>
      </c>
      <c r="C32" s="4">
        <v>112666</v>
      </c>
      <c r="D32" s="4">
        <v>112666</v>
      </c>
      <c r="E32" s="4">
        <v>112666</v>
      </c>
      <c r="F32" s="4">
        <v>112666</v>
      </c>
      <c r="G32" s="4">
        <v>112666</v>
      </c>
      <c r="H32" s="4">
        <v>112666</v>
      </c>
      <c r="I32" s="4">
        <v>112666</v>
      </c>
      <c r="J32" s="4">
        <v>112666</v>
      </c>
      <c r="K32" s="4">
        <v>112666</v>
      </c>
      <c r="L32" s="4">
        <v>112666</v>
      </c>
      <c r="M32" s="4">
        <v>112666</v>
      </c>
      <c r="N32" s="4">
        <v>112666</v>
      </c>
      <c r="O32" s="4">
        <v>112666</v>
      </c>
      <c r="P32" s="4">
        <v>112666</v>
      </c>
    </row>
    <row r="33" spans="1:16" x14ac:dyDescent="0.25">
      <c r="I33" s="32"/>
      <c r="J33" s="32"/>
    </row>
    <row r="34" spans="1:16" x14ac:dyDescent="0.25">
      <c r="A34" s="12" t="s">
        <v>12</v>
      </c>
      <c r="B34" s="13"/>
      <c r="C34" s="13"/>
      <c r="D34" s="51"/>
      <c r="E34" s="51"/>
      <c r="F34" s="51"/>
      <c r="G34" s="87"/>
      <c r="H34" s="87"/>
      <c r="I34" s="87"/>
      <c r="J34" s="87"/>
      <c r="K34" s="13"/>
      <c r="L34" s="13"/>
      <c r="M34" s="13"/>
      <c r="N34" s="13"/>
      <c r="O34" s="13"/>
      <c r="P34" s="13"/>
    </row>
    <row r="35" spans="1:16" x14ac:dyDescent="0.25">
      <c r="A35" s="13" t="s">
        <v>68</v>
      </c>
      <c r="B35" s="14">
        <f>B19/B30</f>
        <v>3098560658.577785</v>
      </c>
      <c r="C35" s="50">
        <f>C19/C30</f>
        <v>629662726.18655241</v>
      </c>
      <c r="D35" s="50"/>
      <c r="E35" s="50"/>
      <c r="F35" s="50">
        <f>F19/F30</f>
        <v>1809406305.2076466</v>
      </c>
      <c r="G35" s="50"/>
      <c r="H35" s="50"/>
      <c r="I35" s="50"/>
      <c r="J35" s="50"/>
      <c r="K35" s="14">
        <f>K19/K30</f>
        <v>594805180.86684239</v>
      </c>
      <c r="L35" s="14">
        <f>L19/L30</f>
        <v>64686446.316743568</v>
      </c>
      <c r="M35" s="14">
        <f t="shared" ref="M35:P35" si="5">M19/M30</f>
        <v>0</v>
      </c>
      <c r="N35" s="14">
        <f t="shared" si="5"/>
        <v>0</v>
      </c>
      <c r="O35" s="14">
        <f t="shared" si="5"/>
        <v>0</v>
      </c>
      <c r="P35" s="14">
        <f t="shared" si="5"/>
        <v>0</v>
      </c>
    </row>
    <row r="36" spans="1:16" x14ac:dyDescent="0.25">
      <c r="A36" s="13" t="s">
        <v>116</v>
      </c>
      <c r="B36" s="14">
        <f>B21/B31</f>
        <v>3157374535.2163744</v>
      </c>
      <c r="C36" s="50">
        <f>C21/C31</f>
        <v>736616181.87134504</v>
      </c>
      <c r="D36" s="50"/>
      <c r="E36" s="50"/>
      <c r="F36" s="50">
        <f>F21/F31</f>
        <v>1426351298.2456141</v>
      </c>
      <c r="G36" s="50"/>
      <c r="H36" s="50"/>
      <c r="I36" s="50"/>
      <c r="J36" s="50"/>
      <c r="K36" s="14">
        <f>K21/K31</f>
        <v>754562691.94152045</v>
      </c>
      <c r="L36" s="14">
        <f>L21/L31</f>
        <v>95453676.023391813</v>
      </c>
      <c r="M36" s="14">
        <f t="shared" ref="M36:P36" si="6">M21/M31</f>
        <v>144390687.13450292</v>
      </c>
      <c r="N36" s="14">
        <f t="shared" si="6"/>
        <v>0</v>
      </c>
      <c r="O36" s="14">
        <f t="shared" si="6"/>
        <v>0</v>
      </c>
      <c r="P36" s="14">
        <f t="shared" si="6"/>
        <v>0</v>
      </c>
    </row>
    <row r="37" spans="1:16" x14ac:dyDescent="0.25">
      <c r="A37" s="13" t="s">
        <v>69</v>
      </c>
      <c r="B37" s="14">
        <f>B35/B10</f>
        <v>23774.001093941602</v>
      </c>
      <c r="C37" s="50">
        <f>C35/C10</f>
        <v>18711.004581794616</v>
      </c>
      <c r="D37" s="50"/>
      <c r="E37" s="50"/>
      <c r="F37" s="50">
        <f>F35/F10</f>
        <v>14166.644263035214</v>
      </c>
      <c r="G37" s="50"/>
      <c r="H37" s="50"/>
      <c r="I37" s="50"/>
      <c r="J37" s="50"/>
      <c r="K37" s="14">
        <f>K35/K10</f>
        <v>55115.379991367903</v>
      </c>
      <c r="L37" s="14">
        <f>L35/L10</f>
        <v>50418.11871920777</v>
      </c>
      <c r="M37" s="14" t="e">
        <f t="shared" ref="M37:P37" si="7">M35/M10</f>
        <v>#DIV/0!</v>
      </c>
      <c r="N37" s="14" t="e">
        <f t="shared" si="7"/>
        <v>#DIV/0!</v>
      </c>
      <c r="O37" s="14" t="e">
        <f t="shared" si="7"/>
        <v>#DIV/0!</v>
      </c>
      <c r="P37" s="14" t="e">
        <f t="shared" si="7"/>
        <v>#DIV/0!</v>
      </c>
    </row>
    <row r="38" spans="1:16" x14ac:dyDescent="0.25">
      <c r="A38" s="13" t="s">
        <v>117</v>
      </c>
      <c r="B38" s="14">
        <f>B36/B14</f>
        <v>24966.192772890536</v>
      </c>
      <c r="C38" s="50">
        <f>C36/C14</f>
        <v>22676.975090704214</v>
      </c>
      <c r="D38" s="50"/>
      <c r="E38" s="50"/>
      <c r="F38" s="50">
        <f>F36/F14</f>
        <v>11425.831545837173</v>
      </c>
      <c r="G38" s="50"/>
      <c r="H38" s="50"/>
      <c r="I38" s="50"/>
      <c r="J38" s="50"/>
      <c r="K38" s="34">
        <f>K36/K14</f>
        <v>81459.860945862078</v>
      </c>
      <c r="L38" s="34">
        <f>L36/L14</f>
        <v>51764.466390125715</v>
      </c>
      <c r="M38" s="34" t="e">
        <f t="shared" ref="M38:P38" si="8">M36/M14</f>
        <v>#DIV/0!</v>
      </c>
      <c r="N38" s="34" t="e">
        <f t="shared" si="8"/>
        <v>#DIV/0!</v>
      </c>
      <c r="O38" s="34" t="e">
        <f t="shared" si="8"/>
        <v>#DIV/0!</v>
      </c>
      <c r="P38" s="34" t="e">
        <f t="shared" si="8"/>
        <v>#DIV/0!</v>
      </c>
    </row>
    <row r="39" spans="1:16" x14ac:dyDescent="0.25">
      <c r="I39" s="32"/>
      <c r="J39" s="32"/>
    </row>
    <row r="40" spans="1:16" x14ac:dyDescent="0.25">
      <c r="A40" s="2" t="s">
        <v>13</v>
      </c>
      <c r="I40" s="32"/>
      <c r="J40" s="32"/>
    </row>
    <row r="41" spans="1:16" x14ac:dyDescent="0.25">
      <c r="I41" s="32"/>
      <c r="J41" s="32"/>
    </row>
    <row r="42" spans="1:16" x14ac:dyDescent="0.25">
      <c r="A42" t="s">
        <v>14</v>
      </c>
      <c r="I42" s="32"/>
      <c r="J42" s="32"/>
    </row>
    <row r="43" spans="1:16" x14ac:dyDescent="0.25">
      <c r="A43" t="s">
        <v>15</v>
      </c>
      <c r="B43" s="17">
        <f>(B13/B32)*100</f>
        <v>117.22702501198232</v>
      </c>
      <c r="C43" s="17">
        <f t="shared" ref="C43:P43" si="9">(C13/C32)*100</f>
        <v>31.877407558624611</v>
      </c>
      <c r="D43" s="17">
        <f t="shared" si="9"/>
        <v>25.337723891857351</v>
      </c>
      <c r="E43" s="17">
        <f t="shared" si="9"/>
        <v>6.5396836667672584</v>
      </c>
      <c r="F43" s="17">
        <f t="shared" si="9"/>
        <v>124.67470221717288</v>
      </c>
      <c r="G43" s="17">
        <f t="shared" si="9"/>
        <v>91.889301120124969</v>
      </c>
      <c r="H43" s="17">
        <f t="shared" si="9"/>
        <v>5.3192622441552908</v>
      </c>
      <c r="I43" s="17">
        <f t="shared" si="9"/>
        <v>27.46613885289262</v>
      </c>
      <c r="J43" s="17">
        <f t="shared" si="9"/>
        <v>29.761418706619562</v>
      </c>
      <c r="K43" s="17">
        <f t="shared" si="9"/>
        <v>8.5828910230238051</v>
      </c>
      <c r="L43" s="17">
        <f t="shared" si="9"/>
        <v>3.481973266114001</v>
      </c>
      <c r="M43" s="17">
        <f t="shared" si="9"/>
        <v>0</v>
      </c>
      <c r="N43" s="17">
        <f t="shared" si="9"/>
        <v>0</v>
      </c>
      <c r="O43" s="17">
        <f t="shared" si="9"/>
        <v>0</v>
      </c>
      <c r="P43" s="17">
        <f t="shared" si="9"/>
        <v>0.88757921644506776</v>
      </c>
    </row>
    <row r="44" spans="1:16" x14ac:dyDescent="0.25">
      <c r="A44" t="s">
        <v>16</v>
      </c>
      <c r="B44" s="17">
        <f>(B15/B32)*100</f>
        <v>90.516807791762091</v>
      </c>
      <c r="C44" s="17">
        <f t="shared" ref="C44:P44" si="10">(C15/C32)*100</f>
        <v>22.67764898017148</v>
      </c>
      <c r="D44" s="17">
        <f t="shared" si="10"/>
        <v>16.923177060219292</v>
      </c>
      <c r="E44" s="17">
        <f t="shared" si="10"/>
        <v>5.7544719199521888</v>
      </c>
      <c r="F44" s="17">
        <f t="shared" si="10"/>
        <v>95.22334451683146</v>
      </c>
      <c r="G44" s="17">
        <f t="shared" si="10"/>
        <v>73.593630731542788</v>
      </c>
      <c r="H44" s="17">
        <f t="shared" si="10"/>
        <v>3.6316782939544017</v>
      </c>
      <c r="I44" s="17">
        <f t="shared" si="10"/>
        <v>17.998035491334267</v>
      </c>
      <c r="J44" s="17">
        <f t="shared" si="10"/>
        <v>23.581796341990191</v>
      </c>
      <c r="K44" s="17">
        <f t="shared" si="10"/>
        <v>8.2216462819306635</v>
      </c>
      <c r="L44" s="17">
        <f t="shared" si="10"/>
        <v>1.6366960751247051</v>
      </c>
      <c r="M44" s="17">
        <f t="shared" si="10"/>
        <v>0</v>
      </c>
      <c r="N44" s="17">
        <f t="shared" si="10"/>
        <v>0</v>
      </c>
      <c r="O44" s="17">
        <f t="shared" si="10"/>
        <v>0</v>
      </c>
      <c r="P44" s="17">
        <f t="shared" si="10"/>
        <v>0</v>
      </c>
    </row>
    <row r="45" spans="1:16" x14ac:dyDescent="0.25">
      <c r="I45" s="32"/>
      <c r="J45" s="32"/>
    </row>
    <row r="46" spans="1:16" x14ac:dyDescent="0.25">
      <c r="A46" t="s">
        <v>17</v>
      </c>
      <c r="I46" s="32"/>
      <c r="J46" s="32"/>
    </row>
    <row r="47" spans="1:16" x14ac:dyDescent="0.25">
      <c r="A47" t="s">
        <v>18</v>
      </c>
      <c r="B47" s="15">
        <f>B14/B12*100</f>
        <v>89.801743971369334</v>
      </c>
      <c r="C47" s="15">
        <f t="shared" ref="C47:P47" si="11">C14/C12*100</f>
        <v>72.720963553326769</v>
      </c>
      <c r="D47" s="15">
        <f t="shared" si="11"/>
        <v>69.704200178731014</v>
      </c>
      <c r="E47" s="15">
        <f t="shared" si="11"/>
        <v>87.993123416576182</v>
      </c>
      <c r="F47" s="15">
        <f t="shared" si="11"/>
        <v>88.872514819719129</v>
      </c>
      <c r="G47" s="15">
        <f t="shared" si="11"/>
        <v>97.04266800607887</v>
      </c>
      <c r="H47" s="15">
        <f t="shared" si="11"/>
        <v>68.274097558262412</v>
      </c>
      <c r="I47" s="15">
        <f t="shared" si="11"/>
        <v>65.52808746701136</v>
      </c>
      <c r="J47" s="15">
        <f t="shared" si="11"/>
        <v>79.236129750579067</v>
      </c>
      <c r="K47" s="15">
        <f t="shared" si="11"/>
        <v>95.791106514994823</v>
      </c>
      <c r="L47" s="15">
        <f t="shared" si="11"/>
        <v>47.004843232220239</v>
      </c>
      <c r="M47" s="15" t="e">
        <f t="shared" si="11"/>
        <v>#DIV/0!</v>
      </c>
      <c r="N47" s="15" t="e">
        <f t="shared" si="11"/>
        <v>#DIV/0!</v>
      </c>
      <c r="O47" s="15" t="e">
        <f t="shared" si="11"/>
        <v>#DIV/0!</v>
      </c>
      <c r="P47" s="15">
        <f t="shared" si="11"/>
        <v>0</v>
      </c>
    </row>
    <row r="48" spans="1:16" x14ac:dyDescent="0.25">
      <c r="A48" t="s">
        <v>19</v>
      </c>
      <c r="B48" s="15">
        <f>B21/B20*100</f>
        <v>105.26002408844933</v>
      </c>
      <c r="C48" s="15">
        <f>C21/C20*100</f>
        <v>72.111970650595353</v>
      </c>
      <c r="D48" s="15"/>
      <c r="E48" s="15"/>
      <c r="F48" s="58">
        <f>F21/F20*100</f>
        <v>140.57896184176263</v>
      </c>
      <c r="G48" s="58"/>
      <c r="H48" s="58"/>
      <c r="I48" s="58"/>
      <c r="J48" s="58"/>
      <c r="K48" s="15">
        <f>K21/K20*100</f>
        <v>170.89156069169709</v>
      </c>
      <c r="L48" s="15">
        <f>L21/L20*100</f>
        <v>27.548285532330354</v>
      </c>
      <c r="M48" s="15" t="e">
        <f t="shared" ref="M48:P48" si="12">M21/M20*100</f>
        <v>#DIV/0!</v>
      </c>
      <c r="N48" s="15" t="e">
        <f t="shared" si="12"/>
        <v>#DIV/0!</v>
      </c>
      <c r="O48" s="15">
        <f t="shared" si="12"/>
        <v>0</v>
      </c>
      <c r="P48" s="15">
        <f t="shared" si="12"/>
        <v>0</v>
      </c>
    </row>
    <row r="49" spans="1:17" x14ac:dyDescent="0.25">
      <c r="A49" s="13" t="s">
        <v>20</v>
      </c>
      <c r="B49" s="16">
        <f>AVERAGE(B47:B48)</f>
        <v>97.53088402990933</v>
      </c>
      <c r="C49" s="16">
        <f t="shared" ref="C49:P49" si="13">AVERAGE(C47:C48)</f>
        <v>72.416467101961061</v>
      </c>
      <c r="D49" s="16"/>
      <c r="E49" s="16"/>
      <c r="F49" s="59">
        <f>AVERAGE(F47:F48)</f>
        <v>114.72573833074088</v>
      </c>
      <c r="G49" s="59"/>
      <c r="H49" s="59"/>
      <c r="I49" s="59"/>
      <c r="J49" s="59"/>
      <c r="K49" s="16">
        <f t="shared" si="13"/>
        <v>133.34133360334596</v>
      </c>
      <c r="L49" s="16">
        <f t="shared" si="13"/>
        <v>37.276564382275296</v>
      </c>
      <c r="M49" s="16" t="e">
        <f t="shared" si="13"/>
        <v>#DIV/0!</v>
      </c>
      <c r="N49" s="16" t="e">
        <f t="shared" si="13"/>
        <v>#DIV/0!</v>
      </c>
      <c r="O49" s="16" t="e">
        <f t="shared" si="13"/>
        <v>#DIV/0!</v>
      </c>
      <c r="P49" s="16">
        <f t="shared" si="13"/>
        <v>0</v>
      </c>
    </row>
    <row r="50" spans="1:17" x14ac:dyDescent="0.25">
      <c r="B50" s="15"/>
      <c r="C50" s="15"/>
      <c r="D50" s="15"/>
      <c r="E50" s="15"/>
      <c r="F50" s="15"/>
      <c r="G50" s="15"/>
      <c r="H50" s="15"/>
      <c r="I50" s="15"/>
      <c r="J50" s="15"/>
      <c r="K50" s="15"/>
      <c r="L50" s="15"/>
    </row>
    <row r="51" spans="1:17" x14ac:dyDescent="0.25">
      <c r="A51" t="s">
        <v>21</v>
      </c>
    </row>
    <row r="52" spans="1:17" x14ac:dyDescent="0.25">
      <c r="A52" t="s">
        <v>22</v>
      </c>
      <c r="B52" s="15">
        <f>((B14/B16)*100)</f>
        <v>94.807784574787092</v>
      </c>
      <c r="C52" s="15">
        <f t="shared" ref="C52:P52" si="14">((C14/C16)*100)</f>
        <v>78.185625571655521</v>
      </c>
      <c r="D52" s="15">
        <f t="shared" si="14"/>
        <v>76.071351941794916</v>
      </c>
      <c r="E52" s="15">
        <f t="shared" si="14"/>
        <v>87.993123416576182</v>
      </c>
      <c r="F52" s="15">
        <f t="shared" si="14"/>
        <v>93.809208911332547</v>
      </c>
      <c r="G52" s="15">
        <f t="shared" si="14"/>
        <v>101.26225465492101</v>
      </c>
      <c r="H52" s="15">
        <f t="shared" si="14"/>
        <v>74.475185050357965</v>
      </c>
      <c r="I52" s="15">
        <f t="shared" si="14"/>
        <v>71.485816352910774</v>
      </c>
      <c r="J52" s="15">
        <f t="shared" si="14"/>
        <v>86.438711216666135</v>
      </c>
      <c r="K52" s="15">
        <f t="shared" si="14"/>
        <v>98.511113474423055</v>
      </c>
      <c r="L52" s="15">
        <f t="shared" si="14"/>
        <v>51.279199110122356</v>
      </c>
      <c r="M52" s="15" t="e">
        <f t="shared" si="14"/>
        <v>#DIV/0!</v>
      </c>
      <c r="N52" s="15" t="e">
        <f>((N14/M16)*100)</f>
        <v>#DIV/0!</v>
      </c>
      <c r="O52" s="15" t="e">
        <f t="shared" si="14"/>
        <v>#DIV/0!</v>
      </c>
      <c r="P52" s="15">
        <f t="shared" si="14"/>
        <v>0</v>
      </c>
      <c r="Q52" s="74"/>
    </row>
    <row r="53" spans="1:17" x14ac:dyDescent="0.25">
      <c r="A53" t="s">
        <v>23</v>
      </c>
      <c r="B53" s="15">
        <f>B21/B22*100</f>
        <v>28.820734688955863</v>
      </c>
      <c r="C53" s="15">
        <f>C21/C22*100</f>
        <v>19.691171904784778</v>
      </c>
      <c r="D53" s="15"/>
      <c r="E53" s="15"/>
      <c r="F53" s="15">
        <f>F21/F22*100</f>
        <v>33.960226913744386</v>
      </c>
      <c r="G53" s="15"/>
      <c r="H53" s="15"/>
      <c r="I53" s="15"/>
      <c r="J53" s="15"/>
      <c r="K53" s="15">
        <f t="shared" ref="K53:P53" si="15">K21/K22*100</f>
        <v>42.722890172924274</v>
      </c>
      <c r="L53" s="15">
        <f t="shared" si="15"/>
        <v>14.03011404363575</v>
      </c>
      <c r="M53" s="15">
        <f t="shared" si="15"/>
        <v>38.524738324026551</v>
      </c>
      <c r="N53" s="15">
        <f t="shared" si="15"/>
        <v>0</v>
      </c>
      <c r="O53" s="15">
        <f t="shared" si="15"/>
        <v>0</v>
      </c>
      <c r="P53" s="15">
        <f t="shared" si="15"/>
        <v>0</v>
      </c>
    </row>
    <row r="54" spans="1:17" x14ac:dyDescent="0.25">
      <c r="A54" t="s">
        <v>24</v>
      </c>
      <c r="B54" s="15">
        <f>(B52+B53)/2</f>
        <v>61.814259631871479</v>
      </c>
      <c r="C54" s="15">
        <f t="shared" ref="C54:P54" si="16">(C52+C53)/2</f>
        <v>48.938398738220151</v>
      </c>
      <c r="D54" s="15"/>
      <c r="E54" s="15"/>
      <c r="F54" s="15">
        <f t="shared" ref="F54" si="17">(F52+F53)/2</f>
        <v>63.884717912538463</v>
      </c>
      <c r="G54" s="15"/>
      <c r="H54" s="15"/>
      <c r="I54" s="15"/>
      <c r="J54" s="15"/>
      <c r="K54" s="15">
        <f t="shared" si="16"/>
        <v>70.617001823673661</v>
      </c>
      <c r="L54" s="15">
        <f t="shared" si="16"/>
        <v>32.654656576879056</v>
      </c>
      <c r="M54" s="15" t="e">
        <f t="shared" si="16"/>
        <v>#DIV/0!</v>
      </c>
      <c r="N54" s="15" t="e">
        <f t="shared" si="16"/>
        <v>#DIV/0!</v>
      </c>
      <c r="O54" s="15" t="e">
        <f t="shared" si="16"/>
        <v>#DIV/0!</v>
      </c>
      <c r="P54" s="15">
        <f t="shared" si="16"/>
        <v>0</v>
      </c>
    </row>
    <row r="55" spans="1:17" x14ac:dyDescent="0.25">
      <c r="B55" s="15"/>
      <c r="C55" s="15"/>
      <c r="D55" s="15"/>
      <c r="E55" s="15"/>
      <c r="F55" s="15"/>
      <c r="G55" s="15"/>
      <c r="H55" s="15"/>
      <c r="I55" s="15"/>
      <c r="J55" s="15"/>
      <c r="K55" s="15"/>
      <c r="L55" s="15"/>
    </row>
    <row r="56" spans="1:17" x14ac:dyDescent="0.25">
      <c r="A56" t="s">
        <v>40</v>
      </c>
    </row>
    <row r="57" spans="1:17" x14ac:dyDescent="0.25">
      <c r="A57" t="s">
        <v>25</v>
      </c>
      <c r="B57" s="15">
        <f>B23/B21*100</f>
        <v>95.426874907489946</v>
      </c>
      <c r="C57" s="15"/>
      <c r="D57" s="15"/>
      <c r="E57" s="15"/>
      <c r="F57" s="15"/>
      <c r="G57" s="15"/>
      <c r="H57" s="15"/>
      <c r="I57" s="15"/>
      <c r="J57" s="15"/>
      <c r="K57" s="15"/>
      <c r="L57" s="15"/>
    </row>
    <row r="59" spans="1:17" x14ac:dyDescent="0.25">
      <c r="A59" t="s">
        <v>26</v>
      </c>
    </row>
    <row r="60" spans="1:17" x14ac:dyDescent="0.25">
      <c r="A60" t="s">
        <v>27</v>
      </c>
      <c r="B60" s="15">
        <f>((B14/B10)-1)*100</f>
        <v>-2.9677597557045798</v>
      </c>
      <c r="C60" s="15">
        <f t="shared" ref="C60:P60" si="18">((C14/C10)-1)*100</f>
        <v>-3.4737905622251319</v>
      </c>
      <c r="D60" s="15">
        <f t="shared" si="18"/>
        <v>-1.243337005102485</v>
      </c>
      <c r="E60" s="15">
        <f t="shared" si="18"/>
        <v>-11.490329920364051</v>
      </c>
      <c r="F60" s="15">
        <f t="shared" si="18"/>
        <v>-2.2606212924323188</v>
      </c>
      <c r="G60" s="15">
        <f t="shared" si="18"/>
        <v>-3.4042580467340433</v>
      </c>
      <c r="H60" s="15">
        <f t="shared" si="18"/>
        <v>25.704045058883771</v>
      </c>
      <c r="I60" s="15">
        <f t="shared" si="18"/>
        <v>-0.89601355424139273</v>
      </c>
      <c r="J60" s="15">
        <f t="shared" si="18"/>
        <v>4.4694348327566358</v>
      </c>
      <c r="K60" s="15">
        <f t="shared" si="18"/>
        <v>-14.167902149740552</v>
      </c>
      <c r="L60" s="15">
        <f t="shared" si="18"/>
        <v>43.725643024162132</v>
      </c>
      <c r="M60" s="15" t="e">
        <f t="shared" si="18"/>
        <v>#DIV/0!</v>
      </c>
      <c r="N60" s="15" t="e">
        <f t="shared" si="18"/>
        <v>#DIV/0!</v>
      </c>
      <c r="O60" s="15" t="e">
        <f t="shared" si="18"/>
        <v>#DIV/0!</v>
      </c>
      <c r="P60" s="15" t="e">
        <f t="shared" si="18"/>
        <v>#DIV/0!</v>
      </c>
    </row>
    <row r="61" spans="1:17" x14ac:dyDescent="0.25">
      <c r="A61" t="s">
        <v>28</v>
      </c>
      <c r="B61" s="15">
        <f>((B36/B35)-1)*100</f>
        <v>1.8981031233251455</v>
      </c>
      <c r="C61" s="15">
        <f t="shared" ref="C61:P61" si="19">((C36/C35)-1)*100</f>
        <v>16.985832452325454</v>
      </c>
      <c r="D61" s="15"/>
      <c r="E61" s="15"/>
      <c r="F61" s="15">
        <f t="shared" si="19"/>
        <v>-21.170204053095375</v>
      </c>
      <c r="G61" s="15"/>
      <c r="H61" s="15"/>
      <c r="I61" s="15"/>
      <c r="J61" s="15"/>
      <c r="K61" s="15">
        <f t="shared" si="19"/>
        <v>26.858796159417221</v>
      </c>
      <c r="L61" s="15">
        <f t="shared" si="19"/>
        <v>47.563641935118014</v>
      </c>
      <c r="M61" s="15" t="e">
        <f t="shared" si="19"/>
        <v>#DIV/0!</v>
      </c>
      <c r="N61" s="15" t="e">
        <f t="shared" si="19"/>
        <v>#DIV/0!</v>
      </c>
      <c r="O61" s="15" t="e">
        <f t="shared" si="19"/>
        <v>#DIV/0!</v>
      </c>
      <c r="P61" s="15" t="e">
        <f t="shared" si="19"/>
        <v>#DIV/0!</v>
      </c>
    </row>
    <row r="62" spans="1:17" x14ac:dyDescent="0.25">
      <c r="A62" s="13" t="s">
        <v>29</v>
      </c>
      <c r="B62" s="16">
        <f>((B38/B37)-1)*100</f>
        <v>5.0146867337897971</v>
      </c>
      <c r="C62" s="16">
        <f t="shared" ref="C62:P62" si="20">((C38/C37)-1)*100</f>
        <v>21.195925058820198</v>
      </c>
      <c r="D62" s="16"/>
      <c r="E62" s="16"/>
      <c r="F62" s="16">
        <f t="shared" si="20"/>
        <v>-19.346943893760347</v>
      </c>
      <c r="G62" s="16"/>
      <c r="H62" s="16"/>
      <c r="I62" s="16"/>
      <c r="J62" s="16"/>
      <c r="K62" s="16">
        <f t="shared" si="20"/>
        <v>47.798783132077126</v>
      </c>
      <c r="L62" s="16">
        <f t="shared" si="20"/>
        <v>2.6703647520371021</v>
      </c>
      <c r="M62" s="16" t="e">
        <f t="shared" si="20"/>
        <v>#DIV/0!</v>
      </c>
      <c r="N62" s="16" t="e">
        <f t="shared" si="20"/>
        <v>#DIV/0!</v>
      </c>
      <c r="O62" s="16" t="e">
        <f t="shared" si="20"/>
        <v>#DIV/0!</v>
      </c>
      <c r="P62" s="16" t="e">
        <f t="shared" si="20"/>
        <v>#DIV/0!</v>
      </c>
    </row>
    <row r="63" spans="1:17" x14ac:dyDescent="0.25">
      <c r="B63" s="17"/>
      <c r="C63" s="17"/>
      <c r="D63" s="17"/>
      <c r="E63" s="17"/>
      <c r="F63" s="17"/>
      <c r="G63" s="17"/>
      <c r="H63" s="17"/>
      <c r="I63" s="17"/>
      <c r="J63" s="17"/>
      <c r="K63" s="17"/>
      <c r="L63" s="17"/>
    </row>
    <row r="64" spans="1:17" x14ac:dyDescent="0.25">
      <c r="A64" t="s">
        <v>30</v>
      </c>
    </row>
    <row r="65" spans="1:16" x14ac:dyDescent="0.25">
      <c r="A65" t="s">
        <v>46</v>
      </c>
      <c r="B65" s="4">
        <f>B20/(B12*3)</f>
        <v>12140.832878632091</v>
      </c>
      <c r="C65" s="4">
        <f>C20/(C12*3)</f>
        <v>13035.036133249754</v>
      </c>
      <c r="D65" s="4"/>
      <c r="E65" s="4"/>
      <c r="F65" s="4">
        <f t="shared" ref="F65" si="21">F20/(F12*3)</f>
        <v>4117.2743840644716</v>
      </c>
      <c r="G65" s="4"/>
      <c r="H65" s="40"/>
      <c r="I65" s="40"/>
      <c r="J65" s="40"/>
      <c r="K65" s="4">
        <f>K20/(K12*3)</f>
        <v>26026.938986556361</v>
      </c>
      <c r="L65" s="4">
        <f>L20/(L12*3)</f>
        <v>50344.801172572013</v>
      </c>
      <c r="M65" s="4" t="e">
        <f t="shared" ref="M65:P65" si="22">M20/(M12*3)</f>
        <v>#DIV/0!</v>
      </c>
      <c r="N65" s="4" t="e">
        <f t="shared" si="22"/>
        <v>#DIV/0!</v>
      </c>
      <c r="O65" s="4" t="e">
        <f t="shared" si="22"/>
        <v>#DIV/0!</v>
      </c>
      <c r="P65" s="4">
        <f t="shared" si="22"/>
        <v>70000</v>
      </c>
    </row>
    <row r="66" spans="1:16" x14ac:dyDescent="0.25">
      <c r="A66" t="s">
        <v>47</v>
      </c>
      <c r="B66" s="4">
        <f>B21/(B14*3)</f>
        <v>14230.729880547606</v>
      </c>
      <c r="C66" s="4">
        <f>C21/(C14*3)</f>
        <v>12925.875801701402</v>
      </c>
      <c r="D66" s="4"/>
      <c r="E66" s="44"/>
      <c r="F66" s="4">
        <f>F21/(F14*3)</f>
        <v>6512.7239811271884</v>
      </c>
      <c r="G66" s="40"/>
      <c r="H66" s="40"/>
      <c r="I66" s="40"/>
      <c r="J66" s="40"/>
      <c r="K66" s="4">
        <f>K21/(K14*3)</f>
        <v>46432.120739141385</v>
      </c>
      <c r="L66" s="4">
        <f>L21/(L14*3)</f>
        <v>29505.745842371656</v>
      </c>
      <c r="M66" s="4" t="e">
        <f t="shared" ref="M66:P66" si="23">M21/(M14*3)</f>
        <v>#DIV/0!</v>
      </c>
      <c r="N66" s="4" t="e">
        <f t="shared" si="23"/>
        <v>#DIV/0!</v>
      </c>
      <c r="O66" s="4" t="e">
        <f t="shared" si="23"/>
        <v>#DIV/0!</v>
      </c>
      <c r="P66" s="4" t="e">
        <f t="shared" si="23"/>
        <v>#DIV/0!</v>
      </c>
    </row>
    <row r="67" spans="1:16" x14ac:dyDescent="0.25">
      <c r="A67" s="13" t="s">
        <v>33</v>
      </c>
      <c r="B67" s="16">
        <f>(B65/B66)*B49</f>
        <v>83.20769022051114</v>
      </c>
      <c r="C67" s="16">
        <f>(C65/C66)*C49</f>
        <v>73.028031508093591</v>
      </c>
      <c r="D67" s="16"/>
      <c r="E67" s="16"/>
      <c r="F67" s="16">
        <f t="shared" ref="F67" si="24">(F65/F66)*F49</f>
        <v>72.528383667242366</v>
      </c>
      <c r="G67" s="59"/>
      <c r="H67" s="59"/>
      <c r="I67" s="59"/>
      <c r="J67" s="59"/>
      <c r="K67" s="16">
        <f>(K65/K66)*K49</f>
        <v>74.742800863601431</v>
      </c>
      <c r="L67" s="16">
        <f>(L65/L66)*L49</f>
        <v>63.603924206763345</v>
      </c>
      <c r="M67" s="16" t="e">
        <f t="shared" ref="M67:P67" si="25">(M65/M66)*M49</f>
        <v>#DIV/0!</v>
      </c>
      <c r="N67" s="16" t="e">
        <f t="shared" si="25"/>
        <v>#DIV/0!</v>
      </c>
      <c r="O67" s="16" t="e">
        <f t="shared" si="25"/>
        <v>#DIV/0!</v>
      </c>
      <c r="P67" s="16" t="e">
        <f t="shared" si="25"/>
        <v>#DIV/0!</v>
      </c>
    </row>
    <row r="68" spans="1:16" x14ac:dyDescent="0.25">
      <c r="A68" t="s">
        <v>39</v>
      </c>
      <c r="B68" s="30">
        <f>B20/B12</f>
        <v>36422.498635896271</v>
      </c>
      <c r="C68" s="30">
        <f>C20/C12</f>
        <v>39105.108399749261</v>
      </c>
      <c r="D68" s="30"/>
      <c r="E68" s="30"/>
      <c r="F68" s="30">
        <f t="shared" ref="F68" si="26">F20/F12</f>
        <v>12351.823152193416</v>
      </c>
      <c r="G68" s="60"/>
      <c r="H68" s="60"/>
      <c r="I68" s="60"/>
      <c r="J68" s="60"/>
      <c r="K68" s="30">
        <f t="shared" ref="K68:P68" si="27">K20/K12</f>
        <v>78080.816959669086</v>
      </c>
      <c r="L68" s="30">
        <f t="shared" si="27"/>
        <v>151034.40351771604</v>
      </c>
      <c r="M68" s="30" t="e">
        <f t="shared" si="27"/>
        <v>#DIV/0!</v>
      </c>
      <c r="N68" s="30" t="e">
        <f t="shared" si="27"/>
        <v>#DIV/0!</v>
      </c>
      <c r="O68" s="30" t="e">
        <f t="shared" si="27"/>
        <v>#DIV/0!</v>
      </c>
      <c r="P68" s="30">
        <f t="shared" si="27"/>
        <v>210000</v>
      </c>
    </row>
    <row r="69" spans="1:16" x14ac:dyDescent="0.25">
      <c r="A69" t="s">
        <v>38</v>
      </c>
      <c r="B69" s="17">
        <f>B21/B14</f>
        <v>42692.189641642814</v>
      </c>
      <c r="C69" s="17">
        <f>C21/C14</f>
        <v>38777.627405104206</v>
      </c>
      <c r="D69" s="17"/>
      <c r="E69" s="17"/>
      <c r="F69" s="17">
        <f t="shared" ref="F69" si="28">F21/F14</f>
        <v>19538.171943381563</v>
      </c>
      <c r="G69" s="60"/>
      <c r="H69" s="60"/>
      <c r="I69" s="60"/>
      <c r="J69" s="60"/>
      <c r="K69" s="30">
        <f>K21/K14</f>
        <v>139296.36221742418</v>
      </c>
      <c r="L69" s="30">
        <f>L21/L14</f>
        <v>88517.237527114965</v>
      </c>
      <c r="M69" s="30" t="e">
        <f t="shared" ref="M69:P69" si="29">M21/M14</f>
        <v>#DIV/0!</v>
      </c>
      <c r="N69" s="30" t="e">
        <f t="shared" si="29"/>
        <v>#DIV/0!</v>
      </c>
      <c r="O69" s="30" t="e">
        <f t="shared" si="29"/>
        <v>#DIV/0!</v>
      </c>
      <c r="P69" s="30" t="e">
        <f t="shared" si="29"/>
        <v>#DIV/0!</v>
      </c>
    </row>
    <row r="70" spans="1:16" x14ac:dyDescent="0.25">
      <c r="B70" s="15"/>
      <c r="C70" s="15"/>
      <c r="D70" s="15"/>
      <c r="E70" s="15"/>
      <c r="F70" s="15"/>
      <c r="G70" s="15"/>
      <c r="H70" s="15"/>
      <c r="I70" s="17"/>
      <c r="J70" s="17"/>
      <c r="K70" s="15"/>
      <c r="L70" s="15"/>
    </row>
    <row r="71" spans="1:16" x14ac:dyDescent="0.25">
      <c r="A71" t="s">
        <v>34</v>
      </c>
      <c r="B71" s="15"/>
      <c r="C71" s="15"/>
      <c r="D71" s="15"/>
      <c r="E71" s="15"/>
      <c r="F71" s="15"/>
      <c r="G71" s="15"/>
      <c r="H71" s="15"/>
      <c r="I71" s="17"/>
      <c r="J71" s="17"/>
      <c r="K71" s="15"/>
      <c r="L71" s="15"/>
    </row>
    <row r="72" spans="1:16" x14ac:dyDescent="0.25">
      <c r="A72" s="18" t="s">
        <v>35</v>
      </c>
      <c r="B72" s="19">
        <f>(B27/B26)*100</f>
        <v>82.283849567097761</v>
      </c>
      <c r="C72" s="19"/>
      <c r="D72" s="19"/>
      <c r="E72" s="19"/>
      <c r="F72" s="19"/>
      <c r="G72" s="19"/>
      <c r="H72" s="19"/>
      <c r="I72" s="19"/>
      <c r="J72" s="19"/>
      <c r="K72" s="19"/>
      <c r="L72" s="19"/>
    </row>
    <row r="73" spans="1:16" x14ac:dyDescent="0.25">
      <c r="A73" s="18" t="s">
        <v>36</v>
      </c>
      <c r="B73" s="19">
        <f>(B21/B27)*100</f>
        <v>127.92306709303362</v>
      </c>
      <c r="C73" s="19"/>
      <c r="D73" s="19"/>
      <c r="E73" s="19"/>
      <c r="F73" s="19"/>
      <c r="G73" s="19"/>
      <c r="H73" s="19"/>
      <c r="I73" s="19"/>
      <c r="J73" s="19"/>
      <c r="K73" s="19"/>
      <c r="L73" s="19"/>
    </row>
    <row r="74" spans="1:16" ht="15.75" thickBot="1" x14ac:dyDescent="0.3">
      <c r="A74" s="20"/>
      <c r="B74" s="20"/>
      <c r="C74" s="20"/>
      <c r="D74" s="20"/>
      <c r="E74" s="20"/>
      <c r="F74" s="20"/>
      <c r="G74" s="20"/>
      <c r="H74" s="20"/>
      <c r="I74" s="49"/>
      <c r="J74" s="49"/>
      <c r="K74" s="20"/>
      <c r="L74" s="20"/>
      <c r="M74" s="20"/>
      <c r="N74" s="20"/>
      <c r="O74" s="20"/>
      <c r="P74" s="20"/>
    </row>
    <row r="75" spans="1:16" ht="15.75" thickTop="1" x14ac:dyDescent="0.25">
      <c r="A75" s="33" t="s">
        <v>94</v>
      </c>
    </row>
    <row r="76" spans="1:16" x14ac:dyDescent="0.25">
      <c r="A76" t="s">
        <v>95</v>
      </c>
    </row>
    <row r="77" spans="1:16" x14ac:dyDescent="0.25">
      <c r="A77" t="s">
        <v>96</v>
      </c>
    </row>
    <row r="78" spans="1:16" x14ac:dyDescent="0.25">
      <c r="A78" t="s">
        <v>79</v>
      </c>
      <c r="B78" s="21"/>
      <c r="C78" s="21"/>
      <c r="D78" s="21"/>
      <c r="E78" s="21"/>
      <c r="F78" s="21"/>
      <c r="G78" s="21"/>
      <c r="H78" s="21"/>
      <c r="I78" s="21"/>
      <c r="J78" s="21"/>
    </row>
    <row r="80" spans="1:16" x14ac:dyDescent="0.25">
      <c r="A80" t="s">
        <v>43</v>
      </c>
    </row>
    <row r="81" spans="1:1" x14ac:dyDescent="0.25">
      <c r="A81" t="s">
        <v>53</v>
      </c>
    </row>
    <row r="82" spans="1:1" x14ac:dyDescent="0.25">
      <c r="A82" t="s">
        <v>134</v>
      </c>
    </row>
    <row r="83" spans="1:1" x14ac:dyDescent="0.25">
      <c r="A83" t="s">
        <v>50</v>
      </c>
    </row>
    <row r="84" spans="1:1" x14ac:dyDescent="0.25">
      <c r="A84" t="s">
        <v>78</v>
      </c>
    </row>
    <row r="85" spans="1:1" x14ac:dyDescent="0.25">
      <c r="A85" t="s">
        <v>141</v>
      </c>
    </row>
    <row r="87" spans="1:1" x14ac:dyDescent="0.25">
      <c r="A87" t="s">
        <v>135</v>
      </c>
    </row>
    <row r="88" spans="1:1" x14ac:dyDescent="0.25">
      <c r="A88" s="42"/>
    </row>
  </sheetData>
  <mergeCells count="6">
    <mergeCell ref="G34:J34"/>
    <mergeCell ref="A2:K2"/>
    <mergeCell ref="A4:A5"/>
    <mergeCell ref="D5:E5"/>
    <mergeCell ref="G5:H5"/>
    <mergeCell ref="D4:P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opLeftCell="C1" zoomScale="70" zoomScaleNormal="70" workbookViewId="0">
      <selection activeCell="O5" sqref="O5:P6"/>
    </sheetView>
  </sheetViews>
  <sheetFormatPr baseColWidth="10" defaultColWidth="11.42578125" defaultRowHeight="15" x14ac:dyDescent="0.25"/>
  <cols>
    <col min="1" max="1" width="55.140625" customWidth="1"/>
    <col min="2" max="3" width="26.7109375" customWidth="1"/>
    <col min="4" max="6" width="16.5703125" customWidth="1"/>
    <col min="7" max="7" width="16.140625" customWidth="1"/>
    <col min="8" max="10" width="17.42578125" customWidth="1"/>
    <col min="11" max="11" width="24.5703125" customWidth="1"/>
    <col min="12" max="12" width="16.42578125" customWidth="1"/>
    <col min="13" max="13" width="18.85546875" customWidth="1"/>
    <col min="14" max="14" width="23.85546875" customWidth="1"/>
    <col min="15" max="15" width="19" customWidth="1"/>
    <col min="16" max="16" width="22.7109375" customWidth="1"/>
  </cols>
  <sheetData>
    <row r="1" spans="1:16" x14ac:dyDescent="0.25">
      <c r="G1" s="38"/>
      <c r="H1" s="38"/>
      <c r="I1" s="32"/>
      <c r="J1" s="32"/>
    </row>
    <row r="2" spans="1:16" ht="15.75" x14ac:dyDescent="0.25">
      <c r="A2" s="90" t="s">
        <v>118</v>
      </c>
      <c r="B2" s="90"/>
      <c r="C2" s="90"/>
      <c r="D2" s="90"/>
      <c r="E2" s="90"/>
      <c r="F2" s="90"/>
      <c r="G2" s="90"/>
      <c r="H2" s="90"/>
      <c r="I2" s="90"/>
      <c r="J2" s="90"/>
      <c r="K2" s="90"/>
    </row>
    <row r="4" spans="1:16" x14ac:dyDescent="0.25">
      <c r="A4" s="88" t="s">
        <v>0</v>
      </c>
      <c r="B4" s="25" t="s">
        <v>1</v>
      </c>
      <c r="C4" s="25"/>
      <c r="D4" s="96" t="s">
        <v>2</v>
      </c>
      <c r="E4" s="96"/>
      <c r="F4" s="96"/>
      <c r="G4" s="96"/>
      <c r="H4" s="96"/>
      <c r="I4" s="96"/>
      <c r="J4" s="96"/>
      <c r="K4" s="96"/>
      <c r="L4" s="96"/>
    </row>
    <row r="5" spans="1:16" ht="15.75" thickBot="1" x14ac:dyDescent="0.3">
      <c r="A5" s="89"/>
      <c r="B5" s="1" t="s">
        <v>3</v>
      </c>
      <c r="C5" s="57" t="s">
        <v>80</v>
      </c>
      <c r="D5" s="91" t="s">
        <v>4</v>
      </c>
      <c r="E5" s="91"/>
      <c r="F5" s="57" t="s">
        <v>81</v>
      </c>
      <c r="G5" s="91" t="s">
        <v>52</v>
      </c>
      <c r="H5" s="91"/>
      <c r="I5" s="48"/>
      <c r="J5" s="48"/>
      <c r="K5" s="1" t="s">
        <v>5</v>
      </c>
      <c r="L5" s="20" t="s">
        <v>51</v>
      </c>
      <c r="M5" s="20" t="s">
        <v>137</v>
      </c>
      <c r="N5" s="20" t="s">
        <v>138</v>
      </c>
      <c r="O5" s="20" t="s">
        <v>139</v>
      </c>
      <c r="P5" s="20" t="s">
        <v>140</v>
      </c>
    </row>
    <row r="6" spans="1:16" ht="15.75" thickTop="1" x14ac:dyDescent="0.25">
      <c r="B6" s="36" t="s">
        <v>1</v>
      </c>
      <c r="D6" s="36" t="s">
        <v>48</v>
      </c>
      <c r="E6" s="36" t="s">
        <v>49</v>
      </c>
      <c r="F6" s="36"/>
      <c r="G6" s="36">
        <v>1600</v>
      </c>
      <c r="H6" s="36">
        <v>640</v>
      </c>
      <c r="I6" s="47">
        <v>320</v>
      </c>
      <c r="J6" s="47">
        <v>800</v>
      </c>
      <c r="K6" s="36" t="s">
        <v>5</v>
      </c>
      <c r="M6" s="67" t="s">
        <v>137</v>
      </c>
      <c r="N6" s="67" t="s">
        <v>138</v>
      </c>
      <c r="O6" s="33" t="s">
        <v>139</v>
      </c>
      <c r="P6" s="33" t="s">
        <v>140</v>
      </c>
    </row>
    <row r="7" spans="1:16" x14ac:dyDescent="0.25">
      <c r="A7" s="2" t="s">
        <v>6</v>
      </c>
      <c r="I7" s="32"/>
      <c r="J7" s="32"/>
    </row>
    <row r="8" spans="1:16" x14ac:dyDescent="0.25">
      <c r="I8" s="32"/>
      <c r="J8" s="32"/>
    </row>
    <row r="9" spans="1:16" x14ac:dyDescent="0.25">
      <c r="A9" t="s">
        <v>7</v>
      </c>
      <c r="I9" s="32"/>
      <c r="J9" s="32"/>
    </row>
    <row r="10" spans="1:16" x14ac:dyDescent="0.25">
      <c r="A10" s="3" t="s">
        <v>70</v>
      </c>
      <c r="B10" s="24">
        <f>+D10+G10</f>
        <v>120548.33333333334</v>
      </c>
      <c r="C10" s="52">
        <f>D10+E10</f>
        <v>26309.000000000004</v>
      </c>
      <c r="D10" s="24">
        <f>(+'I Trimestre'!D10+'II Trimestre'!D10)/2</f>
        <v>22880.333333333336</v>
      </c>
      <c r="E10" s="24">
        <f>(+'I Trimestre'!E10+'II Trimestre'!E10)/2</f>
        <v>3428.6666666666665</v>
      </c>
      <c r="F10" s="24">
        <f>SUM(G10:I10)</f>
        <v>118197.5</v>
      </c>
      <c r="G10" s="24">
        <f>(+'I Trimestre'!G10+'II Trimestre'!G10)/2</f>
        <v>97668</v>
      </c>
      <c r="H10" s="64">
        <f>(+'I Trimestre'!H10+'II Trimestre'!H10)/2</f>
        <v>2998.5</v>
      </c>
      <c r="I10" s="64">
        <f>(+'I Trimestre'!I10+'II Trimestre'!I10)/2</f>
        <v>17531</v>
      </c>
      <c r="J10" s="37">
        <f>(+'I Trimestre'!J10+'II Trimestre'!J10)/2</f>
        <v>22106.5</v>
      </c>
      <c r="K10" s="24">
        <f>(+'I Trimestre'!K10+'II Trimestre'!K10)/2</f>
        <v>4765.166666666667</v>
      </c>
      <c r="L10" s="24">
        <f>(+'I Trimestre'!L10+'II Trimestre'!L10)/2</f>
        <v>562.5</v>
      </c>
      <c r="M10" s="98">
        <f>(+'I Trimestre'!M10+'II Trimestre'!M10)/2</f>
        <v>0</v>
      </c>
      <c r="N10" s="100">
        <f>(+'I Trimestre'!N10+'II Trimestre'!N10)/2</f>
        <v>0</v>
      </c>
      <c r="O10" s="100">
        <f>(+'I Trimestre'!O10+'II Trimestre'!O10)/2</f>
        <v>0</v>
      </c>
      <c r="P10" s="100">
        <f>(+'I Trimestre'!P10+'II Trimestre'!P10)/2</f>
        <v>0</v>
      </c>
    </row>
    <row r="11" spans="1:16" x14ac:dyDescent="0.25">
      <c r="A11" s="27" t="s">
        <v>37</v>
      </c>
      <c r="B11" s="24">
        <f t="shared" ref="B11:B16" si="0">+D11+G11</f>
        <v>99582</v>
      </c>
      <c r="C11" s="52">
        <f t="shared" ref="C11:C16" si="1">D11+E11</f>
        <v>20948.166666666668</v>
      </c>
      <c r="D11" s="24">
        <f>(+'I Trimestre'!D11+'II Trimestre'!D11)/2</f>
        <v>17519.5</v>
      </c>
      <c r="E11" s="24">
        <f>(+'I Trimestre'!E11+'II Trimestre'!E11)/2</f>
        <v>3428.6666666666665</v>
      </c>
      <c r="F11" s="24">
        <f>SUM(G11:I11)</f>
        <v>102592</v>
      </c>
      <c r="G11" s="24">
        <f>(+'I Trimestre'!G11+'II Trimestre'!G11)/2</f>
        <v>82062.5</v>
      </c>
      <c r="H11" s="64">
        <f>(+'I Trimestre'!H11+'II Trimestre'!H11)/2</f>
        <v>2998.5</v>
      </c>
      <c r="I11" s="64">
        <f>(+'I Trimestre'!I11+'II Trimestre'!I11)/2</f>
        <v>17531</v>
      </c>
      <c r="J11" s="37">
        <f>(+'I Trimestre'!J11+'II Trimestre'!J11)/2</f>
        <v>22106.5</v>
      </c>
      <c r="K11" s="24">
        <f>(+'I Trimestre'!K11+'II Trimestre'!K11)/2</f>
        <v>4765.166666666667</v>
      </c>
      <c r="L11" s="24">
        <f>(+'I Trimestre'!L11+'II Trimestre'!L11)/2</f>
        <v>562.5</v>
      </c>
      <c r="M11" s="98">
        <f>(+'I Trimestre'!M11+'II Trimestre'!M11)/2</f>
        <v>0</v>
      </c>
      <c r="N11" s="100">
        <f>(+'I Trimestre'!N11+'II Trimestre'!N11)/2</f>
        <v>0</v>
      </c>
      <c r="O11" s="100">
        <f>(+'I Trimestre'!O11+'II Trimestre'!O11)/2</f>
        <v>0</v>
      </c>
      <c r="P11" s="100">
        <f>(+'I Trimestre'!P11+'II Trimestre'!P11)/2</f>
        <v>0</v>
      </c>
    </row>
    <row r="12" spans="1:16" x14ac:dyDescent="0.25">
      <c r="A12" s="3" t="s">
        <v>119</v>
      </c>
      <c r="B12" s="24">
        <f t="shared" si="0"/>
        <v>129073.66666666666</v>
      </c>
      <c r="C12" s="52">
        <f t="shared" si="1"/>
        <v>41541.166666666664</v>
      </c>
      <c r="D12" s="24">
        <f>(+'I Trimestre'!D12+'II Trimestre'!D12)/2</f>
        <v>34173.166666666664</v>
      </c>
      <c r="E12" s="24">
        <f>(+'I Trimestre'!E12+'II Trimestre'!E12)/2</f>
        <v>7368</v>
      </c>
      <c r="F12" s="24">
        <f>SUM(G12:I12)</f>
        <v>128760</v>
      </c>
      <c r="G12" s="24">
        <f>(+'I Trimestre'!G12+'II Trimestre'!G12)/2</f>
        <v>94900.5</v>
      </c>
      <c r="H12" s="24">
        <f>(+'I Trimestre'!H12+'II Trimestre'!H12)/2</f>
        <v>5493.5</v>
      </c>
      <c r="I12" s="37">
        <f>(+'I Trimestre'!I12+'II Trimestre'!I12)/2</f>
        <v>28366</v>
      </c>
      <c r="J12" s="37">
        <f>(+'I Trimestre'!J12+'II Trimestre'!J12)/2</f>
        <v>30736.5</v>
      </c>
      <c r="K12" s="24">
        <f>(+'I Trimestre'!K12+'II Trimestre'!K12)/2</f>
        <v>9270</v>
      </c>
      <c r="L12" s="24">
        <f>(+'I Trimestre'!L12+'II Trimestre'!L12)/2</f>
        <v>3269</v>
      </c>
      <c r="M12" s="98">
        <f>(+'I Trimestre'!M12+'II Trimestre'!M12)/2</f>
        <v>0</v>
      </c>
      <c r="N12" s="100">
        <f>(+'I Trimestre'!N12+'II Trimestre'!N12)/2</f>
        <v>0</v>
      </c>
      <c r="O12" s="100">
        <f>(+'I Trimestre'!O12+'II Trimestre'!O12)/2</f>
        <v>0</v>
      </c>
      <c r="P12" s="100">
        <f>(+'I Trimestre'!P12+'II Trimestre'!P12)/2</f>
        <v>0</v>
      </c>
    </row>
    <row r="13" spans="1:16" x14ac:dyDescent="0.25">
      <c r="A13" s="27" t="s">
        <v>37</v>
      </c>
      <c r="B13" s="24">
        <f t="shared" si="0"/>
        <v>121068.5</v>
      </c>
      <c r="C13" s="52">
        <f t="shared" si="1"/>
        <v>33536</v>
      </c>
      <c r="D13" s="24">
        <f>(+'I Trimestre'!D13+'II Trimestre'!D13)/2</f>
        <v>26168</v>
      </c>
      <c r="E13" s="24">
        <f>(+'I Trimestre'!E13+'II Trimestre'!E13)/2</f>
        <v>7368</v>
      </c>
      <c r="F13" s="24">
        <f t="shared" ref="F13:F16" si="2">SUM(G13:I13)</f>
        <v>128760</v>
      </c>
      <c r="G13" s="24">
        <f>(+'I Trimestre'!G13+'II Trimestre'!G13)/2</f>
        <v>94900.5</v>
      </c>
      <c r="H13" s="24">
        <f>(+'I Trimestre'!H13+'II Trimestre'!H13)/2</f>
        <v>5493.5</v>
      </c>
      <c r="I13" s="37">
        <f>(+'I Trimestre'!I13+'II Trimestre'!I13)/2</f>
        <v>28366</v>
      </c>
      <c r="J13" s="37">
        <f>(+'I Trimestre'!J13+'II Trimestre'!J13)/2</f>
        <v>30736.5</v>
      </c>
      <c r="K13" s="24">
        <f>(+'I Trimestre'!K13+'II Trimestre'!K13)/2</f>
        <v>9270</v>
      </c>
      <c r="L13" s="24">
        <f>(+'I Trimestre'!L13+'II Trimestre'!L13)/2</f>
        <v>3269</v>
      </c>
      <c r="M13" s="98">
        <f>(+'I Trimestre'!M13+'II Trimestre'!M13)/2</f>
        <v>0</v>
      </c>
      <c r="N13" s="100">
        <f>(+'I Trimestre'!N13+'II Trimestre'!N13)/2</f>
        <v>0</v>
      </c>
      <c r="O13" s="100">
        <f>(+'I Trimestre'!O13+'II Trimestre'!O13)/2</f>
        <v>0</v>
      </c>
      <c r="P13" s="100">
        <f>(+'I Trimestre'!P13+'II Trimestre'!P13)/2</f>
        <v>0</v>
      </c>
    </row>
    <row r="14" spans="1:16" x14ac:dyDescent="0.25">
      <c r="A14" s="3" t="s">
        <v>120</v>
      </c>
      <c r="B14" s="24">
        <f t="shared" si="0"/>
        <v>120176</v>
      </c>
      <c r="C14" s="52">
        <f t="shared" si="1"/>
        <v>28107.499999999996</v>
      </c>
      <c r="D14" s="24">
        <f>(+'I Trimestre'!D14+'II Trimestre'!D14)/2</f>
        <v>23524.166666666664</v>
      </c>
      <c r="E14" s="24">
        <f>(+'I Trimestre'!E14+'II Trimestre'!E14)/2</f>
        <v>4583.333333333333</v>
      </c>
      <c r="F14" s="24">
        <f t="shared" si="2"/>
        <v>118710.16666666666</v>
      </c>
      <c r="G14" s="24">
        <f>(+'I Trimestre'!G14+'II Trimestre'!G14)/2</f>
        <v>96651.833333333328</v>
      </c>
      <c r="H14" s="24">
        <f>(+'I Trimestre'!H14+'II Trimestre'!H14)/2</f>
        <v>3704.833333333333</v>
      </c>
      <c r="I14" s="37">
        <f>(+'I Trimestre'!I14+'II Trimestre'!I14)/2</f>
        <v>18353.5</v>
      </c>
      <c r="J14" s="37">
        <f>(+'I Trimestre'!J14+'II Trimestre'!J14)/2</f>
        <v>23853.166666666664</v>
      </c>
      <c r="K14" s="24">
        <f>(+'I Trimestre'!K14+'II Trimestre'!K14)/2</f>
        <v>8086.6666666666661</v>
      </c>
      <c r="L14" s="24">
        <f>(+'I Trimestre'!L14+'II Trimestre'!L14)/2</f>
        <v>1121.5</v>
      </c>
      <c r="M14" s="98">
        <f>(+'I Trimestre'!M14+'II Trimestre'!M14)/2</f>
        <v>0</v>
      </c>
      <c r="N14" s="100">
        <f>(+'I Trimestre'!N14+'II Trimestre'!N14)/2</f>
        <v>0</v>
      </c>
      <c r="O14" s="100">
        <f>(+'I Trimestre'!O14+'II Trimestre'!O14)/2</f>
        <v>0</v>
      </c>
      <c r="P14" s="100">
        <f>(+'I Trimestre'!P14+'II Trimestre'!P14)/2</f>
        <v>0</v>
      </c>
    </row>
    <row r="15" spans="1:16" x14ac:dyDescent="0.25">
      <c r="A15" s="27" t="s">
        <v>37</v>
      </c>
      <c r="B15" s="24">
        <f t="shared" si="0"/>
        <v>99035.333333333343</v>
      </c>
      <c r="C15" s="52">
        <f t="shared" si="1"/>
        <v>22048.333333333332</v>
      </c>
      <c r="D15" s="24">
        <f>(+'I Trimestre'!D15+'II Trimestre'!D15)/2</f>
        <v>17465</v>
      </c>
      <c r="E15" s="24">
        <f>(+'I Trimestre'!E15+'II Trimestre'!E15)/2</f>
        <v>4583.333333333333</v>
      </c>
      <c r="F15" s="24">
        <f t="shared" si="2"/>
        <v>103628.66666666667</v>
      </c>
      <c r="G15" s="24">
        <f>(+'I Trimestre'!G15+'II Trimestre'!G15)/2</f>
        <v>81570.333333333343</v>
      </c>
      <c r="H15" s="24">
        <f>(+'I Trimestre'!H15+'II Trimestre'!H15)/2</f>
        <v>3704.833333333333</v>
      </c>
      <c r="I15" s="37">
        <f>(+'I Trimestre'!I15+'II Trimestre'!I15)/2</f>
        <v>18353.5</v>
      </c>
      <c r="J15" s="37">
        <f>(+'I Trimestre'!J15+'II Trimestre'!J15)/2</f>
        <v>23853.166666666664</v>
      </c>
      <c r="K15" s="24">
        <f>(+'I Trimestre'!K15+'II Trimestre'!K15)/2</f>
        <v>8086.6666666666661</v>
      </c>
      <c r="L15" s="24">
        <f>(+'I Trimestre'!L15+'II Trimestre'!L15)/2</f>
        <v>1121.5</v>
      </c>
      <c r="M15" s="98">
        <f>(+'I Trimestre'!M15+'II Trimestre'!M15)/2</f>
        <v>0</v>
      </c>
      <c r="N15" s="100">
        <f>(+'I Trimestre'!N15+'II Trimestre'!N15)/2</f>
        <v>0</v>
      </c>
      <c r="O15" s="100">
        <f>(+'I Trimestre'!O15+'II Trimestre'!O15)/2</f>
        <v>0</v>
      </c>
      <c r="P15" s="100">
        <f>(+'I Trimestre'!P15+'II Trimestre'!P15)/2</f>
        <v>0</v>
      </c>
    </row>
    <row r="16" spans="1:16" x14ac:dyDescent="0.25">
      <c r="A16" s="3" t="s">
        <v>89</v>
      </c>
      <c r="B16" s="24">
        <f t="shared" si="0"/>
        <v>133387</v>
      </c>
      <c r="C16" s="52">
        <f t="shared" si="1"/>
        <v>41541</v>
      </c>
      <c r="D16" s="4">
        <f>+'II Trimestre'!D16</f>
        <v>34173</v>
      </c>
      <c r="E16" s="4">
        <f>+'II Trimestre'!E16</f>
        <v>7368</v>
      </c>
      <c r="F16" s="24">
        <f t="shared" si="2"/>
        <v>133074</v>
      </c>
      <c r="G16" s="4">
        <f>+'II Trimestre'!G16</f>
        <v>99214</v>
      </c>
      <c r="H16" s="4">
        <f>+'II Trimestre'!H16</f>
        <v>5494</v>
      </c>
      <c r="I16" s="37">
        <f>'II Trimestre'!I16</f>
        <v>28366</v>
      </c>
      <c r="J16" s="37">
        <f>'II Trimestre'!J16</f>
        <v>30737</v>
      </c>
      <c r="K16" s="4">
        <f>+'II Trimestre'!K16</f>
        <v>9270</v>
      </c>
      <c r="L16" s="4">
        <f>+'II Trimestre'!L16</f>
        <v>3596</v>
      </c>
      <c r="M16" s="99">
        <f>+'II Trimestre'!M16</f>
        <v>0</v>
      </c>
      <c r="N16" s="101">
        <f>+'II Trimestre'!N16</f>
        <v>0</v>
      </c>
      <c r="O16" s="101">
        <f>+'II Trimestre'!O16</f>
        <v>0</v>
      </c>
      <c r="P16" s="101">
        <f>+'II Trimestre'!P16</f>
        <v>1000</v>
      </c>
    </row>
    <row r="17" spans="1:16" x14ac:dyDescent="0.25">
      <c r="B17" s="22"/>
      <c r="C17" s="22"/>
      <c r="D17" s="22"/>
      <c r="E17" s="22"/>
      <c r="F17" s="22"/>
      <c r="G17" s="22"/>
      <c r="H17" s="22"/>
      <c r="I17" s="45"/>
      <c r="J17" s="45"/>
      <c r="K17" s="22"/>
    </row>
    <row r="18" spans="1:16" x14ac:dyDescent="0.25">
      <c r="A18" s="6" t="s">
        <v>8</v>
      </c>
      <c r="B18" s="22"/>
      <c r="C18" s="22"/>
      <c r="D18" s="22"/>
      <c r="E18" s="22"/>
      <c r="F18" s="22"/>
      <c r="G18" s="22"/>
      <c r="H18" s="22"/>
      <c r="I18" s="45"/>
      <c r="J18" s="45"/>
      <c r="K18" s="22"/>
    </row>
    <row r="19" spans="1:16" x14ac:dyDescent="0.25">
      <c r="A19" s="3" t="s">
        <v>70</v>
      </c>
      <c r="B19" s="24">
        <f>C19+F19+K19+L19+M19+N19</f>
        <v>5707875725</v>
      </c>
      <c r="C19" s="24">
        <f>+'I Trimestre'!C19+'II Trimestre'!C19</f>
        <v>2072896848</v>
      </c>
      <c r="D19" s="40"/>
      <c r="E19" s="40"/>
      <c r="F19" s="54">
        <f>+'I Trimestre'!F19+'II Trimestre'!F19</f>
        <v>2496351350</v>
      </c>
      <c r="G19" s="40"/>
      <c r="H19" s="40"/>
      <c r="I19" s="40"/>
      <c r="J19" s="40"/>
      <c r="K19" s="24">
        <f>+'I Trimestre'!K19+'II Trimestre'!K19</f>
        <v>1041345813</v>
      </c>
      <c r="L19" s="24">
        <f>+'I Trimestre'!L19+'II Trimestre'!L19</f>
        <v>97281714</v>
      </c>
      <c r="M19" s="103">
        <f>+'I Trimestre'!M19+'II Trimestre'!M19</f>
        <v>0</v>
      </c>
      <c r="N19" s="103">
        <f>+'I Trimestre'!N19+'II Trimestre'!N19</f>
        <v>0</v>
      </c>
      <c r="O19" s="103">
        <f>+'I Trimestre'!O19+'II Trimestre'!O19</f>
        <v>0</v>
      </c>
      <c r="P19" s="103">
        <f>+'I Trimestre'!P19+'II Trimestre'!P19</f>
        <v>0</v>
      </c>
    </row>
    <row r="20" spans="1:16" x14ac:dyDescent="0.25">
      <c r="A20" s="61" t="s">
        <v>119</v>
      </c>
      <c r="B20" s="24">
        <f t="shared" ref="B20:B23" si="3">C20+F20+K20+L20+M20+N20</f>
        <v>9542252600.6680012</v>
      </c>
      <c r="C20" s="24">
        <f>+'I Trimestre'!C20+'II Trimestre'!C20</f>
        <v>3195897160</v>
      </c>
      <c r="D20" s="40"/>
      <c r="E20" s="40"/>
      <c r="F20" s="55">
        <f>+'I Trimestre'!F20+'II Trimestre'!F20</f>
        <v>3565851083.1680007</v>
      </c>
      <c r="G20" s="40"/>
      <c r="H20" s="40"/>
      <c r="I20" s="40"/>
      <c r="J20" s="40"/>
      <c r="K20" s="24">
        <f>+'I Trimestre'!K20+'II Trimestre'!K20</f>
        <v>1510083000</v>
      </c>
      <c r="L20" s="24">
        <f>+'I Trimestre'!L20+'II Trimestre'!L20</f>
        <v>987513275</v>
      </c>
      <c r="M20" s="103">
        <f>+'I Trimestre'!M20+'II Trimestre'!M20</f>
        <v>252908082.5</v>
      </c>
      <c r="N20" s="103">
        <f>+'I Trimestre'!N20+'II Trimestre'!N20</f>
        <v>30000000</v>
      </c>
      <c r="O20" s="103">
        <f>+'I Trimestre'!O20+'II Trimestre'!O20</f>
        <v>0</v>
      </c>
      <c r="P20" s="103">
        <f>+'I Trimestre'!P20+'II Trimestre'!P20</f>
        <v>0</v>
      </c>
    </row>
    <row r="21" spans="1:16" x14ac:dyDescent="0.25">
      <c r="A21" s="3" t="s">
        <v>120</v>
      </c>
      <c r="B21" s="24">
        <f t="shared" si="3"/>
        <v>6002378113.3699999</v>
      </c>
      <c r="C21" s="24">
        <f>+'I Trimestre'!C21+'II Trimestre'!C21</f>
        <v>2222685580</v>
      </c>
      <c r="D21" s="40"/>
      <c r="E21" s="40"/>
      <c r="F21" s="55">
        <f>+'I Trimestre'!F21+'II Trimestre'!F21</f>
        <v>2510688898.1999998</v>
      </c>
      <c r="G21" s="40"/>
      <c r="H21" s="40"/>
      <c r="I21" s="40"/>
      <c r="J21" s="40"/>
      <c r="K21" s="24">
        <f>+'I Trimestre'!K21+'II Trimestre'!K21</f>
        <v>1063696936.1700001</v>
      </c>
      <c r="L21" s="24">
        <f>+'I Trimestre'!L21+'II Trimestre'!L21</f>
        <v>205306699</v>
      </c>
      <c r="M21" s="103">
        <f>+'I Trimestre'!M21+'II Trimestre'!M21</f>
        <v>0</v>
      </c>
      <c r="N21" s="103">
        <f>+'I Trimestre'!N21+'II Trimestre'!N21</f>
        <v>0</v>
      </c>
      <c r="O21" s="103">
        <f>+'I Trimestre'!O21+'II Trimestre'!O21</f>
        <v>0</v>
      </c>
      <c r="P21" s="103">
        <f>+'I Trimestre'!P21+'II Trimestre'!P21</f>
        <v>0</v>
      </c>
    </row>
    <row r="22" spans="1:16" x14ac:dyDescent="0.25">
      <c r="A22" s="3" t="s">
        <v>89</v>
      </c>
      <c r="B22" s="24">
        <f t="shared" si="3"/>
        <v>19006630632.792</v>
      </c>
      <c r="C22" s="24">
        <f>+'II Trimestre'!C22</f>
        <v>6391825820</v>
      </c>
      <c r="D22" s="40"/>
      <c r="E22" s="40"/>
      <c r="F22" s="55">
        <f>+'II Trimestre'!F22</f>
        <v>7392109607.7919998</v>
      </c>
      <c r="G22" s="40"/>
      <c r="H22" s="40"/>
      <c r="I22" s="40"/>
      <c r="J22" s="40"/>
      <c r="K22" s="24">
        <f>+'II Trimestre'!K22</f>
        <v>3020166000</v>
      </c>
      <c r="L22" s="24">
        <f>+'II Trimestre'!L22</f>
        <v>2172529205</v>
      </c>
      <c r="M22" s="103">
        <f>+'II Trimestre'!M22</f>
        <v>0</v>
      </c>
      <c r="N22" s="103">
        <f>+'II Trimestre'!N22</f>
        <v>30000000</v>
      </c>
      <c r="O22" s="103">
        <f>+'II Trimestre'!O22</f>
        <v>300000000</v>
      </c>
      <c r="P22" s="103">
        <f>+'II Trimestre'!P22</f>
        <v>210000000</v>
      </c>
    </row>
    <row r="23" spans="1:16" x14ac:dyDescent="0.25">
      <c r="A23" s="3" t="s">
        <v>121</v>
      </c>
      <c r="B23" s="52">
        <f>C23+F23+K23+L23+N23</f>
        <v>6002378113.3699999</v>
      </c>
      <c r="C23" s="4">
        <f>C21</f>
        <v>2222685580</v>
      </c>
      <c r="D23" s="40"/>
      <c r="E23" s="40"/>
      <c r="F23" s="40">
        <f>F21</f>
        <v>2510688898.1999998</v>
      </c>
      <c r="G23" s="40"/>
      <c r="H23" s="40"/>
      <c r="I23" s="40"/>
      <c r="J23" s="40"/>
      <c r="K23" s="4">
        <f>K21</f>
        <v>1063696936.1700001</v>
      </c>
      <c r="L23" s="4">
        <f>L21</f>
        <v>205306699</v>
      </c>
      <c r="M23" s="105">
        <f>M21</f>
        <v>0</v>
      </c>
      <c r="N23" s="104">
        <f>N21</f>
        <v>0</v>
      </c>
      <c r="O23" s="104">
        <f t="shared" ref="O23:P23" si="4">O21</f>
        <v>0</v>
      </c>
      <c r="P23" s="104">
        <f t="shared" si="4"/>
        <v>0</v>
      </c>
    </row>
    <row r="24" spans="1:16" x14ac:dyDescent="0.25">
      <c r="B24" s="22"/>
      <c r="C24" s="22"/>
      <c r="D24" s="22"/>
      <c r="E24" s="22"/>
      <c r="F24" s="22"/>
      <c r="G24" s="22"/>
      <c r="H24" s="22"/>
      <c r="I24" s="45"/>
      <c r="J24" s="45"/>
      <c r="K24" s="22"/>
    </row>
    <row r="25" spans="1:16" x14ac:dyDescent="0.25">
      <c r="A25" s="7" t="s">
        <v>9</v>
      </c>
      <c r="B25" s="23"/>
      <c r="C25" s="23"/>
      <c r="D25" s="23"/>
      <c r="E25" s="23"/>
      <c r="F25" s="23"/>
      <c r="G25" s="23"/>
      <c r="H25" s="23"/>
      <c r="I25" s="23"/>
      <c r="J25" s="23"/>
      <c r="K25" s="23"/>
      <c r="L25" s="23"/>
    </row>
    <row r="26" spans="1:16" x14ac:dyDescent="0.25">
      <c r="A26" s="9" t="s">
        <v>119</v>
      </c>
      <c r="B26" s="23">
        <f>+B20</f>
        <v>9542252600.6680012</v>
      </c>
      <c r="C26" s="23"/>
      <c r="D26" s="23"/>
      <c r="E26" s="23"/>
      <c r="F26" s="23"/>
      <c r="G26" s="23"/>
      <c r="H26" s="23"/>
      <c r="I26" s="23"/>
      <c r="J26" s="23"/>
      <c r="K26" s="23"/>
      <c r="L26" s="23"/>
    </row>
    <row r="27" spans="1:16" x14ac:dyDescent="0.25">
      <c r="A27" s="9" t="s">
        <v>120</v>
      </c>
      <c r="B27" s="23">
        <f>+'I Trimestre'!B27+'II Trimestre'!B27</f>
        <v>6755391414.4899998</v>
      </c>
      <c r="C27" s="23"/>
      <c r="D27" s="23"/>
      <c r="E27" s="23"/>
      <c r="F27" s="23"/>
      <c r="G27" s="23"/>
      <c r="H27" s="23"/>
      <c r="I27" s="23"/>
      <c r="J27" s="23"/>
      <c r="K27" s="23"/>
      <c r="L27" s="23"/>
    </row>
    <row r="28" spans="1:16" x14ac:dyDescent="0.25">
      <c r="I28" s="32"/>
      <c r="J28" s="32"/>
    </row>
    <row r="29" spans="1:16" x14ac:dyDescent="0.25">
      <c r="A29" t="s">
        <v>10</v>
      </c>
      <c r="I29" s="32"/>
      <c r="J29" s="32"/>
    </row>
    <row r="30" spans="1:16" x14ac:dyDescent="0.25">
      <c r="A30" s="10" t="s">
        <v>71</v>
      </c>
      <c r="B30" s="11">
        <v>1.61</v>
      </c>
      <c r="C30" s="11">
        <v>1.61</v>
      </c>
      <c r="D30" s="11">
        <v>1.61</v>
      </c>
      <c r="E30" s="11">
        <v>1.61</v>
      </c>
      <c r="F30" s="11">
        <v>1.61</v>
      </c>
      <c r="G30" s="11">
        <v>1.61</v>
      </c>
      <c r="H30" s="11">
        <v>1.61</v>
      </c>
      <c r="I30" s="11">
        <v>1.61</v>
      </c>
      <c r="J30" s="11">
        <v>1.61</v>
      </c>
      <c r="K30" s="11">
        <v>1.61</v>
      </c>
      <c r="L30" s="11">
        <v>1.61</v>
      </c>
      <c r="M30" s="11">
        <v>1.61</v>
      </c>
      <c r="N30" s="11">
        <v>1.61</v>
      </c>
      <c r="O30" s="11">
        <v>1.61</v>
      </c>
      <c r="P30" s="11">
        <v>1.61</v>
      </c>
    </row>
    <row r="31" spans="1:16" x14ac:dyDescent="0.25">
      <c r="A31" s="10" t="s">
        <v>122</v>
      </c>
      <c r="B31" s="11">
        <v>1.67</v>
      </c>
      <c r="C31" s="11">
        <v>1.67</v>
      </c>
      <c r="D31" s="11">
        <v>1.67</v>
      </c>
      <c r="E31" s="11">
        <v>1.67</v>
      </c>
      <c r="F31" s="11">
        <v>1.67</v>
      </c>
      <c r="G31" s="11">
        <v>1.67</v>
      </c>
      <c r="H31" s="11">
        <v>1.67</v>
      </c>
      <c r="I31" s="11">
        <v>1.67</v>
      </c>
      <c r="J31" s="11">
        <v>1.67</v>
      </c>
      <c r="K31" s="11">
        <v>1.67</v>
      </c>
      <c r="L31" s="11">
        <v>1.67</v>
      </c>
      <c r="M31" s="11">
        <v>1.67</v>
      </c>
      <c r="N31" s="11">
        <v>1.67</v>
      </c>
      <c r="O31" s="11">
        <v>1.67</v>
      </c>
      <c r="P31" s="11">
        <v>1.67</v>
      </c>
    </row>
    <row r="32" spans="1:16" x14ac:dyDescent="0.25">
      <c r="A32" s="3" t="s">
        <v>11</v>
      </c>
      <c r="B32" s="4">
        <v>112666</v>
      </c>
      <c r="C32" s="4">
        <v>112666</v>
      </c>
      <c r="D32" s="4">
        <v>112666</v>
      </c>
      <c r="E32" s="4">
        <v>112666</v>
      </c>
      <c r="F32" s="4">
        <v>112666</v>
      </c>
      <c r="G32" s="4">
        <v>112666</v>
      </c>
      <c r="H32" s="4">
        <v>112666</v>
      </c>
      <c r="I32" s="4">
        <v>112666</v>
      </c>
      <c r="J32" s="4">
        <v>112666</v>
      </c>
      <c r="K32" s="4">
        <v>112666</v>
      </c>
      <c r="L32" s="4">
        <v>112666</v>
      </c>
      <c r="M32" s="4">
        <v>112666</v>
      </c>
      <c r="N32" s="4">
        <v>112666</v>
      </c>
      <c r="O32" s="4">
        <v>112666</v>
      </c>
      <c r="P32" s="4">
        <v>112666</v>
      </c>
    </row>
    <row r="33" spans="1:16" x14ac:dyDescent="0.25">
      <c r="I33" s="32"/>
      <c r="J33" s="32"/>
    </row>
    <row r="34" spans="1:16" x14ac:dyDescent="0.25">
      <c r="A34" s="12" t="s">
        <v>12</v>
      </c>
      <c r="B34" s="13"/>
      <c r="C34" s="13"/>
      <c r="D34" s="51"/>
      <c r="E34" s="51"/>
      <c r="F34" s="51"/>
      <c r="G34" s="87"/>
      <c r="H34" s="87"/>
      <c r="I34" s="87"/>
      <c r="J34" s="87"/>
      <c r="K34" s="13"/>
      <c r="L34" s="13"/>
      <c r="M34" s="13"/>
      <c r="N34" s="13"/>
    </row>
    <row r="35" spans="1:16" x14ac:dyDescent="0.25">
      <c r="A35" s="13" t="s">
        <v>72</v>
      </c>
      <c r="B35" s="14">
        <f>B19/B30</f>
        <v>3545264425.4658384</v>
      </c>
      <c r="C35" s="50">
        <f>C19/C30</f>
        <v>1287513570.1863353</v>
      </c>
      <c r="D35" s="50"/>
      <c r="E35" s="50"/>
      <c r="F35" s="50">
        <f>F19/F30</f>
        <v>1550528788.8198757</v>
      </c>
      <c r="G35" s="50"/>
      <c r="H35" s="50"/>
      <c r="I35" s="50"/>
      <c r="J35" s="50"/>
      <c r="K35" s="14">
        <f t="shared" ref="K35:P35" si="5">K19/K30</f>
        <v>646798641.61490679</v>
      </c>
      <c r="L35" s="14">
        <f t="shared" si="5"/>
        <v>60423424.84472049</v>
      </c>
      <c r="M35" s="14">
        <f t="shared" si="5"/>
        <v>0</v>
      </c>
      <c r="N35" s="14">
        <f t="shared" si="5"/>
        <v>0</v>
      </c>
      <c r="O35" s="14">
        <f t="shared" si="5"/>
        <v>0</v>
      </c>
      <c r="P35" s="14">
        <f t="shared" si="5"/>
        <v>0</v>
      </c>
    </row>
    <row r="36" spans="1:16" x14ac:dyDescent="0.25">
      <c r="A36" s="13" t="s">
        <v>123</v>
      </c>
      <c r="B36" s="14">
        <f>B21/B31</f>
        <v>3594238391.239521</v>
      </c>
      <c r="C36" s="50">
        <f>C21/C31</f>
        <v>1330949449.1017964</v>
      </c>
      <c r="D36" s="50"/>
      <c r="E36" s="50"/>
      <c r="F36" s="50">
        <f>F21/F31</f>
        <v>1503406525.8682635</v>
      </c>
      <c r="G36" s="50"/>
      <c r="H36" s="50"/>
      <c r="I36" s="50"/>
      <c r="J36" s="50"/>
      <c r="K36" s="14">
        <f>K21/K31</f>
        <v>636944273.15568864</v>
      </c>
      <c r="L36" s="14">
        <f>L21/L31</f>
        <v>122938143.11377247</v>
      </c>
      <c r="M36" s="14">
        <f t="shared" ref="M36:P36" si="6">M21/M31</f>
        <v>0</v>
      </c>
      <c r="N36" s="14">
        <f t="shared" si="6"/>
        <v>0</v>
      </c>
      <c r="O36" s="14">
        <f t="shared" si="6"/>
        <v>0</v>
      </c>
      <c r="P36" s="14">
        <f t="shared" si="6"/>
        <v>0</v>
      </c>
    </row>
    <row r="37" spans="1:16" x14ac:dyDescent="0.25">
      <c r="A37" s="13" t="s">
        <v>73</v>
      </c>
      <c r="B37" s="14">
        <f>B35/B10</f>
        <v>29409.485203438493</v>
      </c>
      <c r="C37" s="50">
        <f>C35/C10</f>
        <v>48938.141707641305</v>
      </c>
      <c r="D37" s="50"/>
      <c r="E37" s="50"/>
      <c r="F37" s="50">
        <f>F35/F10</f>
        <v>13118.118308931033</v>
      </c>
      <c r="G37" s="50"/>
      <c r="H37" s="50"/>
      <c r="I37" s="50"/>
      <c r="J37" s="50"/>
      <c r="K37" s="14">
        <f>K35/K10</f>
        <v>135734.73644466582</v>
      </c>
      <c r="L37" s="14">
        <f>L35/L10</f>
        <v>107419.42194616976</v>
      </c>
      <c r="M37" s="14" t="e">
        <f t="shared" ref="M37:P37" si="7">M35/M10</f>
        <v>#DIV/0!</v>
      </c>
      <c r="N37" s="14" t="e">
        <f t="shared" si="7"/>
        <v>#DIV/0!</v>
      </c>
      <c r="O37" s="14" t="e">
        <f t="shared" si="7"/>
        <v>#DIV/0!</v>
      </c>
      <c r="P37" s="14" t="e">
        <f t="shared" si="7"/>
        <v>#DIV/0!</v>
      </c>
    </row>
    <row r="38" spans="1:16" x14ac:dyDescent="0.25">
      <c r="A38" s="13" t="s">
        <v>124</v>
      </c>
      <c r="B38" s="14">
        <f>B36/B14</f>
        <v>29908.121349017449</v>
      </c>
      <c r="C38" s="50">
        <f>C36/C14</f>
        <v>47352.110614668563</v>
      </c>
      <c r="D38" s="50"/>
      <c r="E38" s="50"/>
      <c r="F38" s="50">
        <f>F36/F14</f>
        <v>12664.513647679125</v>
      </c>
      <c r="G38" s="50"/>
      <c r="H38" s="50"/>
      <c r="I38" s="50"/>
      <c r="J38" s="50"/>
      <c r="K38" s="34">
        <f>K36/K14</f>
        <v>78764.749359730675</v>
      </c>
      <c r="L38" s="34">
        <f>L36/L14</f>
        <v>109619.38752899908</v>
      </c>
      <c r="M38" s="34" t="e">
        <f t="shared" ref="M38:P38" si="8">M36/M14</f>
        <v>#DIV/0!</v>
      </c>
      <c r="N38" s="34" t="e">
        <f t="shared" si="8"/>
        <v>#DIV/0!</v>
      </c>
      <c r="O38" s="34" t="e">
        <f t="shared" si="8"/>
        <v>#DIV/0!</v>
      </c>
      <c r="P38" s="34" t="e">
        <f t="shared" si="8"/>
        <v>#DIV/0!</v>
      </c>
    </row>
    <row r="39" spans="1:16" x14ac:dyDescent="0.25">
      <c r="I39" s="32"/>
      <c r="J39" s="32"/>
    </row>
    <row r="40" spans="1:16" x14ac:dyDescent="0.25">
      <c r="A40" s="2" t="s">
        <v>13</v>
      </c>
      <c r="I40" s="32"/>
      <c r="J40" s="32"/>
    </row>
    <row r="41" spans="1:16" x14ac:dyDescent="0.25">
      <c r="I41" s="32"/>
      <c r="J41" s="32"/>
    </row>
    <row r="42" spans="1:16" x14ac:dyDescent="0.25">
      <c r="A42" t="s">
        <v>14</v>
      </c>
      <c r="I42" s="32"/>
      <c r="J42" s="32"/>
    </row>
    <row r="43" spans="1:16" x14ac:dyDescent="0.25">
      <c r="A43" t="s">
        <v>15</v>
      </c>
      <c r="B43" s="17">
        <f>(B13/B32)*100</f>
        <v>107.45788436617968</v>
      </c>
      <c r="C43" s="17">
        <f t="shared" ref="C43:N43" si="9">(C13/C32)*100</f>
        <v>29.765856602701788</v>
      </c>
      <c r="D43" s="17">
        <f t="shared" si="9"/>
        <v>23.226172935934532</v>
      </c>
      <c r="E43" s="17">
        <f t="shared" si="9"/>
        <v>6.5396836667672584</v>
      </c>
      <c r="F43" s="17">
        <f t="shared" si="9"/>
        <v>114.28469990946692</v>
      </c>
      <c r="G43" s="17">
        <f t="shared" si="9"/>
        <v>84.231711430245156</v>
      </c>
      <c r="H43" s="17">
        <f t="shared" si="9"/>
        <v>4.8759164255409795</v>
      </c>
      <c r="I43" s="17">
        <f t="shared" si="9"/>
        <v>25.177072053680792</v>
      </c>
      <c r="J43" s="17">
        <f t="shared" si="9"/>
        <v>27.281078586263824</v>
      </c>
      <c r="K43" s="17">
        <f t="shared" si="9"/>
        <v>8.2278593364457784</v>
      </c>
      <c r="L43" s="17">
        <f t="shared" si="9"/>
        <v>2.9014964585589267</v>
      </c>
      <c r="M43" s="17">
        <f t="shared" si="9"/>
        <v>0</v>
      </c>
      <c r="N43" s="17">
        <f t="shared" si="9"/>
        <v>0</v>
      </c>
    </row>
    <row r="44" spans="1:16" x14ac:dyDescent="0.25">
      <c r="A44" t="s">
        <v>16</v>
      </c>
      <c r="B44" s="17">
        <f>(B15/B32)*100</f>
        <v>87.901703560376106</v>
      </c>
      <c r="C44" s="17">
        <f t="shared" ref="C44:N44" si="10">(C15/C32)*100</f>
        <v>19.569642423919667</v>
      </c>
      <c r="D44" s="17">
        <f t="shared" si="10"/>
        <v>15.501571015213109</v>
      </c>
      <c r="E44" s="17">
        <f t="shared" si="10"/>
        <v>4.0680714087065608</v>
      </c>
      <c r="F44" s="17">
        <f t="shared" si="10"/>
        <v>91.97865076124711</v>
      </c>
      <c r="G44" s="17">
        <f t="shared" si="10"/>
        <v>72.400132545163004</v>
      </c>
      <c r="H44" s="17">
        <f t="shared" si="10"/>
        <v>3.2883330670595678</v>
      </c>
      <c r="I44" s="17">
        <f t="shared" si="10"/>
        <v>16.290185149024548</v>
      </c>
      <c r="J44" s="17">
        <f t="shared" si="10"/>
        <v>21.171574979733606</v>
      </c>
      <c r="K44" s="17">
        <f t="shared" si="10"/>
        <v>7.1775572636524467</v>
      </c>
      <c r="L44" s="17">
        <f t="shared" si="10"/>
        <v>0.99542009124314346</v>
      </c>
      <c r="M44" s="17">
        <f t="shared" si="10"/>
        <v>0</v>
      </c>
      <c r="N44" s="17">
        <f t="shared" si="10"/>
        <v>0</v>
      </c>
    </row>
    <row r="45" spans="1:16" x14ac:dyDescent="0.25">
      <c r="I45" s="32"/>
      <c r="J45" s="32"/>
    </row>
    <row r="46" spans="1:16" x14ac:dyDescent="0.25">
      <c r="A46" t="s">
        <v>17</v>
      </c>
      <c r="I46" s="32"/>
      <c r="J46" s="32"/>
    </row>
    <row r="47" spans="1:16" x14ac:dyDescent="0.25">
      <c r="A47" t="s">
        <v>18</v>
      </c>
      <c r="B47" s="15">
        <f>B14/B12*100</f>
        <v>93.106520565775114</v>
      </c>
      <c r="C47" s="15">
        <f t="shared" ref="C47:N47" si="11">C14/C12*100</f>
        <v>67.661797333568714</v>
      </c>
      <c r="D47" s="15">
        <f t="shared" si="11"/>
        <v>68.838123478947907</v>
      </c>
      <c r="E47" s="15">
        <f t="shared" si="11"/>
        <v>62.205935577271077</v>
      </c>
      <c r="F47" s="15">
        <f t="shared" si="11"/>
        <v>92.194910427669043</v>
      </c>
      <c r="G47" s="15">
        <f t="shared" si="11"/>
        <v>101.84544162921516</v>
      </c>
      <c r="H47" s="15">
        <f t="shared" si="11"/>
        <v>67.440308243075137</v>
      </c>
      <c r="I47" s="15">
        <f t="shared" si="11"/>
        <v>64.702460692378196</v>
      </c>
      <c r="J47" s="15">
        <f t="shared" si="11"/>
        <v>77.605344351720802</v>
      </c>
      <c r="K47" s="15">
        <f t="shared" si="11"/>
        <v>87.234807623157124</v>
      </c>
      <c r="L47" s="15">
        <f t="shared" si="11"/>
        <v>34.307127561945549</v>
      </c>
      <c r="M47" s="15" t="e">
        <f t="shared" si="11"/>
        <v>#DIV/0!</v>
      </c>
      <c r="N47" s="15" t="e">
        <f t="shared" si="11"/>
        <v>#DIV/0!</v>
      </c>
    </row>
    <row r="48" spans="1:16" x14ac:dyDescent="0.25">
      <c r="A48" t="s">
        <v>19</v>
      </c>
      <c r="B48" s="15">
        <f>B21/B20*100</f>
        <v>62.90315677610343</v>
      </c>
      <c r="C48" s="15">
        <f>C21/C20*100</f>
        <v>69.548094595133975</v>
      </c>
      <c r="D48" s="15"/>
      <c r="E48" s="15"/>
      <c r="F48" s="58">
        <f>F21/F20*100</f>
        <v>70.409247039263192</v>
      </c>
      <c r="G48" s="58"/>
      <c r="H48" s="58"/>
      <c r="I48" s="58"/>
      <c r="J48" s="58"/>
      <c r="K48" s="15">
        <f>K21/K20*100</f>
        <v>70.439633859198466</v>
      </c>
      <c r="L48" s="15">
        <f>L21/L20*100</f>
        <v>20.790272313048145</v>
      </c>
      <c r="M48" s="15">
        <f t="shared" ref="M48:N48" si="12">M21/M20*100</f>
        <v>0</v>
      </c>
      <c r="N48" s="15">
        <f t="shared" si="12"/>
        <v>0</v>
      </c>
    </row>
    <row r="49" spans="1:14" x14ac:dyDescent="0.25">
      <c r="A49" s="13" t="s">
        <v>20</v>
      </c>
      <c r="B49" s="16">
        <f>AVERAGE(B47:B48)</f>
        <v>78.004838670939279</v>
      </c>
      <c r="C49" s="16">
        <f t="shared" ref="C49:N49" si="13">AVERAGE(C47:C48)</f>
        <v>68.604945964351344</v>
      </c>
      <c r="D49" s="16"/>
      <c r="E49" s="16"/>
      <c r="F49" s="59">
        <f>AVERAGE(F47:F48)</f>
        <v>81.302078733466118</v>
      </c>
      <c r="G49" s="59"/>
      <c r="H49" s="59"/>
      <c r="I49" s="59"/>
      <c r="J49" s="59"/>
      <c r="K49" s="16">
        <f t="shared" si="13"/>
        <v>78.837220741177788</v>
      </c>
      <c r="L49" s="16">
        <f t="shared" si="13"/>
        <v>27.548699937496849</v>
      </c>
      <c r="M49" s="16" t="e">
        <f t="shared" si="13"/>
        <v>#DIV/0!</v>
      </c>
      <c r="N49" s="16" t="e">
        <f t="shared" si="13"/>
        <v>#DIV/0!</v>
      </c>
    </row>
    <row r="50" spans="1:14" x14ac:dyDescent="0.25">
      <c r="B50" s="15"/>
      <c r="C50" s="15"/>
      <c r="D50" s="15"/>
      <c r="E50" s="15"/>
      <c r="F50" s="15"/>
      <c r="G50" s="15"/>
      <c r="H50" s="15"/>
      <c r="I50" s="15"/>
      <c r="J50" s="15"/>
      <c r="K50" s="15"/>
      <c r="L50" s="15"/>
    </row>
    <row r="51" spans="1:14" x14ac:dyDescent="0.25">
      <c r="A51" t="s">
        <v>21</v>
      </c>
    </row>
    <row r="52" spans="1:14" x14ac:dyDescent="0.25">
      <c r="A52" t="s">
        <v>22</v>
      </c>
      <c r="B52" s="15">
        <f>((B14/B16)*100)</f>
        <v>90.09573646607241</v>
      </c>
      <c r="C52" s="15">
        <f t="shared" ref="C52:N52" si="14">((C14/C16)*100)</f>
        <v>67.662068799499281</v>
      </c>
      <c r="D52" s="15">
        <f t="shared" si="14"/>
        <v>68.838459212438664</v>
      </c>
      <c r="E52" s="15">
        <f t="shared" si="14"/>
        <v>62.205935577271077</v>
      </c>
      <c r="F52" s="15">
        <f t="shared" si="14"/>
        <v>89.206130924648434</v>
      </c>
      <c r="G52" s="15">
        <f t="shared" si="14"/>
        <v>97.417535159688484</v>
      </c>
      <c r="H52" s="15">
        <f t="shared" si="14"/>
        <v>67.434170610362813</v>
      </c>
      <c r="I52" s="15">
        <f t="shared" si="14"/>
        <v>64.702460692378196</v>
      </c>
      <c r="J52" s="15">
        <f t="shared" si="14"/>
        <v>77.604081942501423</v>
      </c>
      <c r="K52" s="15">
        <f t="shared" si="14"/>
        <v>87.234807623157124</v>
      </c>
      <c r="L52" s="15">
        <f t="shared" si="14"/>
        <v>31.187430478309231</v>
      </c>
      <c r="M52" s="15" t="e">
        <f t="shared" si="14"/>
        <v>#DIV/0!</v>
      </c>
      <c r="N52" s="15" t="e">
        <f t="shared" si="14"/>
        <v>#DIV/0!</v>
      </c>
    </row>
    <row r="53" spans="1:14" x14ac:dyDescent="0.25">
      <c r="A53" t="s">
        <v>23</v>
      </c>
      <c r="B53" s="15">
        <f>B21/B22*100</f>
        <v>31.580442790392006</v>
      </c>
      <c r="C53" s="15">
        <f>C21/C22*100</f>
        <v>34.773875925173442</v>
      </c>
      <c r="D53" s="15"/>
      <c r="E53" s="15"/>
      <c r="F53" s="15">
        <f>F21/F22*100</f>
        <v>33.964443594741752</v>
      </c>
      <c r="G53" s="15"/>
      <c r="H53" s="15"/>
      <c r="I53" s="15"/>
      <c r="J53" s="15"/>
      <c r="K53" s="15">
        <f t="shared" ref="K53:N53" si="15">K21/K22*100</f>
        <v>35.219816929599233</v>
      </c>
      <c r="L53" s="15">
        <f t="shared" si="15"/>
        <v>9.4501237786582486</v>
      </c>
      <c r="M53" s="15" t="e">
        <f t="shared" si="15"/>
        <v>#DIV/0!</v>
      </c>
      <c r="N53" s="15">
        <f t="shared" si="15"/>
        <v>0</v>
      </c>
    </row>
    <row r="54" spans="1:14" x14ac:dyDescent="0.25">
      <c r="A54" t="s">
        <v>24</v>
      </c>
      <c r="B54" s="17">
        <f>(B52+B53)/2</f>
        <v>60.838089628232211</v>
      </c>
      <c r="C54" s="15">
        <f t="shared" ref="C54:N54" si="16">(C52+C53)/2</f>
        <v>51.217972362336361</v>
      </c>
      <c r="D54" s="15"/>
      <c r="E54" s="15"/>
      <c r="F54" s="15">
        <f t="shared" ref="F54" si="17">(F52+F53)/2</f>
        <v>61.585287259695093</v>
      </c>
      <c r="G54" s="15"/>
      <c r="H54" s="15"/>
      <c r="I54" s="15"/>
      <c r="J54" s="15"/>
      <c r="K54" s="15">
        <f t="shared" si="16"/>
        <v>61.227312276378179</v>
      </c>
      <c r="L54" s="15">
        <f t="shared" si="16"/>
        <v>20.318777128483738</v>
      </c>
      <c r="M54" s="15" t="e">
        <f t="shared" si="16"/>
        <v>#DIV/0!</v>
      </c>
      <c r="N54" s="15" t="e">
        <f t="shared" si="16"/>
        <v>#DIV/0!</v>
      </c>
    </row>
    <row r="55" spans="1:14" x14ac:dyDescent="0.25">
      <c r="B55" s="15"/>
      <c r="C55" s="15"/>
      <c r="D55" s="15"/>
      <c r="E55" s="15"/>
      <c r="F55" s="15"/>
      <c r="G55" s="15"/>
      <c r="H55" s="15"/>
      <c r="I55" s="15"/>
      <c r="J55" s="15"/>
      <c r="K55" s="15"/>
      <c r="L55" s="15"/>
    </row>
    <row r="56" spans="1:14" x14ac:dyDescent="0.25">
      <c r="A56" t="s">
        <v>40</v>
      </c>
    </row>
    <row r="57" spans="1:14" x14ac:dyDescent="0.25">
      <c r="A57" t="s">
        <v>25</v>
      </c>
      <c r="B57" s="15">
        <f>B23/B21*100</f>
        <v>100</v>
      </c>
      <c r="C57" s="15"/>
      <c r="D57" s="15"/>
      <c r="E57" s="15"/>
      <c r="F57" s="15"/>
      <c r="G57" s="15"/>
      <c r="H57" s="15"/>
      <c r="I57" s="15"/>
      <c r="J57" s="15"/>
      <c r="K57" s="15"/>
      <c r="L57" s="15"/>
    </row>
    <row r="59" spans="1:14" x14ac:dyDescent="0.25">
      <c r="A59" t="s">
        <v>26</v>
      </c>
    </row>
    <row r="60" spans="1:14" x14ac:dyDescent="0.25">
      <c r="A60" t="s">
        <v>27</v>
      </c>
      <c r="B60" s="15">
        <f>((B14/B10)-1)*100</f>
        <v>-0.30886642978612544</v>
      </c>
      <c r="C60" s="15">
        <f t="shared" ref="C60:N60" si="18">((C14/C10)-1)*100</f>
        <v>6.8360637044357242</v>
      </c>
      <c r="D60" s="15">
        <f t="shared" si="18"/>
        <v>2.8139158811788745</v>
      </c>
      <c r="E60" s="15">
        <f t="shared" si="18"/>
        <v>33.676842309935836</v>
      </c>
      <c r="F60" s="15">
        <f t="shared" si="18"/>
        <v>0.43373731818918682</v>
      </c>
      <c r="G60" s="15">
        <f t="shared" si="18"/>
        <v>-1.040429482191374</v>
      </c>
      <c r="H60" s="15">
        <f t="shared" si="18"/>
        <v>23.556222555722293</v>
      </c>
      <c r="I60" s="15">
        <f t="shared" si="18"/>
        <v>4.6916890080428875</v>
      </c>
      <c r="J60" s="15">
        <f t="shared" si="18"/>
        <v>7.9011452137003335</v>
      </c>
      <c r="K60" s="15">
        <f t="shared" si="18"/>
        <v>69.70375292924345</v>
      </c>
      <c r="L60" s="15">
        <f t="shared" si="18"/>
        <v>99.377777777777794</v>
      </c>
      <c r="M60" s="15" t="e">
        <f t="shared" si="18"/>
        <v>#DIV/0!</v>
      </c>
      <c r="N60" s="15" t="e">
        <f t="shared" si="18"/>
        <v>#DIV/0!</v>
      </c>
    </row>
    <row r="61" spans="1:14" x14ac:dyDescent="0.25">
      <c r="A61" t="s">
        <v>28</v>
      </c>
      <c r="B61" s="15">
        <f>((B36/B35)-1)*100</f>
        <v>1.3813910585032785</v>
      </c>
      <c r="C61" s="15">
        <f t="shared" ref="C61:N61" si="19">((C36/C35)-1)*100</f>
        <v>3.3736249404481944</v>
      </c>
      <c r="D61" s="15"/>
      <c r="E61" s="15"/>
      <c r="F61" s="15">
        <f t="shared" si="19"/>
        <v>-3.0391091923857472</v>
      </c>
      <c r="G61" s="15"/>
      <c r="H61" s="15"/>
      <c r="I61" s="15"/>
      <c r="J61" s="15"/>
      <c r="K61" s="15">
        <f t="shared" si="19"/>
        <v>-1.5235604754230914</v>
      </c>
      <c r="L61" s="15">
        <f t="shared" si="19"/>
        <v>103.46106403221236</v>
      </c>
      <c r="M61" s="15" t="e">
        <f t="shared" si="19"/>
        <v>#DIV/0!</v>
      </c>
      <c r="N61" s="15" t="e">
        <f t="shared" si="19"/>
        <v>#DIV/0!</v>
      </c>
    </row>
    <row r="62" spans="1:14" x14ac:dyDescent="0.25">
      <c r="A62" s="13" t="s">
        <v>29</v>
      </c>
      <c r="B62" s="16">
        <f>((B38/B37)-1)*100</f>
        <v>1.6954943010041301</v>
      </c>
      <c r="C62" s="16">
        <f t="shared" ref="C62:N62" si="20">((C38/C37)-1)*100</f>
        <v>-3.2408894936137189</v>
      </c>
      <c r="D62" s="16"/>
      <c r="E62" s="16"/>
      <c r="F62" s="16">
        <f t="shared" si="20"/>
        <v>-3.4578485310891471</v>
      </c>
      <c r="G62" s="16"/>
      <c r="H62" s="16"/>
      <c r="I62" s="16"/>
      <c r="J62" s="16"/>
      <c r="K62" s="16">
        <f t="shared" si="20"/>
        <v>-41.971560543133158</v>
      </c>
      <c r="L62" s="16">
        <f t="shared" si="20"/>
        <v>2.0480147285951489</v>
      </c>
      <c r="M62" s="16" t="e">
        <f t="shared" si="20"/>
        <v>#DIV/0!</v>
      </c>
      <c r="N62" s="16" t="e">
        <f t="shared" si="20"/>
        <v>#DIV/0!</v>
      </c>
    </row>
    <row r="63" spans="1:14" x14ac:dyDescent="0.25">
      <c r="B63" s="17"/>
      <c r="C63" s="17"/>
      <c r="D63" s="17"/>
      <c r="E63" s="17"/>
      <c r="F63" s="17"/>
      <c r="G63" s="17"/>
      <c r="H63" s="17"/>
      <c r="I63" s="17"/>
      <c r="J63" s="17"/>
      <c r="K63" s="17"/>
      <c r="L63" s="17"/>
    </row>
    <row r="64" spans="1:14" x14ac:dyDescent="0.25">
      <c r="A64" t="s">
        <v>30</v>
      </c>
    </row>
    <row r="65" spans="1:14" x14ac:dyDescent="0.25">
      <c r="A65" t="s">
        <v>31</v>
      </c>
      <c r="B65" s="4">
        <f>B20/(B12*6)</f>
        <v>12321.455448785062</v>
      </c>
      <c r="C65" s="4">
        <f>C20/(C12*6)</f>
        <v>12822.209133911341</v>
      </c>
      <c r="D65" s="4"/>
      <c r="E65" s="4"/>
      <c r="F65" s="4">
        <f>F20/(F12*6)</f>
        <v>4615.6299616444039</v>
      </c>
      <c r="G65" s="4"/>
      <c r="H65" s="40"/>
      <c r="I65" s="40"/>
      <c r="J65" s="40"/>
      <c r="K65" s="4">
        <f>K20/(K12*6)</f>
        <v>27150</v>
      </c>
      <c r="L65" s="4">
        <f>L20/(L12*6)</f>
        <v>50347.367951463239</v>
      </c>
      <c r="M65" s="4" t="e">
        <f t="shared" ref="M65:N65" si="21">M20/(M12*6)</f>
        <v>#DIV/0!</v>
      </c>
      <c r="N65" s="4" t="e">
        <f t="shared" si="21"/>
        <v>#DIV/0!</v>
      </c>
    </row>
    <row r="66" spans="1:14" x14ac:dyDescent="0.25">
      <c r="A66" t="s">
        <v>32</v>
      </c>
      <c r="B66" s="4">
        <f>B21/(B14*6)</f>
        <v>8324.4271088098558</v>
      </c>
      <c r="C66" s="4">
        <f>C21/(C14*6)</f>
        <v>13179.670787749417</v>
      </c>
      <c r="D66" s="4"/>
      <c r="E66" s="44"/>
      <c r="F66" s="4">
        <f>F21/(F14*6)</f>
        <v>3524.9562986040228</v>
      </c>
      <c r="G66" s="40"/>
      <c r="H66" s="40"/>
      <c r="I66" s="40"/>
      <c r="J66" s="40"/>
      <c r="K66" s="4">
        <f>K21/(K14*6)</f>
        <v>21922.855238458371</v>
      </c>
      <c r="L66" s="4">
        <f>L21/(L14*6)</f>
        <v>30510.72952890474</v>
      </c>
      <c r="M66" s="4" t="e">
        <f t="shared" ref="M66:N66" si="22">M21/(M14*6)</f>
        <v>#DIV/0!</v>
      </c>
      <c r="N66" s="4" t="e">
        <f t="shared" si="22"/>
        <v>#DIV/0!</v>
      </c>
    </row>
    <row r="67" spans="1:14" x14ac:dyDescent="0.25">
      <c r="A67" s="13" t="s">
        <v>33</v>
      </c>
      <c r="B67" s="16">
        <f>(B65/B66)*B49</f>
        <v>115.45937419002253</v>
      </c>
      <c r="C67" s="16">
        <f>(C65/C66)*C49</f>
        <v>66.744228967635181</v>
      </c>
      <c r="D67" s="16"/>
      <c r="E67" s="16"/>
      <c r="F67" s="16">
        <f t="shared" ref="F67" si="23">(F65/F66)*F49</f>
        <v>106.45814550800863</v>
      </c>
      <c r="G67" s="59"/>
      <c r="H67" s="59"/>
      <c r="I67" s="59"/>
      <c r="J67" s="59"/>
      <c r="K67" s="16">
        <f>(K65/K66)*K49</f>
        <v>97.634661171693864</v>
      </c>
      <c r="L67" s="16">
        <f>(L65/L66)*L49</f>
        <v>45.459566314978119</v>
      </c>
      <c r="M67" s="16" t="e">
        <f t="shared" ref="M67:N67" si="24">(M65/M66)*M49</f>
        <v>#DIV/0!</v>
      </c>
      <c r="N67" s="16" t="e">
        <f t="shared" si="24"/>
        <v>#DIV/0!</v>
      </c>
    </row>
    <row r="68" spans="1:14" x14ac:dyDescent="0.25">
      <c r="A68" t="s">
        <v>41</v>
      </c>
      <c r="B68" s="30">
        <f>B20/B12</f>
        <v>73928.732692710386</v>
      </c>
      <c r="C68" s="30">
        <f>C20/C12</f>
        <v>76933.254803468051</v>
      </c>
      <c r="D68" s="30"/>
      <c r="E68" s="30"/>
      <c r="F68" s="30">
        <f t="shared" ref="F68" si="25">F20/F12</f>
        <v>27693.779769866425</v>
      </c>
      <c r="G68" s="60"/>
      <c r="H68" s="60"/>
      <c r="I68" s="60"/>
      <c r="J68" s="60"/>
      <c r="K68" s="30">
        <f t="shared" ref="K68:N68" si="26">K20/K12</f>
        <v>162900</v>
      </c>
      <c r="L68" s="30">
        <f t="shared" si="26"/>
        <v>302084.20770877943</v>
      </c>
      <c r="M68" s="30" t="e">
        <f t="shared" si="26"/>
        <v>#DIV/0!</v>
      </c>
      <c r="N68" s="30" t="e">
        <f t="shared" si="26"/>
        <v>#DIV/0!</v>
      </c>
    </row>
    <row r="69" spans="1:14" x14ac:dyDescent="0.25">
      <c r="A69" t="s">
        <v>42</v>
      </c>
      <c r="B69" s="17">
        <f>B21/B14</f>
        <v>49946.562652859138</v>
      </c>
      <c r="C69" s="17">
        <f>C21/C14</f>
        <v>79078.0247264965</v>
      </c>
      <c r="D69" s="17"/>
      <c r="E69" s="17"/>
      <c r="F69" s="17">
        <f t="shared" ref="F69" si="27">F21/F14</f>
        <v>21149.737791624138</v>
      </c>
      <c r="G69" s="60"/>
      <c r="H69" s="60"/>
      <c r="I69" s="60"/>
      <c r="J69" s="60"/>
      <c r="K69" s="30">
        <f>K21/K14</f>
        <v>131537.13143075022</v>
      </c>
      <c r="L69" s="30">
        <f>L21/L14</f>
        <v>183064.37717342845</v>
      </c>
      <c r="M69" s="30" t="e">
        <f t="shared" ref="M69:N69" si="28">M21/M14</f>
        <v>#DIV/0!</v>
      </c>
      <c r="N69" s="30" t="e">
        <f t="shared" si="28"/>
        <v>#DIV/0!</v>
      </c>
    </row>
    <row r="70" spans="1:14" x14ac:dyDescent="0.25">
      <c r="B70" s="15"/>
      <c r="C70" s="15"/>
      <c r="D70" s="15"/>
      <c r="E70" s="15"/>
      <c r="F70" s="15"/>
      <c r="G70" s="15"/>
      <c r="H70" s="15"/>
      <c r="I70" s="17"/>
      <c r="J70" s="17"/>
      <c r="K70" s="15"/>
      <c r="L70" s="15"/>
    </row>
    <row r="71" spans="1:14" x14ac:dyDescent="0.25">
      <c r="A71" t="s">
        <v>34</v>
      </c>
      <c r="B71" s="15"/>
      <c r="C71" s="15"/>
      <c r="D71" s="15"/>
      <c r="E71" s="15"/>
      <c r="F71" s="15"/>
      <c r="G71" s="15"/>
      <c r="H71" s="15"/>
      <c r="I71" s="17"/>
      <c r="J71" s="17"/>
      <c r="K71" s="15"/>
      <c r="L71" s="15"/>
    </row>
    <row r="72" spans="1:14" x14ac:dyDescent="0.25">
      <c r="A72" s="18" t="s">
        <v>35</v>
      </c>
      <c r="B72" s="19">
        <f>(B27/B26)*100</f>
        <v>70.79451464130274</v>
      </c>
      <c r="C72" s="19"/>
      <c r="D72" s="19"/>
      <c r="E72" s="19"/>
      <c r="F72" s="19"/>
      <c r="G72" s="19"/>
      <c r="H72" s="19"/>
      <c r="I72" s="19"/>
      <c r="J72" s="19"/>
      <c r="K72" s="19"/>
      <c r="L72" s="19"/>
    </row>
    <row r="73" spans="1:14" x14ac:dyDescent="0.25">
      <c r="A73" s="18" t="s">
        <v>36</v>
      </c>
      <c r="B73" s="19">
        <f>(B21/B27)*100</f>
        <v>88.85315069227785</v>
      </c>
      <c r="C73" s="19"/>
      <c r="D73" s="19"/>
      <c r="E73" s="19"/>
      <c r="F73" s="19"/>
      <c r="G73" s="19"/>
      <c r="H73" s="19"/>
      <c r="I73" s="19"/>
      <c r="J73" s="19"/>
      <c r="K73" s="19"/>
      <c r="L73" s="19"/>
    </row>
    <row r="74" spans="1:14" ht="15.75" thickBot="1" x14ac:dyDescent="0.3">
      <c r="A74" s="20"/>
      <c r="B74" s="20"/>
      <c r="C74" s="20"/>
      <c r="D74" s="20"/>
      <c r="E74" s="20"/>
      <c r="F74" s="20"/>
      <c r="G74" s="20"/>
      <c r="H74" s="20"/>
      <c r="I74" s="49"/>
      <c r="J74" s="49"/>
      <c r="K74" s="20"/>
      <c r="L74" s="20"/>
      <c r="M74" s="20"/>
      <c r="N74" s="20"/>
    </row>
    <row r="75" spans="1:14" ht="15.75" thickTop="1" x14ac:dyDescent="0.25">
      <c r="A75" s="33" t="s">
        <v>94</v>
      </c>
    </row>
    <row r="76" spans="1:14" x14ac:dyDescent="0.25">
      <c r="A76" t="s">
        <v>95</v>
      </c>
    </row>
    <row r="77" spans="1:14" x14ac:dyDescent="0.25">
      <c r="A77" t="s">
        <v>96</v>
      </c>
    </row>
    <row r="78" spans="1:14" x14ac:dyDescent="0.25">
      <c r="A78" t="s">
        <v>79</v>
      </c>
      <c r="B78" s="21"/>
      <c r="C78" s="21"/>
      <c r="D78" s="21"/>
      <c r="E78" s="21"/>
      <c r="F78" s="21"/>
      <c r="G78" s="21"/>
      <c r="H78" s="21"/>
      <c r="I78" s="21"/>
      <c r="J78" s="21"/>
    </row>
    <row r="80" spans="1:14" x14ac:dyDescent="0.25">
      <c r="A80" t="s">
        <v>43</v>
      </c>
    </row>
    <row r="81" spans="1:1" x14ac:dyDescent="0.25">
      <c r="A81" t="s">
        <v>53</v>
      </c>
    </row>
    <row r="82" spans="1:1" x14ac:dyDescent="0.25">
      <c r="A82" t="s">
        <v>134</v>
      </c>
    </row>
    <row r="83" spans="1:1" x14ac:dyDescent="0.25">
      <c r="A83" t="s">
        <v>50</v>
      </c>
    </row>
    <row r="84" spans="1:1" x14ac:dyDescent="0.25">
      <c r="A84" t="s">
        <v>78</v>
      </c>
    </row>
    <row r="86" spans="1:1" x14ac:dyDescent="0.25">
      <c r="A86" t="s">
        <v>136</v>
      </c>
    </row>
    <row r="87" spans="1:1" x14ac:dyDescent="0.25">
      <c r="A87" s="42"/>
    </row>
  </sheetData>
  <mergeCells count="6">
    <mergeCell ref="G34:J34"/>
    <mergeCell ref="A2:K2"/>
    <mergeCell ref="A4:A5"/>
    <mergeCell ref="D5:E5"/>
    <mergeCell ref="G5:H5"/>
    <mergeCell ref="D4:L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87"/>
  <sheetViews>
    <sheetView topLeftCell="C49" zoomScale="70" zoomScaleNormal="70" workbookViewId="0">
      <selection activeCell="N38" sqref="N38:P38"/>
    </sheetView>
  </sheetViews>
  <sheetFormatPr baseColWidth="10" defaultColWidth="11.42578125" defaultRowHeight="15" x14ac:dyDescent="0.25"/>
  <cols>
    <col min="1" max="1" width="55.140625" customWidth="1"/>
    <col min="2" max="3" width="26.7109375" customWidth="1"/>
    <col min="4" max="6" width="16.5703125" customWidth="1"/>
    <col min="7" max="7" width="16.140625" customWidth="1"/>
    <col min="8" max="10" width="17.42578125" customWidth="1"/>
    <col min="11" max="11" width="16.7109375" bestFit="1" customWidth="1"/>
    <col min="12" max="12" width="16.42578125" customWidth="1"/>
    <col min="13" max="13" width="16.7109375" customWidth="1"/>
    <col min="14" max="14" width="22.85546875" customWidth="1"/>
    <col min="15" max="15" width="20" customWidth="1"/>
    <col min="16" max="16" width="22" customWidth="1"/>
  </cols>
  <sheetData>
    <row r="2" spans="1:16" ht="15.75" x14ac:dyDescent="0.25">
      <c r="A2" s="90" t="s">
        <v>125</v>
      </c>
      <c r="B2" s="90"/>
      <c r="C2" s="90"/>
      <c r="D2" s="90"/>
      <c r="E2" s="90"/>
      <c r="F2" s="90"/>
      <c r="G2" s="90"/>
      <c r="H2" s="90"/>
      <c r="I2" s="90"/>
      <c r="J2" s="90"/>
      <c r="K2" s="90"/>
    </row>
    <row r="4" spans="1:16" x14ac:dyDescent="0.25">
      <c r="A4" s="88" t="s">
        <v>0</v>
      </c>
      <c r="B4" s="25" t="s">
        <v>1</v>
      </c>
      <c r="C4" s="25"/>
      <c r="D4" s="95" t="s">
        <v>2</v>
      </c>
      <c r="E4" s="95"/>
      <c r="F4" s="95"/>
      <c r="G4" s="95"/>
      <c r="H4" s="95"/>
      <c r="I4" s="95"/>
      <c r="J4" s="95"/>
      <c r="K4" s="95"/>
      <c r="L4" s="95"/>
      <c r="M4" s="95"/>
      <c r="N4" s="95"/>
    </row>
    <row r="5" spans="1:16" ht="15.75" thickBot="1" x14ac:dyDescent="0.3">
      <c r="A5" s="89"/>
      <c r="B5" s="1" t="s">
        <v>3</v>
      </c>
      <c r="C5" s="57" t="s">
        <v>80</v>
      </c>
      <c r="D5" s="91" t="s">
        <v>4</v>
      </c>
      <c r="E5" s="91"/>
      <c r="F5" s="57" t="s">
        <v>81</v>
      </c>
      <c r="G5" s="91" t="s">
        <v>52</v>
      </c>
      <c r="H5" s="91"/>
      <c r="I5" s="48"/>
      <c r="J5" s="48"/>
      <c r="K5" s="1" t="s">
        <v>5</v>
      </c>
      <c r="L5" s="20" t="s">
        <v>51</v>
      </c>
      <c r="M5" s="20" t="s">
        <v>137</v>
      </c>
      <c r="N5" s="20" t="s">
        <v>138</v>
      </c>
      <c r="O5" s="20" t="s">
        <v>139</v>
      </c>
      <c r="P5" s="20" t="s">
        <v>140</v>
      </c>
    </row>
    <row r="6" spans="1:16" ht="15.75" thickTop="1" x14ac:dyDescent="0.25">
      <c r="B6" s="36" t="s">
        <v>1</v>
      </c>
      <c r="D6" s="36" t="s">
        <v>48</v>
      </c>
      <c r="E6" s="36" t="s">
        <v>49</v>
      </c>
      <c r="F6" s="36"/>
      <c r="G6" s="36">
        <v>1600</v>
      </c>
      <c r="H6" s="36">
        <v>640</v>
      </c>
      <c r="I6" s="47">
        <v>320</v>
      </c>
      <c r="J6" s="47">
        <v>800</v>
      </c>
      <c r="K6" s="36" t="s">
        <v>5</v>
      </c>
      <c r="M6" s="67" t="s">
        <v>137</v>
      </c>
      <c r="N6" s="67" t="s">
        <v>138</v>
      </c>
      <c r="O6" s="33" t="s">
        <v>139</v>
      </c>
      <c r="P6" s="33" t="s">
        <v>140</v>
      </c>
    </row>
    <row r="7" spans="1:16" x14ac:dyDescent="0.25">
      <c r="A7" s="2" t="s">
        <v>6</v>
      </c>
      <c r="I7" s="32"/>
      <c r="J7" s="32"/>
    </row>
    <row r="8" spans="1:16" x14ac:dyDescent="0.25">
      <c r="I8" s="32"/>
      <c r="J8" s="32"/>
    </row>
    <row r="9" spans="1:16" x14ac:dyDescent="0.25">
      <c r="A9" t="s">
        <v>7</v>
      </c>
      <c r="I9" s="32"/>
      <c r="J9" s="32"/>
      <c r="M9" s="71"/>
    </row>
    <row r="10" spans="1:16" x14ac:dyDescent="0.25">
      <c r="A10" s="3" t="s">
        <v>62</v>
      </c>
      <c r="B10" s="24">
        <f>+D10+G10</f>
        <v>123971.55555555555</v>
      </c>
      <c r="C10" s="24">
        <f>+D10+E10</f>
        <v>28343</v>
      </c>
      <c r="D10" s="24">
        <f>(+'I Trimestre'!D10+'II Trimestre'!D10+'III Trimestre'!D10)/3</f>
        <v>23933.222222222223</v>
      </c>
      <c r="E10" s="24">
        <f>(+'I Trimestre'!E10+'II Trimestre'!E10+'III Trimestre'!E10)/3</f>
        <v>4409.7777777777774</v>
      </c>
      <c r="F10" s="24">
        <f>SUM(G10:I10)</f>
        <v>121499.33333333333</v>
      </c>
      <c r="G10" s="24">
        <f>(+'I Trimestre'!G10+'II Trimestre'!G10+'III Trimestre'!G10)/3</f>
        <v>100038.33333333333</v>
      </c>
      <c r="H10" s="64">
        <f>(+'I Trimestre'!H10+'II Trimestre'!H10+'III Trimestre'!H10)/3</f>
        <v>3058</v>
      </c>
      <c r="I10" s="64">
        <f>(+'I Trimestre'!I10+'II Trimestre'!I10+'III Trimestre'!I10)/3</f>
        <v>18403</v>
      </c>
      <c r="J10" s="37">
        <f>(+'I Trimestre'!J10+'II Trimestre'!J10+'III Trimestre'!J10)/3</f>
        <v>23205.666666666668</v>
      </c>
      <c r="K10" s="24">
        <f>(+'I Trimestre'!K10+'II Trimestre'!K10+'III Trimestre'!K10)/3</f>
        <v>5517.1111111111122</v>
      </c>
      <c r="L10" s="24">
        <f>(+'I Trimestre'!L10+'II Trimestre'!L10+'III Trimestre'!L10)/3</f>
        <v>706</v>
      </c>
      <c r="M10" s="98">
        <f>(+'I Trimestre'!M10+'II Trimestre'!M10+'III Trimestre'!M10)/3</f>
        <v>0</v>
      </c>
      <c r="N10" s="100">
        <f>(+'I Trimestre'!N10+'II Trimestre'!N10+'III Trimestre'!N10)/3</f>
        <v>0</v>
      </c>
      <c r="O10" s="100">
        <f>(+'I Trimestre'!O10+'II Trimestre'!O10+'III Trimestre'!O10)/3</f>
        <v>0</v>
      </c>
      <c r="P10" s="100">
        <f>(+'I Trimestre'!P10+'II Trimestre'!P10+'III Trimestre'!P10)/3</f>
        <v>0</v>
      </c>
    </row>
    <row r="11" spans="1:16" x14ac:dyDescent="0.25">
      <c r="A11" s="27" t="s">
        <v>37</v>
      </c>
      <c r="B11" s="24">
        <f t="shared" ref="B11:B16" si="0">+D11+G11</f>
        <v>101660</v>
      </c>
      <c r="C11" s="24">
        <f t="shared" ref="C11:C16" si="1">+D11+E11</f>
        <v>22613.777777777777</v>
      </c>
      <c r="D11" s="24">
        <f>(+'I Trimestre'!D11+'II Trimestre'!D11+'III Trimestre'!D11)/3</f>
        <v>18204</v>
      </c>
      <c r="E11" s="24">
        <f>(+'I Trimestre'!E11+'II Trimestre'!E11+'III Trimestre'!E11)/3</f>
        <v>4409.7777777777774</v>
      </c>
      <c r="F11" s="24">
        <f>SUM(G11:I11)</f>
        <v>104917</v>
      </c>
      <c r="G11" s="24">
        <f>(+'I Trimestre'!G11+'II Trimestre'!G11+'III Trimestre'!G11)/3</f>
        <v>83456</v>
      </c>
      <c r="H11" s="64">
        <f>(+'I Trimestre'!H11+'II Trimestre'!H11+'III Trimestre'!H11)/3</f>
        <v>3058</v>
      </c>
      <c r="I11" s="64">
        <f>(+'I Trimestre'!I11+'II Trimestre'!I11+'III Trimestre'!I11)/3</f>
        <v>18403</v>
      </c>
      <c r="J11" s="37">
        <f>(+'I Trimestre'!J11+'II Trimestre'!J11+'III Trimestre'!J11)/3</f>
        <v>23205.666666666668</v>
      </c>
      <c r="K11" s="24">
        <f>(+'I Trimestre'!K11+'II Trimestre'!K11+'III Trimestre'!K11)/3</f>
        <v>5517.1111111111122</v>
      </c>
      <c r="L11" s="24">
        <f>(+'I Trimestre'!L11+'II Trimestre'!L11+'III Trimestre'!L11)/3</f>
        <v>706</v>
      </c>
      <c r="M11" s="98">
        <f>(+'I Trimestre'!M11+'II Trimestre'!M11+'III Trimestre'!M11)/3</f>
        <v>0</v>
      </c>
      <c r="N11" s="100">
        <f>(+'I Trimestre'!N11+'II Trimestre'!N11+'III Trimestre'!N11)/3</f>
        <v>0</v>
      </c>
      <c r="O11" s="100">
        <f>(+'I Trimestre'!O11+'II Trimestre'!O11+'III Trimestre'!O11)/3</f>
        <v>0</v>
      </c>
      <c r="P11" s="100">
        <f>(+'I Trimestre'!P11+'II Trimestre'!P11+'III Trimestre'!P11)/3</f>
        <v>0</v>
      </c>
    </row>
    <row r="12" spans="1:16" x14ac:dyDescent="0.25">
      <c r="A12" s="3" t="s">
        <v>105</v>
      </c>
      <c r="B12" s="24">
        <f t="shared" si="0"/>
        <v>130914.11111111109</v>
      </c>
      <c r="C12" s="24">
        <f t="shared" si="1"/>
        <v>40505.777777777774</v>
      </c>
      <c r="D12" s="24">
        <f>(+'I Trimestre'!D12+'II Trimestre'!D12+'III Trimestre'!D12)/3</f>
        <v>33137.777777777774</v>
      </c>
      <c r="E12" s="24">
        <f>(+'I Trimestre'!E12+'II Trimestre'!E12+'III Trimestre'!E12)/3</f>
        <v>7368</v>
      </c>
      <c r="F12" s="24">
        <f>SUM(G12:I12)</f>
        <v>130610</v>
      </c>
      <c r="G12" s="24">
        <f>(+'I Trimestre'!G12+'II Trimestre'!G12+'III Trimestre'!G12)/3</f>
        <v>97776.333333333328</v>
      </c>
      <c r="H12" s="24">
        <f>(+'I Trimestre'!H12+'II Trimestre'!H12+'III Trimestre'!H12)/3</f>
        <v>5327</v>
      </c>
      <c r="I12" s="37">
        <f>(+'I Trimestre'!I12+'II Trimestre'!I12+'III Trimestre'!I12)/3</f>
        <v>27506.666666666668</v>
      </c>
      <c r="J12" s="37">
        <f>(+'I Trimestre'!J12+'II Trimestre'!J12+'III Trimestre'!J12)/3</f>
        <v>29805.333333333332</v>
      </c>
      <c r="K12" s="24">
        <f>(+'I Trimestre'!K12+'II Trimestre'!K12+'III Trimestre'!K12)/3</f>
        <v>9314.3333333333339</v>
      </c>
      <c r="L12" s="24">
        <f>(+'I Trimestre'!L12+'II Trimestre'!L12+'III Trimestre'!L12)/3</f>
        <v>3487</v>
      </c>
      <c r="M12" s="98">
        <f>(+'I Trimestre'!M12+'II Trimestre'!M12+'III Trimestre'!M12)/3</f>
        <v>0</v>
      </c>
      <c r="N12" s="100">
        <f>(+'I Trimestre'!N12+'II Trimestre'!N12+'III Trimestre'!N12)/3</f>
        <v>0</v>
      </c>
      <c r="O12" s="100">
        <f>(+'I Trimestre'!O12+'II Trimestre'!O12+'III Trimestre'!O12)/3</f>
        <v>0</v>
      </c>
      <c r="P12" s="100">
        <f>(+'I Trimestre'!P12+'II Trimestre'!P12+'III Trimestre'!P12)/3</f>
        <v>0</v>
      </c>
    </row>
    <row r="13" spans="1:16" x14ac:dyDescent="0.25">
      <c r="A13" s="27" t="s">
        <v>37</v>
      </c>
      <c r="B13" s="24">
        <f t="shared" si="0"/>
        <v>123151.44444444444</v>
      </c>
      <c r="C13" s="24">
        <f t="shared" si="1"/>
        <v>32743.111111111109</v>
      </c>
      <c r="D13" s="24">
        <f>(+'I Trimestre'!D13+'II Trimestre'!D13+'III Trimestre'!D13)/3</f>
        <v>25375.111111111109</v>
      </c>
      <c r="E13" s="24">
        <f>(+'I Trimestre'!E13+'II Trimestre'!E13+'III Trimestre'!E13)/3</f>
        <v>7368</v>
      </c>
      <c r="F13" s="24">
        <f t="shared" ref="F13:F16" si="2">SUM(G13:I13)</f>
        <v>130610</v>
      </c>
      <c r="G13" s="24">
        <f>(+'I Trimestre'!G13+'II Trimestre'!G13+'III Trimestre'!G13)/3</f>
        <v>97776.333333333328</v>
      </c>
      <c r="H13" s="24">
        <f>(+'I Trimestre'!H13+'II Trimestre'!H13+'III Trimestre'!H13)/3</f>
        <v>5327</v>
      </c>
      <c r="I13" s="37">
        <f>(+'I Trimestre'!I13+'II Trimestre'!I13+'III Trimestre'!I13)/3</f>
        <v>27506.666666666668</v>
      </c>
      <c r="J13" s="37">
        <f>(+'I Trimestre'!J13+'II Trimestre'!J13+'III Trimestre'!J13)/3</f>
        <v>29805.333333333332</v>
      </c>
      <c r="K13" s="24">
        <f>(+'I Trimestre'!K13+'II Trimestre'!K13+'III Trimestre'!K13)/3</f>
        <v>9314.3333333333339</v>
      </c>
      <c r="L13" s="24">
        <f>(+'I Trimestre'!L13+'II Trimestre'!L13+'III Trimestre'!L13)/3</f>
        <v>3487</v>
      </c>
      <c r="M13" s="98">
        <f>(+'I Trimestre'!M13+'II Trimestre'!M13+'III Trimestre'!M13)/3</f>
        <v>0</v>
      </c>
      <c r="N13" s="100">
        <f>(+'I Trimestre'!N13+'II Trimestre'!N13+'III Trimestre'!N13)/3</f>
        <v>0</v>
      </c>
      <c r="O13" s="100">
        <f>(+'I Trimestre'!O13+'II Trimestre'!O13+'III Trimestre'!O13)/3</f>
        <v>0</v>
      </c>
      <c r="P13" s="100">
        <f>(+'I Trimestre'!P13+'II Trimestre'!P13+'III Trimestre'!P13)/3</f>
        <v>0</v>
      </c>
    </row>
    <row r="14" spans="1:16" x14ac:dyDescent="0.25">
      <c r="A14" s="3" t="s">
        <v>106</v>
      </c>
      <c r="B14" s="24">
        <f t="shared" si="0"/>
        <v>122758.33333333333</v>
      </c>
      <c r="C14" s="24">
        <f t="shared" si="1"/>
        <v>29927.222222222223</v>
      </c>
      <c r="D14" s="24">
        <f>(+'I Trimestre'!D14+'II Trimestre'!D14+'III Trimestre'!D14)/3</f>
        <v>24502</v>
      </c>
      <c r="E14" s="24">
        <f>(+'I Trimestre'!E14+'II Trimestre'!E14+'III Trimestre'!E14)/3</f>
        <v>5425.2222222222217</v>
      </c>
      <c r="F14" s="24">
        <f t="shared" si="2"/>
        <v>121210.22222222222</v>
      </c>
      <c r="G14" s="24">
        <f>(+'I Trimestre'!G14+'II Trimestre'!G14+'III Trimestre'!G14)/3</f>
        <v>98256.333333333328</v>
      </c>
      <c r="H14" s="24">
        <f>(+'I Trimestre'!H14+'II Trimestre'!H14+'III Trimestre'!H14)/3</f>
        <v>3817.8888888888887</v>
      </c>
      <c r="I14" s="37">
        <f>(+'I Trimestre'!I14+'II Trimestre'!I14+'III Trimestre'!I14)/3</f>
        <v>19136</v>
      </c>
      <c r="J14" s="37">
        <f>(+'I Trimestre'!J14+'II Trimestre'!J14+'III Trimestre'!J14)/3</f>
        <v>24802.111111111109</v>
      </c>
      <c r="K14" s="24">
        <f>(+'I Trimestre'!K14+'II Trimestre'!K14+'III Trimestre'!K14)/3</f>
        <v>8434.8888888888887</v>
      </c>
      <c r="L14" s="24">
        <f>(+'I Trimestre'!L14+'II Trimestre'!L14+'III Trimestre'!L14)/3</f>
        <v>1333.6666666666667</v>
      </c>
      <c r="M14" s="98">
        <f>(+'I Trimestre'!M14+'II Trimestre'!M14+'III Trimestre'!M14)/3</f>
        <v>0</v>
      </c>
      <c r="N14" s="100">
        <f>(+'I Trimestre'!N14+'II Trimestre'!N14+'III Trimestre'!N14)/3</f>
        <v>0</v>
      </c>
      <c r="O14" s="100">
        <f>(+'I Trimestre'!O14+'II Trimestre'!O14+'III Trimestre'!O14)/3</f>
        <v>0</v>
      </c>
      <c r="P14" s="100">
        <f>(+'I Trimestre'!P14+'II Trimestre'!P14+'III Trimestre'!P14)/3</f>
        <v>0</v>
      </c>
    </row>
    <row r="15" spans="1:16" x14ac:dyDescent="0.25">
      <c r="A15" s="27" t="s">
        <v>37</v>
      </c>
      <c r="B15" s="24">
        <f t="shared" si="0"/>
        <v>100502.55555555556</v>
      </c>
      <c r="C15" s="24">
        <f t="shared" si="1"/>
        <v>23488.555555555555</v>
      </c>
      <c r="D15" s="24">
        <f>(+'I Trimestre'!D15+'II Trimestre'!D15+'III Trimestre'!D15)/3</f>
        <v>18063.333333333332</v>
      </c>
      <c r="E15" s="24">
        <f>(+'I Trimestre'!E15+'II Trimestre'!E15+'III Trimestre'!E15)/3</f>
        <v>5425.2222222222217</v>
      </c>
      <c r="F15" s="24">
        <f t="shared" si="2"/>
        <v>105393.11111111112</v>
      </c>
      <c r="G15" s="24">
        <f>(+'I Trimestre'!G15+'II Trimestre'!G15+'III Trimestre'!G15)/3</f>
        <v>82439.222222222234</v>
      </c>
      <c r="H15" s="24">
        <f>(+'I Trimestre'!H15+'II Trimestre'!H15+'III Trimestre'!H15)/3</f>
        <v>3817.8888888888887</v>
      </c>
      <c r="I15" s="37">
        <f>(+'I Trimestre'!I15+'II Trimestre'!I15+'III Trimestre'!I15)/3</f>
        <v>19136</v>
      </c>
      <c r="J15" s="37">
        <f>(+'I Trimestre'!J15+'II Trimestre'!J15+'III Trimestre'!J15)/3</f>
        <v>24802.111111111109</v>
      </c>
      <c r="K15" s="24">
        <f>(+'I Trimestre'!K15+'II Trimestre'!K15+'III Trimestre'!K15)/3</f>
        <v>8434.8888888888887</v>
      </c>
      <c r="L15" s="24">
        <f>(+'I Trimestre'!L15+'II Trimestre'!L15+'III Trimestre'!L15)/3</f>
        <v>1333.6666666666667</v>
      </c>
      <c r="M15" s="98">
        <f>(+'I Trimestre'!M15+'II Trimestre'!M15+'III Trimestre'!M15)/3</f>
        <v>0</v>
      </c>
      <c r="N15" s="100">
        <f>(+'I Trimestre'!N15+'II Trimestre'!N15+'III Trimestre'!N15)/3</f>
        <v>0</v>
      </c>
      <c r="O15" s="100">
        <f>(+'I Trimestre'!O15+'II Trimestre'!O15+'III Trimestre'!O15)/3</f>
        <v>0</v>
      </c>
      <c r="P15" s="100">
        <f>(+'I Trimestre'!P15+'II Trimestre'!P15+'III Trimestre'!P15)/3</f>
        <v>0</v>
      </c>
    </row>
    <row r="16" spans="1:16" x14ac:dyDescent="0.25">
      <c r="A16" s="3" t="s">
        <v>89</v>
      </c>
      <c r="B16" s="24">
        <f t="shared" si="0"/>
        <v>133387</v>
      </c>
      <c r="C16" s="24">
        <f t="shared" si="1"/>
        <v>41541</v>
      </c>
      <c r="D16" s="4">
        <f>+'III Trimestre'!D16</f>
        <v>34173</v>
      </c>
      <c r="E16" s="4">
        <f>+'III Trimestre'!E16</f>
        <v>7368</v>
      </c>
      <c r="F16" s="24">
        <f t="shared" si="2"/>
        <v>133074</v>
      </c>
      <c r="G16" s="4">
        <f>+'III Trimestre'!G16</f>
        <v>99214</v>
      </c>
      <c r="H16" s="4">
        <f>+'III Trimestre'!H16</f>
        <v>5494</v>
      </c>
      <c r="I16" s="5">
        <f>'III Trimestre'!I16</f>
        <v>28366</v>
      </c>
      <c r="J16" s="5">
        <f>'III Trimestre'!J16</f>
        <v>30737</v>
      </c>
      <c r="K16" s="4">
        <f>+'III Trimestre'!K16</f>
        <v>9403</v>
      </c>
      <c r="L16" s="4">
        <f>+'III Trimestre'!L16</f>
        <v>3596</v>
      </c>
      <c r="M16" s="99">
        <f>+'III Trimestre'!M16</f>
        <v>0</v>
      </c>
      <c r="N16" s="101">
        <f>+'III Trimestre'!N16</f>
        <v>0</v>
      </c>
      <c r="O16" s="101">
        <f>+'III Trimestre'!O16</f>
        <v>0</v>
      </c>
      <c r="P16" s="101">
        <f>+'III Trimestre'!P16</f>
        <v>1000</v>
      </c>
    </row>
    <row r="17" spans="1:16" x14ac:dyDescent="0.25">
      <c r="B17" s="22"/>
      <c r="C17" s="22"/>
      <c r="D17" s="22"/>
      <c r="E17" s="22"/>
      <c r="F17" s="22"/>
      <c r="G17" s="22"/>
      <c r="H17" s="22"/>
      <c r="I17" s="45"/>
      <c r="J17" s="45"/>
      <c r="K17" s="22"/>
      <c r="N17" s="24"/>
    </row>
    <row r="18" spans="1:16" x14ac:dyDescent="0.25">
      <c r="A18" s="6" t="s">
        <v>8</v>
      </c>
      <c r="B18" s="22"/>
      <c r="C18" s="22"/>
      <c r="D18" s="22"/>
      <c r="E18" s="22"/>
      <c r="F18" s="22"/>
      <c r="G18" s="22"/>
      <c r="H18" s="22"/>
      <c r="I18" s="45"/>
      <c r="J18" s="45"/>
      <c r="K18" s="22"/>
    </row>
    <row r="19" spans="1:16" x14ac:dyDescent="0.25">
      <c r="A19" s="3" t="s">
        <v>62</v>
      </c>
      <c r="B19" s="24">
        <f>C19+F19+K19+L19+M19+N19</f>
        <v>9128681867</v>
      </c>
      <c r="C19" s="24">
        <f>+'I Trimestre'!C19+'II Trimestre'!C19+'III Trimestre'!C19</f>
        <v>3229427927</v>
      </c>
      <c r="D19" s="40"/>
      <c r="E19" s="40"/>
      <c r="F19" s="54">
        <f>+'I Trimestre'!F19+'II Trimestre'!F19+'III Trimestre'!F19</f>
        <v>4367228442</v>
      </c>
      <c r="G19" s="40"/>
      <c r="H19" s="40"/>
      <c r="I19" s="40"/>
      <c r="J19" s="40"/>
      <c r="K19" s="24">
        <f>+'I Trimestre'!K19+'II Trimestre'!K19+'III Trimestre'!K19</f>
        <v>1336511451</v>
      </c>
      <c r="L19" s="24">
        <f>+'I Trimestre'!L19+'II Trimestre'!L19+'III Trimestre'!L19</f>
        <v>195514047</v>
      </c>
      <c r="M19" s="103">
        <f>+'I Trimestre'!M19+'II Trimestre'!M19+'III Trimestre'!M19</f>
        <v>0</v>
      </c>
      <c r="N19" s="103">
        <f>+'I Trimestre'!N19+'II Trimestre'!N19+'III Trimestre'!N19</f>
        <v>0</v>
      </c>
      <c r="O19" s="103">
        <f>+'I Trimestre'!O19+'II Trimestre'!O19+'III Trimestre'!O19</f>
        <v>0</v>
      </c>
      <c r="P19" s="103">
        <f>+'I Trimestre'!P19+'II Trimestre'!P19+'III Trimestre'!P19</f>
        <v>0</v>
      </c>
    </row>
    <row r="20" spans="1:16" x14ac:dyDescent="0.25">
      <c r="A20" s="61" t="s">
        <v>105</v>
      </c>
      <c r="B20" s="24">
        <f t="shared" ref="B20:B23" si="3">C20+F20+K20+L20+M20+N20</f>
        <v>14613249654.396</v>
      </c>
      <c r="C20" s="24">
        <f>+'I Trimestre'!C20+'II Trimestre'!C20+'III Trimestre'!C20</f>
        <v>4650097640</v>
      </c>
      <c r="D20" s="40"/>
      <c r="E20" s="40"/>
      <c r="F20" s="55">
        <f>+'I Trimestre'!F20+'II Trimestre'!F20+'III Trimestre'!F20</f>
        <v>5447098416.8960009</v>
      </c>
      <c r="G20" s="40"/>
      <c r="H20" s="40"/>
      <c r="I20" s="40"/>
      <c r="J20" s="40"/>
      <c r="K20" s="24">
        <f>+'I Trimestre'!K20+'II Trimestre'!K20+'III Trimestre'!K20</f>
        <v>2265124500</v>
      </c>
      <c r="L20" s="24">
        <f>+'I Trimestre'!L20+'II Trimestre'!L20+'III Trimestre'!L20</f>
        <v>1580021240</v>
      </c>
      <c r="M20" s="103">
        <f>+'I Trimestre'!M20+'II Trimestre'!M20+'III Trimestre'!M20</f>
        <v>640907857.5</v>
      </c>
      <c r="N20" s="103">
        <f>+'I Trimestre'!N20+'II Trimestre'!N20+'III Trimestre'!N20</f>
        <v>30000000</v>
      </c>
      <c r="O20" s="103">
        <f>+'I Trimestre'!O20+'II Trimestre'!O20+'III Trimestre'!O20</f>
        <v>0</v>
      </c>
      <c r="P20" s="103">
        <f>+'I Trimestre'!P20+'II Trimestre'!P20+'III Trimestre'!P20</f>
        <v>0</v>
      </c>
    </row>
    <row r="21" spans="1:16" x14ac:dyDescent="0.25">
      <c r="A21" s="3" t="s">
        <v>106</v>
      </c>
      <c r="B21" s="24">
        <f t="shared" si="3"/>
        <v>9590071158.2099991</v>
      </c>
      <c r="C21" s="24">
        <f>+'I Trimestre'!C21+'II Trimestre'!C21+'III Trimestre'!C21</f>
        <v>3354206604</v>
      </c>
      <c r="D21" s="40"/>
      <c r="E21" s="40"/>
      <c r="F21" s="55">
        <f>+'I Trimestre'!F21+'II Trimestre'!F21+'III Trimestre'!F21</f>
        <v>4330851358.1999998</v>
      </c>
      <c r="G21" s="40"/>
      <c r="H21" s="40"/>
      <c r="I21" s="40"/>
      <c r="J21" s="40"/>
      <c r="K21" s="24">
        <f>+'I Trimestre'!K21+'II Trimestre'!K21+'III Trimestre'!K21</f>
        <v>1517059925.0100002</v>
      </c>
      <c r="L21" s="24">
        <f>+'I Trimestre'!L21+'II Trimestre'!L21+'III Trimestre'!L21</f>
        <v>387953271</v>
      </c>
      <c r="M21" s="103">
        <f>+'I Trimestre'!M21+'II Trimestre'!M21+'III Trimestre'!M21</f>
        <v>0</v>
      </c>
      <c r="N21" s="103">
        <f>+'I Trimestre'!N21+'II Trimestre'!N21+'III Trimestre'!N21</f>
        <v>0</v>
      </c>
      <c r="O21" s="103">
        <f>+'I Trimestre'!O21+'II Trimestre'!O21+'III Trimestre'!O21</f>
        <v>0</v>
      </c>
      <c r="P21" s="103">
        <f>+'I Trimestre'!P21+'II Trimestre'!P21+'III Trimestre'!P21</f>
        <v>0</v>
      </c>
    </row>
    <row r="22" spans="1:16" x14ac:dyDescent="0.25">
      <c r="A22" s="3" t="s">
        <v>89</v>
      </c>
      <c r="B22" s="24">
        <f t="shared" si="3"/>
        <v>19647538490.292</v>
      </c>
      <c r="C22" s="24">
        <f>+'III Trimestre'!C22</f>
        <v>6391825820</v>
      </c>
      <c r="D22" s="40"/>
      <c r="E22" s="40"/>
      <c r="F22" s="55">
        <f>+'III Trimestre'!F22</f>
        <v>7392109607.7919998</v>
      </c>
      <c r="G22" s="40"/>
      <c r="H22" s="40"/>
      <c r="I22" s="40"/>
      <c r="J22" s="40"/>
      <c r="K22" s="39">
        <f>+'III Trimestre'!K22</f>
        <v>3020166000</v>
      </c>
      <c r="L22" s="39">
        <f>+'III Trimestre'!L22</f>
        <v>2172529205</v>
      </c>
      <c r="M22" s="106">
        <f>+'III Trimestre'!M22</f>
        <v>640907857.5</v>
      </c>
      <c r="N22" s="106">
        <f>+'III Trimestre'!N22</f>
        <v>30000000</v>
      </c>
      <c r="O22" s="106">
        <f>+'III Trimestre'!O22</f>
        <v>300000000</v>
      </c>
      <c r="P22" s="106">
        <f>+'III Trimestre'!P22</f>
        <v>210000000</v>
      </c>
    </row>
    <row r="23" spans="1:16" x14ac:dyDescent="0.25">
      <c r="A23" s="3" t="s">
        <v>107</v>
      </c>
      <c r="B23" s="24">
        <f>C23+F23+K23+L23+N23</f>
        <v>9590071158.2099991</v>
      </c>
      <c r="C23" s="4">
        <f>C21</f>
        <v>3354206604</v>
      </c>
      <c r="D23" s="40"/>
      <c r="E23" s="40"/>
      <c r="F23" s="40">
        <f>F21</f>
        <v>4330851358.1999998</v>
      </c>
      <c r="G23" s="40"/>
      <c r="H23" s="40"/>
      <c r="I23" s="40"/>
      <c r="J23" s="40"/>
      <c r="K23" s="4">
        <f>K21</f>
        <v>1517059925.0100002</v>
      </c>
      <c r="L23" s="4">
        <f>L21</f>
        <v>387953271</v>
      </c>
      <c r="M23" s="105">
        <f>M21</f>
        <v>0</v>
      </c>
      <c r="N23" s="104">
        <f>N21</f>
        <v>0</v>
      </c>
      <c r="O23" s="104">
        <f t="shared" ref="O23:P23" si="4">O21</f>
        <v>0</v>
      </c>
      <c r="P23" s="104">
        <f t="shared" si="4"/>
        <v>0</v>
      </c>
    </row>
    <row r="24" spans="1:16" x14ac:dyDescent="0.25">
      <c r="B24" s="22"/>
      <c r="C24" s="22"/>
      <c r="D24" s="22"/>
      <c r="E24" s="22"/>
      <c r="F24" s="22"/>
      <c r="G24" s="22"/>
      <c r="H24" s="22"/>
      <c r="I24" s="45"/>
      <c r="J24" s="45"/>
      <c r="K24" s="22"/>
    </row>
    <row r="25" spans="1:16" x14ac:dyDescent="0.25">
      <c r="A25" s="7" t="s">
        <v>9</v>
      </c>
      <c r="B25" s="23"/>
      <c r="C25" s="23"/>
      <c r="D25" s="23"/>
      <c r="E25" s="23"/>
      <c r="F25" s="23"/>
      <c r="G25" s="23"/>
      <c r="H25" s="23"/>
      <c r="I25" s="23"/>
      <c r="J25" s="23"/>
      <c r="K25" s="23"/>
      <c r="L25" s="23"/>
    </row>
    <row r="26" spans="1:16" x14ac:dyDescent="0.25">
      <c r="A26" s="9" t="s">
        <v>105</v>
      </c>
      <c r="B26" s="35">
        <f>+B20</f>
        <v>14613249654.396</v>
      </c>
      <c r="C26" s="35"/>
      <c r="D26" s="23"/>
      <c r="E26" s="23"/>
      <c r="F26" s="23"/>
      <c r="G26" s="23"/>
      <c r="H26" s="23"/>
      <c r="I26" s="23"/>
      <c r="J26" s="23"/>
      <c r="K26" s="23"/>
      <c r="L26" s="23"/>
    </row>
    <row r="27" spans="1:16" x14ac:dyDescent="0.25">
      <c r="A27" s="9" t="s">
        <v>106</v>
      </c>
      <c r="B27" s="35">
        <f>+'I Trimestre'!B27+'II Trimestre'!B27+'III Trimestre'!B27</f>
        <v>11224115979.939999</v>
      </c>
      <c r="C27" s="35"/>
      <c r="D27" s="23"/>
      <c r="E27" s="23"/>
      <c r="F27" s="23"/>
      <c r="G27" s="23"/>
      <c r="H27" s="23"/>
      <c r="I27" s="23"/>
      <c r="J27" s="23"/>
      <c r="K27" s="23"/>
      <c r="L27" s="23"/>
    </row>
    <row r="28" spans="1:16" x14ac:dyDescent="0.25">
      <c r="I28" s="32"/>
      <c r="J28" s="32"/>
    </row>
    <row r="29" spans="1:16" x14ac:dyDescent="0.25">
      <c r="A29" t="s">
        <v>10</v>
      </c>
      <c r="I29" s="32"/>
      <c r="J29" s="32"/>
    </row>
    <row r="30" spans="1:16" x14ac:dyDescent="0.25">
      <c r="A30" s="10" t="s">
        <v>63</v>
      </c>
      <c r="B30" s="11">
        <v>1.61</v>
      </c>
      <c r="C30" s="11">
        <v>1.61</v>
      </c>
      <c r="D30" s="11">
        <v>1.61</v>
      </c>
      <c r="E30" s="11">
        <v>1.61</v>
      </c>
      <c r="F30" s="11">
        <v>1.61</v>
      </c>
      <c r="G30" s="11">
        <v>1.61</v>
      </c>
      <c r="H30" s="11">
        <v>1.61</v>
      </c>
      <c r="I30" s="11">
        <v>1.61</v>
      </c>
      <c r="J30" s="11">
        <v>1.61</v>
      </c>
      <c r="K30" s="11">
        <v>1.61</v>
      </c>
      <c r="L30" s="11">
        <v>1.61</v>
      </c>
      <c r="M30" s="11">
        <v>1.61</v>
      </c>
      <c r="N30" s="11">
        <v>1.61</v>
      </c>
      <c r="O30" s="11">
        <v>1.61</v>
      </c>
      <c r="P30" s="11">
        <v>1.61</v>
      </c>
    </row>
    <row r="31" spans="1:16" x14ac:dyDescent="0.25">
      <c r="A31" s="10" t="s">
        <v>108</v>
      </c>
      <c r="B31" s="11">
        <v>1.68</v>
      </c>
      <c r="C31" s="11">
        <v>1.68</v>
      </c>
      <c r="D31" s="11">
        <v>1.68</v>
      </c>
      <c r="E31" s="11">
        <v>1.68</v>
      </c>
      <c r="F31" s="11">
        <v>1.68</v>
      </c>
      <c r="G31" s="11">
        <v>1.68</v>
      </c>
      <c r="H31" s="11">
        <v>1.68</v>
      </c>
      <c r="I31" s="11">
        <v>1.68</v>
      </c>
      <c r="J31" s="11">
        <v>1.68</v>
      </c>
      <c r="K31" s="11">
        <v>1.68</v>
      </c>
      <c r="L31" s="11">
        <v>1.68</v>
      </c>
      <c r="M31" s="11">
        <v>1.68</v>
      </c>
      <c r="N31" s="11">
        <v>1.68</v>
      </c>
      <c r="O31" s="11">
        <v>1.68</v>
      </c>
      <c r="P31" s="11">
        <v>1.68</v>
      </c>
    </row>
    <row r="32" spans="1:16" x14ac:dyDescent="0.25">
      <c r="A32" s="3" t="s">
        <v>11</v>
      </c>
      <c r="B32" s="4">
        <v>112666</v>
      </c>
      <c r="C32" s="4">
        <v>112666</v>
      </c>
      <c r="D32" s="4">
        <v>112666</v>
      </c>
      <c r="E32" s="4">
        <v>112666</v>
      </c>
      <c r="F32" s="4">
        <v>112666</v>
      </c>
      <c r="G32" s="4">
        <v>112666</v>
      </c>
      <c r="H32" s="4">
        <v>112666</v>
      </c>
      <c r="I32" s="4">
        <v>112666</v>
      </c>
      <c r="J32" s="4">
        <v>112666</v>
      </c>
      <c r="K32" s="4">
        <v>112666</v>
      </c>
      <c r="L32" s="4">
        <v>112666</v>
      </c>
      <c r="M32" s="4">
        <v>112666</v>
      </c>
      <c r="N32" s="4">
        <v>112666</v>
      </c>
      <c r="O32" s="4">
        <v>112666</v>
      </c>
      <c r="P32" s="4">
        <v>112666</v>
      </c>
    </row>
    <row r="33" spans="1:16" x14ac:dyDescent="0.25">
      <c r="I33" s="32"/>
      <c r="J33" s="32"/>
    </row>
    <row r="34" spans="1:16" x14ac:dyDescent="0.25">
      <c r="A34" s="12" t="s">
        <v>12</v>
      </c>
      <c r="B34" s="13"/>
      <c r="C34" s="13"/>
      <c r="D34" s="51"/>
      <c r="E34" s="13"/>
      <c r="F34" s="13"/>
      <c r="G34" s="87"/>
      <c r="H34" s="87"/>
      <c r="I34" s="87"/>
      <c r="J34" s="87"/>
      <c r="K34" s="13"/>
      <c r="L34" s="13"/>
      <c r="M34" s="13"/>
      <c r="N34" s="13"/>
    </row>
    <row r="35" spans="1:16" x14ac:dyDescent="0.25">
      <c r="A35" s="13" t="s">
        <v>64</v>
      </c>
      <c r="B35" s="14">
        <f>B19/B30</f>
        <v>5669988737.2670803</v>
      </c>
      <c r="C35" s="50">
        <f>C19/C30</f>
        <v>2005855855.2795029</v>
      </c>
      <c r="D35" s="50"/>
      <c r="E35" s="50"/>
      <c r="F35" s="50">
        <f>F19/F30</f>
        <v>2712564249.6894407</v>
      </c>
      <c r="G35" s="50"/>
      <c r="H35" s="50"/>
      <c r="I35" s="50"/>
      <c r="J35" s="50"/>
      <c r="K35" s="14">
        <f t="shared" ref="K35:P35" si="5">K19/K30</f>
        <v>830131336.02484465</v>
      </c>
      <c r="L35" s="14">
        <f t="shared" si="5"/>
        <v>121437296.27329192</v>
      </c>
      <c r="M35" s="14">
        <f t="shared" si="5"/>
        <v>0</v>
      </c>
      <c r="N35" s="14">
        <f t="shared" si="5"/>
        <v>0</v>
      </c>
      <c r="O35" s="14">
        <f t="shared" si="5"/>
        <v>0</v>
      </c>
      <c r="P35" s="14">
        <f t="shared" si="5"/>
        <v>0</v>
      </c>
    </row>
    <row r="36" spans="1:16" x14ac:dyDescent="0.25">
      <c r="A36" s="13" t="s">
        <v>109</v>
      </c>
      <c r="B36" s="14">
        <f>B21/B31</f>
        <v>5708375689.4107141</v>
      </c>
      <c r="C36" s="50">
        <f>C21/C31</f>
        <v>1996551550</v>
      </c>
      <c r="D36" s="50"/>
      <c r="E36" s="50"/>
      <c r="F36" s="50">
        <f>F21/F31</f>
        <v>2577887713.2142859</v>
      </c>
      <c r="G36" s="50"/>
      <c r="H36" s="50"/>
      <c r="I36" s="50"/>
      <c r="J36" s="50"/>
      <c r="K36" s="14">
        <f>K21/K31</f>
        <v>903011860.12500012</v>
      </c>
      <c r="L36" s="14">
        <f>L21/L31</f>
        <v>230924566.07142857</v>
      </c>
      <c r="M36" s="14">
        <f t="shared" ref="M36:P36" si="6">M21/M31</f>
        <v>0</v>
      </c>
      <c r="N36" s="14">
        <f t="shared" si="6"/>
        <v>0</v>
      </c>
      <c r="O36" s="14">
        <f t="shared" si="6"/>
        <v>0</v>
      </c>
      <c r="P36" s="14">
        <f t="shared" si="6"/>
        <v>0</v>
      </c>
    </row>
    <row r="37" spans="1:16" x14ac:dyDescent="0.25">
      <c r="A37" s="13" t="s">
        <v>65</v>
      </c>
      <c r="B37" s="14">
        <f>B35/B10</f>
        <v>45736.207082810863</v>
      </c>
      <c r="C37" s="50">
        <f>C35/C10</f>
        <v>70770.76721869607</v>
      </c>
      <c r="D37" s="50"/>
      <c r="E37" s="50"/>
      <c r="F37" s="50">
        <f>F35/F10</f>
        <v>22325.754185395592</v>
      </c>
      <c r="G37" s="50"/>
      <c r="H37" s="50"/>
      <c r="I37" s="50"/>
      <c r="J37" s="50"/>
      <c r="K37" s="14">
        <f>K35/K10</f>
        <v>150464.85729696701</v>
      </c>
      <c r="L37" s="14">
        <f>L35/L10</f>
        <v>172007.50180352962</v>
      </c>
      <c r="M37" s="14" t="e">
        <f t="shared" ref="M37:P37" si="7">M35/M10</f>
        <v>#DIV/0!</v>
      </c>
      <c r="N37" s="14" t="e">
        <f t="shared" si="7"/>
        <v>#DIV/0!</v>
      </c>
      <c r="O37" s="14" t="e">
        <f t="shared" si="7"/>
        <v>#DIV/0!</v>
      </c>
      <c r="P37" s="14" t="e">
        <f t="shared" si="7"/>
        <v>#DIV/0!</v>
      </c>
    </row>
    <row r="38" spans="1:16" x14ac:dyDescent="0.25">
      <c r="A38" s="13" t="s">
        <v>110</v>
      </c>
      <c r="B38" s="14">
        <f>B36/B14</f>
        <v>46500.922050728783</v>
      </c>
      <c r="C38" s="50">
        <f>C36/C14</f>
        <v>66713.560489335243</v>
      </c>
      <c r="D38" s="50"/>
      <c r="E38" s="50"/>
      <c r="F38" s="50">
        <f>F36/F14</f>
        <v>21267.906831224882</v>
      </c>
      <c r="G38" s="50"/>
      <c r="H38" s="50"/>
      <c r="I38" s="50"/>
      <c r="J38" s="50"/>
      <c r="K38" s="34">
        <f>K36/K14</f>
        <v>107056.75818854231</v>
      </c>
      <c r="L38" s="34">
        <f>L36/L14</f>
        <v>173150.13701931658</v>
      </c>
      <c r="M38" s="34" t="e">
        <f t="shared" ref="M38:P38" si="8">M36/M14</f>
        <v>#DIV/0!</v>
      </c>
      <c r="N38" s="34" t="e">
        <f t="shared" si="8"/>
        <v>#DIV/0!</v>
      </c>
      <c r="O38" s="34" t="e">
        <f t="shared" si="8"/>
        <v>#DIV/0!</v>
      </c>
      <c r="P38" s="34" t="e">
        <f t="shared" si="8"/>
        <v>#DIV/0!</v>
      </c>
    </row>
    <row r="39" spans="1:16" x14ac:dyDescent="0.25">
      <c r="I39" s="32"/>
      <c r="J39" s="32"/>
    </row>
    <row r="40" spans="1:16" x14ac:dyDescent="0.25">
      <c r="A40" s="2" t="s">
        <v>13</v>
      </c>
      <c r="I40" s="32"/>
      <c r="J40" s="32"/>
    </row>
    <row r="41" spans="1:16" x14ac:dyDescent="0.25">
      <c r="I41" s="32"/>
      <c r="J41" s="32"/>
    </row>
    <row r="42" spans="1:16" x14ac:dyDescent="0.25">
      <c r="A42" t="s">
        <v>14</v>
      </c>
      <c r="I42" s="32"/>
      <c r="J42" s="32"/>
    </row>
    <row r="43" spans="1:16" x14ac:dyDescent="0.25">
      <c r="A43" t="s">
        <v>15</v>
      </c>
      <c r="B43" s="17">
        <f>(B13/B32)*100</f>
        <v>109.30666256407828</v>
      </c>
      <c r="C43" s="17">
        <f t="shared" ref="C43:N43" si="9">(C13/C32)*100</f>
        <v>29.06210490397379</v>
      </c>
      <c r="D43" s="17">
        <f t="shared" si="9"/>
        <v>22.52242123720653</v>
      </c>
      <c r="E43" s="17">
        <f t="shared" si="9"/>
        <v>6.5396836667672584</v>
      </c>
      <c r="F43" s="17">
        <f t="shared" si="9"/>
        <v>115.92672145989029</v>
      </c>
      <c r="G43" s="17">
        <f t="shared" si="9"/>
        <v>86.784241326871751</v>
      </c>
      <c r="H43" s="17">
        <f t="shared" si="9"/>
        <v>4.728134486002876</v>
      </c>
      <c r="I43" s="17">
        <f t="shared" si="9"/>
        <v>24.414345647015665</v>
      </c>
      <c r="J43" s="17">
        <f t="shared" si="9"/>
        <v>26.454594405884059</v>
      </c>
      <c r="K43" s="17">
        <f t="shared" si="9"/>
        <v>8.2672086817081762</v>
      </c>
      <c r="L43" s="17">
        <f t="shared" si="9"/>
        <v>3.0949887277439512</v>
      </c>
      <c r="M43" s="17">
        <f t="shared" si="9"/>
        <v>0</v>
      </c>
      <c r="N43" s="17">
        <f t="shared" si="9"/>
        <v>0</v>
      </c>
    </row>
    <row r="44" spans="1:16" x14ac:dyDescent="0.25">
      <c r="A44" t="s">
        <v>16</v>
      </c>
      <c r="B44" s="17">
        <f>(B15/B32)*100</f>
        <v>89.203979510726896</v>
      </c>
      <c r="C44" s="17">
        <f t="shared" ref="C44:N44" si="10">(C15/C32)*100</f>
        <v>20.84795373542644</v>
      </c>
      <c r="D44" s="17">
        <f t="shared" si="10"/>
        <v>16.032639246386072</v>
      </c>
      <c r="E44" s="17">
        <f t="shared" si="10"/>
        <v>4.8153144890403681</v>
      </c>
      <c r="F44" s="17">
        <f t="shared" si="10"/>
        <v>93.544734978707979</v>
      </c>
      <c r="G44" s="17">
        <f t="shared" si="10"/>
        <v>73.171340264340827</v>
      </c>
      <c r="H44" s="17">
        <f t="shared" si="10"/>
        <v>3.3886788284743301</v>
      </c>
      <c r="I44" s="17">
        <f t="shared" si="10"/>
        <v>16.984715885892815</v>
      </c>
      <c r="J44" s="17">
        <f t="shared" si="10"/>
        <v>22.013838346183505</v>
      </c>
      <c r="K44" s="17">
        <f t="shared" si="10"/>
        <v>7.4866320708012077</v>
      </c>
      <c r="L44" s="17">
        <f t="shared" si="10"/>
        <v>1.1837348149989053</v>
      </c>
      <c r="M44" s="17">
        <f t="shared" si="10"/>
        <v>0</v>
      </c>
      <c r="N44" s="17">
        <f t="shared" si="10"/>
        <v>0</v>
      </c>
    </row>
    <row r="45" spans="1:16" x14ac:dyDescent="0.25">
      <c r="I45" s="32"/>
      <c r="J45" s="32"/>
    </row>
    <row r="46" spans="1:16" x14ac:dyDescent="0.25">
      <c r="A46" t="s">
        <v>17</v>
      </c>
      <c r="I46" s="32"/>
      <c r="J46" s="32"/>
    </row>
    <row r="47" spans="1:16" x14ac:dyDescent="0.25">
      <c r="A47" t="s">
        <v>18</v>
      </c>
      <c r="B47" s="15">
        <f>B14/B12*100</f>
        <v>93.770130883098091</v>
      </c>
      <c r="C47" s="15">
        <f t="shared" ref="C47:N47" si="11">C14/C12*100</f>
        <v>73.883835502205457</v>
      </c>
      <c r="D47" s="15">
        <f t="shared" si="11"/>
        <v>73.939780042918471</v>
      </c>
      <c r="E47" s="15">
        <f t="shared" si="11"/>
        <v>73.632223428640359</v>
      </c>
      <c r="F47" s="15">
        <f t="shared" si="11"/>
        <v>92.803171443398071</v>
      </c>
      <c r="G47" s="15">
        <f t="shared" si="11"/>
        <v>100.49091634308233</v>
      </c>
      <c r="H47" s="15">
        <f t="shared" si="11"/>
        <v>71.67052541559768</v>
      </c>
      <c r="I47" s="15">
        <f t="shared" si="11"/>
        <v>69.568589432864755</v>
      </c>
      <c r="J47" s="15">
        <f t="shared" si="11"/>
        <v>83.213667949062071</v>
      </c>
      <c r="K47" s="15">
        <f t="shared" si="11"/>
        <v>90.558160063939681</v>
      </c>
      <c r="L47" s="15">
        <f t="shared" si="11"/>
        <v>38.246821527578625</v>
      </c>
      <c r="M47" s="15" t="e">
        <f t="shared" si="11"/>
        <v>#DIV/0!</v>
      </c>
      <c r="N47" s="15" t="e">
        <f t="shared" si="11"/>
        <v>#DIV/0!</v>
      </c>
    </row>
    <row r="48" spans="1:16" x14ac:dyDescent="0.25">
      <c r="A48" t="s">
        <v>19</v>
      </c>
      <c r="B48" s="15">
        <f>B21/B20*100</f>
        <v>65.625862727426181</v>
      </c>
      <c r="C48" s="15">
        <f>C21/C20*100</f>
        <v>72.131960738785693</v>
      </c>
      <c r="D48" s="15"/>
      <c r="E48" s="15"/>
      <c r="F48" s="58">
        <f>F21/F20*100</f>
        <v>79.507492370000392</v>
      </c>
      <c r="G48" s="58"/>
      <c r="H48" s="58"/>
      <c r="I48" s="58"/>
      <c r="J48" s="58"/>
      <c r="K48" s="15">
        <f>K21/K20*100</f>
        <v>66.974681745308047</v>
      </c>
      <c r="L48" s="15">
        <f>L21/L20*100</f>
        <v>24.553674417693273</v>
      </c>
      <c r="M48" s="15">
        <f t="shared" ref="M48:N48" si="12">M21/M20*100</f>
        <v>0</v>
      </c>
      <c r="N48" s="15">
        <f t="shared" si="12"/>
        <v>0</v>
      </c>
    </row>
    <row r="49" spans="1:14" x14ac:dyDescent="0.25">
      <c r="A49" s="13" t="s">
        <v>20</v>
      </c>
      <c r="B49" s="16">
        <f>AVERAGE(B47:B48)</f>
        <v>79.697996805262136</v>
      </c>
      <c r="C49" s="16">
        <f t="shared" ref="C49:N49" si="13">AVERAGE(C47:C48)</f>
        <v>73.007898120495582</v>
      </c>
      <c r="D49" s="16"/>
      <c r="E49" s="16"/>
      <c r="F49" s="59">
        <f>AVERAGE(F47:F48)</f>
        <v>86.155331906699232</v>
      </c>
      <c r="G49" s="59"/>
      <c r="H49" s="59"/>
      <c r="I49" s="59"/>
      <c r="J49" s="59"/>
      <c r="K49" s="16">
        <f t="shared" si="13"/>
        <v>78.766420904623857</v>
      </c>
      <c r="L49" s="16">
        <f t="shared" si="13"/>
        <v>31.400247972635949</v>
      </c>
      <c r="M49" s="16" t="e">
        <f t="shared" si="13"/>
        <v>#DIV/0!</v>
      </c>
      <c r="N49" s="16" t="e">
        <f t="shared" si="13"/>
        <v>#DIV/0!</v>
      </c>
    </row>
    <row r="50" spans="1:14" x14ac:dyDescent="0.25">
      <c r="B50" s="15"/>
      <c r="C50" s="15"/>
      <c r="D50" s="15"/>
      <c r="E50" s="15"/>
      <c r="F50" s="15"/>
      <c r="G50" s="15"/>
      <c r="H50" s="15"/>
      <c r="I50" s="15"/>
      <c r="J50" s="15"/>
      <c r="K50" s="15"/>
      <c r="L50" s="15"/>
    </row>
    <row r="51" spans="1:14" x14ac:dyDescent="0.25">
      <c r="A51" t="s">
        <v>21</v>
      </c>
    </row>
    <row r="52" spans="1:14" x14ac:dyDescent="0.25">
      <c r="A52" t="s">
        <v>22</v>
      </c>
      <c r="B52" s="15">
        <f>((B14/B16)*100)</f>
        <v>92.03170723783677</v>
      </c>
      <c r="C52" s="15">
        <f t="shared" ref="C52:N52" si="14">((C14/C16)*100)</f>
        <v>72.042613856725211</v>
      </c>
      <c r="D52" s="15">
        <f t="shared" si="14"/>
        <v>71.699880022239782</v>
      </c>
      <c r="E52" s="15">
        <f t="shared" si="14"/>
        <v>73.632223428640359</v>
      </c>
      <c r="F52" s="15">
        <f t="shared" si="14"/>
        <v>91.084826654509683</v>
      </c>
      <c r="G52" s="15">
        <f t="shared" si="14"/>
        <v>99.03474644035451</v>
      </c>
      <c r="H52" s="15">
        <f t="shared" si="14"/>
        <v>69.49197103911338</v>
      </c>
      <c r="I52" s="15">
        <f t="shared" si="14"/>
        <v>67.461044912923924</v>
      </c>
      <c r="J52" s="15">
        <f t="shared" si="14"/>
        <v>80.691385337251873</v>
      </c>
      <c r="K52" s="15">
        <f t="shared" si="14"/>
        <v>89.70423151003817</v>
      </c>
      <c r="L52" s="15">
        <f t="shared" si="14"/>
        <v>37.087504634779393</v>
      </c>
      <c r="M52" s="15" t="e">
        <f t="shared" si="14"/>
        <v>#DIV/0!</v>
      </c>
      <c r="N52" s="15" t="e">
        <f t="shared" si="14"/>
        <v>#DIV/0!</v>
      </c>
    </row>
    <row r="53" spans="1:14" x14ac:dyDescent="0.25">
      <c r="A53" t="s">
        <v>23</v>
      </c>
      <c r="B53" s="15">
        <f>B21/B22*100</f>
        <v>48.810547758685026</v>
      </c>
      <c r="C53" s="15">
        <f>C21/C22*100</f>
        <v>52.476501995794365</v>
      </c>
      <c r="D53" s="15"/>
      <c r="E53" s="15"/>
      <c r="F53" s="15">
        <f>F21/F22*100</f>
        <v>58.587488389442477</v>
      </c>
      <c r="G53" s="15"/>
      <c r="H53" s="15"/>
      <c r="I53" s="15"/>
      <c r="J53" s="15"/>
      <c r="K53" s="15">
        <f t="shared" ref="K53:N53" si="15">K21/K22*100</f>
        <v>50.231011308981032</v>
      </c>
      <c r="L53" s="15">
        <f t="shared" si="15"/>
        <v>17.857217758322381</v>
      </c>
      <c r="M53" s="15">
        <f t="shared" si="15"/>
        <v>0</v>
      </c>
      <c r="N53" s="15">
        <f t="shared" si="15"/>
        <v>0</v>
      </c>
    </row>
    <row r="54" spans="1:14" x14ac:dyDescent="0.25">
      <c r="A54" t="s">
        <v>24</v>
      </c>
      <c r="B54" s="15">
        <f>(B52+B53)/2</f>
        <v>70.421127498260901</v>
      </c>
      <c r="C54" s="15">
        <f t="shared" ref="C54:N54" si="16">(C52+C53)/2</f>
        <v>62.259557926259788</v>
      </c>
      <c r="D54" s="15"/>
      <c r="E54" s="15"/>
      <c r="F54" s="15">
        <f t="shared" ref="F54" si="17">(F52+F53)/2</f>
        <v>74.836157521976077</v>
      </c>
      <c r="G54" s="15"/>
      <c r="H54" s="15"/>
      <c r="I54" s="15"/>
      <c r="J54" s="15"/>
      <c r="K54" s="15">
        <f t="shared" si="16"/>
        <v>69.967621409509604</v>
      </c>
      <c r="L54" s="15">
        <f t="shared" si="16"/>
        <v>27.472361196550885</v>
      </c>
      <c r="M54" s="15" t="e">
        <f t="shared" si="16"/>
        <v>#DIV/0!</v>
      </c>
      <c r="N54" s="15" t="e">
        <f t="shared" si="16"/>
        <v>#DIV/0!</v>
      </c>
    </row>
    <row r="55" spans="1:14" x14ac:dyDescent="0.25">
      <c r="B55" s="15"/>
      <c r="C55" s="15"/>
      <c r="D55" s="15"/>
      <c r="E55" s="15"/>
      <c r="F55" s="15"/>
      <c r="G55" s="15"/>
      <c r="H55" s="15"/>
      <c r="I55" s="15"/>
      <c r="J55" s="15"/>
      <c r="K55" s="15"/>
      <c r="L55" s="15"/>
    </row>
    <row r="56" spans="1:14" x14ac:dyDescent="0.25">
      <c r="A56" t="s">
        <v>40</v>
      </c>
    </row>
    <row r="57" spans="1:14" x14ac:dyDescent="0.25">
      <c r="A57" t="s">
        <v>25</v>
      </c>
      <c r="B57" s="15">
        <f>B23/B21*100</f>
        <v>100</v>
      </c>
      <c r="C57" s="15"/>
      <c r="D57" s="15"/>
      <c r="E57" s="15"/>
      <c r="F57" s="15"/>
      <c r="G57" s="15"/>
      <c r="H57" s="15"/>
      <c r="I57" s="15"/>
      <c r="J57" s="15"/>
      <c r="K57" s="15"/>
      <c r="L57" s="15"/>
    </row>
    <row r="59" spans="1:14" x14ac:dyDescent="0.25">
      <c r="A59" t="s">
        <v>26</v>
      </c>
    </row>
    <row r="60" spans="1:14" x14ac:dyDescent="0.25">
      <c r="A60" t="s">
        <v>27</v>
      </c>
      <c r="B60" s="15">
        <f>((B14/B10)-1)*100</f>
        <v>-0.97862950641006696</v>
      </c>
      <c r="C60" s="15">
        <f t="shared" ref="C60:N60" si="18">((C14/C10)-1)*100</f>
        <v>5.5894655548891281</v>
      </c>
      <c r="D60" s="15">
        <f t="shared" si="18"/>
        <v>2.37651985385261</v>
      </c>
      <c r="E60" s="15">
        <f t="shared" si="18"/>
        <v>23.027111469461794</v>
      </c>
      <c r="F60" s="15">
        <f t="shared" si="18"/>
        <v>-0.23795283741839812</v>
      </c>
      <c r="G60" s="15">
        <f t="shared" si="18"/>
        <v>-1.7813171617546586</v>
      </c>
      <c r="H60" s="15">
        <f t="shared" si="18"/>
        <v>24.849211539859017</v>
      </c>
      <c r="I60" s="15">
        <f t="shared" si="18"/>
        <v>3.983046242460464</v>
      </c>
      <c r="J60" s="15">
        <f t="shared" si="18"/>
        <v>6.8795457048326236</v>
      </c>
      <c r="K60" s="15">
        <f t="shared" si="18"/>
        <v>52.885970918757778</v>
      </c>
      <c r="L60" s="15">
        <f t="shared" si="18"/>
        <v>88.904627006610013</v>
      </c>
      <c r="M60" s="15" t="e">
        <f t="shared" si="18"/>
        <v>#DIV/0!</v>
      </c>
      <c r="N60" s="15" t="e">
        <f t="shared" si="18"/>
        <v>#DIV/0!</v>
      </c>
    </row>
    <row r="61" spans="1:14" x14ac:dyDescent="0.25">
      <c r="A61" t="s">
        <v>28</v>
      </c>
      <c r="B61" s="15">
        <f>((B36/B35)-1)*100</f>
        <v>0.67701990113893107</v>
      </c>
      <c r="C61" s="15">
        <f t="shared" ref="C61:N61" si="19">((C36/C35)-1)*100</f>
        <v>-0.46385712388123945</v>
      </c>
      <c r="D61" s="15"/>
      <c r="E61" s="15"/>
      <c r="F61" s="15">
        <f t="shared" si="19"/>
        <v>-4.9649160011813187</v>
      </c>
      <c r="G61" s="15"/>
      <c r="H61" s="15"/>
      <c r="I61" s="15"/>
      <c r="J61" s="15"/>
      <c r="K61" s="15">
        <f t="shared" si="19"/>
        <v>8.7793968179963109</v>
      </c>
      <c r="L61" s="15">
        <f t="shared" si="19"/>
        <v>90.159508781995612</v>
      </c>
      <c r="M61" s="15" t="e">
        <f t="shared" si="19"/>
        <v>#DIV/0!</v>
      </c>
      <c r="N61" s="15" t="e">
        <f t="shared" si="19"/>
        <v>#DIV/0!</v>
      </c>
    </row>
    <row r="62" spans="1:14" x14ac:dyDescent="0.25">
      <c r="A62" s="13" t="s">
        <v>29</v>
      </c>
      <c r="B62" s="16">
        <f>((B38/B37)-1)*100</f>
        <v>1.6720122124104231</v>
      </c>
      <c r="C62" s="16">
        <f t="shared" ref="C62:N62" si="20">((C38/C37)-1)*100</f>
        <v>-5.7328850439380297</v>
      </c>
      <c r="D62" s="16"/>
      <c r="E62" s="16"/>
      <c r="F62" s="16">
        <f t="shared" si="20"/>
        <v>-4.7382379353737676</v>
      </c>
      <c r="G62" s="16"/>
      <c r="H62" s="16"/>
      <c r="I62" s="16"/>
      <c r="J62" s="16"/>
      <c r="K62" s="16">
        <f t="shared" si="20"/>
        <v>-28.849327270321801</v>
      </c>
      <c r="L62" s="16">
        <f t="shared" si="20"/>
        <v>0.66429382661001846</v>
      </c>
      <c r="M62" s="16" t="e">
        <f t="shared" si="20"/>
        <v>#DIV/0!</v>
      </c>
      <c r="N62" s="16" t="e">
        <f t="shared" si="20"/>
        <v>#DIV/0!</v>
      </c>
    </row>
    <row r="63" spans="1:14" x14ac:dyDescent="0.25">
      <c r="B63" s="17"/>
      <c r="C63" s="17"/>
      <c r="D63" s="17"/>
      <c r="E63" s="17"/>
      <c r="F63" s="17"/>
      <c r="G63" s="17"/>
      <c r="H63" s="17"/>
      <c r="I63" s="17"/>
      <c r="J63" s="17"/>
      <c r="K63" s="17"/>
      <c r="L63" s="17"/>
    </row>
    <row r="64" spans="1:14" x14ac:dyDescent="0.25">
      <c r="A64" t="s">
        <v>30</v>
      </c>
    </row>
    <row r="65" spans="1:14" x14ac:dyDescent="0.25">
      <c r="A65" t="s">
        <v>31</v>
      </c>
      <c r="B65" s="4">
        <f>B20/(B12*9)</f>
        <v>12402.745527301617</v>
      </c>
      <c r="C65" s="4">
        <f>C20/(C12*9)</f>
        <v>12755.649783844283</v>
      </c>
      <c r="D65" s="4"/>
      <c r="E65" s="4"/>
      <c r="F65" s="4">
        <f>F20/(F12*9)</f>
        <v>4633.8960066831714</v>
      </c>
      <c r="G65" s="4"/>
      <c r="H65" s="40"/>
      <c r="I65" s="40"/>
      <c r="J65" s="40"/>
      <c r="K65" s="4">
        <f>K20/(K12*9)</f>
        <v>27020.774433668539</v>
      </c>
      <c r="L65" s="4">
        <f>L20/(L12*9)</f>
        <v>50346.405378708216</v>
      </c>
      <c r="M65" s="4" t="e">
        <f t="shared" ref="M65:N65" si="21">M20/(M12*9)</f>
        <v>#DIV/0!</v>
      </c>
      <c r="N65" s="4" t="e">
        <f t="shared" si="21"/>
        <v>#DIV/0!</v>
      </c>
    </row>
    <row r="66" spans="1:14" x14ac:dyDescent="0.25">
      <c r="A66" t="s">
        <v>32</v>
      </c>
      <c r="B66" s="4">
        <f>B21/(B14*9)</f>
        <v>8680.1721161360383</v>
      </c>
      <c r="C66" s="4">
        <f>C21/(C14*9)</f>
        <v>12453.197958009245</v>
      </c>
      <c r="D66" s="4"/>
      <c r="E66" s="44"/>
      <c r="F66" s="4">
        <f>F21/(F14*9)</f>
        <v>3970.0092751619773</v>
      </c>
      <c r="G66" s="40"/>
      <c r="H66" s="40"/>
      <c r="I66" s="40"/>
      <c r="J66" s="40"/>
      <c r="K66" s="4">
        <f>K21/(K14*9)</f>
        <v>19983.928195194567</v>
      </c>
      <c r="L66" s="4">
        <f>L21/(L14*9)</f>
        <v>32321.358910272433</v>
      </c>
      <c r="M66" s="4" t="e">
        <f t="shared" ref="M66:N66" si="22">M21/(M14*9)</f>
        <v>#DIV/0!</v>
      </c>
      <c r="N66" s="4" t="e">
        <f t="shared" si="22"/>
        <v>#DIV/0!</v>
      </c>
    </row>
    <row r="67" spans="1:14" x14ac:dyDescent="0.25">
      <c r="A67" s="13" t="s">
        <v>33</v>
      </c>
      <c r="B67" s="16">
        <f>(B65/B66)*B49</f>
        <v>113.87723194726014</v>
      </c>
      <c r="C67" s="16">
        <f>(C65/C66)*C49</f>
        <v>74.781046845937695</v>
      </c>
      <c r="D67" s="16"/>
      <c r="E67" s="16"/>
      <c r="F67" s="16">
        <f t="shared" ref="F67" si="23">(F65/F66)*F49</f>
        <v>100.56269917924259</v>
      </c>
      <c r="G67" s="59"/>
      <c r="H67" s="59"/>
      <c r="I67" s="59"/>
      <c r="J67" s="59"/>
      <c r="K67" s="16">
        <f>(K65/K66)*K49</f>
        <v>106.50206863348438</v>
      </c>
      <c r="L67" s="16">
        <f>(L65/L66)*L49</f>
        <v>48.911607269082026</v>
      </c>
      <c r="M67" s="16" t="e">
        <f t="shared" ref="M67:N67" si="24">(M65/M66)*M49</f>
        <v>#DIV/0!</v>
      </c>
      <c r="N67" s="16" t="e">
        <f t="shared" si="24"/>
        <v>#DIV/0!</v>
      </c>
    </row>
    <row r="68" spans="1:14" x14ac:dyDescent="0.25">
      <c r="A68" t="s">
        <v>41</v>
      </c>
      <c r="B68" s="30">
        <f>B20/B12</f>
        <v>111624.70974571454</v>
      </c>
      <c r="C68" s="30">
        <f>C20/C12</f>
        <v>114800.84805459854</v>
      </c>
      <c r="D68" s="30"/>
      <c r="E68" s="30"/>
      <c r="F68" s="30">
        <f t="shared" ref="F68" si="25">F20/F12</f>
        <v>41705.064060148543</v>
      </c>
      <c r="G68" s="60"/>
      <c r="H68" s="60"/>
      <c r="I68" s="60"/>
      <c r="J68" s="60"/>
      <c r="K68" s="30">
        <f t="shared" ref="K68:N68" si="26">K20/K12</f>
        <v>243186.96990301684</v>
      </c>
      <c r="L68" s="30">
        <f t="shared" si="26"/>
        <v>453117.64840837393</v>
      </c>
      <c r="M68" s="30" t="e">
        <f t="shared" si="26"/>
        <v>#DIV/0!</v>
      </c>
      <c r="N68" s="30" t="e">
        <f t="shared" si="26"/>
        <v>#DIV/0!</v>
      </c>
    </row>
    <row r="69" spans="1:14" x14ac:dyDescent="0.25">
      <c r="A69" t="s">
        <v>42</v>
      </c>
      <c r="B69" s="17">
        <f>B21/B14</f>
        <v>78121.549045224354</v>
      </c>
      <c r="C69" s="17">
        <f>C21/C14</f>
        <v>112078.7816220832</v>
      </c>
      <c r="D69" s="17"/>
      <c r="E69" s="17"/>
      <c r="F69" s="17">
        <f t="shared" ref="F69" si="27">F21/F14</f>
        <v>35730.083476457796</v>
      </c>
      <c r="G69" s="60"/>
      <c r="H69" s="60"/>
      <c r="I69" s="60"/>
      <c r="J69" s="60"/>
      <c r="K69" s="30">
        <f>K21/K14</f>
        <v>179855.35375675108</v>
      </c>
      <c r="L69" s="30">
        <f>L21/L14</f>
        <v>290892.23019245185</v>
      </c>
      <c r="M69" s="30" t="e">
        <f t="shared" ref="M69:N69" si="28">M21/M14</f>
        <v>#DIV/0!</v>
      </c>
      <c r="N69" s="30" t="e">
        <f t="shared" si="28"/>
        <v>#DIV/0!</v>
      </c>
    </row>
    <row r="70" spans="1:14" x14ac:dyDescent="0.25">
      <c r="B70" s="15"/>
      <c r="C70" s="15"/>
      <c r="D70" s="15"/>
      <c r="E70" s="15"/>
      <c r="F70" s="15"/>
      <c r="G70" s="15"/>
      <c r="H70" s="15"/>
      <c r="I70" s="17"/>
      <c r="J70" s="17"/>
      <c r="K70" s="15"/>
      <c r="L70" s="15"/>
    </row>
    <row r="71" spans="1:14" x14ac:dyDescent="0.25">
      <c r="A71" t="s">
        <v>34</v>
      </c>
      <c r="B71" s="15"/>
      <c r="C71" s="15"/>
      <c r="D71" s="15"/>
      <c r="E71" s="15"/>
      <c r="F71" s="15"/>
      <c r="G71" s="15"/>
      <c r="H71" s="15"/>
      <c r="I71" s="17"/>
      <c r="J71" s="17"/>
      <c r="K71" s="15"/>
      <c r="L71" s="15"/>
    </row>
    <row r="72" spans="1:14" x14ac:dyDescent="0.25">
      <c r="A72" s="18" t="s">
        <v>35</v>
      </c>
      <c r="B72" s="19">
        <f>(B27/B26)*100</f>
        <v>76.807802818612132</v>
      </c>
      <c r="C72" s="19"/>
      <c r="D72" s="19"/>
      <c r="E72" s="19"/>
      <c r="F72" s="19"/>
      <c r="G72" s="19"/>
      <c r="H72" s="19"/>
      <c r="I72" s="19"/>
      <c r="J72" s="19"/>
      <c r="K72" s="19"/>
      <c r="L72" s="19"/>
    </row>
    <row r="73" spans="1:14" x14ac:dyDescent="0.25">
      <c r="A73" s="18" t="s">
        <v>36</v>
      </c>
      <c r="B73" s="19">
        <f>(B21/B27)*100</f>
        <v>85.441661288511256</v>
      </c>
      <c r="C73" s="19"/>
      <c r="D73" s="19"/>
      <c r="E73" s="19"/>
      <c r="F73" s="19"/>
      <c r="G73" s="19"/>
      <c r="H73" s="19"/>
      <c r="I73" s="19"/>
      <c r="J73" s="19"/>
      <c r="K73" s="19"/>
      <c r="L73" s="19"/>
    </row>
    <row r="74" spans="1:14" ht="15.75" thickBot="1" x14ac:dyDescent="0.3">
      <c r="A74" s="20"/>
      <c r="B74" s="20"/>
      <c r="C74" s="20"/>
      <c r="D74" s="20"/>
      <c r="E74" s="20"/>
      <c r="F74" s="20"/>
      <c r="G74" s="20"/>
      <c r="H74" s="20"/>
      <c r="I74" s="49"/>
      <c r="J74" s="49"/>
      <c r="K74" s="20"/>
      <c r="L74" s="20"/>
      <c r="M74" s="20"/>
      <c r="N74" s="20"/>
    </row>
    <row r="75" spans="1:14" ht="15.75" thickTop="1" x14ac:dyDescent="0.25">
      <c r="A75" s="33" t="s">
        <v>94</v>
      </c>
    </row>
    <row r="76" spans="1:14" x14ac:dyDescent="0.25">
      <c r="A76" t="s">
        <v>95</v>
      </c>
    </row>
    <row r="77" spans="1:14" x14ac:dyDescent="0.25">
      <c r="A77" t="s">
        <v>96</v>
      </c>
    </row>
    <row r="78" spans="1:14" x14ac:dyDescent="0.25">
      <c r="A78" t="s">
        <v>79</v>
      </c>
      <c r="B78" s="21"/>
      <c r="C78" s="21"/>
      <c r="D78" s="21"/>
      <c r="E78" s="21"/>
      <c r="F78" s="21"/>
      <c r="G78" s="21"/>
      <c r="H78" s="21"/>
      <c r="I78" s="21"/>
      <c r="J78" s="21"/>
    </row>
    <row r="80" spans="1:14" x14ac:dyDescent="0.25">
      <c r="A80" t="s">
        <v>43</v>
      </c>
    </row>
    <row r="81" spans="1:1" x14ac:dyDescent="0.25">
      <c r="A81" t="s">
        <v>53</v>
      </c>
    </row>
    <row r="82" spans="1:1" x14ac:dyDescent="0.25">
      <c r="A82" t="s">
        <v>134</v>
      </c>
    </row>
    <row r="83" spans="1:1" x14ac:dyDescent="0.25">
      <c r="A83" t="s">
        <v>50</v>
      </c>
    </row>
    <row r="84" spans="1:1" x14ac:dyDescent="0.25">
      <c r="A84" t="s">
        <v>78</v>
      </c>
    </row>
    <row r="86" spans="1:1" x14ac:dyDescent="0.25">
      <c r="A86" t="s">
        <v>136</v>
      </c>
    </row>
    <row r="87" spans="1:1" x14ac:dyDescent="0.25">
      <c r="A87" s="42"/>
    </row>
  </sheetData>
  <mergeCells count="6">
    <mergeCell ref="G34:J34"/>
    <mergeCell ref="A2:K2"/>
    <mergeCell ref="A4:A5"/>
    <mergeCell ref="D5:E5"/>
    <mergeCell ref="G5:H5"/>
    <mergeCell ref="D4:N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tabSelected="1" zoomScale="80" zoomScaleNormal="80" workbookViewId="0">
      <pane xSplit="1" ySplit="6" topLeftCell="B7" activePane="bottomRight" state="frozen"/>
      <selection pane="topRight" activeCell="B1" sqref="B1"/>
      <selection pane="bottomLeft" activeCell="A7" sqref="A7"/>
      <selection pane="bottomRight" activeCell="H92" sqref="H92"/>
    </sheetView>
  </sheetViews>
  <sheetFormatPr baseColWidth="10" defaultColWidth="11.42578125" defaultRowHeight="15" x14ac:dyDescent="0.25"/>
  <cols>
    <col min="1" max="1" width="55.140625" customWidth="1"/>
    <col min="2" max="3" width="26.7109375" customWidth="1"/>
    <col min="4" max="4" width="20.85546875" customWidth="1"/>
    <col min="5" max="6" width="16.5703125" customWidth="1"/>
    <col min="7" max="7" width="16.140625" customWidth="1"/>
    <col min="8" max="10" width="17.42578125" customWidth="1"/>
    <col min="11" max="11" width="16.42578125" bestFit="1" customWidth="1"/>
    <col min="12" max="12" width="16.42578125" customWidth="1"/>
    <col min="13" max="13" width="17.42578125" customWidth="1"/>
    <col min="14" max="14" width="26" customWidth="1"/>
    <col min="15" max="15" width="15.42578125" bestFit="1" customWidth="1"/>
    <col min="16" max="16" width="23.140625" customWidth="1"/>
  </cols>
  <sheetData>
    <row r="1" spans="1:17" x14ac:dyDescent="0.25">
      <c r="G1" s="38"/>
      <c r="H1" s="38"/>
    </row>
    <row r="2" spans="1:17" ht="15.75" x14ac:dyDescent="0.25">
      <c r="A2" s="90" t="s">
        <v>126</v>
      </c>
      <c r="B2" s="90"/>
      <c r="C2" s="90"/>
      <c r="D2" s="90"/>
      <c r="E2" s="90"/>
      <c r="F2" s="90"/>
      <c r="G2" s="90"/>
      <c r="H2" s="90"/>
      <c r="I2" s="90"/>
      <c r="J2" s="90"/>
      <c r="K2" s="90"/>
    </row>
    <row r="4" spans="1:17" x14ac:dyDescent="0.25">
      <c r="A4" s="88" t="s">
        <v>0</v>
      </c>
      <c r="B4" s="25" t="s">
        <v>1</v>
      </c>
      <c r="C4" s="25"/>
      <c r="D4" s="95" t="s">
        <v>2</v>
      </c>
      <c r="E4" s="95"/>
      <c r="F4" s="95"/>
      <c r="G4" s="95"/>
      <c r="H4" s="95"/>
      <c r="I4" s="95"/>
      <c r="J4" s="95"/>
      <c r="K4" s="95"/>
      <c r="L4" s="95"/>
      <c r="M4" s="95"/>
      <c r="N4" s="95"/>
      <c r="O4" s="95"/>
    </row>
    <row r="5" spans="1:17" ht="15.75" thickBot="1" x14ac:dyDescent="0.3">
      <c r="A5" s="89"/>
      <c r="B5" s="1" t="s">
        <v>3</v>
      </c>
      <c r="C5" s="57" t="s">
        <v>80</v>
      </c>
      <c r="D5" s="91" t="s">
        <v>4</v>
      </c>
      <c r="E5" s="91"/>
      <c r="F5" s="57" t="s">
        <v>81</v>
      </c>
      <c r="G5" s="91" t="s">
        <v>52</v>
      </c>
      <c r="H5" s="91"/>
      <c r="I5" s="48"/>
      <c r="J5" s="48"/>
      <c r="K5" s="1" t="s">
        <v>5</v>
      </c>
      <c r="L5" s="20" t="s">
        <v>51</v>
      </c>
      <c r="M5" s="20" t="s">
        <v>137</v>
      </c>
      <c r="N5" s="20" t="s">
        <v>138</v>
      </c>
      <c r="O5" s="20" t="s">
        <v>139</v>
      </c>
      <c r="P5" s="20" t="s">
        <v>140</v>
      </c>
    </row>
    <row r="6" spans="1:17" ht="15.75" thickTop="1" x14ac:dyDescent="0.25">
      <c r="B6" s="36" t="s">
        <v>1</v>
      </c>
      <c r="C6" s="36" t="s">
        <v>83</v>
      </c>
      <c r="D6" s="36" t="s">
        <v>48</v>
      </c>
      <c r="E6" s="36" t="s">
        <v>49</v>
      </c>
      <c r="F6" s="36" t="s">
        <v>84</v>
      </c>
      <c r="G6" s="36">
        <v>1600</v>
      </c>
      <c r="H6" s="36">
        <v>640</v>
      </c>
      <c r="I6" s="47">
        <v>320</v>
      </c>
      <c r="J6" s="47">
        <v>800</v>
      </c>
      <c r="K6" s="36" t="s">
        <v>5</v>
      </c>
      <c r="L6" t="s">
        <v>85</v>
      </c>
      <c r="M6" s="67" t="s">
        <v>137</v>
      </c>
      <c r="N6" s="67" t="s">
        <v>138</v>
      </c>
      <c r="O6" s="33" t="s">
        <v>139</v>
      </c>
      <c r="P6" s="33" t="s">
        <v>140</v>
      </c>
    </row>
    <row r="7" spans="1:17" x14ac:dyDescent="0.25">
      <c r="A7" s="2" t="s">
        <v>6</v>
      </c>
      <c r="I7" s="32"/>
      <c r="J7" s="32"/>
    </row>
    <row r="8" spans="1:17" x14ac:dyDescent="0.25">
      <c r="I8" s="32"/>
      <c r="J8" s="32"/>
    </row>
    <row r="9" spans="1:17" x14ac:dyDescent="0.25">
      <c r="A9" t="s">
        <v>7</v>
      </c>
      <c r="I9" s="32"/>
      <c r="J9" s="32"/>
      <c r="O9" s="77"/>
    </row>
    <row r="10" spans="1:17" x14ac:dyDescent="0.25">
      <c r="A10" s="3" t="s">
        <v>74</v>
      </c>
      <c r="B10" s="24">
        <f>+D10+G10</f>
        <v>125562.16666666667</v>
      </c>
      <c r="C10" s="24">
        <f>+D10+E10</f>
        <v>29670.25</v>
      </c>
      <c r="D10" s="24">
        <f>(+'I Trimestre'!D10+'II Trimestre'!D10+'III Trimestre'!D10+'IV Trimestre'!D10)/4</f>
        <v>24531.666666666668</v>
      </c>
      <c r="E10" s="24">
        <f>(+'I Trimestre'!E10+'II Trimestre'!E10+'III Trimestre'!E10+'IV Trimestre'!E10)/4</f>
        <v>5138.583333333333</v>
      </c>
      <c r="F10" s="24">
        <f>G10+I10</f>
        <v>119948</v>
      </c>
      <c r="G10" s="24">
        <f>(+'I Trimestre'!G10+'II Trimestre'!G10+'III Trimestre'!G10+'IV Trimestre'!G10)/4</f>
        <v>101030.5</v>
      </c>
      <c r="H10" s="64">
        <f>(+'I Trimestre'!H10+'II Trimestre'!H10+'III Trimestre'!H10+'IV Trimestre'!H10)/4</f>
        <v>3107.25</v>
      </c>
      <c r="I10" s="64">
        <f>(+'I Trimestre'!I10+'II Trimestre'!I10+'III Trimestre'!I10+'IV Trimestre'!I10)/4</f>
        <v>18917.5</v>
      </c>
      <c r="J10" s="37">
        <f>(+'I Trimestre'!J10+'II Trimestre'!J10+'III Trimestre'!J10+'IV Trimestre'!J10)/4</f>
        <v>23762.25</v>
      </c>
      <c r="K10" s="24">
        <f>(+'I Trimestre'!K10+'II Trimestre'!K10+'III Trimestre'!K10+'IV Trimestre'!K10)/4</f>
        <v>6835.8333333333339</v>
      </c>
      <c r="L10" s="24">
        <f>(+'I Trimestre'!L10+'II Trimestre'!L10+'III Trimestre'!L10+'IV Trimestre'!L10)/4</f>
        <v>850.25</v>
      </c>
      <c r="M10" s="98">
        <f>(+'I Trimestre'!M10+'II Trimestre'!M10+'III Trimestre'!M10+'IV Trimestre'!M10)/4</f>
        <v>0</v>
      </c>
      <c r="N10" s="100">
        <f>(+'I Trimestre'!N10+'II Trimestre'!N10+'III Trimestre'!N10+'IV Trimestre'!N10)/4</f>
        <v>0</v>
      </c>
      <c r="O10" s="98">
        <f>(+'I Trimestre'!O10+'II Trimestre'!O10+'III Trimestre'!O10+'IV Trimestre'!O10)/4</f>
        <v>0</v>
      </c>
      <c r="P10" s="103">
        <f>(+'I Trimestre'!P10+'II Trimestre'!P10+'III Trimestre'!P10+'IV Trimestre'!P10)/4</f>
        <v>0</v>
      </c>
      <c r="Q10" s="102"/>
    </row>
    <row r="11" spans="1:17" x14ac:dyDescent="0.25">
      <c r="A11" s="27" t="s">
        <v>37</v>
      </c>
      <c r="B11" s="24">
        <f t="shared" ref="B11:B16" si="0">+D11+G11</f>
        <v>102497.75</v>
      </c>
      <c r="C11" s="24">
        <f t="shared" ref="C11:C16" si="1">+D11+E11</f>
        <v>23758.083333333332</v>
      </c>
      <c r="D11" s="24">
        <f>(+'I Trimestre'!D11+'II Trimestre'!D11+'III Trimestre'!D11+'IV Trimestre'!D11)/4</f>
        <v>18619.5</v>
      </c>
      <c r="E11" s="24">
        <f>(+'I Trimestre'!E11+'II Trimestre'!E11+'III Trimestre'!E11+'IV Trimestre'!E11)/4</f>
        <v>5138.583333333333</v>
      </c>
      <c r="F11" s="24">
        <f>G11+I11</f>
        <v>102795.75</v>
      </c>
      <c r="G11" s="24">
        <f>(+'I Trimestre'!G11+'II Trimestre'!G11+'III Trimestre'!G11+'IV Trimestre'!G11)/4</f>
        <v>83878.25</v>
      </c>
      <c r="H11" s="64">
        <f>(+'I Trimestre'!H11+'II Trimestre'!H11+'III Trimestre'!H11+'IV Trimestre'!H11)/4</f>
        <v>3107.25</v>
      </c>
      <c r="I11" s="64">
        <f>(+'I Trimestre'!I11+'II Trimestre'!I11+'III Trimestre'!I11+'IV Trimestre'!I11)/4</f>
        <v>18917.5</v>
      </c>
      <c r="J11" s="37">
        <f>(+'I Trimestre'!J11+'II Trimestre'!J11+'III Trimestre'!J11+'IV Trimestre'!J11)/4</f>
        <v>23762.25</v>
      </c>
      <c r="K11" s="24">
        <f>(+'I Trimestre'!K11+'II Trimestre'!K11+'III Trimestre'!K11+'IV Trimestre'!K11)/4</f>
        <v>6835.8333333333339</v>
      </c>
      <c r="L11" s="24">
        <f>(+'I Trimestre'!L11+'II Trimestre'!L11+'III Trimestre'!L11+'IV Trimestre'!L11)/4</f>
        <v>850.25</v>
      </c>
      <c r="M11" s="98">
        <f>(+'I Trimestre'!M11+'II Trimestre'!M11+'III Trimestre'!M11+'IV Trimestre'!M11)/4</f>
        <v>0</v>
      </c>
      <c r="N11" s="100">
        <f>(+'I Trimestre'!N11+'II Trimestre'!N11+'III Trimestre'!N11+'IV Trimestre'!N11)/4</f>
        <v>0</v>
      </c>
      <c r="O11" s="98">
        <f>(+'I Trimestre'!O11+'II Trimestre'!O11+'III Trimestre'!O11+'IV Trimestre'!O11)/4</f>
        <v>0</v>
      </c>
      <c r="P11" s="103">
        <f>(+'I Trimestre'!P11+'II Trimestre'!P11+'III Trimestre'!P11+'IV Trimestre'!P11)/4</f>
        <v>0</v>
      </c>
    </row>
    <row r="12" spans="1:17" x14ac:dyDescent="0.25">
      <c r="A12" s="3" t="s">
        <v>127</v>
      </c>
      <c r="B12" s="24">
        <f t="shared" si="0"/>
        <v>133392.58333333331</v>
      </c>
      <c r="C12" s="24">
        <f t="shared" si="1"/>
        <v>41546.333333333328</v>
      </c>
      <c r="D12" s="24">
        <f>(+'I Trimestre'!D12+'II Trimestre'!D12+'III Trimestre'!D12+'IV Trimestre'!D12)/4</f>
        <v>34178.333333333328</v>
      </c>
      <c r="E12" s="24">
        <f>(+'I Trimestre'!E12+'II Trimestre'!E12+'III Trimestre'!E12+'IV Trimestre'!E12)/4</f>
        <v>7368</v>
      </c>
      <c r="F12" s="24">
        <f>SUM(G12:I12)</f>
        <v>133074</v>
      </c>
      <c r="G12" s="24">
        <f>(+'I Trimestre'!G12+'II Trimestre'!G12+'III Trimestre'!G12+'IV Trimestre'!G12)/4</f>
        <v>99214.25</v>
      </c>
      <c r="H12" s="24">
        <f>(+'I Trimestre'!H12+'II Trimestre'!H12+'III Trimestre'!H12+'IV Trimestre'!H12)/4</f>
        <v>5493.5</v>
      </c>
      <c r="I12" s="37">
        <f>(+'I Trimestre'!I12+'II Trimestre'!I12+'III Trimestre'!I12+'IV Trimestre'!I12)/4</f>
        <v>28366.25</v>
      </c>
      <c r="J12" s="37">
        <f>(+'I Trimestre'!J12+'II Trimestre'!J12+'III Trimestre'!J12+'IV Trimestre'!J12)/4</f>
        <v>30736.75</v>
      </c>
      <c r="K12" s="24">
        <f>(+'I Trimestre'!K12+'II Trimestre'!K12+'III Trimestre'!K12+'IV Trimestre'!K12)/4</f>
        <v>9403.25</v>
      </c>
      <c r="L12" s="24">
        <f>(+'I Trimestre'!L12+'II Trimestre'!L12+'III Trimestre'!L12+'IV Trimestre'!L12)/4</f>
        <v>3596</v>
      </c>
      <c r="M12" s="98">
        <f>(+'I Trimestre'!M12+'II Trimestre'!M12+'III Trimestre'!M12+'IV Trimestre'!M12)/4</f>
        <v>0</v>
      </c>
      <c r="N12" s="100">
        <f>(+'I Trimestre'!N12+'II Trimestre'!N12+'III Trimestre'!N12+'IV Trimestre'!N12)/4</f>
        <v>0</v>
      </c>
      <c r="O12" s="98">
        <f>(+'I Trimestre'!O12+'II Trimestre'!O12+'III Trimestre'!O12+'IV Trimestre'!O12)/4</f>
        <v>0</v>
      </c>
      <c r="P12" s="103">
        <f>(+'I Trimestre'!P12+'II Trimestre'!P12+'III Trimestre'!P12+'IV Trimestre'!P12)/4</f>
        <v>250</v>
      </c>
    </row>
    <row r="13" spans="1:17" x14ac:dyDescent="0.25">
      <c r="A13" s="27" t="s">
        <v>37</v>
      </c>
      <c r="B13" s="24">
        <f t="shared" si="0"/>
        <v>125382.33333333333</v>
      </c>
      <c r="C13" s="24">
        <f t="shared" si="1"/>
        <v>33536.083333333328</v>
      </c>
      <c r="D13" s="24">
        <f>(+'I Trimestre'!D13+'II Trimestre'!D13+'III Trimestre'!D13+'IV Trimestre'!D13)/4</f>
        <v>26168.083333333332</v>
      </c>
      <c r="E13" s="24">
        <f>(+'I Trimestre'!E13+'II Trimestre'!E13+'III Trimestre'!E13+'IV Trimestre'!E13)/4</f>
        <v>7368</v>
      </c>
      <c r="F13" s="24">
        <f t="shared" ref="F13:F16" si="2">SUM(G13:I13)</f>
        <v>133074</v>
      </c>
      <c r="G13" s="24">
        <f>(+'I Trimestre'!G13+'II Trimestre'!G13+'III Trimestre'!G13+'IV Trimestre'!G13)/4</f>
        <v>99214.25</v>
      </c>
      <c r="H13" s="24">
        <f>(+'I Trimestre'!H13+'II Trimestre'!H13+'III Trimestre'!H13+'IV Trimestre'!H13)/4</f>
        <v>5493.5</v>
      </c>
      <c r="I13" s="37">
        <f>(+'I Trimestre'!I13+'II Trimestre'!I13+'III Trimestre'!I13+'IV Trimestre'!I13)/4</f>
        <v>28366.25</v>
      </c>
      <c r="J13" s="37">
        <f>(+'I Trimestre'!J13+'II Trimestre'!J13+'III Trimestre'!J13+'IV Trimestre'!J13)/4</f>
        <v>30736.75</v>
      </c>
      <c r="K13" s="24">
        <f>(+'I Trimestre'!K13+'II Trimestre'!K13+'III Trimestre'!K13+'IV Trimestre'!K13)/4</f>
        <v>9403.25</v>
      </c>
      <c r="L13" s="24">
        <f>(+'I Trimestre'!L13+'II Trimestre'!L13+'III Trimestre'!L13+'IV Trimestre'!L13)/4</f>
        <v>3596</v>
      </c>
      <c r="M13" s="98">
        <f>(+'I Trimestre'!M13+'II Trimestre'!M13+'III Trimestre'!M13+'IV Trimestre'!M13)/4</f>
        <v>0</v>
      </c>
      <c r="N13" s="100">
        <f>(+'I Trimestre'!N13+'II Trimestre'!N13+'III Trimestre'!N13+'IV Trimestre'!N13)/4</f>
        <v>0</v>
      </c>
      <c r="O13" s="98">
        <f>(+'I Trimestre'!O13+'II Trimestre'!O13+'III Trimestre'!O13+'IV Trimestre'!O13)/4</f>
        <v>0</v>
      </c>
      <c r="P13" s="103">
        <f>(+'I Trimestre'!P13+'II Trimestre'!P13+'III Trimestre'!P13+'IV Trimestre'!P13)/4</f>
        <v>250</v>
      </c>
    </row>
    <row r="14" spans="1:17" x14ac:dyDescent="0.25">
      <c r="A14" s="3" t="s">
        <v>128</v>
      </c>
      <c r="B14" s="24">
        <f t="shared" si="0"/>
        <v>123685.25</v>
      </c>
      <c r="C14" s="24">
        <f t="shared" si="1"/>
        <v>30566.166666666668</v>
      </c>
      <c r="D14" s="24">
        <f>(+'I Trimestre'!D14+'II Trimestre'!D14+'III Trimestre'!D14+'IV Trimestre'!D14)/4</f>
        <v>24876.416666666668</v>
      </c>
      <c r="E14" s="24">
        <f>(+'I Trimestre'!E14+'II Trimestre'!E14+'III Trimestre'!E14+'IV Trimestre'!E14)/4</f>
        <v>5689.75</v>
      </c>
      <c r="F14" s="24">
        <f t="shared" si="2"/>
        <v>122116.58333333333</v>
      </c>
      <c r="G14" s="24">
        <f>(+'I Trimestre'!G14+'II Trimestre'!G14+'III Trimestre'!G14+'IV Trimestre'!G14)/4</f>
        <v>98808.833333333328</v>
      </c>
      <c r="H14" s="24">
        <f>(+'I Trimestre'!H14+'II Trimestre'!H14+'III Trimestre'!H14+'IV Trimestre'!H14)/4</f>
        <v>3886.333333333333</v>
      </c>
      <c r="I14" s="37">
        <f>(+'I Trimestre'!I14+'II Trimestre'!I14+'III Trimestre'!I14+'IV Trimestre'!I14)/4</f>
        <v>19421.416666666668</v>
      </c>
      <c r="J14" s="37">
        <f>(+'I Trimestre'!J14+'II Trimestre'!J14+'III Trimestre'!J14+'IV Trimestre'!J14)/4</f>
        <v>25243.75</v>
      </c>
      <c r="K14" s="24">
        <f>(+'I Trimestre'!K14+'II Trimestre'!K14+'III Trimestre'!K14+'IV Trimestre'!K14)/4</f>
        <v>8641.9166666666661</v>
      </c>
      <c r="L14" s="24">
        <f>(+'I Trimestre'!L14+'II Trimestre'!L14+'III Trimestre'!L14+'IV Trimestre'!L14)/4</f>
        <v>1461.25</v>
      </c>
      <c r="M14" s="98">
        <f>(+'I Trimestre'!M14+'II Trimestre'!M14+'III Trimestre'!M14+'IV Trimestre'!M14)/4</f>
        <v>0</v>
      </c>
      <c r="N14" s="100">
        <f>(+'I Trimestre'!N14+'II Trimestre'!N14+'III Trimestre'!N14+'IV Trimestre'!N14)/4</f>
        <v>0</v>
      </c>
      <c r="O14" s="98">
        <f>(+'I Trimestre'!O14+'II Trimestre'!O14+'III Trimestre'!O14+'IV Trimestre'!O14)/4</f>
        <v>0</v>
      </c>
      <c r="P14" s="103">
        <f>(+'I Trimestre'!P14+'II Trimestre'!P14+'III Trimestre'!P14+'IV Trimestre'!P14)/4</f>
        <v>0</v>
      </c>
    </row>
    <row r="15" spans="1:17" x14ac:dyDescent="0.25">
      <c r="A15" s="27" t="s">
        <v>37</v>
      </c>
      <c r="B15" s="24">
        <f t="shared" si="0"/>
        <v>100872.33333333334</v>
      </c>
      <c r="C15" s="24">
        <f t="shared" si="1"/>
        <v>24003.916666666668</v>
      </c>
      <c r="D15" s="24">
        <f>(+'I Trimestre'!D15+'II Trimestre'!D15+'III Trimestre'!D15+'IV Trimestre'!D15)/4</f>
        <v>18314.166666666668</v>
      </c>
      <c r="E15" s="24">
        <f>(+'I Trimestre'!E15+'II Trimestre'!E15+'III Trimestre'!E15+'IV Trimestre'!E15)/4</f>
        <v>5689.75</v>
      </c>
      <c r="F15" s="24">
        <f t="shared" si="2"/>
        <v>105865.91666666667</v>
      </c>
      <c r="G15" s="24">
        <f>(+'I Trimestre'!G15+'II Trimestre'!G15+'III Trimestre'!G15+'IV Trimestre'!G15)/4</f>
        <v>82558.166666666672</v>
      </c>
      <c r="H15" s="24">
        <f>(+'I Trimestre'!H15+'II Trimestre'!H15+'III Trimestre'!H15+'IV Trimestre'!H15)/4</f>
        <v>3886.333333333333</v>
      </c>
      <c r="I15" s="37">
        <f>(+'I Trimestre'!I15+'II Trimestre'!I15+'III Trimestre'!I15+'IV Trimestre'!I15)/4</f>
        <v>19421.416666666668</v>
      </c>
      <c r="J15" s="37">
        <f>(+'I Trimestre'!J15+'II Trimestre'!J15+'III Trimestre'!J15+'IV Trimestre'!J15)/4</f>
        <v>25243.75</v>
      </c>
      <c r="K15" s="24">
        <f>(+'I Trimestre'!K15+'II Trimestre'!K15+'III Trimestre'!K15+'IV Trimestre'!K15)/4</f>
        <v>8641.9166666666661</v>
      </c>
      <c r="L15" s="24">
        <f>(+'I Trimestre'!L15+'II Trimestre'!L15+'III Trimestre'!L15+'IV Trimestre'!L15)/4</f>
        <v>1461.25</v>
      </c>
      <c r="M15" s="98">
        <f>(+'I Trimestre'!M15+'II Trimestre'!M15+'III Trimestre'!M15+'IV Trimestre'!M15)/4</f>
        <v>0</v>
      </c>
      <c r="N15" s="100">
        <f>(+'I Trimestre'!N15+'II Trimestre'!N15+'III Trimestre'!N15+'IV Trimestre'!N15)/4</f>
        <v>0</v>
      </c>
      <c r="O15" s="98">
        <f>(+'I Trimestre'!O15+'II Trimestre'!O15+'III Trimestre'!O15+'IV Trimestre'!O15)/4</f>
        <v>0</v>
      </c>
      <c r="P15" s="103">
        <f>(+'I Trimestre'!P15+'II Trimestre'!P15+'III Trimestre'!P15+'IV Trimestre'!P15)/4</f>
        <v>0</v>
      </c>
    </row>
    <row r="16" spans="1:17" x14ac:dyDescent="0.25">
      <c r="A16" s="3" t="s">
        <v>89</v>
      </c>
      <c r="B16" s="24">
        <f t="shared" si="0"/>
        <v>133392</v>
      </c>
      <c r="C16" s="24">
        <f t="shared" si="1"/>
        <v>41546</v>
      </c>
      <c r="D16" s="4">
        <f>+'IV Trimestre'!D16</f>
        <v>34178</v>
      </c>
      <c r="E16" s="4">
        <f>+'IV Trimestre'!E16</f>
        <v>7368</v>
      </c>
      <c r="F16" s="24">
        <f t="shared" si="2"/>
        <v>133074</v>
      </c>
      <c r="G16" s="4">
        <f>+'IV Trimestre'!G16</f>
        <v>99214</v>
      </c>
      <c r="H16" s="4">
        <f>+'IV Trimestre'!H16</f>
        <v>5494</v>
      </c>
      <c r="I16" s="5">
        <f>'IV Trimestre'!I16</f>
        <v>28366</v>
      </c>
      <c r="J16" s="5">
        <f>'IV Trimestre'!J16</f>
        <v>30737</v>
      </c>
      <c r="K16" s="4">
        <f>+'IV Trimestre'!K16</f>
        <v>9403</v>
      </c>
      <c r="L16" s="4">
        <f>+'IV Trimestre'!L16</f>
        <v>3596</v>
      </c>
      <c r="M16" s="99">
        <f>+'IV Trimestre'!M16</f>
        <v>0</v>
      </c>
      <c r="N16" s="101">
        <f>+'IV Trimestre'!N16</f>
        <v>0</v>
      </c>
      <c r="O16" s="99">
        <f>+'IV Trimestre'!O16</f>
        <v>0</v>
      </c>
      <c r="P16" s="104">
        <f>+'IV Trimestre'!P16</f>
        <v>1000</v>
      </c>
    </row>
    <row r="17" spans="1:18" x14ac:dyDescent="0.25">
      <c r="B17" s="22"/>
      <c r="C17" s="22"/>
      <c r="D17" s="22"/>
      <c r="E17" s="22"/>
      <c r="F17" s="22"/>
      <c r="G17" s="22"/>
      <c r="H17" s="22"/>
      <c r="I17" s="45"/>
      <c r="J17" s="45"/>
      <c r="K17" s="22"/>
    </row>
    <row r="18" spans="1:18" x14ac:dyDescent="0.25">
      <c r="A18" s="6" t="s">
        <v>8</v>
      </c>
      <c r="B18" s="24"/>
      <c r="C18" s="24"/>
      <c r="D18" s="22"/>
      <c r="E18" s="24"/>
      <c r="F18" s="24"/>
      <c r="G18" s="24"/>
      <c r="H18" s="24"/>
      <c r="I18" s="37"/>
      <c r="J18" s="37"/>
      <c r="K18" s="24"/>
      <c r="L18" s="24"/>
      <c r="P18" s="97"/>
      <c r="Q18" s="97"/>
      <c r="R18" s="97"/>
    </row>
    <row r="19" spans="1:18" x14ac:dyDescent="0.25">
      <c r="A19" s="3" t="s">
        <v>74</v>
      </c>
      <c r="B19" s="24">
        <f>C19+F19+K19+L19+M19+N19+O19</f>
        <v>14142566154</v>
      </c>
      <c r="C19" s="24">
        <f>+'I Trimestre'!C19+'II Trimestre'!C19+'III Trimestre'!C19+'IV Trimestre'!C19</f>
        <v>4248306173</v>
      </c>
      <c r="D19" s="40"/>
      <c r="E19" s="40"/>
      <c r="F19" s="54">
        <f>+'I Trimestre'!F19+'II Trimestre'!F19+'III Trimestre'!F19+'IV Trimestre'!F19</f>
        <v>7295089098</v>
      </c>
      <c r="G19" s="40"/>
      <c r="H19" s="40"/>
      <c r="I19" s="40"/>
      <c r="J19" s="40"/>
      <c r="K19" s="52">
        <f>+'I Trimestre'!K19+'II Trimestre'!K19+'III Trimestre'!K19+'IV Trimestre'!K19</f>
        <v>2298985541</v>
      </c>
      <c r="L19" s="52">
        <f>+'I Trimestre'!L19+'II Trimestre'!L19+'III Trimestre'!L19+'IV Trimestre'!L19</f>
        <v>300185342</v>
      </c>
      <c r="M19" s="52">
        <f>+'I Trimestre'!M19+'II Trimestre'!M19+'III Trimestre'!M19+'IV Trimestre'!M19</f>
        <v>0</v>
      </c>
      <c r="N19" s="52">
        <f>+'I Trimestre'!N19+'II Trimestre'!N19+'III Trimestre'!N19+'IV Trimestre'!N19</f>
        <v>0</v>
      </c>
      <c r="O19" s="52">
        <f>+'I Trimestre'!O19+'II Trimestre'!O19+'III Trimestre'!O19+'IV Trimestre'!O19</f>
        <v>0</v>
      </c>
      <c r="P19" s="52">
        <f>+'I Trimestre'!P19+'II Trimestre'!P19+'III Trimestre'!P19+'IV Trimestre'!P19</f>
        <v>0</v>
      </c>
      <c r="Q19" s="39"/>
      <c r="R19" s="39"/>
    </row>
    <row r="20" spans="1:18" x14ac:dyDescent="0.25">
      <c r="A20" s="61" t="s">
        <v>129</v>
      </c>
      <c r="B20" s="24">
        <f t="shared" ref="B20:B23" si="3">C20+F20+K20+L20+M20+N20+O20</f>
        <v>19742557292.292</v>
      </c>
      <c r="C20" s="24">
        <f>+'I Trimestre'!C20+'II Trimestre'!C20+'III Trimestre'!C20+'IV Trimestre'!C20</f>
        <v>6396844622</v>
      </c>
      <c r="D20" s="40"/>
      <c r="E20" s="40"/>
      <c r="F20" s="55">
        <f>+'I Trimestre'!F20+'II Trimestre'!F20+'III Trimestre'!F20+'IV Trimestre'!F20</f>
        <v>7182109607.7920017</v>
      </c>
      <c r="G20" s="40"/>
      <c r="H20" s="40"/>
      <c r="I20" s="40"/>
      <c r="J20" s="40"/>
      <c r="K20" s="52">
        <f>+'I Trimestre'!K20+'II Trimestre'!K20+'III Trimestre'!K20+'IV Trimestre'!K20</f>
        <v>3020166000</v>
      </c>
      <c r="L20" s="52">
        <f>+'I Trimestre'!L20+'II Trimestre'!L20+'III Trimestre'!L20+'IV Trimestre'!L20</f>
        <v>2172529205</v>
      </c>
      <c r="M20" s="52">
        <f>+'I Trimestre'!M20+'II Trimestre'!M20+'III Trimestre'!M20+'IV Trimestre'!M20</f>
        <v>640907857.5</v>
      </c>
      <c r="N20" s="52">
        <f>+'I Trimestre'!N20+'II Trimestre'!N20+'III Trimestre'!N20+'IV Trimestre'!N20</f>
        <v>30000000</v>
      </c>
      <c r="O20" s="52">
        <f>+'I Trimestre'!O20+'II Trimestre'!O20+'III Trimestre'!O20+'IV Trimestre'!O20</f>
        <v>300000000</v>
      </c>
      <c r="P20" s="52">
        <f>+'I Trimestre'!P20+'II Trimestre'!P20+'III Trimestre'!P20+'IV Trimestre'!P20</f>
        <v>210000000</v>
      </c>
      <c r="Q20" s="39"/>
      <c r="R20" s="39"/>
    </row>
    <row r="21" spans="1:18" x14ac:dyDescent="0.25">
      <c r="A21" s="3" t="s">
        <v>128</v>
      </c>
      <c r="B21" s="24">
        <f t="shared" si="3"/>
        <v>14989181613.43</v>
      </c>
      <c r="C21" s="24">
        <f>+'I Trimestre'!C21+'II Trimestre'!C21+'III Trimestre'!C21+'IV Trimestre'!C21</f>
        <v>4613820275</v>
      </c>
      <c r="D21" s="40"/>
      <c r="E21" s="40"/>
      <c r="F21" s="55">
        <f>+'I Trimestre'!F21+'II Trimestre'!F21+'III Trimestre'!F21+'IV Trimestre'!F21</f>
        <v>6769912078.1999998</v>
      </c>
      <c r="G21" s="40"/>
      <c r="H21" s="40"/>
      <c r="I21" s="40"/>
      <c r="J21" s="40"/>
      <c r="K21" s="52">
        <f>+'I Trimestre'!K21+'II Trimestre'!K21+'III Trimestre'!K21+'IV Trimestre'!K21</f>
        <v>2807362128.2300005</v>
      </c>
      <c r="L21" s="52">
        <f>+'I Trimestre'!L21+'II Trimestre'!L21+'III Trimestre'!L21+'IV Trimestre'!L21</f>
        <v>551179057</v>
      </c>
      <c r="M21" s="52">
        <f>+'I Trimestre'!M21+'II Trimestre'!M21+'III Trimestre'!M21+'IV Trimestre'!M21</f>
        <v>246908075</v>
      </c>
      <c r="N21" s="52">
        <f>+'I Trimestre'!N21+'II Trimestre'!N21+'III Trimestre'!N21+'IV Trimestre'!N21</f>
        <v>0</v>
      </c>
      <c r="O21" s="52">
        <f>+'I Trimestre'!O21+'II Trimestre'!O21+'III Trimestre'!O21+'IV Trimestre'!O21</f>
        <v>0</v>
      </c>
      <c r="P21" s="52">
        <f>+'I Trimestre'!P21+'II Trimestre'!P21+'III Trimestre'!P21+'IV Trimestre'!P21</f>
        <v>0</v>
      </c>
      <c r="Q21" s="39"/>
      <c r="R21" s="39"/>
    </row>
    <row r="22" spans="1:18" x14ac:dyDescent="0.25">
      <c r="A22" s="3" t="s">
        <v>89</v>
      </c>
      <c r="B22" s="24">
        <f t="shared" si="3"/>
        <v>18733424090.292</v>
      </c>
      <c r="C22" s="24">
        <f>+'IV Trimestre'!C22</f>
        <v>6396844622</v>
      </c>
      <c r="D22" s="40"/>
      <c r="E22" s="40"/>
      <c r="F22" s="55">
        <f>+'IV Trimestre'!F22</f>
        <v>7182109607.7919998</v>
      </c>
      <c r="G22" s="40"/>
      <c r="H22" s="40"/>
      <c r="I22" s="40"/>
      <c r="J22" s="40"/>
      <c r="K22" s="24">
        <f>+'IV Trimestre'!K22</f>
        <v>3020166000</v>
      </c>
      <c r="L22" s="24">
        <f>+'IV Trimestre'!L22</f>
        <v>1163396003</v>
      </c>
      <c r="M22" s="24">
        <f>+'IV Trimestre'!M22</f>
        <v>640907857.5</v>
      </c>
      <c r="N22" s="24">
        <f>+'IV Trimestre'!N22</f>
        <v>30000000</v>
      </c>
      <c r="O22" s="24">
        <f>+'IV Trimestre'!O22</f>
        <v>300000000</v>
      </c>
      <c r="P22" s="24">
        <f>+'IV Trimestre'!P22</f>
        <v>210000000</v>
      </c>
      <c r="Q22" s="39"/>
      <c r="R22" s="39"/>
    </row>
    <row r="23" spans="1:18" x14ac:dyDescent="0.25">
      <c r="A23" s="3" t="s">
        <v>130</v>
      </c>
      <c r="B23" s="52">
        <f>C23+F23+K23+L23+N23+O23+P23</f>
        <v>14742273538.43</v>
      </c>
      <c r="C23" s="4">
        <f>C21</f>
        <v>4613820275</v>
      </c>
      <c r="D23" s="40"/>
      <c r="E23" s="40"/>
      <c r="F23" s="40">
        <f>F21</f>
        <v>6769912078.1999998</v>
      </c>
      <c r="G23" s="40"/>
      <c r="H23" s="40"/>
      <c r="I23" s="40"/>
      <c r="J23" s="40"/>
      <c r="K23" s="4">
        <f t="shared" ref="K23:P23" si="4">K21</f>
        <v>2807362128.2300005</v>
      </c>
      <c r="L23" s="4">
        <f t="shared" si="4"/>
        <v>551179057</v>
      </c>
      <c r="M23" s="66">
        <f t="shared" si="4"/>
        <v>246908075</v>
      </c>
      <c r="N23" s="4">
        <f t="shared" si="4"/>
        <v>0</v>
      </c>
      <c r="O23" s="66">
        <f t="shared" si="4"/>
        <v>0</v>
      </c>
      <c r="P23" s="66">
        <f t="shared" si="4"/>
        <v>0</v>
      </c>
      <c r="Q23" s="74"/>
    </row>
    <row r="24" spans="1:18" x14ac:dyDescent="0.25">
      <c r="B24" s="22"/>
      <c r="C24" s="22"/>
      <c r="D24" s="22"/>
      <c r="E24" s="22"/>
      <c r="F24" s="22"/>
      <c r="G24" s="22"/>
      <c r="H24" s="22"/>
      <c r="I24" s="45"/>
      <c r="J24" s="45"/>
      <c r="K24" s="22"/>
    </row>
    <row r="25" spans="1:18" x14ac:dyDescent="0.25">
      <c r="A25" s="7" t="s">
        <v>9</v>
      </c>
      <c r="B25" s="23"/>
      <c r="C25" s="23" t="s">
        <v>82</v>
      </c>
      <c r="D25" s="43"/>
      <c r="E25" s="43"/>
      <c r="F25" s="43"/>
      <c r="G25" s="23"/>
      <c r="H25" s="23"/>
      <c r="I25" s="23"/>
      <c r="J25" s="23"/>
      <c r="K25" s="23"/>
      <c r="L25" s="23"/>
    </row>
    <row r="26" spans="1:18" x14ac:dyDescent="0.25">
      <c r="A26" s="9" t="s">
        <v>127</v>
      </c>
      <c r="B26" s="23">
        <f>+B20</f>
        <v>19742557292.292</v>
      </c>
      <c r="C26" s="43"/>
      <c r="D26" s="43"/>
      <c r="E26" s="43"/>
      <c r="F26" s="43"/>
      <c r="G26" s="23"/>
      <c r="H26" s="23"/>
      <c r="I26" s="23"/>
      <c r="J26" s="23"/>
      <c r="K26" s="23"/>
      <c r="L26" s="23"/>
      <c r="M26" s="74"/>
    </row>
    <row r="27" spans="1:18" x14ac:dyDescent="0.25">
      <c r="A27" s="9" t="s">
        <v>128</v>
      </c>
      <c r="B27" s="23">
        <f>+'I Trimestre'!B27+'II Trimestre'!B27+'III Trimestre'!B27+'IV Trimestre'!B27</f>
        <v>15444707760.539999</v>
      </c>
      <c r="C27" s="43"/>
      <c r="D27" s="43"/>
      <c r="E27" s="43"/>
      <c r="F27" s="43"/>
      <c r="G27" s="23"/>
      <c r="H27" s="23"/>
      <c r="I27" s="23"/>
      <c r="J27" s="23"/>
      <c r="K27" s="23"/>
      <c r="L27" s="23"/>
    </row>
    <row r="28" spans="1:18" x14ac:dyDescent="0.25">
      <c r="I28" s="32"/>
      <c r="J28" s="32"/>
    </row>
    <row r="29" spans="1:18" x14ac:dyDescent="0.25">
      <c r="A29" t="s">
        <v>10</v>
      </c>
      <c r="I29" s="32"/>
      <c r="J29" s="32"/>
    </row>
    <row r="30" spans="1:18" x14ac:dyDescent="0.25">
      <c r="A30" s="10" t="s">
        <v>75</v>
      </c>
      <c r="B30" s="11">
        <v>1.61</v>
      </c>
      <c r="C30" s="11">
        <v>1.61</v>
      </c>
      <c r="D30" s="11">
        <v>1.61</v>
      </c>
      <c r="E30" s="11">
        <v>1.61</v>
      </c>
      <c r="F30" s="11">
        <v>1.61</v>
      </c>
      <c r="G30" s="11">
        <v>1.61</v>
      </c>
      <c r="H30" s="11">
        <v>1.61</v>
      </c>
      <c r="I30" s="11">
        <v>1.61</v>
      </c>
      <c r="J30" s="11">
        <v>1.61</v>
      </c>
      <c r="K30" s="11">
        <v>1.61</v>
      </c>
      <c r="L30" s="11">
        <v>1.61</v>
      </c>
      <c r="M30" s="11">
        <v>1.61</v>
      </c>
      <c r="N30" s="11">
        <v>1.61</v>
      </c>
      <c r="O30" s="11">
        <v>1.61</v>
      </c>
      <c r="P30" s="11">
        <v>1.61</v>
      </c>
    </row>
    <row r="31" spans="1:18" x14ac:dyDescent="0.25">
      <c r="A31" s="10" t="s">
        <v>131</v>
      </c>
      <c r="B31">
        <v>1.69</v>
      </c>
      <c r="C31">
        <v>1.69</v>
      </c>
      <c r="D31">
        <v>1.69</v>
      </c>
      <c r="E31">
        <v>1.69</v>
      </c>
      <c r="F31">
        <v>1.69</v>
      </c>
      <c r="G31">
        <v>1.69</v>
      </c>
      <c r="H31">
        <v>1.69</v>
      </c>
      <c r="I31">
        <v>1.69</v>
      </c>
      <c r="J31">
        <v>1.69</v>
      </c>
      <c r="K31">
        <v>1.69</v>
      </c>
      <c r="L31">
        <v>1.69</v>
      </c>
      <c r="M31">
        <v>1.69</v>
      </c>
      <c r="N31">
        <v>1.69</v>
      </c>
      <c r="O31">
        <v>1.69</v>
      </c>
      <c r="P31">
        <v>1.69</v>
      </c>
    </row>
    <row r="32" spans="1:18" x14ac:dyDescent="0.25">
      <c r="A32" s="3" t="s">
        <v>11</v>
      </c>
      <c r="B32" s="4">
        <v>112666</v>
      </c>
      <c r="C32" s="4">
        <v>112666</v>
      </c>
      <c r="D32" s="4">
        <v>112666</v>
      </c>
      <c r="E32" s="4">
        <v>112666</v>
      </c>
      <c r="F32" s="4">
        <v>112666</v>
      </c>
      <c r="G32" s="4">
        <v>112666</v>
      </c>
      <c r="H32" s="4">
        <v>112666</v>
      </c>
      <c r="I32" s="4">
        <v>112666</v>
      </c>
      <c r="J32" s="4">
        <v>112666</v>
      </c>
      <c r="K32" s="4">
        <v>112666</v>
      </c>
      <c r="L32" s="4">
        <v>112666</v>
      </c>
      <c r="M32" s="4">
        <v>112666</v>
      </c>
      <c r="N32" s="4">
        <v>112666</v>
      </c>
      <c r="O32" s="4">
        <v>112666</v>
      </c>
      <c r="P32" s="4">
        <v>112666</v>
      </c>
    </row>
    <row r="33" spans="1:16" x14ac:dyDescent="0.25">
      <c r="I33" s="32"/>
      <c r="J33" s="32"/>
    </row>
    <row r="34" spans="1:16" x14ac:dyDescent="0.25">
      <c r="A34" s="12" t="s">
        <v>12</v>
      </c>
      <c r="B34" s="13"/>
      <c r="C34" s="13"/>
      <c r="D34" s="51"/>
      <c r="E34" s="51"/>
      <c r="F34" s="51"/>
      <c r="G34" s="87"/>
      <c r="H34" s="87"/>
      <c r="I34" s="87"/>
      <c r="J34" s="87"/>
      <c r="K34" s="13"/>
      <c r="L34" s="13"/>
      <c r="M34" s="13"/>
      <c r="N34" s="13"/>
      <c r="O34" s="13"/>
      <c r="P34" s="13"/>
    </row>
    <row r="35" spans="1:16" x14ac:dyDescent="0.25">
      <c r="A35" s="13" t="s">
        <v>76</v>
      </c>
      <c r="B35" s="14">
        <f>B19/B30</f>
        <v>8784202580.1242237</v>
      </c>
      <c r="C35" s="50">
        <f>C19/C30</f>
        <v>2638699486.3354034</v>
      </c>
      <c r="D35" s="50"/>
      <c r="E35" s="50"/>
      <c r="F35" s="50">
        <f>F19/F30</f>
        <v>4531111240.9937887</v>
      </c>
      <c r="G35" s="50"/>
      <c r="H35" s="50"/>
      <c r="I35" s="50"/>
      <c r="J35" s="50"/>
      <c r="K35" s="14">
        <f>K19/K30</f>
        <v>1427941329.8136644</v>
      </c>
      <c r="L35" s="14">
        <f>L19/L30</f>
        <v>186450522.98136646</v>
      </c>
      <c r="M35" s="14">
        <f t="shared" ref="M35:P35" si="5">M19/M30</f>
        <v>0</v>
      </c>
      <c r="N35" s="14">
        <f t="shared" si="5"/>
        <v>0</v>
      </c>
      <c r="O35" s="14">
        <f t="shared" si="5"/>
        <v>0</v>
      </c>
      <c r="P35" s="14">
        <f t="shared" si="5"/>
        <v>0</v>
      </c>
    </row>
    <row r="36" spans="1:16" x14ac:dyDescent="0.25">
      <c r="A36" s="13" t="s">
        <v>132</v>
      </c>
      <c r="B36" s="14">
        <f>B21/B31</f>
        <v>8869338232.7988167</v>
      </c>
      <c r="C36" s="50">
        <f>C21/C31</f>
        <v>2730071168.6390533</v>
      </c>
      <c r="D36" s="50"/>
      <c r="E36" s="50"/>
      <c r="F36" s="50">
        <f>F21/F31</f>
        <v>4005865135.0295858</v>
      </c>
      <c r="G36" s="50"/>
      <c r="H36" s="50"/>
      <c r="I36" s="50"/>
      <c r="J36" s="50"/>
      <c r="K36" s="14">
        <f>K21/K31</f>
        <v>1661161022.6213021</v>
      </c>
      <c r="L36" s="14">
        <f>L21/L31</f>
        <v>326141453.84615386</v>
      </c>
      <c r="M36" s="14">
        <f t="shared" ref="M36:P36" si="6">M21/M31</f>
        <v>146099452.6627219</v>
      </c>
      <c r="N36" s="14">
        <f t="shared" si="6"/>
        <v>0</v>
      </c>
      <c r="O36" s="14">
        <f t="shared" si="6"/>
        <v>0</v>
      </c>
      <c r="P36" s="14">
        <f t="shared" si="6"/>
        <v>0</v>
      </c>
    </row>
    <row r="37" spans="1:16" x14ac:dyDescent="0.25">
      <c r="A37" s="13" t="s">
        <v>77</v>
      </c>
      <c r="B37" s="14">
        <f>B35/B10</f>
        <v>69958.99173549535</v>
      </c>
      <c r="C37" s="50">
        <f>C35/C10</f>
        <v>88934.184455318158</v>
      </c>
      <c r="D37" s="50"/>
      <c r="E37" s="50"/>
      <c r="F37" s="50">
        <f>F35/F10</f>
        <v>37775.629781186755</v>
      </c>
      <c r="G37" s="50"/>
      <c r="H37" s="50"/>
      <c r="I37" s="50"/>
      <c r="J37" s="50"/>
      <c r="K37" s="14">
        <f>K35/K10</f>
        <v>208890.60048474913</v>
      </c>
      <c r="L37" s="14">
        <f>L35/L10</f>
        <v>219289.0596664116</v>
      </c>
      <c r="M37" s="14" t="e">
        <f t="shared" ref="M37:P37" si="7">M35/M10</f>
        <v>#DIV/0!</v>
      </c>
      <c r="N37" s="14" t="e">
        <f t="shared" si="7"/>
        <v>#DIV/0!</v>
      </c>
      <c r="O37" s="14" t="e">
        <f t="shared" si="7"/>
        <v>#DIV/0!</v>
      </c>
      <c r="P37" s="14" t="e">
        <f t="shared" si="7"/>
        <v>#DIV/0!</v>
      </c>
    </row>
    <row r="38" spans="1:16" x14ac:dyDescent="0.25">
      <c r="A38" s="13" t="s">
        <v>133</v>
      </c>
      <c r="B38" s="14">
        <f>B36/B14</f>
        <v>71708.940498554322</v>
      </c>
      <c r="C38" s="50">
        <f>C36/C14</f>
        <v>89316.766423847279</v>
      </c>
      <c r="D38" s="50"/>
      <c r="E38" s="50"/>
      <c r="F38" s="50">
        <f>F36/F14</f>
        <v>32803.612954802775</v>
      </c>
      <c r="G38" s="50"/>
      <c r="H38" s="50"/>
      <c r="I38" s="50"/>
      <c r="J38" s="50"/>
      <c r="K38" s="34">
        <f>K36/K14</f>
        <v>192221.36554830262</v>
      </c>
      <c r="L38" s="34">
        <f>L36/L14</f>
        <v>223193.46713167074</v>
      </c>
      <c r="M38" s="34" t="e">
        <f t="shared" ref="M38:P38" si="8">M36/M14</f>
        <v>#DIV/0!</v>
      </c>
      <c r="N38" s="34" t="e">
        <f t="shared" si="8"/>
        <v>#DIV/0!</v>
      </c>
      <c r="O38" s="34" t="e">
        <f t="shared" si="8"/>
        <v>#DIV/0!</v>
      </c>
      <c r="P38" s="34" t="e">
        <f t="shared" si="8"/>
        <v>#DIV/0!</v>
      </c>
    </row>
    <row r="39" spans="1:16" x14ac:dyDescent="0.25">
      <c r="I39" s="32"/>
      <c r="J39" s="32"/>
    </row>
    <row r="40" spans="1:16" x14ac:dyDescent="0.25">
      <c r="A40" s="2" t="s">
        <v>13</v>
      </c>
      <c r="I40" s="32"/>
      <c r="J40" s="32"/>
    </row>
    <row r="41" spans="1:16" x14ac:dyDescent="0.25">
      <c r="I41" s="32"/>
      <c r="J41" s="32"/>
    </row>
    <row r="42" spans="1:16" x14ac:dyDescent="0.25">
      <c r="A42" t="s">
        <v>14</v>
      </c>
      <c r="I42" s="32"/>
      <c r="J42" s="32"/>
    </row>
    <row r="43" spans="1:16" x14ac:dyDescent="0.25">
      <c r="A43" t="s">
        <v>15</v>
      </c>
      <c r="B43" s="17">
        <f>(B13/B32)*100</f>
        <v>111.2867531760543</v>
      </c>
      <c r="C43" s="17">
        <f t="shared" ref="C43:P43" si="9">(C13/C32)*100</f>
        <v>29.765930567636488</v>
      </c>
      <c r="D43" s="17">
        <f t="shared" si="9"/>
        <v>23.226246900869235</v>
      </c>
      <c r="E43" s="17">
        <f t="shared" si="9"/>
        <v>6.5396836667672584</v>
      </c>
      <c r="F43" s="17">
        <f t="shared" si="9"/>
        <v>118.11371664921093</v>
      </c>
      <c r="G43" s="17">
        <f t="shared" si="9"/>
        <v>88.060506275185062</v>
      </c>
      <c r="H43" s="17">
        <f t="shared" si="9"/>
        <v>4.8759164255409795</v>
      </c>
      <c r="I43" s="17">
        <f t="shared" si="9"/>
        <v>25.177293948484902</v>
      </c>
      <c r="J43" s="17">
        <f t="shared" si="9"/>
        <v>27.281300481067934</v>
      </c>
      <c r="K43" s="17">
        <f t="shared" si="9"/>
        <v>8.3461292670370835</v>
      </c>
      <c r="L43" s="17">
        <f t="shared" si="9"/>
        <v>3.1917348623364634</v>
      </c>
      <c r="M43" s="17">
        <f t="shared" si="9"/>
        <v>0</v>
      </c>
      <c r="N43" s="17">
        <f t="shared" si="9"/>
        <v>0</v>
      </c>
      <c r="O43" s="17">
        <f t="shared" si="9"/>
        <v>0</v>
      </c>
      <c r="P43" s="17">
        <f t="shared" si="9"/>
        <v>0.22189480411126694</v>
      </c>
    </row>
    <row r="44" spans="1:16" x14ac:dyDescent="0.25">
      <c r="A44" t="s">
        <v>16</v>
      </c>
      <c r="B44" s="17">
        <f>(B15/B32)*100</f>
        <v>89.532186580985694</v>
      </c>
      <c r="C44" s="17">
        <f t="shared" ref="C44:P44" si="10">(C15/C32)*100</f>
        <v>21.305377546612704</v>
      </c>
      <c r="D44" s="17">
        <f t="shared" si="10"/>
        <v>16.255273699844377</v>
      </c>
      <c r="E44" s="17">
        <f t="shared" si="10"/>
        <v>5.0501038467683239</v>
      </c>
      <c r="F44" s="17">
        <f t="shared" si="10"/>
        <v>93.964387363238842</v>
      </c>
      <c r="G44" s="17">
        <f t="shared" si="10"/>
        <v>73.276912881141314</v>
      </c>
      <c r="H44" s="17">
        <f t="shared" si="10"/>
        <v>3.4494286948443484</v>
      </c>
      <c r="I44" s="17">
        <f t="shared" si="10"/>
        <v>17.238045787253181</v>
      </c>
      <c r="J44" s="17">
        <f t="shared" si="10"/>
        <v>22.405827845135178</v>
      </c>
      <c r="K44" s="17">
        <f t="shared" si="10"/>
        <v>7.670385623583571</v>
      </c>
      <c r="L44" s="17">
        <f t="shared" si="10"/>
        <v>1.2969751300303554</v>
      </c>
      <c r="M44" s="17">
        <f t="shared" si="10"/>
        <v>0</v>
      </c>
      <c r="N44" s="17">
        <f t="shared" si="10"/>
        <v>0</v>
      </c>
      <c r="O44" s="17">
        <f t="shared" si="10"/>
        <v>0</v>
      </c>
      <c r="P44" s="17">
        <f t="shared" si="10"/>
        <v>0</v>
      </c>
    </row>
    <row r="45" spans="1:16" x14ac:dyDescent="0.25">
      <c r="I45" s="32"/>
      <c r="J45" s="32"/>
    </row>
    <row r="46" spans="1:16" x14ac:dyDescent="0.25">
      <c r="A46" t="s">
        <v>17</v>
      </c>
      <c r="I46" s="32"/>
      <c r="J46" s="32"/>
    </row>
    <row r="47" spans="1:16" x14ac:dyDescent="0.25">
      <c r="A47" t="s">
        <v>18</v>
      </c>
      <c r="B47" s="15">
        <f>B14/B12*100</f>
        <v>92.722733835152013</v>
      </c>
      <c r="C47" s="15">
        <f t="shared" ref="C47:P47" si="11">C14/C12*100</f>
        <v>73.571273838846594</v>
      </c>
      <c r="D47" s="15">
        <f t="shared" si="11"/>
        <v>72.78417125859464</v>
      </c>
      <c r="E47" s="15">
        <f t="shared" si="11"/>
        <v>77.222448425624322</v>
      </c>
      <c r="F47" s="15">
        <f t="shared" si="11"/>
        <v>91.765922218715403</v>
      </c>
      <c r="G47" s="15">
        <f t="shared" si="11"/>
        <v>99.591372543090657</v>
      </c>
      <c r="H47" s="15">
        <f t="shared" si="11"/>
        <v>70.744212857619601</v>
      </c>
      <c r="I47" s="15">
        <f t="shared" si="11"/>
        <v>68.466634351268382</v>
      </c>
      <c r="J47" s="15">
        <f t="shared" si="11"/>
        <v>82.12888480402124</v>
      </c>
      <c r="K47" s="15">
        <f t="shared" si="11"/>
        <v>91.903508538714433</v>
      </c>
      <c r="L47" s="15">
        <f t="shared" si="11"/>
        <v>40.635428253615132</v>
      </c>
      <c r="M47" s="15" t="e">
        <f t="shared" si="11"/>
        <v>#DIV/0!</v>
      </c>
      <c r="N47" s="15" t="e">
        <f t="shared" si="11"/>
        <v>#DIV/0!</v>
      </c>
      <c r="O47" s="15" t="e">
        <f t="shared" si="11"/>
        <v>#DIV/0!</v>
      </c>
      <c r="P47" s="15">
        <f t="shared" si="11"/>
        <v>0</v>
      </c>
    </row>
    <row r="48" spans="1:16" x14ac:dyDescent="0.25">
      <c r="A48" t="s">
        <v>19</v>
      </c>
      <c r="B48" s="15">
        <f>B21/B20*100</f>
        <v>75.923201799607597</v>
      </c>
      <c r="C48" s="15">
        <f>C21/C20*100</f>
        <v>72.126502168462395</v>
      </c>
      <c r="D48" s="15"/>
      <c r="E48" s="15"/>
      <c r="F48" s="58">
        <f>F21/F20*100</f>
        <v>94.260773615250855</v>
      </c>
      <c r="G48" s="58"/>
      <c r="H48" s="58"/>
      <c r="I48" s="58"/>
      <c r="J48" s="58"/>
      <c r="K48" s="15">
        <f>K21/K20*100</f>
        <v>92.953901481905319</v>
      </c>
      <c r="L48" s="15">
        <f>L21/L20*100</f>
        <v>25.370386539867024</v>
      </c>
      <c r="M48" s="15">
        <f t="shared" ref="M48:P48" si="12">M21/M20*100</f>
        <v>38.524738324026551</v>
      </c>
      <c r="N48" s="15">
        <f t="shared" si="12"/>
        <v>0</v>
      </c>
      <c r="O48" s="15">
        <f t="shared" si="12"/>
        <v>0</v>
      </c>
      <c r="P48" s="15">
        <f t="shared" si="12"/>
        <v>0</v>
      </c>
    </row>
    <row r="49" spans="1:16" x14ac:dyDescent="0.25">
      <c r="A49" s="13" t="s">
        <v>20</v>
      </c>
      <c r="B49" s="16">
        <f>AVERAGE(B47:B48)</f>
        <v>84.322967817379805</v>
      </c>
      <c r="C49" s="16">
        <f t="shared" ref="C49:P49" si="13">AVERAGE(C47:C48)</f>
        <v>72.848888003654494</v>
      </c>
      <c r="D49" s="16"/>
      <c r="E49" s="16"/>
      <c r="F49" s="59">
        <f>AVERAGE(F47:F48)</f>
        <v>93.013347916983122</v>
      </c>
      <c r="G49" s="59"/>
      <c r="H49" s="59"/>
      <c r="I49" s="59"/>
      <c r="J49" s="59"/>
      <c r="K49" s="16">
        <f t="shared" si="13"/>
        <v>92.428705010309869</v>
      </c>
      <c r="L49" s="16">
        <f t="shared" si="13"/>
        <v>33.00290739674108</v>
      </c>
      <c r="M49" s="16" t="e">
        <f t="shared" si="13"/>
        <v>#DIV/0!</v>
      </c>
      <c r="N49" s="16" t="e">
        <f t="shared" si="13"/>
        <v>#DIV/0!</v>
      </c>
      <c r="O49" s="16" t="e">
        <f t="shared" si="13"/>
        <v>#DIV/0!</v>
      </c>
      <c r="P49" s="16">
        <f t="shared" si="13"/>
        <v>0</v>
      </c>
    </row>
    <row r="50" spans="1:16" x14ac:dyDescent="0.25">
      <c r="B50" s="15"/>
      <c r="C50" s="15"/>
      <c r="D50" s="15"/>
      <c r="E50" s="15"/>
      <c r="F50" s="15"/>
      <c r="G50" s="15"/>
      <c r="H50" s="15"/>
      <c r="I50" s="15"/>
      <c r="J50" s="15"/>
      <c r="K50" s="15"/>
      <c r="L50" s="15"/>
    </row>
    <row r="51" spans="1:16" x14ac:dyDescent="0.25">
      <c r="A51" t="s">
        <v>21</v>
      </c>
    </row>
    <row r="52" spans="1:16" x14ac:dyDescent="0.25">
      <c r="A52" t="s">
        <v>22</v>
      </c>
      <c r="B52" s="15">
        <f>((B14/B16)*100)</f>
        <v>92.723139318699779</v>
      </c>
      <c r="C52" s="15">
        <f t="shared" ref="C52:P52" si="14">((C14/C16)*100)</f>
        <v>73.571864118487142</v>
      </c>
      <c r="D52" s="15">
        <f t="shared" si="14"/>
        <v>72.784881112606556</v>
      </c>
      <c r="E52" s="15">
        <f t="shared" si="14"/>
        <v>77.222448425624322</v>
      </c>
      <c r="F52" s="15">
        <f t="shared" si="14"/>
        <v>91.765922218715403</v>
      </c>
      <c r="G52" s="15">
        <f t="shared" si="14"/>
        <v>99.591623493996138</v>
      </c>
      <c r="H52" s="15">
        <f t="shared" si="14"/>
        <v>70.737774541924509</v>
      </c>
      <c r="I52" s="15">
        <f t="shared" si="14"/>
        <v>68.46723777292064</v>
      </c>
      <c r="J52" s="15">
        <f t="shared" si="14"/>
        <v>82.128216807105446</v>
      </c>
      <c r="K52" s="15">
        <f t="shared" si="14"/>
        <v>91.905952001134381</v>
      </c>
      <c r="L52" s="15">
        <f t="shared" si="14"/>
        <v>40.635428253615132</v>
      </c>
      <c r="M52" s="15" t="e">
        <f t="shared" si="14"/>
        <v>#DIV/0!</v>
      </c>
      <c r="N52" s="15" t="e">
        <f t="shared" si="14"/>
        <v>#DIV/0!</v>
      </c>
      <c r="O52" s="15" t="e">
        <f t="shared" si="14"/>
        <v>#DIV/0!</v>
      </c>
      <c r="P52" s="15">
        <f t="shared" si="14"/>
        <v>0</v>
      </c>
    </row>
    <row r="53" spans="1:16" x14ac:dyDescent="0.25">
      <c r="A53" t="s">
        <v>23</v>
      </c>
      <c r="B53" s="15">
        <f>B21/B22*100</f>
        <v>80.013037345359976</v>
      </c>
      <c r="C53" s="15">
        <f>C21/C22*100</f>
        <v>72.126502168462395</v>
      </c>
      <c r="D53" s="15"/>
      <c r="E53" s="15"/>
      <c r="F53" s="15">
        <f>F21/F22*100</f>
        <v>94.260773615250883</v>
      </c>
      <c r="G53" s="15"/>
      <c r="H53" s="15"/>
      <c r="I53" s="15"/>
      <c r="J53" s="15"/>
      <c r="K53" s="15">
        <f t="shared" ref="K53:P53" si="15">K21/K22*100</f>
        <v>92.953901481905319</v>
      </c>
      <c r="L53" s="15">
        <f t="shared" si="15"/>
        <v>47.3767363458958</v>
      </c>
      <c r="M53" s="15">
        <f t="shared" si="15"/>
        <v>38.524738324026551</v>
      </c>
      <c r="N53" s="15">
        <f t="shared" si="15"/>
        <v>0</v>
      </c>
      <c r="O53" s="15">
        <f t="shared" si="15"/>
        <v>0</v>
      </c>
      <c r="P53" s="15">
        <f t="shared" si="15"/>
        <v>0</v>
      </c>
    </row>
    <row r="54" spans="1:16" x14ac:dyDescent="0.25">
      <c r="A54" t="s">
        <v>24</v>
      </c>
      <c r="B54" s="15">
        <f>(B52+B53)/2</f>
        <v>86.368088332029885</v>
      </c>
      <c r="C54" s="15">
        <f t="shared" ref="C54:P54" si="16">(C52+C53)/2</f>
        <v>72.849183143474761</v>
      </c>
      <c r="D54" s="15"/>
      <c r="E54" s="15"/>
      <c r="F54" s="15">
        <f t="shared" ref="F54" si="17">(F52+F53)/2</f>
        <v>93.01334791698315</v>
      </c>
      <c r="G54" s="15"/>
      <c r="H54" s="15"/>
      <c r="I54" s="15"/>
      <c r="J54" s="15"/>
      <c r="K54" s="15">
        <f t="shared" si="16"/>
        <v>92.42992674151985</v>
      </c>
      <c r="L54" s="15">
        <f t="shared" si="16"/>
        <v>44.006082299755462</v>
      </c>
      <c r="M54" s="15" t="e">
        <f t="shared" si="16"/>
        <v>#DIV/0!</v>
      </c>
      <c r="N54" s="15" t="e">
        <f t="shared" si="16"/>
        <v>#DIV/0!</v>
      </c>
      <c r="O54" s="15" t="e">
        <f t="shared" si="16"/>
        <v>#DIV/0!</v>
      </c>
      <c r="P54" s="15">
        <f t="shared" si="16"/>
        <v>0</v>
      </c>
    </row>
    <row r="55" spans="1:16" x14ac:dyDescent="0.25">
      <c r="B55" s="15"/>
      <c r="C55" s="15"/>
      <c r="D55" s="15"/>
      <c r="E55" s="15"/>
      <c r="F55" s="15"/>
      <c r="G55" s="15"/>
      <c r="H55" s="15"/>
      <c r="I55" s="15"/>
      <c r="J55" s="15"/>
      <c r="K55" s="15"/>
      <c r="L55" s="15"/>
    </row>
    <row r="56" spans="1:16" x14ac:dyDescent="0.25">
      <c r="A56" t="s">
        <v>40</v>
      </c>
    </row>
    <row r="57" spans="1:16" x14ac:dyDescent="0.25">
      <c r="A57" t="s">
        <v>25</v>
      </c>
      <c r="B57" s="15">
        <f>B23/B21*100</f>
        <v>98.352758133380846</v>
      </c>
      <c r="C57" s="15"/>
      <c r="D57" s="15"/>
      <c r="E57" s="15"/>
      <c r="F57" s="15"/>
      <c r="G57" s="15"/>
      <c r="H57" s="15"/>
      <c r="I57" s="15"/>
      <c r="J57" s="15"/>
      <c r="K57" s="15"/>
      <c r="L57" s="15"/>
    </row>
    <row r="59" spans="1:16" x14ac:dyDescent="0.25">
      <c r="A59" t="s">
        <v>26</v>
      </c>
    </row>
    <row r="60" spans="1:16" x14ac:dyDescent="0.25">
      <c r="A60" t="s">
        <v>27</v>
      </c>
      <c r="B60" s="15">
        <f>((B14/B10)-1)*100</f>
        <v>-1.494810671473501</v>
      </c>
      <c r="C60" s="15">
        <f t="shared" ref="C60:P60" si="18">((C14/C10)-1)*100</f>
        <v>3.0195790957833868</v>
      </c>
      <c r="D60" s="15">
        <f t="shared" si="18"/>
        <v>1.4053264488076644</v>
      </c>
      <c r="E60" s="15">
        <f t="shared" si="18"/>
        <v>10.726043170134435</v>
      </c>
      <c r="F60" s="15">
        <f t="shared" si="18"/>
        <v>1.8079362168050617</v>
      </c>
      <c r="G60" s="15">
        <f t="shared" si="18"/>
        <v>-2.1990059107563242</v>
      </c>
      <c r="H60" s="15">
        <f t="shared" si="18"/>
        <v>25.07308177112666</v>
      </c>
      <c r="I60" s="15">
        <f t="shared" si="18"/>
        <v>2.6637593057574627</v>
      </c>
      <c r="J60" s="15">
        <f t="shared" si="18"/>
        <v>6.234678955065287</v>
      </c>
      <c r="K60" s="15">
        <f t="shared" si="18"/>
        <v>26.420821650615611</v>
      </c>
      <c r="L60" s="15">
        <f t="shared" si="18"/>
        <v>71.861217289032624</v>
      </c>
      <c r="M60" s="15" t="e">
        <f t="shared" si="18"/>
        <v>#DIV/0!</v>
      </c>
      <c r="N60" s="15" t="e">
        <f t="shared" si="18"/>
        <v>#DIV/0!</v>
      </c>
      <c r="O60" s="15" t="e">
        <f t="shared" si="18"/>
        <v>#DIV/0!</v>
      </c>
      <c r="P60" s="15" t="e">
        <f t="shared" si="18"/>
        <v>#DIV/0!</v>
      </c>
    </row>
    <row r="61" spans="1:16" x14ac:dyDescent="0.25">
      <c r="A61" t="s">
        <v>28</v>
      </c>
      <c r="B61" s="15">
        <f>((B36/B35)-1)*100</f>
        <v>0.96919045181433905</v>
      </c>
      <c r="C61" s="15">
        <f t="shared" ref="C61:P61" si="19">((C36/C35)-1)*100</f>
        <v>3.4627543900630275</v>
      </c>
      <c r="D61" s="15"/>
      <c r="E61" s="15"/>
      <c r="F61" s="15">
        <f t="shared" si="19"/>
        <v>-11.591993178454896</v>
      </c>
      <c r="G61" s="15"/>
      <c r="H61" s="15"/>
      <c r="I61" s="15"/>
      <c r="J61" s="15"/>
      <c r="K61" s="15">
        <f t="shared" si="19"/>
        <v>16.332582294404997</v>
      </c>
      <c r="L61" s="15">
        <f t="shared" si="19"/>
        <v>74.92117942664494</v>
      </c>
      <c r="M61" s="15" t="e">
        <f t="shared" si="19"/>
        <v>#DIV/0!</v>
      </c>
      <c r="N61" s="15" t="e">
        <f t="shared" si="19"/>
        <v>#DIV/0!</v>
      </c>
      <c r="O61" s="15" t="e">
        <f t="shared" si="19"/>
        <v>#DIV/0!</v>
      </c>
      <c r="P61" s="15" t="e">
        <f t="shared" si="19"/>
        <v>#DIV/0!</v>
      </c>
    </row>
    <row r="62" spans="1:16" x14ac:dyDescent="0.25">
      <c r="A62" s="13" t="s">
        <v>29</v>
      </c>
      <c r="B62" s="16">
        <f>((B38/B37)-1)*100</f>
        <v>2.5013922008414236</v>
      </c>
      <c r="C62" s="16">
        <f t="shared" ref="C62:P62" si="20">((C38/C37)-1)*100</f>
        <v>0.43018550276505696</v>
      </c>
      <c r="D62" s="16"/>
      <c r="E62" s="16"/>
      <c r="F62" s="16">
        <f t="shared" si="20"/>
        <v>-13.161969383923211</v>
      </c>
      <c r="G62" s="16"/>
      <c r="H62" s="16"/>
      <c r="I62" s="16"/>
      <c r="J62" s="16"/>
      <c r="K62" s="16">
        <f t="shared" si="20"/>
        <v>-7.9798875094255433</v>
      </c>
      <c r="L62" s="16">
        <f t="shared" si="20"/>
        <v>1.7804843849477114</v>
      </c>
      <c r="M62" s="16" t="e">
        <f t="shared" si="20"/>
        <v>#DIV/0!</v>
      </c>
      <c r="N62" s="16" t="e">
        <f t="shared" si="20"/>
        <v>#DIV/0!</v>
      </c>
      <c r="O62" s="16" t="e">
        <f t="shared" si="20"/>
        <v>#DIV/0!</v>
      </c>
      <c r="P62" s="16" t="e">
        <f t="shared" si="20"/>
        <v>#DIV/0!</v>
      </c>
    </row>
    <row r="63" spans="1:16" x14ac:dyDescent="0.25">
      <c r="B63" s="17"/>
      <c r="C63" s="17"/>
      <c r="D63" s="17"/>
      <c r="E63" s="17"/>
      <c r="F63" s="17"/>
      <c r="G63" s="17"/>
      <c r="H63" s="17"/>
      <c r="I63" s="17"/>
      <c r="J63" s="17"/>
      <c r="K63" s="17"/>
      <c r="L63" s="17"/>
    </row>
    <row r="64" spans="1:16" x14ac:dyDescent="0.25">
      <c r="A64" t="s">
        <v>30</v>
      </c>
    </row>
    <row r="65" spans="1:16" x14ac:dyDescent="0.25">
      <c r="A65" t="s">
        <v>31</v>
      </c>
      <c r="B65" s="4">
        <f>B20/(B12*12)</f>
        <v>12333.617556380885</v>
      </c>
      <c r="C65" s="4">
        <f>C20/(C12*12)</f>
        <v>12830.744433925178</v>
      </c>
      <c r="D65" s="4"/>
      <c r="E65" s="4"/>
      <c r="F65" s="4">
        <f>F20/(F12*12)</f>
        <v>4497.5662712676167</v>
      </c>
      <c r="G65" s="4"/>
      <c r="H65" s="40"/>
      <c r="I65" s="40"/>
      <c r="J65" s="40"/>
      <c r="K65" s="4">
        <f>K20/(K12*12)</f>
        <v>26765.267327785605</v>
      </c>
      <c r="L65" s="4">
        <f>L20/(L12*12)</f>
        <v>50345.967857804972</v>
      </c>
      <c r="M65" s="4" t="e">
        <f t="shared" ref="M65:P65" si="21">M20/(M12*12)</f>
        <v>#DIV/0!</v>
      </c>
      <c r="N65" s="4" t="e">
        <f t="shared" si="21"/>
        <v>#DIV/0!</v>
      </c>
      <c r="O65" s="4" t="e">
        <f t="shared" si="21"/>
        <v>#DIV/0!</v>
      </c>
      <c r="P65" s="4">
        <f t="shared" si="21"/>
        <v>70000</v>
      </c>
    </row>
    <row r="66" spans="1:16" x14ac:dyDescent="0.25">
      <c r="A66" t="s">
        <v>32</v>
      </c>
      <c r="B66" s="4">
        <f>B21/(B14*12)</f>
        <v>10099.009120213068</v>
      </c>
      <c r="C66" s="4">
        <f>C21/(C14*12)</f>
        <v>12578.777938025158</v>
      </c>
      <c r="D66" s="4"/>
      <c r="E66" s="44"/>
      <c r="F66" s="4">
        <f>F21/(F14*12)</f>
        <v>4619.8421578013904</v>
      </c>
      <c r="G66" s="40"/>
      <c r="H66" s="40"/>
      <c r="I66" s="40"/>
      <c r="J66" s="40"/>
      <c r="K66" s="4">
        <f>K21/(K14*12)</f>
        <v>27071.175648052616</v>
      </c>
      <c r="L66" s="4">
        <f>L21/(L14*12)</f>
        <v>31433.079954376961</v>
      </c>
      <c r="M66" s="4" t="e">
        <f t="shared" ref="M66:P66" si="22">M21/(M14*12)</f>
        <v>#DIV/0!</v>
      </c>
      <c r="N66" s="4" t="e">
        <f t="shared" si="22"/>
        <v>#DIV/0!</v>
      </c>
      <c r="O66" s="4" t="e">
        <f t="shared" si="22"/>
        <v>#DIV/0!</v>
      </c>
      <c r="P66" s="4" t="e">
        <f t="shared" si="22"/>
        <v>#DIV/0!</v>
      </c>
    </row>
    <row r="67" spans="1:16" x14ac:dyDescent="0.25">
      <c r="A67" s="13" t="s">
        <v>33</v>
      </c>
      <c r="B67" s="16">
        <f>(B65/B66)*B49</f>
        <v>102.98111665202991</v>
      </c>
      <c r="C67" s="16">
        <f>(C65/C66)*C49</f>
        <v>74.308129841846565</v>
      </c>
      <c r="D67" s="16"/>
      <c r="E67" s="16"/>
      <c r="F67" s="16">
        <f t="shared" ref="F67" si="23">(F65/F66)*F49</f>
        <v>90.551512817959733</v>
      </c>
      <c r="G67" s="59"/>
      <c r="H67" s="59"/>
      <c r="I67" s="59"/>
      <c r="J67" s="59"/>
      <c r="K67" s="16">
        <f>(K65/K66)*K49</f>
        <v>91.384246865537975</v>
      </c>
      <c r="L67" s="16">
        <f>(L65/L66)*L49</f>
        <v>52.860340680012577</v>
      </c>
      <c r="M67" s="16" t="e">
        <f t="shared" ref="M67:P67" si="24">(M65/M66)*M49</f>
        <v>#DIV/0!</v>
      </c>
      <c r="N67" s="16" t="e">
        <f t="shared" si="24"/>
        <v>#DIV/0!</v>
      </c>
      <c r="O67" s="16" t="e">
        <f t="shared" si="24"/>
        <v>#DIV/0!</v>
      </c>
      <c r="P67" s="16" t="e">
        <f t="shared" si="24"/>
        <v>#DIV/0!</v>
      </c>
    </row>
    <row r="68" spans="1:16" x14ac:dyDescent="0.25">
      <c r="A68" t="s">
        <v>41</v>
      </c>
      <c r="B68" s="30">
        <f>B20/B12</f>
        <v>148003.41067657061</v>
      </c>
      <c r="C68" s="30">
        <f>C20/C12</f>
        <v>153968.93320710212</v>
      </c>
      <c r="D68" s="30"/>
      <c r="E68" s="30"/>
      <c r="F68" s="30">
        <f t="shared" ref="F68" si="25">F20/F12</f>
        <v>53970.7952552114</v>
      </c>
      <c r="G68" s="60"/>
      <c r="H68" s="60"/>
      <c r="I68" s="60"/>
      <c r="J68" s="60"/>
      <c r="K68" s="30">
        <f t="shared" ref="K68:P68" si="26">K20/K12</f>
        <v>321183.2079334273</v>
      </c>
      <c r="L68" s="30">
        <f t="shared" si="26"/>
        <v>604151.61429365957</v>
      </c>
      <c r="M68" s="30" t="e">
        <f t="shared" si="26"/>
        <v>#DIV/0!</v>
      </c>
      <c r="N68" s="30" t="e">
        <f t="shared" si="26"/>
        <v>#DIV/0!</v>
      </c>
      <c r="O68" s="30" t="e">
        <f t="shared" si="26"/>
        <v>#DIV/0!</v>
      </c>
      <c r="P68" s="30">
        <f t="shared" si="26"/>
        <v>840000</v>
      </c>
    </row>
    <row r="69" spans="1:16" x14ac:dyDescent="0.25">
      <c r="A69" t="s">
        <v>42</v>
      </c>
      <c r="B69" s="17">
        <f>B21/B14</f>
        <v>121188.10944255682</v>
      </c>
      <c r="C69" s="17">
        <f>C21/C14</f>
        <v>150945.33525630189</v>
      </c>
      <c r="D69" s="17"/>
      <c r="E69" s="17"/>
      <c r="F69" s="17">
        <f t="shared" ref="F69" si="27">F21/F14</f>
        <v>55438.105893616688</v>
      </c>
      <c r="G69" s="60"/>
      <c r="H69" s="60"/>
      <c r="I69" s="60"/>
      <c r="J69" s="60"/>
      <c r="K69" s="30">
        <f>K21/K14</f>
        <v>324854.10777663143</v>
      </c>
      <c r="L69" s="30">
        <f>L21/L14</f>
        <v>377196.9594525235</v>
      </c>
      <c r="M69" s="30" t="e">
        <f t="shared" ref="M69:P69" si="28">M21/M14</f>
        <v>#DIV/0!</v>
      </c>
      <c r="N69" s="30" t="e">
        <f t="shared" si="28"/>
        <v>#DIV/0!</v>
      </c>
      <c r="O69" s="30" t="e">
        <f t="shared" si="28"/>
        <v>#DIV/0!</v>
      </c>
      <c r="P69" s="30" t="e">
        <f t="shared" si="28"/>
        <v>#DIV/0!</v>
      </c>
    </row>
    <row r="70" spans="1:16" x14ac:dyDescent="0.25">
      <c r="B70" s="15"/>
      <c r="C70" s="15"/>
      <c r="D70" s="15"/>
      <c r="E70" s="15"/>
      <c r="F70" s="15"/>
      <c r="G70" s="15"/>
      <c r="H70" s="15"/>
      <c r="I70" s="17"/>
      <c r="J70" s="17"/>
      <c r="K70" s="15"/>
      <c r="L70" s="15"/>
    </row>
    <row r="71" spans="1:16" x14ac:dyDescent="0.25">
      <c r="A71" t="s">
        <v>34</v>
      </c>
      <c r="B71" s="15"/>
      <c r="C71" s="15"/>
      <c r="D71" s="15"/>
      <c r="E71" s="15"/>
      <c r="F71" s="15"/>
      <c r="G71" s="15"/>
      <c r="H71" s="15"/>
      <c r="I71" s="17"/>
      <c r="J71" s="17"/>
      <c r="K71" s="15"/>
      <c r="L71" s="15"/>
    </row>
    <row r="72" spans="1:16" x14ac:dyDescent="0.25">
      <c r="A72" s="18" t="s">
        <v>35</v>
      </c>
      <c r="B72" s="19">
        <f>(B27/B26)*100</f>
        <v>78.230532812332314</v>
      </c>
      <c r="C72" s="19"/>
      <c r="D72" s="19"/>
      <c r="E72" s="19"/>
      <c r="F72" s="19"/>
      <c r="G72" s="19"/>
      <c r="H72" s="19"/>
      <c r="I72" s="19"/>
      <c r="J72" s="19"/>
      <c r="K72" s="19"/>
      <c r="L72" s="19"/>
      <c r="M72" s="74"/>
    </row>
    <row r="73" spans="1:16" x14ac:dyDescent="0.25">
      <c r="A73" s="18" t="s">
        <v>36</v>
      </c>
      <c r="B73" s="19">
        <f>(B21/B27)*100</f>
        <v>97.050600411657953</v>
      </c>
      <c r="C73" s="19"/>
      <c r="D73" s="19"/>
      <c r="E73" s="19"/>
      <c r="F73" s="19"/>
      <c r="G73" s="19"/>
      <c r="H73" s="19"/>
      <c r="I73" s="19"/>
      <c r="J73" s="19"/>
      <c r="K73" s="19"/>
      <c r="L73" s="19"/>
    </row>
    <row r="74" spans="1:16" ht="15.75" thickBot="1" x14ac:dyDescent="0.3">
      <c r="A74" s="20"/>
      <c r="B74" s="20"/>
      <c r="C74" s="49"/>
      <c r="D74" s="20"/>
      <c r="E74" s="20"/>
      <c r="F74" s="20"/>
      <c r="G74" s="20"/>
      <c r="H74" s="20"/>
      <c r="I74" s="49"/>
      <c r="J74" s="49"/>
      <c r="K74" s="20"/>
      <c r="L74" s="20"/>
      <c r="M74" s="20"/>
      <c r="N74" s="20"/>
      <c r="O74" s="20"/>
      <c r="P74" s="20"/>
    </row>
    <row r="75" spans="1:16" ht="15.75" thickTop="1" x14ac:dyDescent="0.25">
      <c r="A75" s="33" t="s">
        <v>94</v>
      </c>
    </row>
    <row r="76" spans="1:16" x14ac:dyDescent="0.25">
      <c r="A76" t="s">
        <v>95</v>
      </c>
    </row>
    <row r="77" spans="1:16" x14ac:dyDescent="0.25">
      <c r="A77" t="s">
        <v>96</v>
      </c>
    </row>
    <row r="78" spans="1:16" x14ac:dyDescent="0.25">
      <c r="A78" t="s">
        <v>79</v>
      </c>
      <c r="B78" s="21"/>
      <c r="C78" s="21"/>
      <c r="D78" s="21"/>
      <c r="E78" s="21"/>
      <c r="F78" s="21"/>
      <c r="G78" s="21"/>
      <c r="H78" s="21"/>
      <c r="I78" s="21"/>
      <c r="J78" s="21"/>
    </row>
    <row r="80" spans="1:16" x14ac:dyDescent="0.25">
      <c r="A80" t="s">
        <v>43</v>
      </c>
    </row>
    <row r="81" spans="1:1" x14ac:dyDescent="0.25">
      <c r="A81" t="s">
        <v>53</v>
      </c>
    </row>
    <row r="82" spans="1:1" x14ac:dyDescent="0.25">
      <c r="A82" t="s">
        <v>134</v>
      </c>
    </row>
    <row r="83" spans="1:1" x14ac:dyDescent="0.25">
      <c r="A83" t="s">
        <v>50</v>
      </c>
    </row>
    <row r="84" spans="1:1" x14ac:dyDescent="0.25">
      <c r="A84" t="s">
        <v>78</v>
      </c>
    </row>
    <row r="86" spans="1:1" x14ac:dyDescent="0.25">
      <c r="A86" t="s">
        <v>136</v>
      </c>
    </row>
    <row r="87" spans="1:1" x14ac:dyDescent="0.25">
      <c r="A87" s="42"/>
    </row>
  </sheetData>
  <mergeCells count="7">
    <mergeCell ref="P18:R18"/>
    <mergeCell ref="G34:J34"/>
    <mergeCell ref="A2:K2"/>
    <mergeCell ref="A4:A5"/>
    <mergeCell ref="D5:E5"/>
    <mergeCell ref="G5:H5"/>
    <mergeCell ref="D4:O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28" sqref="M28"/>
    </sheetView>
  </sheetViews>
  <sheetFormatPr baseColWidth="10" defaultColWidth="11.42578125"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 Trimestre</vt:lpstr>
      <vt:lpstr>Hoja2 (2)</vt:lpstr>
      <vt:lpstr>II Trimestre</vt:lpstr>
      <vt:lpstr>III Trimestre</vt:lpstr>
      <vt:lpstr>IV Trimestre</vt:lpstr>
      <vt:lpstr>I Semestre</vt:lpstr>
      <vt:lpstr>III T Acumulado</vt:lpstr>
      <vt:lpstr>Anual</vt:lpstr>
      <vt:lpstr>Observaciones</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 Rodriguez</cp:lastModifiedBy>
  <dcterms:created xsi:type="dcterms:W3CDTF">2012-02-08T21:16:28Z</dcterms:created>
  <dcterms:modified xsi:type="dcterms:W3CDTF">2015-09-02T17:18:52Z</dcterms:modified>
</cp:coreProperties>
</file>