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PRONAMYPE\Indicadores\"/>
    </mc:Choice>
  </mc:AlternateContent>
  <bookViews>
    <workbookView xWindow="0" yWindow="0" windowWidth="21600" windowHeight="9735" tabRatio="913" activeTab="6"/>
  </bookViews>
  <sheets>
    <sheet name="I trimestre" sheetId="1" r:id="rId1"/>
    <sheet name="II Trimestre" sheetId="3" r:id="rId2"/>
    <sheet name="III Trimestre" sheetId="6" r:id="rId3"/>
    <sheet name="IV Trimestre" sheetId="8" r:id="rId4"/>
    <sheet name="Semestral" sheetId="11" r:id="rId5"/>
    <sheet name="Tercer Trimestre Acumulado" sheetId="10" r:id="rId6"/>
    <sheet name="Anual" sheetId="9" r:id="rId7"/>
    <sheet name="Calculo gastos prog. x Trim" sheetId="13" state="hidden" r:id="rId8"/>
    <sheet name="Calculo Ben. prog. x Trim " sheetId="15" state="hidden" r:id="rId9"/>
  </sheets>
  <calcPr calcId="152511"/>
</workbook>
</file>

<file path=xl/calcChain.xml><?xml version="1.0" encoding="utf-8"?>
<calcChain xmlns="http://schemas.openxmlformats.org/spreadsheetml/2006/main">
  <c r="B23" i="9" l="1"/>
  <c r="F65" i="9"/>
  <c r="F22" i="9"/>
  <c r="E22" i="9"/>
  <c r="F66" i="9"/>
  <c r="C16" i="9" l="1"/>
  <c r="C17" i="9"/>
  <c r="C18" i="9"/>
  <c r="C15" i="9"/>
  <c r="C10" i="9"/>
  <c r="C11" i="9"/>
  <c r="C12" i="9"/>
  <c r="C9" i="9"/>
  <c r="C16" i="10"/>
  <c r="C17" i="10"/>
  <c r="C18" i="10"/>
  <c r="C15" i="10"/>
  <c r="B23" i="10"/>
  <c r="B23" i="11"/>
  <c r="C10" i="10"/>
  <c r="C11" i="10"/>
  <c r="C12" i="10"/>
  <c r="C9" i="10"/>
  <c r="C12" i="6"/>
  <c r="C12" i="8"/>
  <c r="D66" i="8" l="1"/>
  <c r="E66" i="8"/>
  <c r="D61" i="8"/>
  <c r="E61" i="8"/>
  <c r="F61" i="8"/>
  <c r="G61" i="8"/>
  <c r="D60" i="8"/>
  <c r="E60" i="8"/>
  <c r="F60" i="8"/>
  <c r="G60" i="8"/>
  <c r="D55" i="8"/>
  <c r="E55" i="8"/>
  <c r="F55" i="8"/>
  <c r="G55" i="8"/>
  <c r="D49" i="8"/>
  <c r="E49" i="8"/>
  <c r="E50" i="8" s="1"/>
  <c r="F49" i="8"/>
  <c r="G49" i="8"/>
  <c r="D48" i="8"/>
  <c r="D50" i="8" s="1"/>
  <c r="E48" i="8"/>
  <c r="F48" i="8"/>
  <c r="F50" i="8" s="1"/>
  <c r="G48" i="8"/>
  <c r="G50" i="8" s="1"/>
  <c r="D44" i="8"/>
  <c r="E44" i="8"/>
  <c r="F44" i="8"/>
  <c r="G44" i="8"/>
  <c r="D43" i="8"/>
  <c r="D45" i="8" s="1"/>
  <c r="D62" i="8" s="1"/>
  <c r="E43" i="8"/>
  <c r="E45" i="8" s="1"/>
  <c r="F43" i="8"/>
  <c r="G43" i="8"/>
  <c r="G45" i="8" s="1"/>
  <c r="D39" i="8"/>
  <c r="E39" i="8"/>
  <c r="F39" i="8"/>
  <c r="G39" i="8"/>
  <c r="F34" i="8"/>
  <c r="D32" i="8"/>
  <c r="D34" i="8" s="1"/>
  <c r="E32" i="8"/>
  <c r="F32" i="8"/>
  <c r="G32" i="8"/>
  <c r="G34" i="8" s="1"/>
  <c r="D31" i="8"/>
  <c r="D33" i="8" s="1"/>
  <c r="E31" i="8"/>
  <c r="E33" i="8" s="1"/>
  <c r="F31" i="8"/>
  <c r="F56" i="8" s="1"/>
  <c r="G31" i="8"/>
  <c r="G33" i="8" s="1"/>
  <c r="F33" i="8" l="1"/>
  <c r="F57" i="8" s="1"/>
  <c r="E62" i="8"/>
  <c r="F45" i="8"/>
  <c r="F62" i="8" s="1"/>
  <c r="E56" i="8"/>
  <c r="G62" i="8"/>
  <c r="G57" i="8"/>
  <c r="D57" i="8"/>
  <c r="D56" i="8"/>
  <c r="G56" i="8"/>
  <c r="E34" i="8"/>
  <c r="E57" i="8" s="1"/>
  <c r="E22" i="8"/>
  <c r="D22" i="8"/>
  <c r="B23" i="6" l="1"/>
  <c r="E22" i="1" l="1"/>
  <c r="F19" i="3"/>
  <c r="G19" i="3"/>
  <c r="D19" i="3"/>
  <c r="E22" i="3"/>
  <c r="D22" i="3"/>
  <c r="B23" i="3"/>
  <c r="E19" i="3"/>
  <c r="C19" i="3" l="1"/>
  <c r="B19" i="3" s="1"/>
  <c r="D15" i="9" l="1"/>
  <c r="D31" i="9" s="1"/>
  <c r="E15" i="9"/>
  <c r="E31" i="9" s="1"/>
  <c r="F15" i="9"/>
  <c r="F31" i="9" s="1"/>
  <c r="G15" i="9"/>
  <c r="G31" i="9" s="1"/>
  <c r="D15" i="10"/>
  <c r="D31" i="10" s="1"/>
  <c r="E15" i="10"/>
  <c r="E31" i="10" s="1"/>
  <c r="F15" i="10"/>
  <c r="F31" i="10" s="1"/>
  <c r="G15" i="10"/>
  <c r="G31" i="10" s="1"/>
  <c r="D15" i="11"/>
  <c r="D31" i="11" s="1"/>
  <c r="E15" i="11"/>
  <c r="E31" i="11" s="1"/>
  <c r="F15" i="11"/>
  <c r="F31" i="11" s="1"/>
  <c r="G15" i="11"/>
  <c r="D9" i="9"/>
  <c r="E9" i="9"/>
  <c r="F9" i="9"/>
  <c r="G9" i="9"/>
  <c r="D9" i="10"/>
  <c r="E9" i="10"/>
  <c r="F9" i="10"/>
  <c r="G9" i="10"/>
  <c r="D9" i="11"/>
  <c r="E9" i="11"/>
  <c r="F9" i="11"/>
  <c r="G9" i="11"/>
  <c r="D65" i="8"/>
  <c r="B23" i="8"/>
  <c r="E65" i="8"/>
  <c r="E19" i="8"/>
  <c r="E52" i="8" s="1"/>
  <c r="F19" i="8"/>
  <c r="F52" i="8" s="1"/>
  <c r="G19" i="8"/>
  <c r="G52" i="8" s="1"/>
  <c r="D19" i="8"/>
  <c r="E19" i="6"/>
  <c r="E52" i="6" s="1"/>
  <c r="F19" i="6"/>
  <c r="F52" i="6" s="1"/>
  <c r="G19" i="6"/>
  <c r="G52" i="6" s="1"/>
  <c r="D19" i="6"/>
  <c r="D52" i="6" s="1"/>
  <c r="E52" i="3"/>
  <c r="F52" i="3"/>
  <c r="G52" i="3"/>
  <c r="D52" i="3"/>
  <c r="E19" i="1"/>
  <c r="F19" i="1"/>
  <c r="G19" i="1"/>
  <c r="D19" i="1"/>
  <c r="C19" i="1" s="1"/>
  <c r="E66" i="6"/>
  <c r="D66" i="6"/>
  <c r="E22" i="6"/>
  <c r="E65" i="6" s="1"/>
  <c r="D22" i="6"/>
  <c r="D65" i="6" s="1"/>
  <c r="E66" i="3"/>
  <c r="D66" i="3"/>
  <c r="E65" i="3"/>
  <c r="D65" i="3"/>
  <c r="D22" i="1"/>
  <c r="D23" i="9"/>
  <c r="D23" i="10"/>
  <c r="D65" i="1"/>
  <c r="D66" i="1"/>
  <c r="D17" i="10"/>
  <c r="E17" i="10"/>
  <c r="E19" i="10" s="1"/>
  <c r="E52" i="10" s="1"/>
  <c r="F17" i="10"/>
  <c r="F32" i="10" s="1"/>
  <c r="G17" i="10"/>
  <c r="G19" i="10" s="1"/>
  <c r="G52" i="10" s="1"/>
  <c r="D16" i="10"/>
  <c r="E16" i="10"/>
  <c r="F16" i="10"/>
  <c r="G16" i="10"/>
  <c r="D17" i="11"/>
  <c r="D19" i="11" s="1"/>
  <c r="D52" i="11" s="1"/>
  <c r="E17" i="11"/>
  <c r="E19" i="11" s="1"/>
  <c r="E52" i="11" s="1"/>
  <c r="F17" i="11"/>
  <c r="F19" i="11" s="1"/>
  <c r="F52" i="11" s="1"/>
  <c r="G17" i="11"/>
  <c r="G19" i="11" s="1"/>
  <c r="D16" i="11"/>
  <c r="D22" i="11" s="1"/>
  <c r="E16" i="11"/>
  <c r="F16" i="11"/>
  <c r="G16" i="11"/>
  <c r="D17" i="9"/>
  <c r="E17" i="9"/>
  <c r="F17" i="9"/>
  <c r="G17" i="9"/>
  <c r="G19" i="9" s="1"/>
  <c r="G52" i="9" s="1"/>
  <c r="D16" i="9"/>
  <c r="D22" i="9" s="1"/>
  <c r="E16" i="9"/>
  <c r="F16" i="9"/>
  <c r="G16" i="9"/>
  <c r="D10" i="10"/>
  <c r="D39" i="10" s="1"/>
  <c r="E10" i="10"/>
  <c r="E60" i="10" s="1"/>
  <c r="F10" i="10"/>
  <c r="G10" i="10"/>
  <c r="G39" i="10" s="1"/>
  <c r="D11" i="10"/>
  <c r="D40" i="10" s="1"/>
  <c r="E11" i="10"/>
  <c r="F11" i="10"/>
  <c r="G11" i="10"/>
  <c r="D11" i="11"/>
  <c r="D40" i="11" s="1"/>
  <c r="E11" i="11"/>
  <c r="E40" i="11" s="1"/>
  <c r="F11" i="11"/>
  <c r="G11" i="11"/>
  <c r="D10" i="11"/>
  <c r="D39" i="11" s="1"/>
  <c r="E10" i="11"/>
  <c r="E39" i="11" s="1"/>
  <c r="F10" i="11"/>
  <c r="F39" i="11" s="1"/>
  <c r="G10" i="11"/>
  <c r="D11" i="9"/>
  <c r="D40" i="9" s="1"/>
  <c r="E11" i="9"/>
  <c r="E40" i="9" s="1"/>
  <c r="F11" i="9"/>
  <c r="G11" i="9"/>
  <c r="G61" i="9" s="1"/>
  <c r="D10" i="9"/>
  <c r="D39" i="9" s="1"/>
  <c r="E10" i="9"/>
  <c r="E39" i="9" s="1"/>
  <c r="F10" i="9"/>
  <c r="F39" i="9" s="1"/>
  <c r="G10" i="9"/>
  <c r="G39" i="9" s="1"/>
  <c r="D18" i="9"/>
  <c r="E18" i="9"/>
  <c r="F18" i="9"/>
  <c r="G18" i="9"/>
  <c r="D12" i="9"/>
  <c r="E12" i="9"/>
  <c r="F12" i="9"/>
  <c r="G12" i="9"/>
  <c r="D18" i="10"/>
  <c r="E18" i="10"/>
  <c r="F18" i="10"/>
  <c r="G18" i="10"/>
  <c r="D12" i="10"/>
  <c r="D48" i="10" s="1"/>
  <c r="E12" i="10"/>
  <c r="E48" i="10" s="1"/>
  <c r="F12" i="10"/>
  <c r="G12" i="10"/>
  <c r="D18" i="11"/>
  <c r="E18" i="11"/>
  <c r="F18" i="11"/>
  <c r="G18" i="11"/>
  <c r="D12" i="11"/>
  <c r="E12" i="11"/>
  <c r="F12" i="11"/>
  <c r="G12" i="11"/>
  <c r="C10" i="8"/>
  <c r="C39" i="8" s="1"/>
  <c r="C11" i="8"/>
  <c r="C15" i="8"/>
  <c r="C16" i="8"/>
  <c r="C17" i="8"/>
  <c r="C18" i="8"/>
  <c r="B18" i="8" s="1"/>
  <c r="C9" i="8"/>
  <c r="B9" i="8" s="1"/>
  <c r="C10" i="6"/>
  <c r="C11" i="6"/>
  <c r="C15" i="6"/>
  <c r="C16" i="6"/>
  <c r="C17" i="6"/>
  <c r="C32" i="6" s="1"/>
  <c r="C34" i="6" s="1"/>
  <c r="C18" i="6"/>
  <c r="B18" i="6" s="1"/>
  <c r="C9" i="6"/>
  <c r="B9" i="6" s="1"/>
  <c r="C10" i="3"/>
  <c r="C39" i="3" s="1"/>
  <c r="C11" i="3"/>
  <c r="C40" i="3" s="1"/>
  <c r="C12" i="3"/>
  <c r="C12" i="11" s="1"/>
  <c r="C9" i="3"/>
  <c r="B9" i="3" s="1"/>
  <c r="C16" i="3"/>
  <c r="B16" i="3" s="1"/>
  <c r="C17" i="3"/>
  <c r="C18" i="3"/>
  <c r="C18" i="11" s="1"/>
  <c r="C15" i="3"/>
  <c r="B15" i="3" s="1"/>
  <c r="B31" i="3" s="1"/>
  <c r="C16" i="1"/>
  <c r="C17" i="1"/>
  <c r="C44" i="1" s="1"/>
  <c r="C18" i="1"/>
  <c r="B18" i="1" s="1"/>
  <c r="C15" i="1"/>
  <c r="C31" i="1" s="1"/>
  <c r="C10" i="1"/>
  <c r="B10" i="1" s="1"/>
  <c r="B39" i="1" s="1"/>
  <c r="C11" i="1"/>
  <c r="B11" i="1" s="1"/>
  <c r="C12" i="1"/>
  <c r="B12" i="1" s="1"/>
  <c r="C9" i="1"/>
  <c r="B16" i="1"/>
  <c r="B22" i="1" s="1"/>
  <c r="D31" i="1"/>
  <c r="E31" i="1"/>
  <c r="E33" i="1" s="1"/>
  <c r="D32" i="1"/>
  <c r="D34" i="1" s="1"/>
  <c r="E32" i="1"/>
  <c r="E34" i="1" s="1"/>
  <c r="D40" i="8"/>
  <c r="E40" i="8"/>
  <c r="D31" i="6"/>
  <c r="D33" i="6" s="1"/>
  <c r="E31" i="6"/>
  <c r="E33" i="6" s="1"/>
  <c r="D32" i="6"/>
  <c r="D34" i="6" s="1"/>
  <c r="E32" i="6"/>
  <c r="E34" i="6" s="1"/>
  <c r="D39" i="6"/>
  <c r="E39" i="6"/>
  <c r="D40" i="6"/>
  <c r="E40" i="6"/>
  <c r="D43" i="6"/>
  <c r="E43" i="6"/>
  <c r="D48" i="6"/>
  <c r="E48" i="6"/>
  <c r="D49" i="6"/>
  <c r="E49" i="6"/>
  <c r="D55" i="6"/>
  <c r="E55" i="6"/>
  <c r="D61" i="6"/>
  <c r="E61" i="6"/>
  <c r="D31" i="3"/>
  <c r="D33" i="3" s="1"/>
  <c r="E31" i="3"/>
  <c r="E33" i="3" s="1"/>
  <c r="D32" i="3"/>
  <c r="E32" i="3"/>
  <c r="D39" i="3"/>
  <c r="E39" i="3"/>
  <c r="D40" i="3"/>
  <c r="E40" i="3"/>
  <c r="D43" i="3"/>
  <c r="E43" i="3"/>
  <c r="D48" i="3"/>
  <c r="E48" i="3"/>
  <c r="D49" i="3"/>
  <c r="E49" i="3"/>
  <c r="D55" i="3"/>
  <c r="E55" i="3"/>
  <c r="D61" i="3"/>
  <c r="E61" i="3"/>
  <c r="E44" i="6"/>
  <c r="D44" i="6"/>
  <c r="B14" i="13"/>
  <c r="B12" i="13"/>
  <c r="B10" i="13"/>
  <c r="B8" i="13"/>
  <c r="B6" i="13"/>
  <c r="B7" i="13" s="1"/>
  <c r="E60" i="3"/>
  <c r="E44" i="3"/>
  <c r="E60" i="6"/>
  <c r="D60" i="11"/>
  <c r="D60" i="3"/>
  <c r="D44" i="3"/>
  <c r="D60" i="6"/>
  <c r="D39" i="1"/>
  <c r="E39" i="1"/>
  <c r="D40" i="1"/>
  <c r="E40" i="1"/>
  <c r="D43" i="1"/>
  <c r="E43" i="1"/>
  <c r="D44" i="1"/>
  <c r="E44" i="1"/>
  <c r="D48" i="1"/>
  <c r="E48" i="1"/>
  <c r="D49" i="1"/>
  <c r="E49" i="1"/>
  <c r="E52" i="1"/>
  <c r="D55" i="1"/>
  <c r="E55" i="1"/>
  <c r="D60" i="1"/>
  <c r="E60" i="1"/>
  <c r="D61" i="1"/>
  <c r="E61" i="1"/>
  <c r="F55" i="6"/>
  <c r="C30" i="13"/>
  <c r="G40" i="8"/>
  <c r="F40" i="8"/>
  <c r="G40" i="6"/>
  <c r="F40" i="6"/>
  <c r="G39" i="6"/>
  <c r="F39" i="6"/>
  <c r="F40" i="3"/>
  <c r="F39" i="3"/>
  <c r="I20" i="13"/>
  <c r="J19" i="13" s="1"/>
  <c r="B29" i="13"/>
  <c r="D13" i="15"/>
  <c r="D30" i="15"/>
  <c r="C30" i="15"/>
  <c r="B30" i="15" s="1"/>
  <c r="B29" i="15"/>
  <c r="K28" i="15"/>
  <c r="L27" i="15" s="1"/>
  <c r="D31" i="15" s="1"/>
  <c r="D32" i="15" s="1"/>
  <c r="I28" i="15"/>
  <c r="J27" i="15" s="1"/>
  <c r="G28" i="15"/>
  <c r="H27" i="15" s="1"/>
  <c r="K26" i="15"/>
  <c r="L25" i="15" s="1"/>
  <c r="I26" i="15"/>
  <c r="G26" i="15"/>
  <c r="H25" i="15" s="1"/>
  <c r="J25" i="15"/>
  <c r="C25" i="15" s="1"/>
  <c r="D24" i="15"/>
  <c r="C24" i="15"/>
  <c r="B23" i="15"/>
  <c r="K20" i="15"/>
  <c r="L19" i="15" s="1"/>
  <c r="I20" i="15"/>
  <c r="J19" i="15" s="1"/>
  <c r="G20" i="15"/>
  <c r="H19" i="15" s="1"/>
  <c r="D18" i="15"/>
  <c r="C18" i="15"/>
  <c r="C19" i="15" s="1"/>
  <c r="B17" i="15"/>
  <c r="B14" i="15"/>
  <c r="C13" i="15"/>
  <c r="B12" i="15"/>
  <c r="B13" i="15" s="1"/>
  <c r="D11" i="15"/>
  <c r="C11" i="15"/>
  <c r="B10" i="15"/>
  <c r="D9" i="15"/>
  <c r="C9" i="15"/>
  <c r="B8" i="15"/>
  <c r="B9" i="15" s="1"/>
  <c r="D7" i="15"/>
  <c r="C7" i="15"/>
  <c r="B6" i="15"/>
  <c r="B23" i="13"/>
  <c r="F30" i="13"/>
  <c r="M28" i="13"/>
  <c r="N27" i="13" s="1"/>
  <c r="K28" i="13"/>
  <c r="L27" i="13" s="1"/>
  <c r="I28" i="13"/>
  <c r="J27" i="13" s="1"/>
  <c r="M26" i="13"/>
  <c r="N25" i="13" s="1"/>
  <c r="K26" i="13"/>
  <c r="L25" i="13" s="1"/>
  <c r="I26" i="13"/>
  <c r="J25" i="13" s="1"/>
  <c r="M20" i="13"/>
  <c r="N19" i="13" s="1"/>
  <c r="K20" i="13"/>
  <c r="L19" i="13" s="1"/>
  <c r="B24" i="15"/>
  <c r="C24" i="13"/>
  <c r="B17" i="13"/>
  <c r="C13" i="13"/>
  <c r="E12" i="13" s="1"/>
  <c r="F13" i="13"/>
  <c r="C11" i="13"/>
  <c r="E10" i="13" s="1"/>
  <c r="F11" i="13"/>
  <c r="C9" i="13"/>
  <c r="E8" i="13" s="1"/>
  <c r="F9" i="13"/>
  <c r="C7" i="13"/>
  <c r="F7" i="13"/>
  <c r="C18" i="13"/>
  <c r="F18" i="13"/>
  <c r="F24" i="13"/>
  <c r="F55" i="3"/>
  <c r="G32" i="10"/>
  <c r="G34" i="10" s="1"/>
  <c r="G49" i="10"/>
  <c r="G60" i="9"/>
  <c r="G61" i="6"/>
  <c r="F61" i="6"/>
  <c r="G60" i="6"/>
  <c r="G55" i="6"/>
  <c r="G49" i="6"/>
  <c r="F49" i="6"/>
  <c r="G48" i="6"/>
  <c r="G50" i="6" s="1"/>
  <c r="F48" i="6"/>
  <c r="G44" i="6"/>
  <c r="G43" i="6"/>
  <c r="G45" i="6" s="1"/>
  <c r="F43" i="6"/>
  <c r="G32" i="6"/>
  <c r="G34" i="6" s="1"/>
  <c r="F32" i="6"/>
  <c r="F34" i="6" s="1"/>
  <c r="G31" i="6"/>
  <c r="G33" i="6" s="1"/>
  <c r="F31" i="6"/>
  <c r="F33" i="6" s="1"/>
  <c r="F60" i="6"/>
  <c r="F60" i="3"/>
  <c r="F61" i="3"/>
  <c r="F48" i="3"/>
  <c r="F49" i="3"/>
  <c r="F32" i="3"/>
  <c r="F34" i="3" s="1"/>
  <c r="F31" i="3"/>
  <c r="F44" i="3"/>
  <c r="F43" i="3"/>
  <c r="F44" i="6"/>
  <c r="G61" i="1"/>
  <c r="F61" i="1"/>
  <c r="G60" i="1"/>
  <c r="G55" i="1"/>
  <c r="F55" i="1"/>
  <c r="G52" i="1"/>
  <c r="F52" i="1"/>
  <c r="G49" i="1"/>
  <c r="F49" i="1"/>
  <c r="G48" i="1"/>
  <c r="F48" i="1"/>
  <c r="G44" i="1"/>
  <c r="F44" i="1"/>
  <c r="G43" i="1"/>
  <c r="G45" i="1" s="1"/>
  <c r="G40" i="1"/>
  <c r="F40" i="1"/>
  <c r="G39" i="1"/>
  <c r="G32" i="1"/>
  <c r="G34" i="1" s="1"/>
  <c r="F32" i="1"/>
  <c r="F34" i="1" s="1"/>
  <c r="G31" i="1"/>
  <c r="G33" i="1" s="1"/>
  <c r="F31" i="1"/>
  <c r="F33" i="1" s="1"/>
  <c r="F60" i="1"/>
  <c r="F39" i="1"/>
  <c r="F43" i="1"/>
  <c r="G50" i="1" l="1"/>
  <c r="C60" i="8"/>
  <c r="B17" i="8"/>
  <c r="B32" i="8" s="1"/>
  <c r="C44" i="8"/>
  <c r="C49" i="8"/>
  <c r="C32" i="8"/>
  <c r="C61" i="8"/>
  <c r="B11" i="8"/>
  <c r="B40" i="8" s="1"/>
  <c r="C43" i="8"/>
  <c r="C48" i="8"/>
  <c r="C50" i="8" s="1"/>
  <c r="C55" i="8"/>
  <c r="F56" i="3"/>
  <c r="C55" i="3"/>
  <c r="C31" i="15"/>
  <c r="B30" i="13"/>
  <c r="E50" i="6"/>
  <c r="B12" i="6"/>
  <c r="B15" i="8"/>
  <c r="B31" i="8" s="1"/>
  <c r="B56" i="8" s="1"/>
  <c r="C31" i="8"/>
  <c r="C33" i="8" s="1"/>
  <c r="G55" i="9"/>
  <c r="G48" i="10"/>
  <c r="G50" i="10" s="1"/>
  <c r="G60" i="10"/>
  <c r="D19" i="9"/>
  <c r="D52" i="9" s="1"/>
  <c r="D66" i="9"/>
  <c r="G44" i="9"/>
  <c r="G40" i="9"/>
  <c r="G43" i="10"/>
  <c r="G45" i="10" s="1"/>
  <c r="G48" i="9"/>
  <c r="G50" i="9" s="1"/>
  <c r="G49" i="9"/>
  <c r="G44" i="10"/>
  <c r="G40" i="10"/>
  <c r="G43" i="9"/>
  <c r="G45" i="9" s="1"/>
  <c r="G62" i="9" s="1"/>
  <c r="G32" i="9"/>
  <c r="G61" i="10"/>
  <c r="G55" i="10"/>
  <c r="G33" i="9"/>
  <c r="F50" i="6"/>
  <c r="F19" i="10"/>
  <c r="F52" i="10" s="1"/>
  <c r="C48" i="6"/>
  <c r="F45" i="6"/>
  <c r="F62" i="6" s="1"/>
  <c r="D45" i="6"/>
  <c r="D62" i="6" s="1"/>
  <c r="E45" i="6"/>
  <c r="E62" i="6" s="1"/>
  <c r="D57" i="6"/>
  <c r="C19" i="13"/>
  <c r="C20" i="13" s="1"/>
  <c r="C20" i="15"/>
  <c r="C21" i="15" s="1"/>
  <c r="G56" i="9"/>
  <c r="D19" i="15"/>
  <c r="D20" i="15" s="1"/>
  <c r="D21" i="15" s="1"/>
  <c r="C48" i="1"/>
  <c r="F33" i="3"/>
  <c r="F57" i="3" s="1"/>
  <c r="D8" i="13"/>
  <c r="C31" i="13"/>
  <c r="C32" i="13" s="1"/>
  <c r="D32" i="11"/>
  <c r="G34" i="9"/>
  <c r="B12" i="3"/>
  <c r="C19" i="6"/>
  <c r="B19" i="6" s="1"/>
  <c r="G62" i="1"/>
  <c r="B18" i="13"/>
  <c r="C40" i="8"/>
  <c r="E32" i="10"/>
  <c r="E56" i="10" s="1"/>
  <c r="D52" i="1"/>
  <c r="B49" i="8"/>
  <c r="F50" i="3"/>
  <c r="G62" i="6"/>
  <c r="D12" i="13"/>
  <c r="F31" i="13"/>
  <c r="F32" i="13" s="1"/>
  <c r="B17" i="3"/>
  <c r="B66" i="3" s="1"/>
  <c r="B11" i="15"/>
  <c r="E48" i="11"/>
  <c r="B11" i="13"/>
  <c r="B10" i="3"/>
  <c r="B39" i="3" s="1"/>
  <c r="G56" i="6"/>
  <c r="D56" i="6"/>
  <c r="B11" i="3"/>
  <c r="B48" i="3" s="1"/>
  <c r="D10" i="13"/>
  <c r="B19" i="1"/>
  <c r="B18" i="15"/>
  <c r="B18" i="9"/>
  <c r="F55" i="9"/>
  <c r="F43" i="10"/>
  <c r="E22" i="11"/>
  <c r="E22" i="10"/>
  <c r="D49" i="10"/>
  <c r="D50" i="10" s="1"/>
  <c r="E49" i="9"/>
  <c r="E44" i="10"/>
  <c r="E44" i="11"/>
  <c r="F45" i="3"/>
  <c r="F62" i="3" s="1"/>
  <c r="E50" i="3"/>
  <c r="B18" i="3"/>
  <c r="F60" i="10"/>
  <c r="E45" i="3"/>
  <c r="E49" i="11"/>
  <c r="B33" i="3"/>
  <c r="E61" i="9"/>
  <c r="C48" i="3"/>
  <c r="C9" i="11"/>
  <c r="B9" i="11" s="1"/>
  <c r="E55" i="9"/>
  <c r="D50" i="1"/>
  <c r="E45" i="1"/>
  <c r="E62" i="1" s="1"/>
  <c r="D45" i="1"/>
  <c r="F45" i="1"/>
  <c r="F62" i="1" s="1"/>
  <c r="E43" i="9"/>
  <c r="E39" i="10"/>
  <c r="E60" i="9"/>
  <c r="E43" i="10"/>
  <c r="F33" i="11"/>
  <c r="B9" i="10"/>
  <c r="E61" i="10"/>
  <c r="E61" i="11"/>
  <c r="E32" i="11"/>
  <c r="E34" i="11" s="1"/>
  <c r="E44" i="9"/>
  <c r="E49" i="10"/>
  <c r="E50" i="10" s="1"/>
  <c r="E50" i="1"/>
  <c r="F49" i="9"/>
  <c r="D61" i="9"/>
  <c r="D32" i="9"/>
  <c r="D34" i="9" s="1"/>
  <c r="B16" i="8"/>
  <c r="B22" i="8" s="1"/>
  <c r="B65" i="8" s="1"/>
  <c r="E57" i="6"/>
  <c r="B18" i="10"/>
  <c r="F49" i="10"/>
  <c r="F44" i="10"/>
  <c r="F56" i="6"/>
  <c r="C49" i="6"/>
  <c r="C61" i="6"/>
  <c r="C44" i="6"/>
  <c r="B17" i="6"/>
  <c r="D44" i="9"/>
  <c r="C60" i="6"/>
  <c r="F39" i="10"/>
  <c r="F57" i="6"/>
  <c r="D50" i="6"/>
  <c r="D65" i="9"/>
  <c r="D61" i="11"/>
  <c r="D49" i="11"/>
  <c r="C49" i="3"/>
  <c r="B22" i="3"/>
  <c r="B65" i="3" s="1"/>
  <c r="B16" i="10"/>
  <c r="B22" i="10" s="1"/>
  <c r="C44" i="3"/>
  <c r="D44" i="11"/>
  <c r="C16" i="11"/>
  <c r="B16" i="11" s="1"/>
  <c r="B22" i="11" s="1"/>
  <c r="F48" i="11"/>
  <c r="B12" i="11"/>
  <c r="F40" i="10"/>
  <c r="F43" i="9"/>
  <c r="F60" i="11"/>
  <c r="F33" i="10"/>
  <c r="E33" i="10"/>
  <c r="D48" i="11"/>
  <c r="D50" i="3"/>
  <c r="C43" i="3"/>
  <c r="C10" i="11"/>
  <c r="C60" i="3"/>
  <c r="D43" i="9"/>
  <c r="E56" i="1"/>
  <c r="E57" i="1"/>
  <c r="G57" i="1"/>
  <c r="F32" i="9"/>
  <c r="F34" i="9" s="1"/>
  <c r="F49" i="11"/>
  <c r="F19" i="9"/>
  <c r="F52" i="9" s="1"/>
  <c r="F50" i="1"/>
  <c r="F32" i="11"/>
  <c r="F56" i="11" s="1"/>
  <c r="F44" i="11"/>
  <c r="F44" i="9"/>
  <c r="F60" i="9"/>
  <c r="C49" i="1"/>
  <c r="C50" i="1" s="1"/>
  <c r="D62" i="1"/>
  <c r="D56" i="1"/>
  <c r="D49" i="9"/>
  <c r="D33" i="9"/>
  <c r="C15" i="11"/>
  <c r="B15" i="11" s="1"/>
  <c r="B31" i="11" s="1"/>
  <c r="D33" i="1"/>
  <c r="D57" i="1" s="1"/>
  <c r="D33" i="10"/>
  <c r="D55" i="11"/>
  <c r="D55" i="9"/>
  <c r="C40" i="1"/>
  <c r="D55" i="10"/>
  <c r="C11" i="11"/>
  <c r="B11" i="11" s="1"/>
  <c r="B48" i="1"/>
  <c r="B43" i="1"/>
  <c r="F40" i="9"/>
  <c r="F48" i="10"/>
  <c r="F34" i="10"/>
  <c r="F55" i="10"/>
  <c r="F40" i="11"/>
  <c r="F61" i="9"/>
  <c r="F61" i="11"/>
  <c r="F43" i="11"/>
  <c r="F55" i="11"/>
  <c r="F48" i="9"/>
  <c r="F61" i="10"/>
  <c r="B60" i="1"/>
  <c r="D43" i="10"/>
  <c r="D60" i="9"/>
  <c r="C39" i="1"/>
  <c r="C60" i="1"/>
  <c r="C43" i="1"/>
  <c r="C45" i="1" s="1"/>
  <c r="C55" i="1"/>
  <c r="B9" i="1"/>
  <c r="B55" i="1" s="1"/>
  <c r="C33" i="1"/>
  <c r="B9" i="9"/>
  <c r="D33" i="11"/>
  <c r="F33" i="9"/>
  <c r="B15" i="6"/>
  <c r="B31" i="6" s="1"/>
  <c r="B33" i="6" s="1"/>
  <c r="C31" i="6"/>
  <c r="C33" i="6" s="1"/>
  <c r="C57" i="6" s="1"/>
  <c r="B17" i="1"/>
  <c r="B52" i="1" s="1"/>
  <c r="C61" i="1"/>
  <c r="C32" i="1"/>
  <c r="F25" i="13"/>
  <c r="F26" i="13" s="1"/>
  <c r="B24" i="13"/>
  <c r="D56" i="11"/>
  <c r="D34" i="11"/>
  <c r="C17" i="11"/>
  <c r="C21" i="13"/>
  <c r="B31" i="13"/>
  <c r="E66" i="9"/>
  <c r="E23" i="11"/>
  <c r="E66" i="11" s="1"/>
  <c r="E23" i="10"/>
  <c r="E66" i="1"/>
  <c r="E65" i="1"/>
  <c r="B66" i="8"/>
  <c r="E33" i="11"/>
  <c r="E33" i="9"/>
  <c r="C26" i="15"/>
  <c r="G56" i="1"/>
  <c r="F56" i="1"/>
  <c r="F57" i="1"/>
  <c r="C52" i="1"/>
  <c r="G57" i="6"/>
  <c r="G33" i="10"/>
  <c r="G57" i="10" s="1"/>
  <c r="G56" i="10"/>
  <c r="B31" i="15"/>
  <c r="C32" i="15"/>
  <c r="D34" i="3"/>
  <c r="D57" i="3" s="1"/>
  <c r="D56" i="3"/>
  <c r="C19" i="8"/>
  <c r="D52" i="8"/>
  <c r="C61" i="3"/>
  <c r="F56" i="10"/>
  <c r="B13" i="13"/>
  <c r="B7" i="15"/>
  <c r="B9" i="13"/>
  <c r="D45" i="3"/>
  <c r="D62" i="3" s="1"/>
  <c r="C40" i="6"/>
  <c r="B11" i="6"/>
  <c r="B40" i="1"/>
  <c r="C31" i="3"/>
  <c r="C33" i="3" s="1"/>
  <c r="C32" i="3"/>
  <c r="C43" i="6"/>
  <c r="C55" i="6"/>
  <c r="G62" i="10"/>
  <c r="F19" i="13"/>
  <c r="F20" i="13" s="1"/>
  <c r="F21" i="13" s="1"/>
  <c r="E6" i="13"/>
  <c r="D6" i="13"/>
  <c r="C25" i="13"/>
  <c r="B15" i="1"/>
  <c r="B31" i="1" s="1"/>
  <c r="B16" i="6"/>
  <c r="B10" i="6"/>
  <c r="B39" i="6" s="1"/>
  <c r="C39" i="6"/>
  <c r="B12" i="9"/>
  <c r="B12" i="8"/>
  <c r="B48" i="8" s="1"/>
  <c r="D22" i="10"/>
  <c r="D65" i="10" s="1"/>
  <c r="D60" i="10"/>
  <c r="D32" i="10"/>
  <c r="D61" i="10"/>
  <c r="D19" i="10"/>
  <c r="D52" i="10" s="1"/>
  <c r="D66" i="10"/>
  <c r="D44" i="10"/>
  <c r="E62" i="3"/>
  <c r="E34" i="3"/>
  <c r="E57" i="3" s="1"/>
  <c r="E56" i="3"/>
  <c r="B10" i="8"/>
  <c r="B39" i="8" s="1"/>
  <c r="E48" i="9"/>
  <c r="E43" i="11"/>
  <c r="E55" i="11"/>
  <c r="E40" i="10"/>
  <c r="E55" i="10"/>
  <c r="D25" i="15"/>
  <c r="D26" i="15" s="1"/>
  <c r="E56" i="6"/>
  <c r="D48" i="9"/>
  <c r="D43" i="11"/>
  <c r="E19" i="9"/>
  <c r="E52" i="9" s="1"/>
  <c r="E32" i="9"/>
  <c r="E60" i="11"/>
  <c r="D23" i="11"/>
  <c r="D66" i="11" s="1"/>
  <c r="B23" i="1"/>
  <c r="B18" i="11"/>
  <c r="B12" i="10"/>
  <c r="B34" i="8" l="1"/>
  <c r="B48" i="11"/>
  <c r="B55" i="8"/>
  <c r="B61" i="8"/>
  <c r="D50" i="11"/>
  <c r="B33" i="8"/>
  <c r="B52" i="6"/>
  <c r="C45" i="8"/>
  <c r="C62" i="8" s="1"/>
  <c r="C56" i="8"/>
  <c r="C34" i="8"/>
  <c r="C57" i="8" s="1"/>
  <c r="B32" i="3"/>
  <c r="B61" i="3"/>
  <c r="B44" i="3"/>
  <c r="D27" i="15"/>
  <c r="D33" i="15" s="1"/>
  <c r="B55" i="3"/>
  <c r="B20" i="15"/>
  <c r="B21" i="15" s="1"/>
  <c r="G57" i="9"/>
  <c r="F50" i="9"/>
  <c r="E50" i="9"/>
  <c r="B50" i="8"/>
  <c r="B44" i="8"/>
  <c r="E34" i="10"/>
  <c r="F50" i="10"/>
  <c r="C50" i="6"/>
  <c r="C45" i="6"/>
  <c r="C62" i="6" s="1"/>
  <c r="B33" i="1"/>
  <c r="B19" i="15"/>
  <c r="C52" i="6"/>
  <c r="E50" i="11"/>
  <c r="D65" i="11"/>
  <c r="B19" i="13"/>
  <c r="C50" i="3"/>
  <c r="B60" i="3"/>
  <c r="B40" i="3"/>
  <c r="B43" i="3"/>
  <c r="B45" i="3" s="1"/>
  <c r="C45" i="3"/>
  <c r="C62" i="3" s="1"/>
  <c r="E45" i="10"/>
  <c r="B49" i="3"/>
  <c r="B50" i="3" s="1"/>
  <c r="F45" i="10"/>
  <c r="F62" i="10" s="1"/>
  <c r="F34" i="11"/>
  <c r="F57" i="11" s="1"/>
  <c r="F45" i="11"/>
  <c r="F50" i="11"/>
  <c r="E45" i="11"/>
  <c r="E62" i="11" s="1"/>
  <c r="D45" i="11"/>
  <c r="D62" i="11" s="1"/>
  <c r="C60" i="11"/>
  <c r="D45" i="9"/>
  <c r="D62" i="9" s="1"/>
  <c r="D57" i="9"/>
  <c r="E62" i="10"/>
  <c r="E45" i="9"/>
  <c r="E62" i="9" s="1"/>
  <c r="E65" i="11"/>
  <c r="E56" i="11"/>
  <c r="E57" i="11"/>
  <c r="E57" i="10"/>
  <c r="B57" i="8"/>
  <c r="D56" i="9"/>
  <c r="B66" i="6"/>
  <c r="B49" i="6"/>
  <c r="B32" i="6"/>
  <c r="B56" i="6" s="1"/>
  <c r="C56" i="6"/>
  <c r="F57" i="10"/>
  <c r="E65" i="9"/>
  <c r="F56" i="9"/>
  <c r="D50" i="9"/>
  <c r="F57" i="9"/>
  <c r="F45" i="9"/>
  <c r="F62" i="9" s="1"/>
  <c r="F62" i="11"/>
  <c r="B55" i="11"/>
  <c r="B10" i="11"/>
  <c r="C39" i="11"/>
  <c r="B33" i="11"/>
  <c r="D45" i="10"/>
  <c r="D62" i="10" s="1"/>
  <c r="C31" i="11"/>
  <c r="C33" i="11" s="1"/>
  <c r="B40" i="11"/>
  <c r="C62" i="1"/>
  <c r="C40" i="11"/>
  <c r="C43" i="11"/>
  <c r="C48" i="11"/>
  <c r="C55" i="11"/>
  <c r="D57" i="11"/>
  <c r="E56" i="9"/>
  <c r="E34" i="9"/>
  <c r="E57" i="9" s="1"/>
  <c r="B22" i="6"/>
  <c r="B65" i="6" s="1"/>
  <c r="B60" i="6"/>
  <c r="B25" i="13"/>
  <c r="C26" i="13"/>
  <c r="C56" i="3"/>
  <c r="C34" i="3"/>
  <c r="C57" i="3" s="1"/>
  <c r="C56" i="1"/>
  <c r="C34" i="1"/>
  <c r="C57" i="1" s="1"/>
  <c r="B65" i="11"/>
  <c r="B65" i="10"/>
  <c r="B65" i="1"/>
  <c r="B10" i="9"/>
  <c r="B39" i="9" s="1"/>
  <c r="C39" i="9"/>
  <c r="C52" i="8"/>
  <c r="B19" i="8"/>
  <c r="B52" i="8" s="1"/>
  <c r="D56" i="10"/>
  <c r="D34" i="10"/>
  <c r="D57" i="10" s="1"/>
  <c r="B15" i="9"/>
  <c r="B31" i="9" s="1"/>
  <c r="B33" i="9" s="1"/>
  <c r="C31" i="9"/>
  <c r="B11" i="9"/>
  <c r="C55" i="9"/>
  <c r="C40" i="9"/>
  <c r="C48" i="9"/>
  <c r="C43" i="9"/>
  <c r="B56" i="3"/>
  <c r="B34" i="3"/>
  <c r="B57" i="3" s="1"/>
  <c r="B25" i="15"/>
  <c r="E65" i="10"/>
  <c r="E66" i="10"/>
  <c r="B20" i="13"/>
  <c r="B21" i="13" s="1"/>
  <c r="B15" i="10"/>
  <c r="B31" i="10" s="1"/>
  <c r="B33" i="10" s="1"/>
  <c r="C31" i="10"/>
  <c r="C33" i="10" s="1"/>
  <c r="F27" i="13"/>
  <c r="F33" i="13" s="1"/>
  <c r="B17" i="10"/>
  <c r="C61" i="10"/>
  <c r="C44" i="10"/>
  <c r="C49" i="10"/>
  <c r="C19" i="10"/>
  <c r="C32" i="10"/>
  <c r="B55" i="6"/>
  <c r="B43" i="6"/>
  <c r="B48" i="6"/>
  <c r="B50" i="6" s="1"/>
  <c r="B40" i="6"/>
  <c r="B32" i="13"/>
  <c r="C19" i="9"/>
  <c r="C61" i="9"/>
  <c r="B17" i="9"/>
  <c r="C32" i="9"/>
  <c r="C34" i="9" s="1"/>
  <c r="C49" i="9"/>
  <c r="C44" i="9"/>
  <c r="B52" i="3"/>
  <c r="C52" i="3"/>
  <c r="B10" i="10"/>
  <c r="C39" i="10"/>
  <c r="C60" i="10"/>
  <c r="B16" i="9"/>
  <c r="C60" i="9"/>
  <c r="B61" i="6"/>
  <c r="C40" i="10"/>
  <c r="B11" i="10"/>
  <c r="C55" i="10"/>
  <c r="C48" i="10"/>
  <c r="C43" i="10"/>
  <c r="B44" i="6"/>
  <c r="B32" i="15"/>
  <c r="B60" i="8"/>
  <c r="C27" i="15"/>
  <c r="C33" i="15" s="1"/>
  <c r="B26" i="15"/>
  <c r="B43" i="8"/>
  <c r="B45" i="8" s="1"/>
  <c r="B17" i="11"/>
  <c r="C19" i="11"/>
  <c r="C49" i="11"/>
  <c r="C44" i="11"/>
  <c r="C32" i="11"/>
  <c r="C61" i="11"/>
  <c r="B61" i="1"/>
  <c r="B49" i="1"/>
  <c r="B50" i="1" s="1"/>
  <c r="B44" i="1"/>
  <c r="B45" i="1" s="1"/>
  <c r="B66" i="1"/>
  <c r="B32" i="1"/>
  <c r="B62" i="3" l="1"/>
  <c r="B27" i="15"/>
  <c r="B33" i="15" s="1"/>
  <c r="B45" i="6"/>
  <c r="B62" i="6" s="1"/>
  <c r="B34" i="6"/>
  <c r="B57" i="6" s="1"/>
  <c r="C50" i="11"/>
  <c r="B62" i="8"/>
  <c r="C45" i="10"/>
  <c r="C62" i="10" s="1"/>
  <c r="C45" i="11"/>
  <c r="C62" i="11" s="1"/>
  <c r="B39" i="11"/>
  <c r="B43" i="11"/>
  <c r="B60" i="11"/>
  <c r="C50" i="10"/>
  <c r="B62" i="1"/>
  <c r="C52" i="10"/>
  <c r="B19" i="10"/>
  <c r="B52" i="10" s="1"/>
  <c r="B56" i="1"/>
  <c r="B34" i="1"/>
  <c r="B57" i="1" s="1"/>
  <c r="B60" i="10"/>
  <c r="B39" i="10"/>
  <c r="C52" i="11"/>
  <c r="B19" i="11"/>
  <c r="B52" i="11" s="1"/>
  <c r="B40" i="10"/>
  <c r="B55" i="10"/>
  <c r="B43" i="10"/>
  <c r="B60" i="9"/>
  <c r="B22" i="9"/>
  <c r="B65" i="9" s="1"/>
  <c r="B48" i="10"/>
  <c r="B49" i="9"/>
  <c r="B32" i="9"/>
  <c r="B66" i="9"/>
  <c r="B44" i="9"/>
  <c r="B61" i="9"/>
  <c r="C45" i="9"/>
  <c r="C62" i="9" s="1"/>
  <c r="B48" i="9"/>
  <c r="B40" i="9"/>
  <c r="B43" i="9"/>
  <c r="B55" i="9"/>
  <c r="C52" i="9"/>
  <c r="B19" i="9"/>
  <c r="B52" i="9" s="1"/>
  <c r="B66" i="10"/>
  <c r="B44" i="10"/>
  <c r="B49" i="10"/>
  <c r="B32" i="10"/>
  <c r="B61" i="10"/>
  <c r="C27" i="13"/>
  <c r="C33" i="13" s="1"/>
  <c r="B26" i="13"/>
  <c r="B27" i="13" s="1"/>
  <c r="B33" i="13" s="1"/>
  <c r="C34" i="11"/>
  <c r="C57" i="11" s="1"/>
  <c r="C56" i="11"/>
  <c r="B66" i="11"/>
  <c r="B49" i="11"/>
  <c r="B50" i="11" s="1"/>
  <c r="B61" i="11"/>
  <c r="B32" i="11"/>
  <c r="B44" i="11"/>
  <c r="C34" i="10"/>
  <c r="C57" i="10" s="1"/>
  <c r="C56" i="10"/>
  <c r="C50" i="9"/>
  <c r="C56" i="9"/>
  <c r="C33" i="9"/>
  <c r="C57" i="9" s="1"/>
  <c r="B50" i="10" l="1"/>
  <c r="B45" i="11"/>
  <c r="B62" i="11" s="1"/>
  <c r="B45" i="9"/>
  <c r="B62" i="9" s="1"/>
  <c r="B34" i="9"/>
  <c r="B57" i="9" s="1"/>
  <c r="B56" i="9"/>
  <c r="B45" i="10"/>
  <c r="B62" i="10" s="1"/>
  <c r="B56" i="10"/>
  <c r="B34" i="10"/>
  <c r="B57" i="10" s="1"/>
  <c r="B34" i="11"/>
  <c r="B57" i="11" s="1"/>
  <c r="B56" i="11"/>
  <c r="B50" i="9"/>
</calcChain>
</file>

<file path=xl/comments1.xml><?xml version="1.0" encoding="utf-8"?>
<comments xmlns="http://schemas.openxmlformats.org/spreadsheetml/2006/main">
  <authors>
    <author>Catherine</author>
  </authors>
  <commentList>
    <comment ref="E65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Desaf giró el 100%, los restante se debe al superávit que conservaban y que devuelven en el 2°T</t>
        </r>
      </text>
    </comment>
  </commentList>
</comments>
</file>

<file path=xl/comments2.xml><?xml version="1.0" encoding="utf-8"?>
<comments xmlns="http://schemas.openxmlformats.org/spreadsheetml/2006/main">
  <authors>
    <author>Diego Astorga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hizo modificación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hay modificación en gasto</t>
        </r>
      </text>
    </comment>
  </commentList>
</comments>
</file>

<file path=xl/comments3.xml><?xml version="1.0" encoding="utf-8"?>
<comments xmlns="http://schemas.openxmlformats.org/spreadsheetml/2006/main">
  <authors>
    <author>Diego Astorga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hizo modificación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toma en cuenta el cambio de beneficiarios el 6 de dic</t>
        </r>
      </text>
    </comment>
  </commentList>
</comments>
</file>

<file path=xl/sharedStrings.xml><?xml version="1.0" encoding="utf-8"?>
<sst xmlns="http://schemas.openxmlformats.org/spreadsheetml/2006/main" count="589" uniqueCount="171">
  <si>
    <t>Indicador</t>
  </si>
  <si>
    <t>Total</t>
  </si>
  <si>
    <t>Productos</t>
  </si>
  <si>
    <t>Créditos</t>
  </si>
  <si>
    <t>Capacitación</t>
  </si>
  <si>
    <t>Asistencia T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</si>
  <si>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</si>
  <si>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</si>
  <si>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</si>
  <si>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</si>
  <si>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</si>
  <si>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</si>
  <si>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</si>
  <si>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</si>
  <si>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</si>
  <si>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</si>
  <si>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</si>
  <si>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</si>
  <si>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</si>
  <si>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</si>
  <si>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</si>
  <si>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</si>
  <si>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</si>
  <si>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</si>
  <si>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</si>
  <si>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</si>
  <si>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</si>
  <si>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</si>
  <si>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</si>
  <si>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</si>
  <si>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</si>
  <si>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</si>
  <si>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</si>
  <si>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</si>
  <si>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</si>
  <si>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</si>
  <si>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</si>
  <si>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</si>
  <si>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</si>
  <si>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</si>
  <si>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</si>
  <si>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</si>
  <si>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</si>
  <si>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</si>
  <si>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</si>
  <si>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</si>
  <si>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</si>
  <si>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</si>
  <si>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</si>
  <si>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</si>
  <si>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</si>
  <si>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</si>
  <si>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</si>
  <si>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</si>
  <si>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</si>
  <si>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</si>
  <si>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</si>
  <si>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</si>
  <si>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</si>
  <si>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</si>
  <si>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</si>
  <si>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</si>
  <si>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</si>
  <si>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</si>
  <si>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</si>
  <si>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</si>
  <si>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</si>
  <si>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</si>
  <si>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</si>
  <si>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</si>
  <si>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Fideicomiso</t>
  </si>
  <si>
    <t>Convenio</t>
  </si>
  <si>
    <t>Transferencia</t>
  </si>
  <si>
    <t>NOTAS</t>
  </si>
  <si>
    <t>Capacitación: todo proviene de la transferencia Fodesaf</t>
  </si>
  <si>
    <t>Fuentes</t>
  </si>
  <si>
    <t>Metas y modificaciones, DESAF.</t>
  </si>
  <si>
    <t>Efectivos 1T 2013</t>
  </si>
  <si>
    <t>IPC (1T 2013)</t>
  </si>
  <si>
    <t>Gasto efectivo real 1T 2013</t>
  </si>
  <si>
    <t>Gasto efectivo real por beneficiario 1T 2013</t>
  </si>
  <si>
    <t>Efectivos 2T 2013</t>
  </si>
  <si>
    <t>IPC (2T 2013)</t>
  </si>
  <si>
    <t>Gasto efectivo real 2T 2013</t>
  </si>
  <si>
    <t>Gasto efectivo real por beneficiario 2T 2013</t>
  </si>
  <si>
    <t>Efectivos 3T 2013</t>
  </si>
  <si>
    <t>IPC (3T 2013)</t>
  </si>
  <si>
    <t>Gasto efectivo real 3T 2013</t>
  </si>
  <si>
    <t>Gasto efectivo real por beneficiario 3T 2013</t>
  </si>
  <si>
    <t>Efectivos 4T 2013</t>
  </si>
  <si>
    <t>IPC (4T 2013)</t>
  </si>
  <si>
    <t>Gasto efectivo real 4T 2013</t>
  </si>
  <si>
    <t>Gasto efectivo real por beneficiario 4T 2013</t>
  </si>
  <si>
    <t>Efectivos 1S 2013</t>
  </si>
  <si>
    <t>IPC (1S 2013)</t>
  </si>
  <si>
    <t>Gasto efectivo real 1S 2013</t>
  </si>
  <si>
    <t>Gasto efectivo real por beneficiario 1S 2013</t>
  </si>
  <si>
    <t>Efectivos 3TA 2013</t>
  </si>
  <si>
    <t>IPC (3TA 2013)</t>
  </si>
  <si>
    <t>Gasto efectivo real 3TA 2013</t>
  </si>
  <si>
    <t>Gasto efectivo real por beneficiario 3TA 2013</t>
  </si>
  <si>
    <t>Efectivos  2013</t>
  </si>
  <si>
    <t>IPC ( 2013)</t>
  </si>
  <si>
    <t>Gasto efectivo real  2013</t>
  </si>
  <si>
    <t>Gasto efectivo real por beneficiario  2013</t>
  </si>
  <si>
    <t>IPC, BCCR</t>
  </si>
  <si>
    <t>.</t>
  </si>
  <si>
    <t>Beneficiarios: Personas diferentes, no promedios, nuevas en el programa</t>
  </si>
  <si>
    <t>Total créditos</t>
  </si>
  <si>
    <t>Indicadores aplicados a PRONAMYPE. Primer trimestre 2014</t>
  </si>
  <si>
    <t>Programados 1T 2014</t>
  </si>
  <si>
    <t>Efectivos 1T 2014</t>
  </si>
  <si>
    <t>Programados año 2014</t>
  </si>
  <si>
    <t>En transferencias 1T 2014</t>
  </si>
  <si>
    <t>IPC (1T 2014)</t>
  </si>
  <si>
    <t>Gasto efectivo real 1T 2014</t>
  </si>
  <si>
    <t>Gasto efectivo real por beneficiario 1T 2014</t>
  </si>
  <si>
    <t>Indicadores aplicados a PRONAMYPE. Segundo trimestre 2014</t>
  </si>
  <si>
    <t>Programados 2T 2014</t>
  </si>
  <si>
    <t>Efectivos 2T 2014</t>
  </si>
  <si>
    <t>Efectivos2T 2013</t>
  </si>
  <si>
    <t>En transferencias 2T 2014</t>
  </si>
  <si>
    <t>IPC (2T 2014)</t>
  </si>
  <si>
    <t>Gasto efectivo real 2T 2014</t>
  </si>
  <si>
    <t>Gasto efectivo real por beneficiario 2T 2014</t>
  </si>
  <si>
    <t>Indicadores aplicados a PRONAMYPE. Tercer Trimestre trimestre 2014</t>
  </si>
  <si>
    <t>Programados 3T 2014</t>
  </si>
  <si>
    <t>Efectivos 3T 2014</t>
  </si>
  <si>
    <t>Efectivos3T 2013</t>
  </si>
  <si>
    <t>En transferencias 3T 2014</t>
  </si>
  <si>
    <t>IPC (3T 2014)</t>
  </si>
  <si>
    <t>Gasto efectivo real 3T 2014</t>
  </si>
  <si>
    <t>Gasto efectivo real por beneficiario 3T 2014</t>
  </si>
  <si>
    <t>Indicadores aplicados a PRONAMYPE. Cuarto Trimestre  2014</t>
  </si>
  <si>
    <t>Programados 4T 2014</t>
  </si>
  <si>
    <t>Efectivos 4T 2014</t>
  </si>
  <si>
    <t>Efectivos4T 2013</t>
  </si>
  <si>
    <t>En transferencias 4T 2014</t>
  </si>
  <si>
    <t>IPC (4T 2014)</t>
  </si>
  <si>
    <t>Gasto efectivo real 4T 2014</t>
  </si>
  <si>
    <t>Gasto efectivo real por beneficiario 4T 2014</t>
  </si>
  <si>
    <t>Indicadores aplicados a PRONAMYPE.  Primer Semestre 2014</t>
  </si>
  <si>
    <t>Programados 1S 2014</t>
  </si>
  <si>
    <t>Efectivos 1S 2014</t>
  </si>
  <si>
    <t>Efectivos1S 2013</t>
  </si>
  <si>
    <t>En transferencias 1S 2014</t>
  </si>
  <si>
    <t>IPC (1S 2014)</t>
  </si>
  <si>
    <t>Gasto efectivo real 1S 2014</t>
  </si>
  <si>
    <t>Gasto efectivo real por beneficiario 1S 2014</t>
  </si>
  <si>
    <t>Indicadores aplicados a PRONAMYPE.  Tercer Trimestre Acumulado 2014</t>
  </si>
  <si>
    <t>Programados 3TA 2014</t>
  </si>
  <si>
    <t>Efectivos 3TA 2014</t>
  </si>
  <si>
    <t>Efectivos3TA 2013</t>
  </si>
  <si>
    <t>En transferencias 3TA 2014</t>
  </si>
  <si>
    <t>IPC (3TA 2014)</t>
  </si>
  <si>
    <t>Gasto efectivo real 3TA 2014</t>
  </si>
  <si>
    <t>Gasto efectivo real por beneficiario 3TA 2014</t>
  </si>
  <si>
    <t>Indicadores aplicados a PRONAMYPE. 2014</t>
  </si>
  <si>
    <t>Programados  2014</t>
  </si>
  <si>
    <t>Efectivos  2014</t>
  </si>
  <si>
    <t>Efectivos 2013</t>
  </si>
  <si>
    <t>En transferencias  2014</t>
  </si>
  <si>
    <t>IPC ( 2014)</t>
  </si>
  <si>
    <t>Gasto efectivo real  2014</t>
  </si>
  <si>
    <t>Gasto efectivo real por beneficiario  2014</t>
  </si>
  <si>
    <t>Informes trimestrales 2013 y 2014, PRONAMYPE</t>
  </si>
  <si>
    <t>ENAHO 2013</t>
  </si>
  <si>
    <t>Fecha de actualización: 30/10/2014</t>
  </si>
  <si>
    <t>Fecha de actualización: 10/12/2014</t>
  </si>
  <si>
    <t>Fecha de actualización: 25/03/2015</t>
  </si>
  <si>
    <t>Fecha de actualización: 01/07/2015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</si>
</sst>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4" fontId="0" fillId="0" borderId="0" xfId="0" applyNumberFormat="1" applyFill="1"/>
    <xf numFmtId="0" fontId="0" fillId="0" borderId="0" xfId="0" applyFill="1"/>
    <xf numFmtId="43" fontId="3" fillId="0" borderId="0" xfId="1" applyFont="1" applyFill="1"/>
    <xf numFmtId="0" fontId="4" fillId="0" borderId="1" xfId="0" applyFont="1" applyFill="1" applyBorder="1"/>
    <xf numFmtId="0" fontId="4" fillId="0" borderId="0" xfId="0" applyFont="1" applyFill="1"/>
    <xf numFmtId="3" fontId="0" fillId="0" borderId="0" xfId="0" applyNumberFormat="1" applyFill="1"/>
    <xf numFmtId="0" fontId="4" fillId="0" borderId="0" xfId="0" applyFont="1"/>
    <xf numFmtId="0" fontId="5" fillId="0" borderId="0" xfId="0" applyFont="1"/>
    <xf numFmtId="164" fontId="3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3" fillId="0" borderId="0" xfId="1" applyNumberFormat="1" applyFont="1" applyFill="1"/>
    <xf numFmtId="2" fontId="0" fillId="0" borderId="0" xfId="0" applyNumberFormat="1"/>
    <xf numFmtId="2" fontId="5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6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2" fontId="5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3" fontId="7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3" fontId="4" fillId="0" borderId="0" xfId="0" applyNumberFormat="1" applyFont="1" applyFill="1"/>
    <xf numFmtId="4" fontId="7" fillId="0" borderId="0" xfId="0" applyNumberFormat="1" applyFont="1" applyFill="1"/>
    <xf numFmtId="0" fontId="0" fillId="0" borderId="11" xfId="0" applyFill="1" applyBorder="1"/>
    <xf numFmtId="0" fontId="0" fillId="0" borderId="1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/>
    <xf numFmtId="4" fontId="8" fillId="0" borderId="0" xfId="0" applyNumberFormat="1" applyFont="1" applyFill="1" applyAlignment="1">
      <alignment horizontal="right"/>
    </xf>
    <xf numFmtId="4" fontId="9" fillId="0" borderId="0" xfId="0" applyNumberFormat="1" applyFont="1" applyFill="1"/>
    <xf numFmtId="4" fontId="0" fillId="0" borderId="0" xfId="0" applyNumberFormat="1" applyFill="1" applyBorder="1"/>
    <xf numFmtId="3" fontId="5" fillId="0" borderId="0" xfId="0" applyNumberFormat="1" applyFont="1" applyFill="1"/>
    <xf numFmtId="3" fontId="10" fillId="0" borderId="0" xfId="0" applyNumberFormat="1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cobertura potencial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Anual!$B$39:$F$39</c:f>
              <c:numCache>
                <c:formatCode>#,##0.00</c:formatCode>
                <c:ptCount val="5"/>
                <c:pt idx="0">
                  <c:v>2.976918251698438</c:v>
                </c:pt>
                <c:pt idx="1">
                  <c:v>0.79738881741922463</c:v>
                </c:pt>
                <c:pt idx="2">
                  <c:v>0.45716958865368873</c:v>
                </c:pt>
                <c:pt idx="3">
                  <c:v>0.34021922876553579</c:v>
                </c:pt>
                <c:pt idx="4">
                  <c:v>2.179529434279214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Anual!$B$40:$F$40</c:f>
              <c:numCache>
                <c:formatCode>#,##0.00</c:formatCode>
                <c:ptCount val="5"/>
                <c:pt idx="0">
                  <c:v>3.9901336423657994</c:v>
                </c:pt>
                <c:pt idx="1">
                  <c:v>0.64110060920505652</c:v>
                </c:pt>
                <c:pt idx="2">
                  <c:v>0.44441136757498118</c:v>
                </c:pt>
                <c:pt idx="3">
                  <c:v>0.1966892416300754</c:v>
                </c:pt>
                <c:pt idx="4">
                  <c:v>3.349033033160743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39252944"/>
        <c:axId val="439892360"/>
      </c:barChart>
      <c:catAx>
        <c:axId val="43925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9892360"/>
        <c:crosses val="autoZero"/>
        <c:auto val="1"/>
        <c:lblAlgn val="ctr"/>
        <c:lblOffset val="100"/>
        <c:noMultiLvlLbl val="0"/>
      </c:catAx>
      <c:valAx>
        <c:axId val="43989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925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resultado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Anual!$B$43:$F$43</c:f>
              <c:numCache>
                <c:formatCode>#,##0.00</c:formatCode>
                <c:ptCount val="5"/>
                <c:pt idx="0">
                  <c:v>134.03571428571428</c:v>
                </c:pt>
                <c:pt idx="1">
                  <c:v>80.400000000000006</c:v>
                </c:pt>
                <c:pt idx="2">
                  <c:v>97.20930232558139</c:v>
                </c:pt>
                <c:pt idx="3">
                  <c:v>57.8125</c:v>
                </c:pt>
                <c:pt idx="4">
                  <c:v>153.65853658536585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5"/>
                <c:pt idx="0">
                  <c:v>105.50811815208792</c:v>
                </c:pt>
                <c:pt idx="1">
                  <c:v>107.62421333333334</c:v>
                </c:pt>
                <c:pt idx="2">
                  <c:v>111.21207843137255</c:v>
                </c:pt>
                <c:pt idx="3">
                  <c:v>100</c:v>
                </c:pt>
                <c:pt idx="4">
                  <c:v>95.588921990000003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119.7719162189011</c:v>
                </c:pt>
                <c:pt idx="1">
                  <c:v>94.012106666666682</c:v>
                </c:pt>
                <c:pt idx="2">
                  <c:v>104.21069037847697</c:v>
                </c:pt>
                <c:pt idx="3">
                  <c:v>78.90625</c:v>
                </c:pt>
                <c:pt idx="4">
                  <c:v>124.62372928768292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439893928"/>
        <c:axId val="434245912"/>
      </c:barChart>
      <c:catAx>
        <c:axId val="43989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4245912"/>
        <c:crosses val="autoZero"/>
        <c:auto val="1"/>
        <c:lblAlgn val="ctr"/>
        <c:lblOffset val="100"/>
        <c:noMultiLvlLbl val="0"/>
      </c:catAx>
      <c:valAx>
        <c:axId val="43424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989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avance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Anual!$B$48:$F$48</c:f>
              <c:numCache>
                <c:formatCode>#,##0.00</c:formatCode>
                <c:ptCount val="5"/>
                <c:pt idx="0">
                  <c:v>134.03571428571428</c:v>
                </c:pt>
                <c:pt idx="1">
                  <c:v>80.400000000000006</c:v>
                </c:pt>
                <c:pt idx="2">
                  <c:v>97.20930232558139</c:v>
                </c:pt>
                <c:pt idx="3">
                  <c:v>57.8125</c:v>
                </c:pt>
                <c:pt idx="4">
                  <c:v>153.65853658536585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105.50811815208792</c:v>
                </c:pt>
                <c:pt idx="1">
                  <c:v>107.62421333333334</c:v>
                </c:pt>
                <c:pt idx="2">
                  <c:v>111.21207843137255</c:v>
                </c:pt>
                <c:pt idx="3">
                  <c:v>100</c:v>
                </c:pt>
                <c:pt idx="4">
                  <c:v>95.588921990000003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119.7719162189011</c:v>
                </c:pt>
                <c:pt idx="1">
                  <c:v>94.012106666666682</c:v>
                </c:pt>
                <c:pt idx="2">
                  <c:v>104.21069037847697</c:v>
                </c:pt>
                <c:pt idx="3">
                  <c:v>78.90625</c:v>
                </c:pt>
                <c:pt idx="4">
                  <c:v>124.62372928768292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534670672"/>
        <c:axId val="534672240"/>
      </c:barChart>
      <c:catAx>
        <c:axId val="53467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4672240"/>
        <c:crosses val="autoZero"/>
        <c:auto val="1"/>
        <c:lblAlgn val="ctr"/>
        <c:lblOffset val="100"/>
        <c:noMultiLvlLbl val="0"/>
      </c:catAx>
      <c:valAx>
        <c:axId val="5346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467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PRONAMYPE: Índice transferencia efectiva del gasto (ITG)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Anual!$B$52:$F$52</c:f>
              <c:numCache>
                <c:formatCode>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40847712"/>
        <c:axId val="540746496"/>
      </c:barChart>
      <c:catAx>
        <c:axId val="54084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0746496"/>
        <c:crosses val="autoZero"/>
        <c:auto val="1"/>
        <c:lblAlgn val="ctr"/>
        <c:lblOffset val="100"/>
        <c:noMultiLvlLbl val="0"/>
      </c:catAx>
      <c:valAx>
        <c:axId val="54074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084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deexpansión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(Anual!$B$3,Anual!$C$5:$D$5,Anual!$F$4)</c:f>
              <c:strCache>
                <c:ptCount val="4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Capacitación</c:v>
                </c:pt>
              </c:strCache>
            </c:strRef>
          </c:cat>
          <c:val>
            <c:numRef>
              <c:f>(Anual!$B$55:$D$55,Anual!$F$55)</c:f>
              <c:numCache>
                <c:formatCode>#,##0.00</c:formatCode>
                <c:ptCount val="4"/>
                <c:pt idx="0">
                  <c:v>6.619318181818179</c:v>
                </c:pt>
                <c:pt idx="1">
                  <c:v>10.845588235294112</c:v>
                </c:pt>
                <c:pt idx="2">
                  <c:v>-23.161764705882348</c:v>
                </c:pt>
                <c:pt idx="3">
                  <c:v>5.8467741935483764</c:v>
                </c:pt>
              </c:numCache>
            </c:numRef>
          </c:val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(Anual!$B$3,Anual!$C$5:$D$5,Anual!$F$4)</c:f>
              <c:strCache>
                <c:ptCount val="4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Capacitación</c:v>
                </c:pt>
              </c:strCache>
            </c:strRef>
          </c:cat>
          <c:val>
            <c:numRef>
              <c:f>(Anual!$B$56:$D$56,Anual!$F$56)</c:f>
              <c:numCache>
                <c:formatCode>#,##0.00</c:formatCode>
                <c:ptCount val="4"/>
                <c:pt idx="0">
                  <c:v>18.278451788739925</c:v>
                </c:pt>
                <c:pt idx="1">
                  <c:v>22.924957097512831</c:v>
                </c:pt>
                <c:pt idx="2">
                  <c:v>-13.624426217720165</c:v>
                </c:pt>
                <c:pt idx="3">
                  <c:v>-1.393053339443262</c:v>
                </c:pt>
              </c:numCache>
            </c:numRef>
          </c:val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(Anual!$B$3,Anual!$C$5:$D$5,Anual!$F$4)</c:f>
              <c:strCache>
                <c:ptCount val="4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Capacitación</c:v>
                </c:pt>
              </c:strCache>
            </c:strRef>
          </c:cat>
          <c:val>
            <c:numRef>
              <c:f>(Anual!$B$57:$D$57,Anual!$F$57)</c:f>
              <c:numCache>
                <c:formatCode>#,##0.00</c:formatCode>
                <c:ptCount val="4"/>
                <c:pt idx="0">
                  <c:v>10.935291845554085</c:v>
                </c:pt>
                <c:pt idx="1">
                  <c:v>10.897473733079588</c:v>
                </c:pt>
                <c:pt idx="2">
                  <c:v>12.412229994163226</c:v>
                </c:pt>
                <c:pt idx="3">
                  <c:v>-6.8399132502168776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35774728"/>
        <c:axId val="535775120"/>
      </c:barChart>
      <c:catAx>
        <c:axId val="53577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5775120"/>
        <c:crosses val="autoZero"/>
        <c:auto val="1"/>
        <c:lblAlgn val="ctr"/>
        <c:lblOffset val="100"/>
        <c:noMultiLvlLbl val="0"/>
      </c:catAx>
      <c:valAx>
        <c:axId val="5357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577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gasto medio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Anual!$B$60:$F$60</c:f>
              <c:numCache>
                <c:formatCode>#,##0.00</c:formatCode>
                <c:ptCount val="5"/>
                <c:pt idx="0">
                  <c:v>812500</c:v>
                </c:pt>
                <c:pt idx="1">
                  <c:v>2500000</c:v>
                </c:pt>
                <c:pt idx="2">
                  <c:v>2965116.2790697673</c:v>
                </c:pt>
                <c:pt idx="3">
                  <c:v>1875000</c:v>
                </c:pt>
                <c:pt idx="4">
                  <c:v>195121.95121951221</c:v>
                </c:pt>
              </c:numCache>
            </c:numRef>
          </c:val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Anual!$B$61:$F$61</c:f>
              <c:numCache>
                <c:formatCode>#,##0.00</c:formatCode>
                <c:ptCount val="5"/>
                <c:pt idx="0">
                  <c:v>639570.92671462835</c:v>
                </c:pt>
                <c:pt idx="1">
                  <c:v>3346524.0464344942</c:v>
                </c:pt>
                <c:pt idx="2">
                  <c:v>3392234.4497607658</c:v>
                </c:pt>
                <c:pt idx="3">
                  <c:v>3243243.2432432431</c:v>
                </c:pt>
                <c:pt idx="4">
                  <c:v>121382.7580825397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535775904"/>
        <c:axId val="433846184"/>
      </c:barChart>
      <c:catAx>
        <c:axId val="53577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3846184"/>
        <c:crosses val="autoZero"/>
        <c:auto val="1"/>
        <c:lblAlgn val="ctr"/>
        <c:lblOffset val="100"/>
        <c:noMultiLvlLbl val="0"/>
      </c:catAx>
      <c:valAx>
        <c:axId val="43384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577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PRONAMYPE: Índice de eficiencia (IE) 2014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(Anual!$B$3,Anual!$C$5:$E$5,Anual!$F$4)</c:f>
              <c:strCache>
                <c:ptCount val="5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152.15620013834402</c:v>
                </c:pt>
                <c:pt idx="1">
                  <c:v>70.231160274218354</c:v>
                </c:pt>
                <c:pt idx="2">
                  <c:v>91.089463028156246</c:v>
                </c:pt>
                <c:pt idx="3">
                  <c:v>45.61767578125</c:v>
                </c:pt>
                <c:pt idx="4">
                  <c:v>200.33179020639517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3846968"/>
        <c:axId val="433847360"/>
      </c:barChart>
      <c:catAx>
        <c:axId val="43384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3847360"/>
        <c:crosses val="autoZero"/>
        <c:auto val="1"/>
        <c:lblAlgn val="ctr"/>
        <c:lblOffset val="100"/>
        <c:noMultiLvlLbl val="0"/>
      </c:catAx>
      <c:valAx>
        <c:axId val="43384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384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giro de recursos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(Anual!$B$64,Anual!$D$64:$F$64)</c:f>
              <c:strCache>
                <c:ptCount val="4"/>
                <c:pt idx="0">
                  <c:v>Total</c:v>
                </c:pt>
                <c:pt idx="1">
                  <c:v>Fideicomiso</c:v>
                </c:pt>
                <c:pt idx="2">
                  <c:v>Transferencia</c:v>
                </c:pt>
                <c:pt idx="3">
                  <c:v>Capacitación</c:v>
                </c:pt>
              </c:strCache>
            </c:strRef>
          </c:cat>
          <c:val>
            <c:numRef>
              <c:f>(Anual!$B$65,Anual!$D$65:$F$65)</c:f>
              <c:numCache>
                <c:formatCode>#,##0.00</c:formatCode>
                <c:ptCount val="4"/>
                <c:pt idx="0">
                  <c:v>104.07912087912088</c:v>
                </c:pt>
                <c:pt idx="1">
                  <c:v>107.27843137254902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(Anual!$B$64,Anual!$D$64:$F$64)</c:f>
              <c:strCache>
                <c:ptCount val="4"/>
                <c:pt idx="0">
                  <c:v>Total</c:v>
                </c:pt>
                <c:pt idx="1">
                  <c:v>Fideicomiso</c:v>
                </c:pt>
                <c:pt idx="2">
                  <c:v>Transferencia</c:v>
                </c:pt>
                <c:pt idx="3">
                  <c:v>Capacitación</c:v>
                </c:pt>
              </c:strCache>
            </c:strRef>
          </c:cat>
          <c:val>
            <c:numRef>
              <c:f>(Anual!$B$66,Anual!$D$66:$F$66)</c:f>
              <c:numCache>
                <c:formatCode>#,##0.00</c:formatCode>
                <c:ptCount val="4"/>
                <c:pt idx="0">
                  <c:v>101.37299129825155</c:v>
                </c:pt>
                <c:pt idx="1">
                  <c:v>103.66676414680509</c:v>
                </c:pt>
                <c:pt idx="2">
                  <c:v>100</c:v>
                </c:pt>
                <c:pt idx="3">
                  <c:v>95.588921990000003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32182904"/>
        <c:axId val="532183296"/>
      </c:barChart>
      <c:catAx>
        <c:axId val="53218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2183296"/>
        <c:crosses val="autoZero"/>
        <c:auto val="1"/>
        <c:lblAlgn val="ctr"/>
        <c:lblOffset val="100"/>
        <c:noMultiLvlLbl val="0"/>
      </c:catAx>
      <c:valAx>
        <c:axId val="5321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2182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751417</xdr:colOff>
      <xdr:row>34</xdr:row>
      <xdr:rowOff>189442</xdr:rowOff>
    </xdr:from>
    <xdr:to>
      <xdr:col>13</xdr:col>
      <xdr:colOff>751417</xdr:colOff>
      <xdr:row>49</xdr:row>
      <xdr:rowOff>75142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49</xdr:row>
      <xdr:rowOff>178859</xdr:rowOff>
    </xdr:from>
    <xdr:to>
      <xdr:col>14</xdr:col>
      <xdr:colOff>0</xdr:colOff>
      <xdr:row>64</xdr:row>
      <xdr:rowOff>64559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21167</xdr:colOff>
      <xdr:row>65</xdr:row>
      <xdr:rowOff>62441</xdr:rowOff>
    </xdr:from>
    <xdr:to>
      <xdr:col>14</xdr:col>
      <xdr:colOff>21167</xdr:colOff>
      <xdr:row>79</xdr:row>
      <xdr:rowOff>117474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42332</xdr:colOff>
      <xdr:row>70</xdr:row>
      <xdr:rowOff>9525</xdr:rowOff>
    </xdr:from>
    <xdr:to>
      <xdr:col>6</xdr:col>
      <xdr:colOff>179916</xdr:colOff>
      <xdr:row>84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31750</xdr:colOff>
      <xdr:row>81</xdr:row>
      <xdr:rowOff>125941</xdr:rowOff>
    </xdr:from>
    <xdr:to>
      <xdr:col>14</xdr:col>
      <xdr:colOff>31750</xdr:colOff>
      <xdr:row>96</xdr:row>
      <xdr:rowOff>11641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31749</xdr:colOff>
      <xdr:row>85</xdr:row>
      <xdr:rowOff>189441</xdr:rowOff>
    </xdr:from>
    <xdr:to>
      <xdr:col>6</xdr:col>
      <xdr:colOff>169333</xdr:colOff>
      <xdr:row>100</xdr:row>
      <xdr:rowOff>75141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21166</xdr:colOff>
      <xdr:row>101</xdr:row>
      <xdr:rowOff>178857</xdr:rowOff>
    </xdr:from>
    <xdr:to>
      <xdr:col>6</xdr:col>
      <xdr:colOff>158750</xdr:colOff>
      <xdr:row>116</xdr:row>
      <xdr:rowOff>64557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31751</xdr:colOff>
      <xdr:row>99</xdr:row>
      <xdr:rowOff>9524</xdr:rowOff>
    </xdr:from>
    <xdr:to>
      <xdr:col>14</xdr:col>
      <xdr:colOff>31751</xdr:colOff>
      <xdr:row>113</xdr:row>
      <xdr:rowOff>85724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H80"/>
  <sheetViews>
    <sheetView zoomScale="80" zoomScaleNormal="80" workbookViewId="0">
      <selection activeCell="F9" sqref="F9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3.42578125" style="2" customWidth="1"/>
    <col min="8" max="8" width="13.140625" style="2" bestFit="1" customWidth="1"/>
    <col min="9" max="16384" width="11.42578125" style="2"/>
  </cols>
  <sheetData>
    <row r="1" spans="1:8" x14ac:dyDescent="0.25">
      <c r="A1" s="49" t="s">
        <v>109</v>
      </c>
      <c r="B1" s="49"/>
      <c r="C1" s="49"/>
      <c r="D1" s="49"/>
      <c r="E1" s="49"/>
      <c r="F1" s="49"/>
      <c r="G1" s="49"/>
    </row>
    <row r="3" spans="1:8" x14ac:dyDescent="0.25">
      <c r="A3" s="52" t="s">
        <v>0</v>
      </c>
      <c r="B3" s="46" t="s">
        <v>37</v>
      </c>
      <c r="C3" s="50" t="s">
        <v>2</v>
      </c>
      <c r="D3" s="50"/>
      <c r="E3" s="50"/>
      <c r="F3" s="50"/>
      <c r="G3" s="50"/>
    </row>
    <row r="4" spans="1:8" ht="15.75" thickBot="1" x14ac:dyDescent="0.3">
      <c r="A4" s="53"/>
      <c r="B4" s="48"/>
      <c r="C4" s="51" t="s">
        <v>3</v>
      </c>
      <c r="D4" s="51"/>
      <c r="E4" s="51"/>
      <c r="F4" s="46" t="s">
        <v>4</v>
      </c>
      <c r="G4" s="46" t="s">
        <v>5</v>
      </c>
    </row>
    <row r="5" spans="1:8" ht="16.5" thickTop="1" thickBot="1" x14ac:dyDescent="0.3">
      <c r="A5" s="54"/>
      <c r="B5" s="47"/>
      <c r="C5" s="36" t="s">
        <v>1</v>
      </c>
      <c r="D5" s="36" t="s">
        <v>70</v>
      </c>
      <c r="E5" s="36" t="s">
        <v>72</v>
      </c>
      <c r="F5" s="47"/>
      <c r="G5" s="47"/>
    </row>
    <row r="6" spans="1:8" ht="15.75" thickTop="1" x14ac:dyDescent="0.25">
      <c r="A6" s="37"/>
      <c r="B6" s="38"/>
      <c r="C6" s="39"/>
      <c r="D6" s="39"/>
      <c r="E6" s="39"/>
      <c r="F6" s="38"/>
      <c r="G6" s="38"/>
    </row>
    <row r="7" spans="1:8" x14ac:dyDescent="0.25">
      <c r="A7" s="5" t="s">
        <v>6</v>
      </c>
    </row>
    <row r="8" spans="1:8" x14ac:dyDescent="0.25">
      <c r="A8" s="2" t="s">
        <v>7</v>
      </c>
    </row>
    <row r="9" spans="1:8" x14ac:dyDescent="0.25">
      <c r="A9" s="2" t="s">
        <v>77</v>
      </c>
      <c r="B9" s="6">
        <f>+C9+F9+G9</f>
        <v>562</v>
      </c>
      <c r="C9" s="6">
        <f>SUM(D9:E9)</f>
        <v>88</v>
      </c>
      <c r="D9" s="6">
        <v>88</v>
      </c>
      <c r="E9" s="6">
        <v>0</v>
      </c>
      <c r="F9" s="6">
        <v>474</v>
      </c>
      <c r="G9" s="6">
        <v>0</v>
      </c>
      <c r="H9" s="40"/>
    </row>
    <row r="10" spans="1:8" x14ac:dyDescent="0.25">
      <c r="A10" s="2" t="s">
        <v>110</v>
      </c>
      <c r="B10" s="6">
        <f t="shared" ref="B10:B19" si="0">+C10+F10+G10</f>
        <v>579</v>
      </c>
      <c r="C10" s="6">
        <f>SUM(D10:E10)</f>
        <v>105</v>
      </c>
      <c r="D10" s="6">
        <v>25</v>
      </c>
      <c r="E10" s="6">
        <v>80</v>
      </c>
      <c r="F10" s="6">
        <v>474</v>
      </c>
      <c r="G10" s="6">
        <v>0</v>
      </c>
    </row>
    <row r="11" spans="1:8" x14ac:dyDescent="0.25">
      <c r="A11" s="2" t="s">
        <v>111</v>
      </c>
      <c r="B11" s="6">
        <f t="shared" si="0"/>
        <v>793</v>
      </c>
      <c r="C11" s="6">
        <f>SUM(D11:E11)</f>
        <v>160</v>
      </c>
      <c r="D11" s="6">
        <v>96</v>
      </c>
      <c r="E11" s="6">
        <v>64</v>
      </c>
      <c r="F11" s="6">
        <v>633</v>
      </c>
      <c r="G11" s="6">
        <v>0</v>
      </c>
    </row>
    <row r="12" spans="1:8" x14ac:dyDescent="0.25">
      <c r="A12" s="2" t="s">
        <v>112</v>
      </c>
      <c r="B12" s="6">
        <f t="shared" si="0"/>
        <v>2800</v>
      </c>
      <c r="C12" s="6">
        <f>SUM(D12:E12)</f>
        <v>750</v>
      </c>
      <c r="D12" s="6">
        <v>430</v>
      </c>
      <c r="E12" s="6">
        <v>320</v>
      </c>
      <c r="F12" s="6">
        <v>2050</v>
      </c>
      <c r="G12" s="6">
        <v>0</v>
      </c>
    </row>
    <row r="13" spans="1:8" x14ac:dyDescent="0.25">
      <c r="B13" s="6"/>
      <c r="C13" s="1"/>
      <c r="D13" s="1"/>
      <c r="E13" s="1"/>
      <c r="F13" s="1"/>
      <c r="G13" s="1"/>
    </row>
    <row r="14" spans="1:8" x14ac:dyDescent="0.25">
      <c r="A14" s="2" t="s">
        <v>8</v>
      </c>
      <c r="B14" s="6"/>
      <c r="C14" s="1"/>
      <c r="D14" s="1"/>
      <c r="E14" s="1"/>
      <c r="F14" s="1"/>
      <c r="G14" s="1"/>
    </row>
    <row r="15" spans="1:8" x14ac:dyDescent="0.25">
      <c r="A15" s="2" t="s">
        <v>77</v>
      </c>
      <c r="B15" s="6">
        <f t="shared" si="0"/>
        <v>267240400</v>
      </c>
      <c r="C15" s="6">
        <f>SUM(D15:E15)</f>
        <v>237230000</v>
      </c>
      <c r="D15" s="6">
        <v>237230000</v>
      </c>
      <c r="E15" s="6">
        <v>0</v>
      </c>
      <c r="F15" s="6">
        <v>30010400</v>
      </c>
      <c r="G15" s="6">
        <v>0</v>
      </c>
      <c r="H15" s="3"/>
    </row>
    <row r="16" spans="1:8" x14ac:dyDescent="0.25">
      <c r="A16" s="2" t="s">
        <v>110</v>
      </c>
      <c r="B16" s="6">
        <f t="shared" si="0"/>
        <v>437500000</v>
      </c>
      <c r="C16" s="6">
        <f>SUM(D16:E16)</f>
        <v>387500000</v>
      </c>
      <c r="D16" s="6">
        <v>62500000</v>
      </c>
      <c r="E16" s="6">
        <v>325000000</v>
      </c>
      <c r="F16" s="6">
        <v>50000000</v>
      </c>
      <c r="G16" s="6">
        <v>0</v>
      </c>
    </row>
    <row r="17" spans="1:7" x14ac:dyDescent="0.25">
      <c r="A17" s="2" t="s">
        <v>111</v>
      </c>
      <c r="B17" s="6">
        <f t="shared" si="0"/>
        <v>534940680</v>
      </c>
      <c r="C17" s="6">
        <f>SUM(D17:E17)</f>
        <v>527371000</v>
      </c>
      <c r="D17" s="6">
        <v>287770000</v>
      </c>
      <c r="E17" s="6">
        <v>239601000</v>
      </c>
      <c r="F17" s="6">
        <v>7569680</v>
      </c>
      <c r="G17" s="6">
        <v>0</v>
      </c>
    </row>
    <row r="18" spans="1:7" x14ac:dyDescent="0.25">
      <c r="A18" s="2" t="s">
        <v>112</v>
      </c>
      <c r="B18" s="6">
        <f t="shared" si="0"/>
        <v>2275000000</v>
      </c>
      <c r="C18" s="6">
        <f>SUM(D18:E18)</f>
        <v>1875000000</v>
      </c>
      <c r="D18" s="6">
        <v>1275000000</v>
      </c>
      <c r="E18" s="6">
        <v>600000000</v>
      </c>
      <c r="F18" s="6">
        <v>400000000</v>
      </c>
      <c r="G18" s="6">
        <v>0</v>
      </c>
    </row>
    <row r="19" spans="1:7" x14ac:dyDescent="0.25">
      <c r="A19" s="2" t="s">
        <v>113</v>
      </c>
      <c r="B19" s="6">
        <f t="shared" si="0"/>
        <v>534940680</v>
      </c>
      <c r="C19" s="6">
        <f>SUM(D19:E19)</f>
        <v>527371000</v>
      </c>
      <c r="D19" s="1">
        <f>D17</f>
        <v>287770000</v>
      </c>
      <c r="E19" s="1">
        <f>E17</f>
        <v>239601000</v>
      </c>
      <c r="F19" s="1">
        <f>F17</f>
        <v>7569680</v>
      </c>
      <c r="G19" s="1">
        <f>G17</f>
        <v>0</v>
      </c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1"/>
      <c r="G21" s="1"/>
    </row>
    <row r="22" spans="1:7" x14ac:dyDescent="0.25">
      <c r="A22" s="2" t="s">
        <v>110</v>
      </c>
      <c r="B22" s="6">
        <f>B16</f>
        <v>437500000</v>
      </c>
      <c r="C22" s="1"/>
      <c r="D22" s="6">
        <f>D16</f>
        <v>62500000</v>
      </c>
      <c r="E22" s="6">
        <f>E16+F16</f>
        <v>375000000</v>
      </c>
      <c r="F22" s="1"/>
      <c r="G22" s="1"/>
    </row>
    <row r="23" spans="1:7" x14ac:dyDescent="0.25">
      <c r="A23" s="2" t="s">
        <v>111</v>
      </c>
      <c r="B23" s="6">
        <f>+D23+E23</f>
        <v>704800000</v>
      </c>
      <c r="C23" s="1"/>
      <c r="D23" s="6">
        <v>329800000</v>
      </c>
      <c r="E23" s="6">
        <v>375000000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78</v>
      </c>
      <c r="B26" s="1">
        <v>1.5987436681</v>
      </c>
      <c r="C26" s="1">
        <v>1.5987436681</v>
      </c>
      <c r="D26" s="1">
        <v>1.5987436681</v>
      </c>
      <c r="E26" s="1">
        <v>1.5987436681</v>
      </c>
      <c r="F26" s="1">
        <v>1.5987436681</v>
      </c>
      <c r="G26" s="1">
        <v>1.5987436681</v>
      </c>
    </row>
    <row r="27" spans="1:7" x14ac:dyDescent="0.25">
      <c r="A27" s="2" t="s">
        <v>114</v>
      </c>
      <c r="B27" s="1">
        <v>1.65</v>
      </c>
      <c r="C27" s="1">
        <v>1.65</v>
      </c>
      <c r="D27" s="1">
        <v>1.65</v>
      </c>
      <c r="E27" s="1">
        <v>1.65</v>
      </c>
      <c r="F27" s="1">
        <v>1.65</v>
      </c>
      <c r="G27" s="1">
        <v>1.65</v>
      </c>
    </row>
    <row r="28" spans="1:7" x14ac:dyDescent="0.25">
      <c r="A28" s="2" t="s">
        <v>11</v>
      </c>
      <c r="B28" s="6">
        <v>94057</v>
      </c>
      <c r="C28" s="6">
        <v>94057</v>
      </c>
      <c r="D28" s="6">
        <v>94057</v>
      </c>
      <c r="E28" s="6">
        <v>94057</v>
      </c>
      <c r="F28" s="6">
        <v>94057</v>
      </c>
      <c r="G28" s="6">
        <v>94057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79</v>
      </c>
      <c r="B31" s="1">
        <f t="shared" ref="B31:G31" si="1">B15/B26</f>
        <v>167156502.52901226</v>
      </c>
      <c r="C31" s="1">
        <f t="shared" si="1"/>
        <v>148385263.21228969</v>
      </c>
      <c r="D31" s="1">
        <f t="shared" si="1"/>
        <v>148385263.21228969</v>
      </c>
      <c r="E31" s="1">
        <f t="shared" si="1"/>
        <v>0</v>
      </c>
      <c r="F31" s="1">
        <f t="shared" si="1"/>
        <v>18771239.316722583</v>
      </c>
      <c r="G31" s="1">
        <f t="shared" si="1"/>
        <v>0</v>
      </c>
    </row>
    <row r="32" spans="1:7" x14ac:dyDescent="0.25">
      <c r="A32" s="2" t="s">
        <v>115</v>
      </c>
      <c r="B32" s="1">
        <f t="shared" ref="B32:G32" si="2">B17/B27</f>
        <v>324206472.72727275</v>
      </c>
      <c r="C32" s="1">
        <f t="shared" si="2"/>
        <v>319618787.87878788</v>
      </c>
      <c r="D32" s="1">
        <f t="shared" si="2"/>
        <v>174406060.60606062</v>
      </c>
      <c r="E32" s="1">
        <f t="shared" si="2"/>
        <v>145212727.27272728</v>
      </c>
      <c r="F32" s="1">
        <f t="shared" si="2"/>
        <v>4587684.8484848486</v>
      </c>
      <c r="G32" s="1">
        <f t="shared" si="2"/>
        <v>0</v>
      </c>
    </row>
    <row r="33" spans="1:7" x14ac:dyDescent="0.25">
      <c r="A33" s="2" t="s">
        <v>80</v>
      </c>
      <c r="B33" s="1">
        <f t="shared" ref="B33:G33" si="3">B31/B9</f>
        <v>297431.4991619435</v>
      </c>
      <c r="C33" s="1">
        <f t="shared" si="3"/>
        <v>1686196.1728669284</v>
      </c>
      <c r="D33" s="1">
        <f t="shared" si="3"/>
        <v>1686196.1728669284</v>
      </c>
      <c r="E33" s="1" t="e">
        <f t="shared" si="3"/>
        <v>#DIV/0!</v>
      </c>
      <c r="F33" s="1">
        <f t="shared" si="3"/>
        <v>39601.770710385194</v>
      </c>
      <c r="G33" s="1" t="e">
        <f t="shared" si="3"/>
        <v>#DIV/0!</v>
      </c>
    </row>
    <row r="34" spans="1:7" x14ac:dyDescent="0.25">
      <c r="A34" s="2" t="s">
        <v>116</v>
      </c>
      <c r="B34" s="1">
        <f t="shared" ref="B34:G34" si="4">B32/B11</f>
        <v>408835.40066490887</v>
      </c>
      <c r="C34" s="1">
        <f t="shared" si="4"/>
        <v>1997617.4242424243</v>
      </c>
      <c r="D34" s="1">
        <f t="shared" si="4"/>
        <v>1816729.7979797982</v>
      </c>
      <c r="E34" s="1">
        <f t="shared" si="4"/>
        <v>2268948.8636363638</v>
      </c>
      <c r="F34" s="1">
        <f t="shared" si="4"/>
        <v>7247.5274067691134</v>
      </c>
      <c r="G34" s="1" t="e">
        <f t="shared" si="4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43"/>
      <c r="C38" s="43"/>
      <c r="D38" s="43"/>
      <c r="E38" s="43"/>
      <c r="F38" s="43"/>
      <c r="G38" s="43"/>
    </row>
    <row r="39" spans="1:7" x14ac:dyDescent="0.25">
      <c r="A39" s="2" t="s">
        <v>15</v>
      </c>
      <c r="B39" s="1">
        <f t="shared" ref="B39:G39" si="5">B10/B28*100</f>
        <v>0.61558416704764141</v>
      </c>
      <c r="C39" s="1">
        <f t="shared" si="5"/>
        <v>0.11163443443869144</v>
      </c>
      <c r="D39" s="1">
        <f t="shared" si="5"/>
        <v>2.6579627247307482E-2</v>
      </c>
      <c r="E39" s="1">
        <f t="shared" si="5"/>
        <v>8.5054807191383947E-2</v>
      </c>
      <c r="F39" s="1">
        <f t="shared" si="5"/>
        <v>0.50394973260894982</v>
      </c>
      <c r="G39" s="1">
        <f t="shared" si="5"/>
        <v>0</v>
      </c>
    </row>
    <row r="40" spans="1:7" x14ac:dyDescent="0.25">
      <c r="A40" s="2" t="s">
        <v>16</v>
      </c>
      <c r="B40" s="1">
        <f t="shared" ref="B40:G40" si="6">B11/B28*100</f>
        <v>0.84310577628459349</v>
      </c>
      <c r="C40" s="1">
        <f t="shared" si="6"/>
        <v>0.17010961438276789</v>
      </c>
      <c r="D40" s="1">
        <f t="shared" si="6"/>
        <v>0.10206576862966073</v>
      </c>
      <c r="E40" s="1">
        <f t="shared" si="6"/>
        <v>6.8043845753107166E-2</v>
      </c>
      <c r="F40" s="1">
        <f t="shared" si="6"/>
        <v>0.67299616190182543</v>
      </c>
      <c r="G40" s="1">
        <f t="shared" si="6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7">B11/B10*100</f>
        <v>136.96027633851469</v>
      </c>
      <c r="C43" s="1">
        <f t="shared" si="7"/>
        <v>152.38095238095238</v>
      </c>
      <c r="D43" s="1">
        <f t="shared" si="7"/>
        <v>384</v>
      </c>
      <c r="E43" s="1">
        <f t="shared" si="7"/>
        <v>80</v>
      </c>
      <c r="F43" s="1">
        <f t="shared" si="7"/>
        <v>133.54430379746836</v>
      </c>
      <c r="G43" s="1" t="e">
        <f t="shared" si="7"/>
        <v>#DIV/0!</v>
      </c>
    </row>
    <row r="44" spans="1:7" x14ac:dyDescent="0.25">
      <c r="A44" s="2" t="s">
        <v>19</v>
      </c>
      <c r="B44" s="1">
        <f t="shared" ref="B44:G44" si="8">B17/B16*100</f>
        <v>122.27215542857144</v>
      </c>
      <c r="C44" s="1">
        <f t="shared" si="8"/>
        <v>136.09574193548386</v>
      </c>
      <c r="D44" s="1">
        <f t="shared" si="8"/>
        <v>460.43200000000002</v>
      </c>
      <c r="E44" s="1">
        <f t="shared" si="8"/>
        <v>73.723384615384617</v>
      </c>
      <c r="F44" s="1">
        <f t="shared" si="8"/>
        <v>15.139359999999998</v>
      </c>
      <c r="G44" s="1" t="e">
        <f t="shared" si="8"/>
        <v>#DIV/0!</v>
      </c>
    </row>
    <row r="45" spans="1:7" x14ac:dyDescent="0.25">
      <c r="A45" s="2" t="s">
        <v>20</v>
      </c>
      <c r="B45" s="1">
        <f t="shared" ref="B45:G45" si="9">AVERAGE(B43:B44)</f>
        <v>129.61621588354308</v>
      </c>
      <c r="C45" s="1">
        <f t="shared" si="9"/>
        <v>144.23834715821812</v>
      </c>
      <c r="D45" s="1">
        <f t="shared" si="9"/>
        <v>422.21600000000001</v>
      </c>
      <c r="E45" s="1">
        <f t="shared" si="9"/>
        <v>76.861692307692309</v>
      </c>
      <c r="F45" s="1">
        <f t="shared" si="9"/>
        <v>74.341831898734185</v>
      </c>
      <c r="G45" s="1" t="e">
        <f t="shared" si="9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0">B11/B12*100</f>
        <v>28.321428571428569</v>
      </c>
      <c r="C48" s="1">
        <f t="shared" si="10"/>
        <v>21.333333333333336</v>
      </c>
      <c r="D48" s="1">
        <f t="shared" si="10"/>
        <v>22.325581395348838</v>
      </c>
      <c r="E48" s="1">
        <f t="shared" si="10"/>
        <v>20</v>
      </c>
      <c r="F48" s="1">
        <f t="shared" si="10"/>
        <v>30.878048780487806</v>
      </c>
      <c r="G48" s="1" t="e">
        <f t="shared" si="10"/>
        <v>#DIV/0!</v>
      </c>
    </row>
    <row r="49" spans="1:7" x14ac:dyDescent="0.25">
      <c r="A49" s="2" t="s">
        <v>23</v>
      </c>
      <c r="B49" s="1">
        <f t="shared" ref="B49:G49" si="11">B17/B18*100</f>
        <v>23.513876043956046</v>
      </c>
      <c r="C49" s="1">
        <f t="shared" si="11"/>
        <v>28.126453333333334</v>
      </c>
      <c r="D49" s="1">
        <f t="shared" si="11"/>
        <v>22.570196078431373</v>
      </c>
      <c r="E49" s="1">
        <f t="shared" si="11"/>
        <v>39.933500000000002</v>
      </c>
      <c r="F49" s="1">
        <f t="shared" si="11"/>
        <v>1.8924199999999998</v>
      </c>
      <c r="G49" s="1" t="e">
        <f t="shared" si="11"/>
        <v>#DIV/0!</v>
      </c>
    </row>
    <row r="50" spans="1:7" x14ac:dyDescent="0.25">
      <c r="A50" s="2" t="s">
        <v>24</v>
      </c>
      <c r="B50" s="1">
        <f t="shared" ref="B50:G50" si="12">(B48+B49)/2</f>
        <v>25.917652307692308</v>
      </c>
      <c r="C50" s="1">
        <f t="shared" si="12"/>
        <v>24.729893333333337</v>
      </c>
      <c r="D50" s="1">
        <f t="shared" si="12"/>
        <v>22.447888736890107</v>
      </c>
      <c r="E50" s="1">
        <f t="shared" si="12"/>
        <v>29.966750000000001</v>
      </c>
      <c r="F50" s="1">
        <f t="shared" si="12"/>
        <v>16.385234390243902</v>
      </c>
      <c r="G50" s="1" t="e">
        <f t="shared" si="12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3">B19/B17*100</f>
        <v>100</v>
      </c>
      <c r="C52" s="1">
        <f t="shared" si="13"/>
        <v>100</v>
      </c>
      <c r="D52" s="1">
        <f t="shared" si="13"/>
        <v>100</v>
      </c>
      <c r="E52" s="1">
        <f t="shared" si="13"/>
        <v>100</v>
      </c>
      <c r="F52" s="1">
        <f t="shared" si="13"/>
        <v>100</v>
      </c>
      <c r="G52" s="1" t="e">
        <f t="shared" si="13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4">((B11/B9)-1)*100</f>
        <v>41.103202846975087</v>
      </c>
      <c r="C55" s="1">
        <f t="shared" si="14"/>
        <v>81.818181818181813</v>
      </c>
      <c r="D55" s="1">
        <f t="shared" si="14"/>
        <v>9.0909090909090828</v>
      </c>
      <c r="E55" s="1" t="e">
        <f t="shared" si="14"/>
        <v>#DIV/0!</v>
      </c>
      <c r="F55" s="1">
        <f t="shared" si="14"/>
        <v>33.544303797468359</v>
      </c>
      <c r="G55" s="1" t="e">
        <f t="shared" si="14"/>
        <v>#DIV/0!</v>
      </c>
    </row>
    <row r="56" spans="1:7" x14ac:dyDescent="0.25">
      <c r="A56" s="2" t="s">
        <v>28</v>
      </c>
      <c r="B56" s="1">
        <f t="shared" ref="B56:G56" si="15">((B32/B31)-1)*100</f>
        <v>93.953850327182067</v>
      </c>
      <c r="C56" s="1">
        <f t="shared" si="15"/>
        <v>115.39793168107283</v>
      </c>
      <c r="D56" s="1">
        <f t="shared" si="15"/>
        <v>17.535971450577193</v>
      </c>
      <c r="E56" s="1" t="e">
        <f t="shared" si="15"/>
        <v>#DIV/0!</v>
      </c>
      <c r="F56" s="1">
        <f t="shared" si="15"/>
        <v>-75.56003217966618</v>
      </c>
      <c r="G56" s="1" t="e">
        <f t="shared" si="15"/>
        <v>#DIV/0!</v>
      </c>
    </row>
    <row r="57" spans="1:7" x14ac:dyDescent="0.25">
      <c r="A57" s="2" t="s">
        <v>29</v>
      </c>
      <c r="B57" s="1">
        <f t="shared" ref="B57:G57" si="16">((B34/B33)-1)*100</f>
        <v>37.455313851042014</v>
      </c>
      <c r="C57" s="1">
        <f t="shared" si="16"/>
        <v>18.468862424590071</v>
      </c>
      <c r="D57" s="1">
        <f t="shared" si="16"/>
        <v>7.7413071630290764</v>
      </c>
      <c r="E57" s="1" t="e">
        <f t="shared" si="16"/>
        <v>#DIV/0!</v>
      </c>
      <c r="F57" s="1">
        <f t="shared" si="16"/>
        <v>-81.698981442593634</v>
      </c>
      <c r="G57" s="1" t="e">
        <f t="shared" si="16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 t="shared" ref="B60:G61" si="17">B16/B10</f>
        <v>755613.12607944733</v>
      </c>
      <c r="C60" s="1">
        <f t="shared" si="17"/>
        <v>3690476.1904761903</v>
      </c>
      <c r="D60" s="1">
        <f>D16/D10</f>
        <v>2500000</v>
      </c>
      <c r="E60" s="1">
        <f>E16/E10</f>
        <v>4062500</v>
      </c>
      <c r="F60" s="1">
        <f t="shared" si="17"/>
        <v>105485.23206751054</v>
      </c>
      <c r="G60" s="1" t="e">
        <f t="shared" si="17"/>
        <v>#DIV/0!</v>
      </c>
    </row>
    <row r="61" spans="1:7" x14ac:dyDescent="0.25">
      <c r="A61" s="2" t="s">
        <v>32</v>
      </c>
      <c r="B61" s="1">
        <f t="shared" si="17"/>
        <v>674578.41109709966</v>
      </c>
      <c r="C61" s="1">
        <f t="shared" si="17"/>
        <v>3296068.75</v>
      </c>
      <c r="D61" s="1">
        <f>D17/D11</f>
        <v>2997604.1666666665</v>
      </c>
      <c r="E61" s="1">
        <f>E17/E11</f>
        <v>3743765.625</v>
      </c>
      <c r="F61" s="1">
        <f t="shared" si="17"/>
        <v>11958.420221169037</v>
      </c>
      <c r="G61" s="1" t="e">
        <f t="shared" si="17"/>
        <v>#DIV/0!</v>
      </c>
    </row>
    <row r="62" spans="1:7" x14ac:dyDescent="0.25">
      <c r="A62" s="2" t="s">
        <v>33</v>
      </c>
      <c r="B62" s="1">
        <f>(B60/B61)*B45</f>
        <v>145.1865527612548</v>
      </c>
      <c r="C62" s="1">
        <f>(C60/C61)*C45</f>
        <v>161.49790138359313</v>
      </c>
      <c r="D62" s="1">
        <f>(D60/D61)*D45</f>
        <v>352.12787990409009</v>
      </c>
      <c r="E62" s="1">
        <f>(E60/E61)*E45</f>
        <v>83.405494968718827</v>
      </c>
      <c r="F62" s="1">
        <f>(F60/F61)*F45</f>
        <v>655.7693445393254</v>
      </c>
      <c r="G62" s="1" t="e">
        <f>G60/G61*G45</f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1"/>
      <c r="G64" s="1"/>
    </row>
    <row r="65" spans="1:7" x14ac:dyDescent="0.25">
      <c r="A65" s="2" t="s">
        <v>35</v>
      </c>
      <c r="B65" s="1">
        <f>(B23/B22)*100</f>
        <v>161.09714285714284</v>
      </c>
      <c r="C65" s="1"/>
      <c r="D65" s="1">
        <f>(D23/D22)*100</f>
        <v>527.67999999999995</v>
      </c>
      <c r="E65" s="1">
        <f>(E23/E22)*100</f>
        <v>100</v>
      </c>
      <c r="F65" s="1"/>
      <c r="G65" s="1"/>
    </row>
    <row r="66" spans="1:7" x14ac:dyDescent="0.25">
      <c r="A66" s="2" t="s">
        <v>36</v>
      </c>
      <c r="B66" s="1">
        <f>(B17/B23)*100</f>
        <v>75.899642451759362</v>
      </c>
      <c r="C66" s="1"/>
      <c r="D66" s="1">
        <f>(D17/D23)*100</f>
        <v>87.255912674348096</v>
      </c>
      <c r="E66" s="1">
        <f>(F17/E23)*100</f>
        <v>2.0185813333333336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107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165</v>
      </c>
    </row>
    <row r="77" spans="1:7" x14ac:dyDescent="0.25">
      <c r="A77" s="2" t="s">
        <v>76</v>
      </c>
    </row>
    <row r="80" spans="1:7" x14ac:dyDescent="0.25">
      <c r="A80" s="2" t="s">
        <v>167</v>
      </c>
    </row>
  </sheetData>
  <mergeCells count="7">
    <mergeCell ref="F4:F5"/>
    <mergeCell ref="B3:B5"/>
    <mergeCell ref="G4:G5"/>
    <mergeCell ref="A1:G1"/>
    <mergeCell ref="C3:G3"/>
    <mergeCell ref="C4:E4"/>
    <mergeCell ref="A3:A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79"/>
  <sheetViews>
    <sheetView zoomScale="80" zoomScaleNormal="80" workbookViewId="0">
      <pane ySplit="5" topLeftCell="A6" activePane="bottomLeft" state="frozen"/>
      <selection pane="bottomLeft" activeCell="C12" sqref="C12"/>
    </sheetView>
  </sheetViews>
  <sheetFormatPr baseColWidth="10" defaultColWidth="11.42578125" defaultRowHeight="15" x14ac:dyDescent="0.25"/>
  <cols>
    <col min="1" max="1" width="54.85546875" style="2" customWidth="1"/>
    <col min="2" max="2" width="23.85546875" style="2" customWidth="1"/>
    <col min="3" max="3" width="21.140625" style="2" customWidth="1"/>
    <col min="4" max="4" width="18.140625" style="2" customWidth="1"/>
    <col min="5" max="5" width="15.28515625" style="2" customWidth="1"/>
    <col min="6" max="6" width="15.140625" style="2" bestFit="1" customWidth="1"/>
    <col min="7" max="7" width="11.42578125" style="2" bestFit="1" customWidth="1"/>
    <col min="8" max="8" width="12.7109375" style="2" bestFit="1" customWidth="1"/>
    <col min="9" max="16384" width="11.42578125" style="2"/>
  </cols>
  <sheetData>
    <row r="1" spans="1:8" x14ac:dyDescent="0.25">
      <c r="A1" s="49" t="s">
        <v>117</v>
      </c>
      <c r="B1" s="49"/>
      <c r="C1" s="49"/>
      <c r="D1" s="49"/>
      <c r="E1" s="49"/>
      <c r="F1" s="49"/>
      <c r="G1" s="49"/>
    </row>
    <row r="3" spans="1:8" x14ac:dyDescent="0.25">
      <c r="A3" s="52" t="s">
        <v>0</v>
      </c>
      <c r="B3" s="46" t="s">
        <v>37</v>
      </c>
      <c r="C3" s="50" t="s">
        <v>2</v>
      </c>
      <c r="D3" s="50"/>
      <c r="E3" s="50"/>
      <c r="F3" s="50"/>
      <c r="G3" s="50"/>
    </row>
    <row r="4" spans="1:8" ht="15.75" thickBot="1" x14ac:dyDescent="0.3">
      <c r="A4" s="53"/>
      <c r="B4" s="48"/>
      <c r="C4" s="51" t="s">
        <v>3</v>
      </c>
      <c r="D4" s="51"/>
      <c r="E4" s="51"/>
      <c r="F4" s="46" t="s">
        <v>4</v>
      </c>
      <c r="G4" s="46" t="s">
        <v>5</v>
      </c>
    </row>
    <row r="5" spans="1:8" ht="16.5" thickTop="1" thickBot="1" x14ac:dyDescent="0.3">
      <c r="A5" s="54"/>
      <c r="B5" s="47"/>
      <c r="C5" s="36" t="s">
        <v>1</v>
      </c>
      <c r="D5" s="36" t="s">
        <v>70</v>
      </c>
      <c r="E5" s="36" t="s">
        <v>72</v>
      </c>
      <c r="F5" s="47"/>
      <c r="G5" s="47"/>
    </row>
    <row r="6" spans="1:8" ht="15.75" thickTop="1" x14ac:dyDescent="0.25">
      <c r="A6" s="37"/>
      <c r="B6" s="38"/>
      <c r="C6" s="39"/>
      <c r="D6" s="39"/>
      <c r="E6" s="39"/>
      <c r="F6" s="38"/>
      <c r="G6" s="38"/>
    </row>
    <row r="7" spans="1:8" x14ac:dyDescent="0.25">
      <c r="A7" s="5" t="s">
        <v>6</v>
      </c>
    </row>
    <row r="8" spans="1:8" x14ac:dyDescent="0.25">
      <c r="A8" s="2" t="s">
        <v>7</v>
      </c>
    </row>
    <row r="9" spans="1:8" x14ac:dyDescent="0.25">
      <c r="A9" s="2" t="s">
        <v>81</v>
      </c>
      <c r="B9" s="6">
        <f>+C9+F9+G9</f>
        <v>1288</v>
      </c>
      <c r="C9" s="6">
        <f>SUM(D9:E9)</f>
        <v>124</v>
      </c>
      <c r="D9" s="6">
        <v>124</v>
      </c>
      <c r="E9" s="6">
        <v>0</v>
      </c>
      <c r="F9" s="6">
        <v>1164</v>
      </c>
      <c r="G9" s="6">
        <v>0</v>
      </c>
    </row>
    <row r="10" spans="1:8" x14ac:dyDescent="0.25">
      <c r="A10" s="2" t="s">
        <v>118</v>
      </c>
      <c r="B10" s="6">
        <f t="shared" ref="B10:B18" si="0">+C10+F10+G10</f>
        <v>1374</v>
      </c>
      <c r="C10" s="6">
        <f>SUM(D10:E10)</f>
        <v>210</v>
      </c>
      <c r="D10" s="6">
        <v>80</v>
      </c>
      <c r="E10" s="6">
        <v>130</v>
      </c>
      <c r="F10" s="6">
        <v>1164</v>
      </c>
      <c r="G10" s="6">
        <v>0</v>
      </c>
    </row>
    <row r="11" spans="1:8" x14ac:dyDescent="0.25">
      <c r="A11" s="2" t="s">
        <v>119</v>
      </c>
      <c r="B11" s="6">
        <f t="shared" si="0"/>
        <v>891</v>
      </c>
      <c r="C11" s="6">
        <f>SUM(D11:E11)</f>
        <v>90</v>
      </c>
      <c r="D11" s="6">
        <v>60</v>
      </c>
      <c r="E11" s="6">
        <v>30</v>
      </c>
      <c r="F11" s="6">
        <v>801</v>
      </c>
      <c r="G11" s="6">
        <v>0</v>
      </c>
    </row>
    <row r="12" spans="1:8" x14ac:dyDescent="0.25">
      <c r="A12" s="2" t="s">
        <v>112</v>
      </c>
      <c r="B12" s="6">
        <f t="shared" si="0"/>
        <v>2800</v>
      </c>
      <c r="C12" s="6">
        <f>SUM(D12:E12)</f>
        <v>750</v>
      </c>
      <c r="D12" s="6">
        <v>430</v>
      </c>
      <c r="E12" s="6">
        <v>320</v>
      </c>
      <c r="F12" s="6">
        <v>2050</v>
      </c>
      <c r="G12" s="6">
        <v>0</v>
      </c>
    </row>
    <row r="13" spans="1:8" x14ac:dyDescent="0.25">
      <c r="B13" s="1"/>
      <c r="C13" s="1"/>
      <c r="D13" s="1"/>
      <c r="E13" s="1"/>
      <c r="F13" s="1"/>
      <c r="G13" s="1"/>
    </row>
    <row r="14" spans="1:8" x14ac:dyDescent="0.25">
      <c r="A14" s="2" t="s">
        <v>8</v>
      </c>
      <c r="B14" s="1"/>
      <c r="C14" s="1"/>
      <c r="D14" s="1"/>
      <c r="E14" s="1"/>
      <c r="F14" s="1"/>
      <c r="G14" s="1"/>
    </row>
    <row r="15" spans="1:8" x14ac:dyDescent="0.25">
      <c r="A15" s="2" t="s">
        <v>120</v>
      </c>
      <c r="B15" s="6">
        <f t="shared" si="0"/>
        <v>396964238</v>
      </c>
      <c r="C15" s="6">
        <f>SUM(D15:E15)</f>
        <v>322100000</v>
      </c>
      <c r="D15" s="6">
        <v>322100000</v>
      </c>
      <c r="E15" s="6">
        <v>0</v>
      </c>
      <c r="F15" s="6">
        <v>74864238</v>
      </c>
      <c r="G15" s="6">
        <v>0</v>
      </c>
      <c r="H15" s="1"/>
    </row>
    <row r="16" spans="1:8" x14ac:dyDescent="0.25">
      <c r="A16" s="2" t="s">
        <v>118</v>
      </c>
      <c r="B16" s="6">
        <f t="shared" si="0"/>
        <v>325000000</v>
      </c>
      <c r="C16" s="6">
        <f>SUM(D16:E16)</f>
        <v>200000000</v>
      </c>
      <c r="D16" s="6">
        <v>200000000</v>
      </c>
      <c r="E16" s="6">
        <v>0</v>
      </c>
      <c r="F16" s="6">
        <v>125000000</v>
      </c>
      <c r="G16" s="6">
        <v>0</v>
      </c>
    </row>
    <row r="17" spans="1:7" x14ac:dyDescent="0.25">
      <c r="A17" s="2" t="s">
        <v>119</v>
      </c>
      <c r="B17" s="6">
        <f>+C17+F17+G17</f>
        <v>381562802.92000002</v>
      </c>
      <c r="C17" s="6">
        <f>SUM(D17:E17)</f>
        <v>316785000</v>
      </c>
      <c r="D17" s="6">
        <v>231685000</v>
      </c>
      <c r="E17" s="6">
        <v>85100000</v>
      </c>
      <c r="F17" s="6">
        <v>64777802.920000002</v>
      </c>
      <c r="G17" s="6">
        <v>0</v>
      </c>
    </row>
    <row r="18" spans="1:7" x14ac:dyDescent="0.25">
      <c r="A18" s="2" t="s">
        <v>112</v>
      </c>
      <c r="B18" s="6">
        <f t="shared" si="0"/>
        <v>2275000000</v>
      </c>
      <c r="C18" s="6">
        <f>SUM(D18:E18)</f>
        <v>1875000000</v>
      </c>
      <c r="D18" s="6">
        <v>1275000000</v>
      </c>
      <c r="E18" s="6">
        <v>600000000</v>
      </c>
      <c r="F18" s="6">
        <v>400000000</v>
      </c>
      <c r="G18" s="6">
        <v>0</v>
      </c>
    </row>
    <row r="19" spans="1:7" x14ac:dyDescent="0.25">
      <c r="A19" s="2" t="s">
        <v>121</v>
      </c>
      <c r="B19" s="6">
        <f>+C19+F19+G19</f>
        <v>381562802.92000002</v>
      </c>
      <c r="C19" s="6">
        <f>SUM(D19:E19)</f>
        <v>316785000</v>
      </c>
      <c r="D19" s="1">
        <f>D17</f>
        <v>231685000</v>
      </c>
      <c r="E19" s="1">
        <f>E17</f>
        <v>85100000</v>
      </c>
      <c r="F19" s="1">
        <f>F17</f>
        <v>64777802.920000002</v>
      </c>
      <c r="G19" s="1">
        <f>G17</f>
        <v>0</v>
      </c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1"/>
      <c r="G21" s="1"/>
    </row>
    <row r="22" spans="1:7" x14ac:dyDescent="0.25">
      <c r="A22" s="2" t="s">
        <v>118</v>
      </c>
      <c r="B22" s="6">
        <f>B16</f>
        <v>325000000</v>
      </c>
      <c r="C22" s="6"/>
      <c r="D22" s="6">
        <f>D16</f>
        <v>200000000</v>
      </c>
      <c r="E22" s="6">
        <f>+E16+F16</f>
        <v>125000000</v>
      </c>
      <c r="F22" s="6"/>
      <c r="G22" s="6"/>
    </row>
    <row r="23" spans="1:7" x14ac:dyDescent="0.25">
      <c r="A23" s="2" t="s">
        <v>119</v>
      </c>
      <c r="B23" s="6">
        <f>D23+E23</f>
        <v>411000000</v>
      </c>
      <c r="C23" s="1"/>
      <c r="D23" s="6">
        <v>286000000</v>
      </c>
      <c r="E23" s="6">
        <v>125000000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82</v>
      </c>
      <c r="B26" s="1">
        <v>1.62</v>
      </c>
      <c r="C26" s="1">
        <v>1.62</v>
      </c>
      <c r="D26" s="1">
        <v>1.62</v>
      </c>
      <c r="E26" s="1">
        <v>1.62</v>
      </c>
      <c r="F26" s="1">
        <v>1.62</v>
      </c>
      <c r="G26" s="1">
        <v>1.62</v>
      </c>
    </row>
    <row r="27" spans="1:7" x14ac:dyDescent="0.25">
      <c r="A27" s="2" t="s">
        <v>122</v>
      </c>
      <c r="B27" s="1">
        <v>1.68</v>
      </c>
      <c r="C27" s="1">
        <v>1.68</v>
      </c>
      <c r="D27" s="1">
        <v>1.68</v>
      </c>
      <c r="E27" s="1">
        <v>1.68</v>
      </c>
      <c r="F27" s="1">
        <v>1.68</v>
      </c>
      <c r="G27" s="1">
        <v>1.68</v>
      </c>
    </row>
    <row r="28" spans="1:7" x14ac:dyDescent="0.25">
      <c r="A28" s="2" t="s">
        <v>11</v>
      </c>
      <c r="B28" s="6">
        <v>94057</v>
      </c>
      <c r="C28" s="6">
        <v>94057</v>
      </c>
      <c r="D28" s="6">
        <v>94057</v>
      </c>
      <c r="E28" s="6">
        <v>94057</v>
      </c>
      <c r="F28" s="6">
        <v>94057</v>
      </c>
      <c r="G28" s="6">
        <v>94057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83</v>
      </c>
      <c r="B31" s="1">
        <f>B15/B26</f>
        <v>245039653.08641973</v>
      </c>
      <c r="C31" s="1">
        <f>C15/C26</f>
        <v>198827160.49382713</v>
      </c>
      <c r="D31" s="1">
        <f>D15/D26</f>
        <v>198827160.49382713</v>
      </c>
      <c r="E31" s="1">
        <f>E15/E26</f>
        <v>0</v>
      </c>
      <c r="F31" s="1">
        <f>F15/F26</f>
        <v>46212492.59259259</v>
      </c>
      <c r="G31" s="1"/>
    </row>
    <row r="32" spans="1:7" x14ac:dyDescent="0.25">
      <c r="A32" s="2" t="s">
        <v>123</v>
      </c>
      <c r="B32" s="1">
        <f>B17/B27</f>
        <v>227120716.02380955</v>
      </c>
      <c r="C32" s="1">
        <f>C17/C27</f>
        <v>188562500</v>
      </c>
      <c r="D32" s="1">
        <f>D17/D27</f>
        <v>137907738.09523809</v>
      </c>
      <c r="E32" s="1">
        <f>E17/E27</f>
        <v>50654761.904761903</v>
      </c>
      <c r="F32" s="1">
        <f>F17/F27</f>
        <v>38558216.02380953</v>
      </c>
      <c r="G32" s="1"/>
    </row>
    <row r="33" spans="1:7" x14ac:dyDescent="0.25">
      <c r="A33" s="2" t="s">
        <v>84</v>
      </c>
      <c r="B33" s="1">
        <f>B31/B9</f>
        <v>190248.17786212711</v>
      </c>
      <c r="C33" s="1">
        <f>C31/C9</f>
        <v>1603444.8426921542</v>
      </c>
      <c r="D33" s="1">
        <f>D31/D9</f>
        <v>1603444.8426921542</v>
      </c>
      <c r="E33" s="1" t="e">
        <f>E31/E9</f>
        <v>#DIV/0!</v>
      </c>
      <c r="F33" s="1">
        <f>F31/F9</f>
        <v>39701.454117347588</v>
      </c>
      <c r="G33" s="1"/>
    </row>
    <row r="34" spans="1:7" x14ac:dyDescent="0.25">
      <c r="A34" s="2" t="s">
        <v>124</v>
      </c>
      <c r="B34" s="1">
        <f>B32/B11</f>
        <v>254905.40518946078</v>
      </c>
      <c r="C34" s="1">
        <f>C32/C11</f>
        <v>2095138.888888889</v>
      </c>
      <c r="D34" s="1">
        <f>D32/D11</f>
        <v>2298462.3015873013</v>
      </c>
      <c r="E34" s="1">
        <f>E32/E11</f>
        <v>1688492.0634920634</v>
      </c>
      <c r="F34" s="1">
        <f>F32/F11</f>
        <v>48137.598032221635</v>
      </c>
      <c r="G34" s="1"/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>B10/B28*100</f>
        <v>1.4608163135120193</v>
      </c>
      <c r="C39" s="1">
        <f>C10/C28*100</f>
        <v>0.22326886887738287</v>
      </c>
      <c r="D39" s="1">
        <f>D10/D28*100</f>
        <v>8.5054807191383947E-2</v>
      </c>
      <c r="E39" s="1">
        <f>E10/E28*100</f>
        <v>0.13821406168599892</v>
      </c>
      <c r="F39" s="1">
        <f>F10/F28*100</f>
        <v>1.2375474446346366</v>
      </c>
      <c r="G39" s="1"/>
    </row>
    <row r="40" spans="1:7" x14ac:dyDescent="0.25">
      <c r="A40" s="2" t="s">
        <v>16</v>
      </c>
      <c r="B40" s="1">
        <f>B11/B28*100</f>
        <v>0.9472979150940386</v>
      </c>
      <c r="C40" s="1">
        <f>C11/C28*100</f>
        <v>9.5686658090306936E-2</v>
      </c>
      <c r="D40" s="1">
        <f>D11/D28*100</f>
        <v>6.3791105393537967E-2</v>
      </c>
      <c r="E40" s="1">
        <f>E11/E28*100</f>
        <v>3.1895552696768983E-2</v>
      </c>
      <c r="F40" s="1">
        <f>F11/F28*100</f>
        <v>0.85161125700373175</v>
      </c>
      <c r="G40" s="1"/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>B11/B10*100</f>
        <v>64.8471615720524</v>
      </c>
      <c r="C43" s="1">
        <f>C11/C10*100</f>
        <v>42.857142857142854</v>
      </c>
      <c r="D43" s="1">
        <f>D11/D10*100</f>
        <v>75</v>
      </c>
      <c r="E43" s="1">
        <f>E11/E10*100</f>
        <v>23.076923076923077</v>
      </c>
      <c r="F43" s="1">
        <f>F11/F10*100</f>
        <v>68.814432989690715</v>
      </c>
      <c r="G43" s="1"/>
    </row>
    <row r="44" spans="1:7" x14ac:dyDescent="0.25">
      <c r="A44" s="2" t="s">
        <v>19</v>
      </c>
      <c r="B44" s="1">
        <f>B17/B16*100</f>
        <v>117.40393936</v>
      </c>
      <c r="C44" s="1">
        <f>C17/C16*100</f>
        <v>158.39250000000001</v>
      </c>
      <c r="D44" s="1">
        <f>D17/D16*100</f>
        <v>115.8425</v>
      </c>
      <c r="E44" s="1" t="e">
        <f>E17/E16*100</f>
        <v>#DIV/0!</v>
      </c>
      <c r="F44" s="1">
        <f>F17/F16*100</f>
        <v>51.822242336000002</v>
      </c>
      <c r="G44" s="1"/>
    </row>
    <row r="45" spans="1:7" x14ac:dyDescent="0.25">
      <c r="A45" s="2" t="s">
        <v>20</v>
      </c>
      <c r="B45" s="1">
        <f>AVERAGE(B43:B44)</f>
        <v>91.125550466026198</v>
      </c>
      <c r="C45" s="1">
        <f>AVERAGE(C43:C44)</f>
        <v>100.62482142857144</v>
      </c>
      <c r="D45" s="1">
        <f>AVERAGE(D43:D44)</f>
        <v>95.421250000000001</v>
      </c>
      <c r="E45" s="1" t="e">
        <f>AVERAGE(E43:E44)</f>
        <v>#DIV/0!</v>
      </c>
      <c r="F45" s="1">
        <f>AVERAGE(F43:F44)</f>
        <v>60.318337662845359</v>
      </c>
      <c r="G45" s="1"/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>B11/B12*100</f>
        <v>31.821428571428573</v>
      </c>
      <c r="C48" s="1">
        <f>C11/C12*100</f>
        <v>12</v>
      </c>
      <c r="D48" s="1">
        <f>D11/D12*100</f>
        <v>13.953488372093023</v>
      </c>
      <c r="E48" s="1">
        <f>E11/E12*100</f>
        <v>9.375</v>
      </c>
      <c r="F48" s="1">
        <f>F11/F12*100</f>
        <v>39.073170731707322</v>
      </c>
      <c r="G48" s="1"/>
    </row>
    <row r="49" spans="1:7" x14ac:dyDescent="0.25">
      <c r="A49" s="2" t="s">
        <v>23</v>
      </c>
      <c r="B49" s="1">
        <f>B17/B18*100</f>
        <v>16.771991337142858</v>
      </c>
      <c r="C49" s="1">
        <f>C17/C18*100</f>
        <v>16.895199999999999</v>
      </c>
      <c r="D49" s="1">
        <f>D17/D18*100</f>
        <v>18.171372549019608</v>
      </c>
      <c r="E49" s="1">
        <f>E17/E18*100</f>
        <v>14.183333333333334</v>
      </c>
      <c r="F49" s="1">
        <f>F17/F18*100</f>
        <v>16.19445073</v>
      </c>
      <c r="G49" s="1"/>
    </row>
    <row r="50" spans="1:7" x14ac:dyDescent="0.25">
      <c r="A50" s="2" t="s">
        <v>24</v>
      </c>
      <c r="B50" s="1">
        <f>AVERAGE(B48:B49)</f>
        <v>24.296709954285717</v>
      </c>
      <c r="C50" s="1">
        <f>AVERAGE(C48:C49)</f>
        <v>14.4476</v>
      </c>
      <c r="D50" s="1">
        <f>AVERAGE(D48:D49)</f>
        <v>16.062430460556314</v>
      </c>
      <c r="E50" s="1">
        <f>AVERAGE(E48:E49)</f>
        <v>11.779166666666667</v>
      </c>
      <c r="F50" s="1">
        <f>AVERAGE(F48:F49)</f>
        <v>27.633810730853661</v>
      </c>
      <c r="G50" s="1"/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">B19/B17*100</f>
        <v>100</v>
      </c>
      <c r="C52" s="1">
        <f t="shared" si="1"/>
        <v>100</v>
      </c>
      <c r="D52" s="1">
        <f t="shared" si="1"/>
        <v>100</v>
      </c>
      <c r="E52" s="1">
        <f t="shared" si="1"/>
        <v>100</v>
      </c>
      <c r="F52" s="1">
        <f t="shared" si="1"/>
        <v>100</v>
      </c>
      <c r="G52" s="1" t="e">
        <f t="shared" si="1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>((B11/B9)-1)*100</f>
        <v>-30.822981366459622</v>
      </c>
      <c r="C55" s="1">
        <f>((C11/C9)-1)*100</f>
        <v>-27.419354838709676</v>
      </c>
      <c r="D55" s="1">
        <f>((D11/D9)-1)*100</f>
        <v>-51.612903225806448</v>
      </c>
      <c r="E55" s="1" t="e">
        <f>((E11/E9)-1)*100</f>
        <v>#DIV/0!</v>
      </c>
      <c r="F55" s="1">
        <f>((F11/F9)-1)*100</f>
        <v>-31.185567010309278</v>
      </c>
      <c r="G55" s="1"/>
    </row>
    <row r="56" spans="1:7" x14ac:dyDescent="0.25">
      <c r="A56" s="2" t="s">
        <v>28</v>
      </c>
      <c r="B56" s="1">
        <f>((B32/B31)-1)*100</f>
        <v>-7.3126683118060809</v>
      </c>
      <c r="C56" s="1">
        <f>((C32/C31)-1)*100</f>
        <v>-5.1626047811238589</v>
      </c>
      <c r="D56" s="1">
        <f>((D32/D31)-1)*100</f>
        <v>-30.639386614627217</v>
      </c>
      <c r="E56" s="1" t="e">
        <f>((E32/E31)-1)*100</f>
        <v>#DIV/0!</v>
      </c>
      <c r="F56" s="1">
        <f>((F32/F31)-1)*100</f>
        <v>-16.563219465919843</v>
      </c>
      <c r="G56" s="1"/>
    </row>
    <row r="57" spans="1:7" x14ac:dyDescent="0.25">
      <c r="A57" s="2" t="s">
        <v>29</v>
      </c>
      <c r="B57" s="1">
        <f>((B34/B33)-1)*100</f>
        <v>33.985727513348785</v>
      </c>
      <c r="C57" s="1">
        <f>((C34/C33)-1)*100</f>
        <v>30.664855634896028</v>
      </c>
      <c r="D57" s="1">
        <f>((D34/D33)-1)*100</f>
        <v>43.345267663103741</v>
      </c>
      <c r="E57" s="1" t="e">
        <f>((E34/E33)-1)*100</f>
        <v>#DIV/0!</v>
      </c>
      <c r="F57" s="1">
        <f>((F34/F33)-1)*100</f>
        <v>21.248954483981652</v>
      </c>
      <c r="G57" s="1"/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6">
        <f>B16/B10</f>
        <v>236535.66229985445</v>
      </c>
      <c r="C60" s="6">
        <f t="shared" ref="B60:F61" si="2">C16/C10</f>
        <v>952380.95238095243</v>
      </c>
      <c r="D60" s="6">
        <f t="shared" si="2"/>
        <v>2500000</v>
      </c>
      <c r="E60" s="6">
        <f t="shared" si="2"/>
        <v>0</v>
      </c>
      <c r="F60" s="6">
        <f t="shared" si="2"/>
        <v>107388.31615120274</v>
      </c>
      <c r="G60" s="1"/>
    </row>
    <row r="61" spans="1:7" x14ac:dyDescent="0.25">
      <c r="A61" s="2" t="s">
        <v>32</v>
      </c>
      <c r="B61" s="6">
        <f t="shared" si="2"/>
        <v>428241.08071829408</v>
      </c>
      <c r="C61" s="6">
        <f t="shared" si="2"/>
        <v>3519833.3333333335</v>
      </c>
      <c r="D61" s="6">
        <f t="shared" si="2"/>
        <v>3861416.6666666665</v>
      </c>
      <c r="E61" s="6">
        <f t="shared" si="2"/>
        <v>2836666.6666666665</v>
      </c>
      <c r="F61" s="6">
        <f t="shared" si="2"/>
        <v>80871.164694132342</v>
      </c>
      <c r="G61" s="1"/>
    </row>
    <row r="62" spans="1:7" x14ac:dyDescent="0.25">
      <c r="A62" s="2" t="s">
        <v>33</v>
      </c>
      <c r="B62" s="1">
        <f>(B60/B61)*B45</f>
        <v>50.332495882381913</v>
      </c>
      <c r="C62" s="1">
        <f>(C60/C61)*C45</f>
        <v>27.226619612284523</v>
      </c>
      <c r="D62" s="1">
        <f>(D60/D61)*D45</f>
        <v>61.77865420722101</v>
      </c>
      <c r="E62" s="1" t="e">
        <f>(E60/E61)*E45</f>
        <v>#DIV/0!</v>
      </c>
      <c r="F62" s="1">
        <f>(F60/F61)*F45</f>
        <v>80.096345083584708</v>
      </c>
      <c r="G62" s="1"/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1"/>
      <c r="G64" s="1"/>
    </row>
    <row r="65" spans="1:7" x14ac:dyDescent="0.25">
      <c r="A65" s="2" t="s">
        <v>35</v>
      </c>
      <c r="B65" s="1">
        <f>B23/B22*100</f>
        <v>126.46153846153847</v>
      </c>
      <c r="C65" s="1"/>
      <c r="D65" s="1">
        <f>D23/D22*100</f>
        <v>143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92.837664944038934</v>
      </c>
      <c r="C66" s="1"/>
      <c r="D66" s="1">
        <f>D17/D23*100</f>
        <v>81.008741258741253</v>
      </c>
      <c r="E66" s="1">
        <f>F17/E23*100</f>
        <v>51.822242336000002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107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165</v>
      </c>
    </row>
    <row r="77" spans="1:7" x14ac:dyDescent="0.25">
      <c r="A77" s="2" t="s">
        <v>76</v>
      </c>
    </row>
    <row r="79" spans="1:7" x14ac:dyDescent="0.25">
      <c r="A79" s="2" t="s">
        <v>167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80"/>
  <sheetViews>
    <sheetView topLeftCell="A10" zoomScale="80" zoomScaleNormal="80" workbookViewId="0">
      <selection activeCell="B49" sqref="B49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28515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9" t="s">
        <v>125</v>
      </c>
      <c r="B1" s="49"/>
      <c r="C1" s="49"/>
      <c r="D1" s="49"/>
      <c r="E1" s="49"/>
      <c r="F1" s="49"/>
      <c r="G1" s="49"/>
    </row>
    <row r="3" spans="1:7" x14ac:dyDescent="0.25">
      <c r="A3" s="52" t="s">
        <v>0</v>
      </c>
      <c r="B3" s="46" t="s">
        <v>37</v>
      </c>
      <c r="C3" s="50" t="s">
        <v>2</v>
      </c>
      <c r="D3" s="50"/>
      <c r="E3" s="50"/>
      <c r="F3" s="50"/>
      <c r="G3" s="50"/>
    </row>
    <row r="4" spans="1:7" ht="15.75" thickBot="1" x14ac:dyDescent="0.3">
      <c r="A4" s="53"/>
      <c r="B4" s="48"/>
      <c r="C4" s="51" t="s">
        <v>3</v>
      </c>
      <c r="D4" s="51"/>
      <c r="E4" s="51"/>
      <c r="F4" s="46" t="s">
        <v>4</v>
      </c>
      <c r="G4" s="46" t="s">
        <v>5</v>
      </c>
    </row>
    <row r="5" spans="1:7" ht="16.5" thickTop="1" thickBot="1" x14ac:dyDescent="0.3">
      <c r="A5" s="54"/>
      <c r="B5" s="47"/>
      <c r="C5" s="36" t="s">
        <v>1</v>
      </c>
      <c r="D5" s="36" t="s">
        <v>70</v>
      </c>
      <c r="E5" s="36" t="s">
        <v>72</v>
      </c>
      <c r="F5" s="47"/>
      <c r="G5" s="47"/>
    </row>
    <row r="6" spans="1:7" ht="15.75" thickTop="1" x14ac:dyDescent="0.25">
      <c r="A6" s="37"/>
      <c r="B6" s="38"/>
      <c r="C6" s="39"/>
      <c r="D6" s="39"/>
      <c r="E6" s="39"/>
      <c r="F6" s="38"/>
      <c r="G6" s="38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85</v>
      </c>
      <c r="B9" s="6">
        <f>+C9+F9+G9</f>
        <v>725</v>
      </c>
      <c r="C9" s="6">
        <f>SUM(D9:E9)</f>
        <v>172</v>
      </c>
      <c r="D9" s="6">
        <v>172</v>
      </c>
      <c r="E9" s="6">
        <v>0</v>
      </c>
      <c r="F9" s="6">
        <v>553</v>
      </c>
      <c r="G9" s="6">
        <v>0</v>
      </c>
    </row>
    <row r="10" spans="1:7" x14ac:dyDescent="0.25">
      <c r="A10" s="2" t="s">
        <v>126</v>
      </c>
      <c r="B10" s="6">
        <f t="shared" ref="B10:B19" si="0">+C10+F10+G10</f>
        <v>538</v>
      </c>
      <c r="C10" s="6">
        <f t="shared" ref="C10:C19" si="1">SUM(D10:E10)</f>
        <v>290</v>
      </c>
      <c r="D10" s="6">
        <v>180</v>
      </c>
      <c r="E10" s="6">
        <v>110</v>
      </c>
      <c r="F10" s="6">
        <v>248</v>
      </c>
      <c r="G10" s="6">
        <v>0</v>
      </c>
    </row>
    <row r="11" spans="1:7" x14ac:dyDescent="0.25">
      <c r="A11" s="2" t="s">
        <v>127</v>
      </c>
      <c r="B11" s="6">
        <f t="shared" si="0"/>
        <v>1891</v>
      </c>
      <c r="C11" s="6">
        <f t="shared" si="1"/>
        <v>175</v>
      </c>
      <c r="D11" s="6">
        <v>85</v>
      </c>
      <c r="E11" s="6">
        <v>90</v>
      </c>
      <c r="F11" s="6">
        <v>1716</v>
      </c>
      <c r="G11" s="6"/>
    </row>
    <row r="12" spans="1:7" x14ac:dyDescent="0.25">
      <c r="A12" s="2" t="s">
        <v>112</v>
      </c>
      <c r="B12" s="6">
        <f t="shared" si="0"/>
        <v>2800</v>
      </c>
      <c r="C12" s="6">
        <f>SUM(D12:E12)</f>
        <v>750</v>
      </c>
      <c r="D12" s="6">
        <v>430</v>
      </c>
      <c r="E12" s="6">
        <v>320</v>
      </c>
      <c r="F12" s="6">
        <v>2050</v>
      </c>
      <c r="G12" s="6">
        <v>0</v>
      </c>
    </row>
    <row r="13" spans="1:7" x14ac:dyDescent="0.25">
      <c r="B13" s="1"/>
      <c r="C13" s="6"/>
      <c r="D13" s="1"/>
      <c r="E13" s="1"/>
      <c r="F13" s="1"/>
      <c r="G13" s="1"/>
    </row>
    <row r="14" spans="1:7" x14ac:dyDescent="0.25">
      <c r="A14" s="2" t="s">
        <v>8</v>
      </c>
      <c r="B14" s="1"/>
      <c r="C14" s="6"/>
      <c r="D14" s="1"/>
      <c r="E14" s="1"/>
      <c r="F14" s="1"/>
      <c r="G14" s="1"/>
    </row>
    <row r="15" spans="1:7" x14ac:dyDescent="0.25">
      <c r="A15" s="2" t="s">
        <v>128</v>
      </c>
      <c r="B15" s="6">
        <f t="shared" si="0"/>
        <v>564633258.79999995</v>
      </c>
      <c r="C15" s="6">
        <f t="shared" si="1"/>
        <v>471260000</v>
      </c>
      <c r="D15" s="6">
        <v>471260000</v>
      </c>
      <c r="E15" s="6">
        <v>0</v>
      </c>
      <c r="F15" s="6">
        <v>93373258.799999997</v>
      </c>
      <c r="G15" s="6">
        <v>0</v>
      </c>
    </row>
    <row r="16" spans="1:7" x14ac:dyDescent="0.25">
      <c r="A16" s="2" t="s">
        <v>126</v>
      </c>
      <c r="B16" s="6">
        <f t="shared" si="0"/>
        <v>1050000000</v>
      </c>
      <c r="C16" s="6">
        <f t="shared" si="1"/>
        <v>925000000</v>
      </c>
      <c r="D16" s="6">
        <v>650000000</v>
      </c>
      <c r="E16" s="6">
        <v>275000000</v>
      </c>
      <c r="F16" s="6">
        <v>125000000</v>
      </c>
      <c r="G16" s="6">
        <v>0</v>
      </c>
    </row>
    <row r="17" spans="1:7" x14ac:dyDescent="0.25">
      <c r="A17" s="2" t="s">
        <v>127</v>
      </c>
      <c r="B17" s="6">
        <f t="shared" si="0"/>
        <v>718381485</v>
      </c>
      <c r="C17" s="6">
        <f t="shared" si="1"/>
        <v>600589000</v>
      </c>
      <c r="D17" s="6">
        <v>326349000</v>
      </c>
      <c r="E17" s="6">
        <v>274240000</v>
      </c>
      <c r="F17" s="6">
        <v>117792485</v>
      </c>
      <c r="G17" s="6"/>
    </row>
    <row r="18" spans="1:7" x14ac:dyDescent="0.25">
      <c r="A18" s="2" t="s">
        <v>112</v>
      </c>
      <c r="B18" s="6">
        <f t="shared" si="0"/>
        <v>2275000000</v>
      </c>
      <c r="C18" s="6">
        <f t="shared" si="1"/>
        <v>1875000000</v>
      </c>
      <c r="D18" s="6">
        <v>1275000000</v>
      </c>
      <c r="E18" s="6">
        <v>600000000</v>
      </c>
      <c r="F18" s="6">
        <v>400000000</v>
      </c>
      <c r="G18" s="6">
        <v>0</v>
      </c>
    </row>
    <row r="19" spans="1:7" x14ac:dyDescent="0.25">
      <c r="A19" s="2" t="s">
        <v>129</v>
      </c>
      <c r="B19" s="6">
        <f t="shared" si="0"/>
        <v>718381485</v>
      </c>
      <c r="C19" s="6">
        <f t="shared" si="1"/>
        <v>600589000</v>
      </c>
      <c r="D19" s="1">
        <f>D17</f>
        <v>326349000</v>
      </c>
      <c r="E19" s="1">
        <f>E17</f>
        <v>274240000</v>
      </c>
      <c r="F19" s="1">
        <f>F17</f>
        <v>117792485</v>
      </c>
      <c r="G19" s="1">
        <f>G17</f>
        <v>0</v>
      </c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1"/>
      <c r="G21" s="1"/>
    </row>
    <row r="22" spans="1:7" x14ac:dyDescent="0.25">
      <c r="A22" s="2" t="s">
        <v>126</v>
      </c>
      <c r="B22" s="6">
        <f>B16</f>
        <v>1050000000</v>
      </c>
      <c r="C22" s="1"/>
      <c r="D22" s="6">
        <f>D16</f>
        <v>650000000</v>
      </c>
      <c r="E22" s="6">
        <f>+E16+F16</f>
        <v>400000000</v>
      </c>
      <c r="F22" s="1"/>
      <c r="G22" s="1"/>
    </row>
    <row r="23" spans="1:7" x14ac:dyDescent="0.25">
      <c r="A23" s="2" t="s">
        <v>127</v>
      </c>
      <c r="B23" s="6">
        <f>D23+E23</f>
        <v>795000000</v>
      </c>
      <c r="C23" s="1"/>
      <c r="D23" s="6">
        <v>395000000</v>
      </c>
      <c r="E23" s="6">
        <v>400000000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86</v>
      </c>
      <c r="B26" s="1">
        <v>1.6242666666666665</v>
      </c>
      <c r="C26" s="1">
        <v>1.6242666666666665</v>
      </c>
      <c r="D26" s="1">
        <v>1.6242666666666665</v>
      </c>
      <c r="E26" s="1">
        <v>1.6242666666666665</v>
      </c>
      <c r="F26" s="1">
        <v>1.6242666666666665</v>
      </c>
      <c r="G26" s="1">
        <v>1.6242666666666665</v>
      </c>
    </row>
    <row r="27" spans="1:7" x14ac:dyDescent="0.25">
      <c r="A27" s="2" t="s">
        <v>130</v>
      </c>
      <c r="B27" s="1">
        <v>1.71</v>
      </c>
      <c r="C27" s="1">
        <v>1.71</v>
      </c>
      <c r="D27" s="1">
        <v>1.71</v>
      </c>
      <c r="E27" s="1">
        <v>1.71</v>
      </c>
      <c r="F27" s="1">
        <v>1.71</v>
      </c>
      <c r="G27" s="1">
        <v>1.71</v>
      </c>
    </row>
    <row r="28" spans="1:7" x14ac:dyDescent="0.25">
      <c r="A28" s="2" t="s">
        <v>11</v>
      </c>
      <c r="B28" s="6">
        <v>94057</v>
      </c>
      <c r="C28" s="6">
        <v>94057</v>
      </c>
      <c r="D28" s="6">
        <v>94057</v>
      </c>
      <c r="E28" s="6">
        <v>94057</v>
      </c>
      <c r="F28" s="6">
        <v>94057</v>
      </c>
      <c r="G28" s="6">
        <v>94057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87</v>
      </c>
      <c r="B31" s="6">
        <f t="shared" ref="B31:G31" si="2">B15/B26</f>
        <v>347623497.04482025</v>
      </c>
      <c r="C31" s="6">
        <f t="shared" si="2"/>
        <v>290137087.50615662</v>
      </c>
      <c r="D31" s="6">
        <f t="shared" si="2"/>
        <v>290137087.50615662</v>
      </c>
      <c r="E31" s="6">
        <f t="shared" si="2"/>
        <v>0</v>
      </c>
      <c r="F31" s="6">
        <f t="shared" si="2"/>
        <v>57486409.538663603</v>
      </c>
      <c r="G31" s="6">
        <f t="shared" si="2"/>
        <v>0</v>
      </c>
    </row>
    <row r="32" spans="1:7" x14ac:dyDescent="0.25">
      <c r="A32" s="2" t="s">
        <v>131</v>
      </c>
      <c r="B32" s="6">
        <f t="shared" ref="B32:G32" si="3">B17/B27</f>
        <v>420106131.57894737</v>
      </c>
      <c r="C32" s="6">
        <f t="shared" si="3"/>
        <v>351221637.42690057</v>
      </c>
      <c r="D32" s="6">
        <f t="shared" si="3"/>
        <v>190847368.42105263</v>
      </c>
      <c r="E32" s="6">
        <f t="shared" si="3"/>
        <v>160374269.00584796</v>
      </c>
      <c r="F32" s="6">
        <f t="shared" si="3"/>
        <v>68884494.152046785</v>
      </c>
      <c r="G32" s="6">
        <f t="shared" si="3"/>
        <v>0</v>
      </c>
    </row>
    <row r="33" spans="1:7" x14ac:dyDescent="0.25">
      <c r="A33" s="2" t="s">
        <v>88</v>
      </c>
      <c r="B33" s="6">
        <f t="shared" ref="B33:G33" si="4">B31/B9</f>
        <v>479480.68557906244</v>
      </c>
      <c r="C33" s="6">
        <f t="shared" si="4"/>
        <v>1686843.5320125385</v>
      </c>
      <c r="D33" s="6">
        <f t="shared" si="4"/>
        <v>1686843.5320125385</v>
      </c>
      <c r="E33" s="6" t="e">
        <f t="shared" si="4"/>
        <v>#DIV/0!</v>
      </c>
      <c r="F33" s="6">
        <f t="shared" si="4"/>
        <v>103953.72430138083</v>
      </c>
      <c r="G33" s="6" t="e">
        <f t="shared" si="4"/>
        <v>#DIV/0!</v>
      </c>
    </row>
    <row r="34" spans="1:7" x14ac:dyDescent="0.25">
      <c r="A34" s="2" t="s">
        <v>132</v>
      </c>
      <c r="B34" s="6">
        <f t="shared" ref="B34:G34" si="5">B32/B11</f>
        <v>222160.83108352585</v>
      </c>
      <c r="C34" s="6">
        <f t="shared" si="5"/>
        <v>2006980.7852965747</v>
      </c>
      <c r="D34" s="6">
        <f t="shared" si="5"/>
        <v>2245263.1578947371</v>
      </c>
      <c r="E34" s="6">
        <f t="shared" si="5"/>
        <v>1781936.3222871996</v>
      </c>
      <c r="F34" s="6">
        <f t="shared" si="5"/>
        <v>40142.479109584376</v>
      </c>
      <c r="G34" s="6" t="e">
        <f t="shared" si="5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6">B10/B28*100</f>
        <v>0.571993578362057</v>
      </c>
      <c r="C39" s="1">
        <f t="shared" si="6"/>
        <v>0.30832367606876682</v>
      </c>
      <c r="D39" s="1">
        <f t="shared" si="6"/>
        <v>0.19137331618061387</v>
      </c>
      <c r="E39" s="1">
        <f t="shared" si="6"/>
        <v>0.11695035988815293</v>
      </c>
      <c r="F39" s="1">
        <f t="shared" si="6"/>
        <v>0.26366990229329024</v>
      </c>
      <c r="G39" s="1">
        <f t="shared" si="6"/>
        <v>0</v>
      </c>
    </row>
    <row r="40" spans="1:7" x14ac:dyDescent="0.25">
      <c r="A40" s="2" t="s">
        <v>16</v>
      </c>
      <c r="B40" s="1">
        <f t="shared" ref="B40:G40" si="7">B11/B28*100</f>
        <v>2.0104830049863383</v>
      </c>
      <c r="C40" s="1">
        <f t="shared" si="7"/>
        <v>0.18605739073115238</v>
      </c>
      <c r="D40" s="1">
        <f t="shared" si="7"/>
        <v>9.0370732640845441E-2</v>
      </c>
      <c r="E40" s="1">
        <f t="shared" si="7"/>
        <v>9.5686658090306936E-2</v>
      </c>
      <c r="F40" s="1">
        <f t="shared" si="7"/>
        <v>1.8244256142551856</v>
      </c>
      <c r="G40" s="1">
        <f t="shared" si="7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8">B11/B10*100</f>
        <v>351.48698884758363</v>
      </c>
      <c r="C43" s="1">
        <f t="shared" si="8"/>
        <v>60.344827586206897</v>
      </c>
      <c r="D43" s="1">
        <f t="shared" si="8"/>
        <v>47.222222222222221</v>
      </c>
      <c r="E43" s="1">
        <f t="shared" si="8"/>
        <v>81.818181818181827</v>
      </c>
      <c r="F43" s="1">
        <f t="shared" si="8"/>
        <v>691.93548387096769</v>
      </c>
      <c r="G43" s="1" t="e">
        <f t="shared" si="8"/>
        <v>#DIV/0!</v>
      </c>
    </row>
    <row r="44" spans="1:7" x14ac:dyDescent="0.25">
      <c r="A44" s="2" t="s">
        <v>19</v>
      </c>
      <c r="B44" s="1">
        <f t="shared" ref="B44:G44" si="9">B17/B16*100</f>
        <v>68.417284285714288</v>
      </c>
      <c r="C44" s="1">
        <f t="shared" si="9"/>
        <v>64.928540540540538</v>
      </c>
      <c r="D44" s="1">
        <f t="shared" si="9"/>
        <v>50.207538461538462</v>
      </c>
      <c r="E44" s="1">
        <f t="shared" si="9"/>
        <v>99.723636363636359</v>
      </c>
      <c r="F44" s="1">
        <f t="shared" si="9"/>
        <v>94.233987999999997</v>
      </c>
      <c r="G44" s="1" t="e">
        <f t="shared" si="9"/>
        <v>#DIV/0!</v>
      </c>
    </row>
    <row r="45" spans="1:7" x14ac:dyDescent="0.25">
      <c r="A45" s="2" t="s">
        <v>20</v>
      </c>
      <c r="B45" s="1">
        <f t="shared" ref="B45:G45" si="10">AVERAGE(B43:B44)</f>
        <v>209.95213656664896</v>
      </c>
      <c r="C45" s="1">
        <f t="shared" si="10"/>
        <v>62.636684063373721</v>
      </c>
      <c r="D45" s="1">
        <f t="shared" si="10"/>
        <v>48.714880341880345</v>
      </c>
      <c r="E45" s="1">
        <f t="shared" si="10"/>
        <v>90.7709090909091</v>
      </c>
      <c r="F45" s="1">
        <f t="shared" si="10"/>
        <v>393.08473593548382</v>
      </c>
      <c r="G45" s="1" t="e">
        <f t="shared" si="10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1">B11/B12*100</f>
        <v>67.535714285714292</v>
      </c>
      <c r="C48" s="1">
        <f t="shared" si="11"/>
        <v>23.333333333333332</v>
      </c>
      <c r="D48" s="1">
        <f t="shared" si="11"/>
        <v>19.767441860465116</v>
      </c>
      <c r="E48" s="1">
        <f t="shared" si="11"/>
        <v>28.125</v>
      </c>
      <c r="F48" s="1">
        <f t="shared" si="11"/>
        <v>83.707317073170728</v>
      </c>
      <c r="G48" s="1" t="e">
        <f t="shared" si="11"/>
        <v>#DIV/0!</v>
      </c>
    </row>
    <row r="49" spans="1:7" x14ac:dyDescent="0.25">
      <c r="A49" s="2" t="s">
        <v>23</v>
      </c>
      <c r="B49" s="1">
        <f t="shared" ref="B49:G49" si="12">B17/B18*100</f>
        <v>31.577208131868133</v>
      </c>
      <c r="C49" s="1">
        <f t="shared" si="12"/>
        <v>32.031413333333333</v>
      </c>
      <c r="D49" s="1">
        <f t="shared" si="12"/>
        <v>25.596000000000004</v>
      </c>
      <c r="E49" s="1">
        <f t="shared" si="12"/>
        <v>45.706666666666671</v>
      </c>
      <c r="F49" s="1">
        <f t="shared" si="12"/>
        <v>29.448121249999996</v>
      </c>
      <c r="G49" s="1" t="e">
        <f t="shared" si="12"/>
        <v>#DIV/0!</v>
      </c>
    </row>
    <row r="50" spans="1:7" x14ac:dyDescent="0.25">
      <c r="A50" s="2" t="s">
        <v>24</v>
      </c>
      <c r="B50" s="1">
        <f t="shared" ref="B50:G50" si="13">AVERAGE(B48:B49)</f>
        <v>49.556461208791212</v>
      </c>
      <c r="C50" s="1">
        <f t="shared" si="13"/>
        <v>27.682373333333331</v>
      </c>
      <c r="D50" s="1">
        <f t="shared" si="13"/>
        <v>22.681720930232558</v>
      </c>
      <c r="E50" s="1">
        <f t="shared" si="13"/>
        <v>36.915833333333339</v>
      </c>
      <c r="F50" s="1">
        <f t="shared" si="13"/>
        <v>56.577719161585364</v>
      </c>
      <c r="G50" s="1" t="e">
        <f t="shared" si="13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>B19/B17*100</f>
        <v>100</v>
      </c>
      <c r="C52" s="1">
        <f t="shared" ref="C52:G52" si="14">C19/C17*100</f>
        <v>100</v>
      </c>
      <c r="D52" s="1">
        <f t="shared" si="14"/>
        <v>100</v>
      </c>
      <c r="E52" s="1">
        <f t="shared" si="14"/>
        <v>100</v>
      </c>
      <c r="F52" s="1">
        <f t="shared" si="14"/>
        <v>100</v>
      </c>
      <c r="G52" s="1" t="e">
        <f t="shared" si="14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5">((B11/B9)-1)*100</f>
        <v>160.82758620689654</v>
      </c>
      <c r="C55" s="1">
        <f t="shared" si="15"/>
        <v>1.744186046511631</v>
      </c>
      <c r="D55" s="1">
        <f t="shared" si="15"/>
        <v>-50.581395348837212</v>
      </c>
      <c r="E55" s="1" t="e">
        <f t="shared" si="15"/>
        <v>#DIV/0!</v>
      </c>
      <c r="F55" s="1">
        <f t="shared" si="15"/>
        <v>210.30741410488244</v>
      </c>
      <c r="G55" s="1" t="e">
        <f t="shared" si="15"/>
        <v>#DIV/0!</v>
      </c>
    </row>
    <row r="56" spans="1:7" x14ac:dyDescent="0.25">
      <c r="A56" s="2" t="s">
        <v>28</v>
      </c>
      <c r="B56" s="1">
        <f>((B32/B31)-1)*100</f>
        <v>20.850901952919966</v>
      </c>
      <c r="C56" s="1">
        <f t="shared" ref="C56:G56" si="16">((C32/C31)-1)*100</f>
        <v>21.053685499427143</v>
      </c>
      <c r="D56" s="1">
        <f t="shared" si="16"/>
        <v>-34.221657058233582</v>
      </c>
      <c r="E56" s="1" t="e">
        <f t="shared" si="16"/>
        <v>#DIV/0!</v>
      </c>
      <c r="F56" s="1">
        <f t="shared" si="16"/>
        <v>19.827442181298839</v>
      </c>
      <c r="G56" s="1" t="e">
        <f t="shared" si="16"/>
        <v>#DIV/0!</v>
      </c>
    </row>
    <row r="57" spans="1:7" x14ac:dyDescent="0.25">
      <c r="A57" s="2" t="s">
        <v>29</v>
      </c>
      <c r="B57" s="1">
        <f t="shared" ref="B57:G57" si="17">((B34/B33)-1)*100</f>
        <v>-53.666364930794828</v>
      </c>
      <c r="C57" s="1">
        <f t="shared" si="17"/>
        <v>18.978479462294118</v>
      </c>
      <c r="D57" s="1">
        <f t="shared" si="17"/>
        <v>33.104411599809701</v>
      </c>
      <c r="E57" s="1" t="e">
        <f t="shared" si="17"/>
        <v>#DIV/0!</v>
      </c>
      <c r="F57" s="1">
        <f t="shared" si="17"/>
        <v>-61.384279996352994</v>
      </c>
      <c r="G57" s="1" t="e">
        <f t="shared" si="17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1951672.8624535317</v>
      </c>
      <c r="C60" s="1">
        <f t="shared" ref="C60:G61" si="18">C16/C10</f>
        <v>3189655.1724137929</v>
      </c>
      <c r="D60" s="1">
        <f>D16/D10</f>
        <v>3611111.111111111</v>
      </c>
      <c r="E60" s="1">
        <f>E16/E10</f>
        <v>2500000</v>
      </c>
      <c r="F60" s="1">
        <f t="shared" si="18"/>
        <v>504032.25806451612</v>
      </c>
      <c r="G60" s="1" t="e">
        <f t="shared" si="18"/>
        <v>#DIV/0!</v>
      </c>
    </row>
    <row r="61" spans="1:7" x14ac:dyDescent="0.25">
      <c r="A61" s="2" t="s">
        <v>32</v>
      </c>
      <c r="B61" s="1">
        <f>B17/B11</f>
        <v>379895.02115282917</v>
      </c>
      <c r="C61" s="1">
        <f t="shared" si="18"/>
        <v>3431937.1428571427</v>
      </c>
      <c r="D61" s="1">
        <f>D17/D11</f>
        <v>3839400</v>
      </c>
      <c r="E61" s="1">
        <f>E17/E11</f>
        <v>3047111.111111111</v>
      </c>
      <c r="F61" s="1">
        <f t="shared" si="18"/>
        <v>68643.639277389273</v>
      </c>
      <c r="G61" s="1" t="e">
        <f t="shared" si="18"/>
        <v>#DIV/0!</v>
      </c>
    </row>
    <row r="62" spans="1:7" x14ac:dyDescent="0.25">
      <c r="A62" s="2" t="s">
        <v>33</v>
      </c>
      <c r="B62" s="1">
        <f t="shared" ref="B62:G62" si="19">(B60/B61)*B45</f>
        <v>1078.6082063087206</v>
      </c>
      <c r="C62" s="1">
        <f t="shared" si="19"/>
        <v>58.214767633902724</v>
      </c>
      <c r="D62" s="1">
        <f t="shared" si="19"/>
        <v>45.818316840915863</v>
      </c>
      <c r="E62" s="1">
        <f t="shared" si="19"/>
        <v>74.472923517555969</v>
      </c>
      <c r="F62" s="1">
        <f t="shared" si="19"/>
        <v>2886.318224819378</v>
      </c>
      <c r="G62" s="1" t="e">
        <f t="shared" si="19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1" t="s">
        <v>1</v>
      </c>
      <c r="C64" s="1"/>
      <c r="D64" s="1" t="s">
        <v>70</v>
      </c>
      <c r="E64" s="1" t="s">
        <v>72</v>
      </c>
      <c r="F64" s="1"/>
      <c r="G64" s="1"/>
    </row>
    <row r="65" spans="1:7" x14ac:dyDescent="0.25">
      <c r="A65" s="2" t="s">
        <v>35</v>
      </c>
      <c r="B65" s="1">
        <f>B23/B22*100</f>
        <v>75.714285714285708</v>
      </c>
      <c r="C65" s="1"/>
      <c r="D65" s="1">
        <f>D23/D22*100</f>
        <v>60.769230769230766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90.362450943396226</v>
      </c>
      <c r="C66" s="1"/>
      <c r="D66" s="1">
        <f>D17/D23*100</f>
        <v>82.62</v>
      </c>
      <c r="E66" s="1">
        <f>F17/E23*100</f>
        <v>29.448121249999996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107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165</v>
      </c>
    </row>
    <row r="77" spans="1:7" x14ac:dyDescent="0.25">
      <c r="A77" s="2" t="s">
        <v>76</v>
      </c>
    </row>
    <row r="80" spans="1:7" x14ac:dyDescent="0.25">
      <c r="A80" s="2" t="s">
        <v>168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82"/>
  <sheetViews>
    <sheetView zoomScale="90" zoomScaleNormal="90" workbookViewId="0">
      <selection activeCell="C19" sqref="C19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9" t="s">
        <v>133</v>
      </c>
      <c r="B1" s="49"/>
      <c r="C1" s="49"/>
      <c r="D1" s="49"/>
      <c r="E1" s="49"/>
      <c r="F1" s="49"/>
      <c r="G1" s="49"/>
    </row>
    <row r="3" spans="1:7" x14ac:dyDescent="0.25">
      <c r="A3" s="52" t="s">
        <v>0</v>
      </c>
      <c r="B3" s="46" t="s">
        <v>37</v>
      </c>
      <c r="C3" s="50" t="s">
        <v>2</v>
      </c>
      <c r="D3" s="50"/>
      <c r="E3" s="50"/>
      <c r="F3" s="50"/>
      <c r="G3" s="50"/>
    </row>
    <row r="4" spans="1:7" ht="15.75" thickBot="1" x14ac:dyDescent="0.3">
      <c r="A4" s="53"/>
      <c r="B4" s="48"/>
      <c r="C4" s="51" t="s">
        <v>3</v>
      </c>
      <c r="D4" s="51"/>
      <c r="E4" s="51"/>
      <c r="F4" s="46" t="s">
        <v>4</v>
      </c>
      <c r="G4" s="46" t="s">
        <v>5</v>
      </c>
    </row>
    <row r="5" spans="1:7" ht="16.5" thickTop="1" thickBot="1" x14ac:dyDescent="0.3">
      <c r="A5" s="54"/>
      <c r="B5" s="47"/>
      <c r="C5" s="36" t="s">
        <v>1</v>
      </c>
      <c r="D5" s="36" t="s">
        <v>70</v>
      </c>
      <c r="E5" s="36" t="s">
        <v>72</v>
      </c>
      <c r="F5" s="47"/>
      <c r="G5" s="47"/>
    </row>
    <row r="6" spans="1:7" ht="15.75" thickTop="1" x14ac:dyDescent="0.25">
      <c r="A6" s="37"/>
      <c r="B6" s="38"/>
      <c r="C6" s="39"/>
      <c r="D6" s="39"/>
      <c r="E6" s="39"/>
      <c r="F6" s="38"/>
      <c r="G6" s="38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89</v>
      </c>
      <c r="B9" s="6">
        <f>+C9+F9+G9</f>
        <v>945</v>
      </c>
      <c r="C9" s="6">
        <f>SUM(D9:E9)</f>
        <v>160</v>
      </c>
      <c r="D9" s="6">
        <v>160</v>
      </c>
      <c r="E9" s="6">
        <v>0</v>
      </c>
      <c r="F9" s="6">
        <v>785</v>
      </c>
      <c r="G9" s="6">
        <v>0</v>
      </c>
    </row>
    <row r="10" spans="1:7" x14ac:dyDescent="0.25">
      <c r="A10" s="2" t="s">
        <v>134</v>
      </c>
      <c r="B10" s="6">
        <f t="shared" ref="B10:B19" si="0">+C10+F10+G10</f>
        <v>309</v>
      </c>
      <c r="C10" s="6">
        <f t="shared" ref="C10:C19" si="1">SUM(D10:E10)</f>
        <v>145</v>
      </c>
      <c r="D10" s="6">
        <v>145</v>
      </c>
      <c r="E10" s="6">
        <v>0</v>
      </c>
      <c r="F10" s="6">
        <v>164</v>
      </c>
      <c r="G10" s="6">
        <v>0</v>
      </c>
    </row>
    <row r="11" spans="1:7" x14ac:dyDescent="0.25">
      <c r="A11" s="2" t="s">
        <v>135</v>
      </c>
      <c r="B11" s="6">
        <f t="shared" si="0"/>
        <v>178</v>
      </c>
      <c r="C11" s="6">
        <f t="shared" si="1"/>
        <v>178</v>
      </c>
      <c r="D11" s="6">
        <v>177</v>
      </c>
      <c r="E11" s="6">
        <v>1</v>
      </c>
      <c r="F11" s="6">
        <v>0</v>
      </c>
      <c r="G11" s="6"/>
    </row>
    <row r="12" spans="1:7" x14ac:dyDescent="0.25">
      <c r="A12" s="2" t="s">
        <v>112</v>
      </c>
      <c r="B12" s="6">
        <f t="shared" si="0"/>
        <v>2800</v>
      </c>
      <c r="C12" s="6">
        <f>SUM(D12:E12)</f>
        <v>750</v>
      </c>
      <c r="D12" s="6">
        <v>430</v>
      </c>
      <c r="E12" s="6">
        <v>320</v>
      </c>
      <c r="F12" s="6">
        <v>2050</v>
      </c>
      <c r="G12" s="6">
        <v>0</v>
      </c>
    </row>
    <row r="13" spans="1:7" x14ac:dyDescent="0.25">
      <c r="B13" s="1"/>
      <c r="C13" s="6"/>
      <c r="D13" s="1"/>
      <c r="E13" s="1"/>
      <c r="F13" s="1"/>
      <c r="G13" s="1"/>
    </row>
    <row r="14" spans="1:7" x14ac:dyDescent="0.25">
      <c r="A14" s="2" t="s">
        <v>8</v>
      </c>
      <c r="B14" s="1"/>
      <c r="C14" s="6"/>
      <c r="D14" s="1"/>
      <c r="E14" s="1"/>
      <c r="F14" s="1"/>
      <c r="G14" s="1"/>
    </row>
    <row r="15" spans="1:7" x14ac:dyDescent="0.25">
      <c r="A15" s="2" t="s">
        <v>136</v>
      </c>
      <c r="B15" s="6">
        <f t="shared" si="0"/>
        <v>704469080.20000005</v>
      </c>
      <c r="C15" s="6">
        <f t="shared" si="1"/>
        <v>533315000</v>
      </c>
      <c r="D15" s="6">
        <v>533315000</v>
      </c>
      <c r="E15" s="6">
        <v>0</v>
      </c>
      <c r="F15" s="6">
        <v>171154080.19999999</v>
      </c>
      <c r="G15" s="6">
        <v>0</v>
      </c>
    </row>
    <row r="16" spans="1:7" x14ac:dyDescent="0.25">
      <c r="A16" s="2" t="s">
        <v>134</v>
      </c>
      <c r="B16" s="6">
        <f t="shared" si="0"/>
        <v>462500000</v>
      </c>
      <c r="C16" s="6">
        <f t="shared" si="1"/>
        <v>362500000</v>
      </c>
      <c r="D16" s="6">
        <v>362500000</v>
      </c>
      <c r="E16" s="6">
        <v>0</v>
      </c>
      <c r="F16" s="6">
        <v>100000000</v>
      </c>
      <c r="G16" s="6">
        <v>0</v>
      </c>
    </row>
    <row r="17" spans="1:7" x14ac:dyDescent="0.25">
      <c r="A17" s="2" t="s">
        <v>135</v>
      </c>
      <c r="B17" s="6">
        <f t="shared" si="0"/>
        <v>765424720.03999996</v>
      </c>
      <c r="C17" s="6">
        <f t="shared" si="1"/>
        <v>573209000</v>
      </c>
      <c r="D17" s="6">
        <v>572150000</v>
      </c>
      <c r="E17" s="6">
        <v>1059000</v>
      </c>
      <c r="F17" s="6">
        <v>192215720.04000002</v>
      </c>
      <c r="G17" s="6"/>
    </row>
    <row r="18" spans="1:7" x14ac:dyDescent="0.25">
      <c r="A18" s="2" t="s">
        <v>112</v>
      </c>
      <c r="B18" s="6">
        <f t="shared" si="0"/>
        <v>2275000000</v>
      </c>
      <c r="C18" s="6">
        <f t="shared" si="1"/>
        <v>1875000000</v>
      </c>
      <c r="D18" s="6">
        <v>1275000000</v>
      </c>
      <c r="E18" s="6">
        <v>600000000</v>
      </c>
      <c r="F18" s="6">
        <v>400000000</v>
      </c>
      <c r="G18" s="6">
        <v>0</v>
      </c>
    </row>
    <row r="19" spans="1:7" x14ac:dyDescent="0.25">
      <c r="A19" s="2" t="s">
        <v>137</v>
      </c>
      <c r="B19" s="6">
        <f t="shared" si="0"/>
        <v>765424720.03999996</v>
      </c>
      <c r="C19" s="6">
        <f t="shared" si="1"/>
        <v>573209000</v>
      </c>
      <c r="D19" s="6">
        <f>D17</f>
        <v>572150000</v>
      </c>
      <c r="E19" s="6">
        <f>E17</f>
        <v>1059000</v>
      </c>
      <c r="F19" s="6">
        <f>F17</f>
        <v>192215720.04000002</v>
      </c>
      <c r="G19" s="6">
        <f>G17</f>
        <v>0</v>
      </c>
    </row>
    <row r="20" spans="1:7" x14ac:dyDescent="0.25">
      <c r="B20" s="6"/>
      <c r="C20" s="6"/>
      <c r="D20" s="6"/>
      <c r="E20" s="6"/>
      <c r="F20" s="6"/>
      <c r="G20" s="6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6"/>
      <c r="G21" s="6"/>
    </row>
    <row r="22" spans="1:7" x14ac:dyDescent="0.25">
      <c r="A22" s="2" t="s">
        <v>134</v>
      </c>
      <c r="B22" s="6">
        <f>B16</f>
        <v>462500000</v>
      </c>
      <c r="C22" s="6"/>
      <c r="D22" s="6">
        <f>D16</f>
        <v>362500000</v>
      </c>
      <c r="E22" s="6">
        <f>E16+F16</f>
        <v>100000000</v>
      </c>
      <c r="F22" s="6"/>
      <c r="G22" s="6"/>
    </row>
    <row r="23" spans="1:7" x14ac:dyDescent="0.25">
      <c r="A23" s="2" t="s">
        <v>135</v>
      </c>
      <c r="B23" s="6">
        <f>D23+E23</f>
        <v>457000000</v>
      </c>
      <c r="C23" s="1"/>
      <c r="D23" s="6">
        <v>357000000</v>
      </c>
      <c r="E23" s="6">
        <v>100000000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90</v>
      </c>
      <c r="B26" s="1">
        <v>1.62</v>
      </c>
      <c r="C26" s="1">
        <v>1.62</v>
      </c>
      <c r="D26" s="1">
        <v>1.62</v>
      </c>
      <c r="E26" s="1">
        <v>1.62</v>
      </c>
      <c r="F26" s="1">
        <v>1.62</v>
      </c>
      <c r="G26" s="1">
        <v>1.62</v>
      </c>
    </row>
    <row r="27" spans="1:7" x14ac:dyDescent="0.25">
      <c r="A27" s="2" t="s">
        <v>138</v>
      </c>
      <c r="B27" s="1">
        <v>1.71</v>
      </c>
      <c r="C27" s="1">
        <v>1.71</v>
      </c>
      <c r="D27" s="1">
        <v>1.71</v>
      </c>
      <c r="E27" s="1">
        <v>1.71</v>
      </c>
      <c r="F27" s="1">
        <v>1.71</v>
      </c>
      <c r="G27" s="1">
        <v>1.71</v>
      </c>
    </row>
    <row r="28" spans="1:7" x14ac:dyDescent="0.25">
      <c r="A28" s="2" t="s">
        <v>11</v>
      </c>
      <c r="B28" s="6">
        <v>94057</v>
      </c>
      <c r="C28" s="6">
        <v>94057</v>
      </c>
      <c r="D28" s="6">
        <v>94057</v>
      </c>
      <c r="E28" s="6">
        <v>94057</v>
      </c>
      <c r="F28" s="6">
        <v>94057</v>
      </c>
      <c r="G28" s="6">
        <v>94057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91</v>
      </c>
      <c r="B31" s="1">
        <f t="shared" ref="B31:G31" si="2">B15/B26</f>
        <v>434857456.91358024</v>
      </c>
      <c r="C31" s="1">
        <f t="shared" si="2"/>
        <v>329206790.12345678</v>
      </c>
      <c r="D31" s="1">
        <f t="shared" si="2"/>
        <v>329206790.12345678</v>
      </c>
      <c r="E31" s="1">
        <f t="shared" si="2"/>
        <v>0</v>
      </c>
      <c r="F31" s="1">
        <f t="shared" si="2"/>
        <v>105650666.79012345</v>
      </c>
      <c r="G31" s="1">
        <f t="shared" si="2"/>
        <v>0</v>
      </c>
    </row>
    <row r="32" spans="1:7" x14ac:dyDescent="0.25">
      <c r="A32" s="2" t="s">
        <v>139</v>
      </c>
      <c r="B32" s="1">
        <f t="shared" ref="B32:G32" si="3">B17/B27</f>
        <v>447616795.34502923</v>
      </c>
      <c r="C32" s="1">
        <f t="shared" si="3"/>
        <v>335209941.52046782</v>
      </c>
      <c r="D32" s="1">
        <f t="shared" si="3"/>
        <v>334590643.27485383</v>
      </c>
      <c r="E32" s="1">
        <f t="shared" si="3"/>
        <v>619298.24561403506</v>
      </c>
      <c r="F32" s="1">
        <f t="shared" si="3"/>
        <v>112406853.82456142</v>
      </c>
      <c r="G32" s="1">
        <f t="shared" si="3"/>
        <v>0</v>
      </c>
    </row>
    <row r="33" spans="1:7" x14ac:dyDescent="0.25">
      <c r="A33" s="2" t="s">
        <v>92</v>
      </c>
      <c r="B33" s="1">
        <f t="shared" ref="B33:G33" si="4">B31/B9</f>
        <v>460166.62107257167</v>
      </c>
      <c r="C33" s="1">
        <f t="shared" si="4"/>
        <v>2057542.4382716049</v>
      </c>
      <c r="D33" s="1">
        <f t="shared" si="4"/>
        <v>2057542.4382716049</v>
      </c>
      <c r="E33" s="1" t="e">
        <f t="shared" si="4"/>
        <v>#DIV/0!</v>
      </c>
      <c r="F33" s="1">
        <f t="shared" si="4"/>
        <v>134586.8366753165</v>
      </c>
      <c r="G33" s="1" t="e">
        <f t="shared" si="4"/>
        <v>#DIV/0!</v>
      </c>
    </row>
    <row r="34" spans="1:7" x14ac:dyDescent="0.25">
      <c r="A34" s="2" t="s">
        <v>140</v>
      </c>
      <c r="B34" s="1">
        <f t="shared" ref="B34:G34" si="5">B32/B11</f>
        <v>2514701.0974439844</v>
      </c>
      <c r="C34" s="1">
        <f t="shared" si="5"/>
        <v>1883201.9186543135</v>
      </c>
      <c r="D34" s="1">
        <f t="shared" si="5"/>
        <v>1890342.6173720555</v>
      </c>
      <c r="E34" s="1">
        <f t="shared" si="5"/>
        <v>619298.24561403506</v>
      </c>
      <c r="F34" s="1" t="e">
        <f t="shared" si="5"/>
        <v>#DIV/0!</v>
      </c>
      <c r="G34" s="1" t="e">
        <f t="shared" si="5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6">B10/B28*100</f>
        <v>0.32852419277672051</v>
      </c>
      <c r="C39" s="1">
        <f t="shared" si="6"/>
        <v>0.15416183803438341</v>
      </c>
      <c r="D39" s="1">
        <f t="shared" si="6"/>
        <v>0.15416183803438341</v>
      </c>
      <c r="E39" s="1">
        <f t="shared" si="6"/>
        <v>0</v>
      </c>
      <c r="F39" s="1">
        <f t="shared" si="6"/>
        <v>0.17436235474233708</v>
      </c>
      <c r="G39" s="1">
        <f t="shared" si="6"/>
        <v>0</v>
      </c>
    </row>
    <row r="40" spans="1:7" x14ac:dyDescent="0.25">
      <c r="A40" s="2" t="s">
        <v>16</v>
      </c>
      <c r="B40" s="1">
        <f t="shared" ref="B40:G40" si="7">B11/B28*100</f>
        <v>0.18924694600082928</v>
      </c>
      <c r="C40" s="1">
        <f t="shared" si="7"/>
        <v>0.18924694600082928</v>
      </c>
      <c r="D40" s="1">
        <f t="shared" si="7"/>
        <v>0.188183760910937</v>
      </c>
      <c r="E40" s="1">
        <f t="shared" si="7"/>
        <v>1.0631850898922995E-3</v>
      </c>
      <c r="F40" s="1">
        <f t="shared" si="7"/>
        <v>0</v>
      </c>
      <c r="G40" s="1">
        <f t="shared" si="7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8">B11/B10*100</f>
        <v>57.605177993527512</v>
      </c>
      <c r="C43" s="1">
        <f t="shared" si="8"/>
        <v>122.75862068965517</v>
      </c>
      <c r="D43" s="1">
        <f t="shared" si="8"/>
        <v>122.06896551724138</v>
      </c>
      <c r="E43" s="1" t="e">
        <f t="shared" si="8"/>
        <v>#DIV/0!</v>
      </c>
      <c r="F43" s="1">
        <f t="shared" si="8"/>
        <v>0</v>
      </c>
      <c r="G43" s="1" t="e">
        <f t="shared" si="8"/>
        <v>#DIV/0!</v>
      </c>
    </row>
    <row r="44" spans="1:7" x14ac:dyDescent="0.25">
      <c r="A44" s="2" t="s">
        <v>19</v>
      </c>
      <c r="B44" s="1">
        <f t="shared" ref="B44:G44" si="9">B17/B16*100</f>
        <v>165.4972367654054</v>
      </c>
      <c r="C44" s="1">
        <f t="shared" si="9"/>
        <v>158.12662068965517</v>
      </c>
      <c r="D44" s="1">
        <f t="shared" si="9"/>
        <v>157.83448275862068</v>
      </c>
      <c r="E44" s="1" t="e">
        <f t="shared" si="9"/>
        <v>#DIV/0!</v>
      </c>
      <c r="F44" s="1">
        <f t="shared" si="9"/>
        <v>192.21572004000004</v>
      </c>
      <c r="G44" s="1" t="e">
        <f t="shared" si="9"/>
        <v>#DIV/0!</v>
      </c>
    </row>
    <row r="45" spans="1:7" x14ac:dyDescent="0.25">
      <c r="A45" s="2" t="s">
        <v>20</v>
      </c>
      <c r="B45" s="1">
        <f t="shared" ref="B45:G45" si="10">AVERAGE(B43:B44)</f>
        <v>111.55120737946646</v>
      </c>
      <c r="C45" s="1">
        <f t="shared" si="10"/>
        <v>140.44262068965517</v>
      </c>
      <c r="D45" s="1">
        <f t="shared" si="10"/>
        <v>139.95172413793102</v>
      </c>
      <c r="E45" s="1" t="e">
        <f t="shared" si="10"/>
        <v>#DIV/0!</v>
      </c>
      <c r="F45" s="1">
        <f t="shared" si="10"/>
        <v>96.107860020000018</v>
      </c>
      <c r="G45" s="1" t="e">
        <f t="shared" si="10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1">B11/B12*100</f>
        <v>6.3571428571428568</v>
      </c>
      <c r="C48" s="1">
        <f t="shared" si="11"/>
        <v>23.733333333333334</v>
      </c>
      <c r="D48" s="1">
        <f t="shared" si="11"/>
        <v>41.162790697674417</v>
      </c>
      <c r="E48" s="1">
        <f t="shared" si="11"/>
        <v>0.3125</v>
      </c>
      <c r="F48" s="1">
        <f t="shared" si="11"/>
        <v>0</v>
      </c>
      <c r="G48" s="1" t="e">
        <f t="shared" si="11"/>
        <v>#DIV/0!</v>
      </c>
    </row>
    <row r="49" spans="1:7" x14ac:dyDescent="0.25">
      <c r="A49" s="2" t="s">
        <v>23</v>
      </c>
      <c r="B49" s="1">
        <f t="shared" ref="B49:G49" si="12">B17/B18*100</f>
        <v>33.645042639120874</v>
      </c>
      <c r="C49" s="1">
        <f t="shared" si="12"/>
        <v>30.571146666666664</v>
      </c>
      <c r="D49" s="1">
        <f t="shared" si="12"/>
        <v>44.874509803921569</v>
      </c>
      <c r="E49" s="1">
        <f t="shared" si="12"/>
        <v>0.17650000000000002</v>
      </c>
      <c r="F49" s="1">
        <f t="shared" si="12"/>
        <v>48.053930010000009</v>
      </c>
      <c r="G49" s="1" t="e">
        <f t="shared" si="12"/>
        <v>#DIV/0!</v>
      </c>
    </row>
    <row r="50" spans="1:7" x14ac:dyDescent="0.25">
      <c r="A50" s="2" t="s">
        <v>24</v>
      </c>
      <c r="B50" s="1">
        <f t="shared" ref="B50:G50" si="13">AVERAGE(B48:B49)</f>
        <v>20.001092748131864</v>
      </c>
      <c r="C50" s="1">
        <f t="shared" si="13"/>
        <v>27.152239999999999</v>
      </c>
      <c r="D50" s="1">
        <f t="shared" si="13"/>
        <v>43.01865025079799</v>
      </c>
      <c r="E50" s="1">
        <f t="shared" si="13"/>
        <v>0.2445</v>
      </c>
      <c r="F50" s="1">
        <f t="shared" si="13"/>
        <v>24.026965005000005</v>
      </c>
      <c r="G50" s="1" t="e">
        <f t="shared" si="13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4">B19/B17*100</f>
        <v>100</v>
      </c>
      <c r="C52" s="1">
        <f t="shared" si="14"/>
        <v>100</v>
      </c>
      <c r="D52" s="1">
        <f t="shared" si="14"/>
        <v>100</v>
      </c>
      <c r="E52" s="1">
        <f t="shared" si="14"/>
        <v>100</v>
      </c>
      <c r="F52" s="1">
        <f t="shared" si="14"/>
        <v>100</v>
      </c>
      <c r="G52" s="1" t="e">
        <f t="shared" si="14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5">((B11/B9)-1)*100</f>
        <v>-81.164021164021165</v>
      </c>
      <c r="C55" s="1">
        <f t="shared" si="15"/>
        <v>11.250000000000004</v>
      </c>
      <c r="D55" s="1">
        <f t="shared" si="15"/>
        <v>10.624999999999996</v>
      </c>
      <c r="E55" s="1" t="e">
        <f t="shared" si="15"/>
        <v>#DIV/0!</v>
      </c>
      <c r="F55" s="1">
        <f t="shared" si="15"/>
        <v>-100</v>
      </c>
      <c r="G55" s="1" t="e">
        <f t="shared" si="15"/>
        <v>#DIV/0!</v>
      </c>
    </row>
    <row r="56" spans="1:7" x14ac:dyDescent="0.25">
      <c r="A56" s="2" t="s">
        <v>28</v>
      </c>
      <c r="B56" s="1">
        <f t="shared" ref="B56:G56" si="16">((B32/B31)-1)*100</f>
        <v>2.9341427239189866</v>
      </c>
      <c r="C56" s="1">
        <f t="shared" si="16"/>
        <v>1.8235199203393559</v>
      </c>
      <c r="D56" s="1">
        <f t="shared" si="16"/>
        <v>1.6354016116672643</v>
      </c>
      <c r="E56" s="1" t="e">
        <f t="shared" si="16"/>
        <v>#DIV/0!</v>
      </c>
      <c r="F56" s="1">
        <f t="shared" si="16"/>
        <v>6.3948361517293995</v>
      </c>
      <c r="G56" s="1" t="e">
        <f t="shared" si="16"/>
        <v>#DIV/0!</v>
      </c>
    </row>
    <row r="57" spans="1:7" x14ac:dyDescent="0.25">
      <c r="A57" s="2" t="s">
        <v>29</v>
      </c>
      <c r="B57" s="1">
        <f t="shared" ref="B57:G57" si="17">((B34/B33)-1)*100</f>
        <v>446.47620715788452</v>
      </c>
      <c r="C57" s="1">
        <f t="shared" si="17"/>
        <v>-8.4732405210432677</v>
      </c>
      <c r="D57" s="1">
        <f t="shared" si="17"/>
        <v>-8.1261906335211247</v>
      </c>
      <c r="E57" s="1" t="e">
        <f t="shared" si="17"/>
        <v>#DIV/0!</v>
      </c>
      <c r="F57" s="1" t="e">
        <f t="shared" si="17"/>
        <v>#DIV/0!</v>
      </c>
      <c r="G57" s="1" t="e">
        <f t="shared" si="17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1496763.7540453074</v>
      </c>
      <c r="C60" s="1">
        <f t="shared" ref="C60:G60" si="18">C16/C10</f>
        <v>2500000</v>
      </c>
      <c r="D60" s="1">
        <f t="shared" si="18"/>
        <v>2500000</v>
      </c>
      <c r="E60" s="1" t="e">
        <f t="shared" si="18"/>
        <v>#DIV/0!</v>
      </c>
      <c r="F60" s="1">
        <f t="shared" si="18"/>
        <v>609756.09756097558</v>
      </c>
      <c r="G60" s="1" t="e">
        <f t="shared" si="18"/>
        <v>#DIV/0!</v>
      </c>
    </row>
    <row r="61" spans="1:7" x14ac:dyDescent="0.25">
      <c r="A61" s="2" t="s">
        <v>32</v>
      </c>
      <c r="B61" s="1">
        <f>B17/B11</f>
        <v>4300138.8766292129</v>
      </c>
      <c r="C61" s="1">
        <f t="shared" ref="C61:G61" si="19">C17/C11</f>
        <v>3220275.2808988765</v>
      </c>
      <c r="D61" s="1">
        <f t="shared" si="19"/>
        <v>3232485.8757062145</v>
      </c>
      <c r="E61" s="1">
        <f t="shared" si="19"/>
        <v>1059000</v>
      </c>
      <c r="F61" s="1" t="e">
        <f t="shared" si="19"/>
        <v>#DIV/0!</v>
      </c>
      <c r="G61" s="1" t="e">
        <f t="shared" si="19"/>
        <v>#DIV/0!</v>
      </c>
    </row>
    <row r="62" spans="1:7" x14ac:dyDescent="0.25">
      <c r="A62" s="2" t="s">
        <v>33</v>
      </c>
      <c r="B62" s="1">
        <f t="shared" ref="B62:G62" si="20">(B60/B61)*B45</f>
        <v>38.828002703126124</v>
      </c>
      <c r="C62" s="1">
        <f t="shared" si="20"/>
        <v>109.02998069970386</v>
      </c>
      <c r="D62" s="1">
        <f t="shared" si="20"/>
        <v>108.23846531684782</v>
      </c>
      <c r="E62" s="1" t="e">
        <f t="shared" si="20"/>
        <v>#DIV/0!</v>
      </c>
      <c r="F62" s="1" t="e">
        <f t="shared" si="20"/>
        <v>#DIV/0!</v>
      </c>
      <c r="G62" s="1" t="e">
        <f t="shared" si="20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1"/>
      <c r="G64" s="1"/>
    </row>
    <row r="65" spans="1:7" x14ac:dyDescent="0.25">
      <c r="A65" s="2" t="s">
        <v>35</v>
      </c>
      <c r="B65" s="1">
        <f>B23/B22*100</f>
        <v>98.810810810810807</v>
      </c>
      <c r="C65" s="1"/>
      <c r="D65" s="1">
        <f>D23/D22*100</f>
        <v>98.482758620689665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167.48899782056893</v>
      </c>
      <c r="C66" s="1"/>
      <c r="D66" s="1">
        <f t="shared" ref="D66:E66" si="21">D17/D23*100</f>
        <v>160.26610644257704</v>
      </c>
      <c r="E66" s="1">
        <f t="shared" si="21"/>
        <v>1.0589999999999999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107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165</v>
      </c>
    </row>
    <row r="77" spans="1:7" x14ac:dyDescent="0.25">
      <c r="A77" s="2" t="s">
        <v>76</v>
      </c>
    </row>
    <row r="78" spans="1:7" x14ac:dyDescent="0.25">
      <c r="A78" s="2" t="s">
        <v>105</v>
      </c>
    </row>
    <row r="79" spans="1:7" x14ac:dyDescent="0.25">
      <c r="A79" s="2" t="s">
        <v>166</v>
      </c>
    </row>
    <row r="81" spans="1:1" x14ac:dyDescent="0.25">
      <c r="A81" s="2" t="s">
        <v>169</v>
      </c>
    </row>
    <row r="82" spans="1:1" x14ac:dyDescent="0.25">
      <c r="A82" s="2" t="s">
        <v>106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81"/>
  <sheetViews>
    <sheetView workbookViewId="0">
      <selection activeCell="B24" sqref="B24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9" t="s">
        <v>141</v>
      </c>
      <c r="B1" s="49"/>
      <c r="C1" s="49"/>
      <c r="D1" s="49"/>
      <c r="E1" s="49"/>
      <c r="F1" s="49"/>
      <c r="G1" s="49"/>
    </row>
    <row r="3" spans="1:7" x14ac:dyDescent="0.25">
      <c r="A3" s="52" t="s">
        <v>0</v>
      </c>
      <c r="B3" s="46" t="s">
        <v>37</v>
      </c>
      <c r="C3" s="50" t="s">
        <v>2</v>
      </c>
      <c r="D3" s="50"/>
      <c r="E3" s="50"/>
      <c r="F3" s="50"/>
      <c r="G3" s="50"/>
    </row>
    <row r="4" spans="1:7" ht="15.75" thickBot="1" x14ac:dyDescent="0.3">
      <c r="A4" s="53"/>
      <c r="B4" s="48"/>
      <c r="C4" s="51" t="s">
        <v>3</v>
      </c>
      <c r="D4" s="51"/>
      <c r="E4" s="51"/>
      <c r="F4" s="46" t="s">
        <v>4</v>
      </c>
      <c r="G4" s="46" t="s">
        <v>5</v>
      </c>
    </row>
    <row r="5" spans="1:7" ht="16.5" thickTop="1" thickBot="1" x14ac:dyDescent="0.3">
      <c r="A5" s="54"/>
      <c r="B5" s="47"/>
      <c r="C5" s="36" t="s">
        <v>1</v>
      </c>
      <c r="D5" s="36" t="s">
        <v>70</v>
      </c>
      <c r="E5" s="36" t="s">
        <v>72</v>
      </c>
      <c r="F5" s="47"/>
      <c r="G5" s="47"/>
    </row>
    <row r="6" spans="1:7" ht="15.75" thickTop="1" x14ac:dyDescent="0.25">
      <c r="A6" s="37"/>
      <c r="B6" s="38"/>
      <c r="C6" s="39"/>
      <c r="D6" s="39"/>
      <c r="E6" s="39"/>
      <c r="F6" s="38"/>
      <c r="G6" s="38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93</v>
      </c>
      <c r="B9" s="6">
        <f>+C9+F9+G9</f>
        <v>1850</v>
      </c>
      <c r="C9" s="6">
        <f>'I trimestre'!C9+'II Trimestre'!C9</f>
        <v>212</v>
      </c>
      <c r="D9" s="6">
        <f>'I trimestre'!D9+'II Trimestre'!D9</f>
        <v>212</v>
      </c>
      <c r="E9" s="6">
        <f>'I trimestre'!E9+'II Trimestre'!E9</f>
        <v>0</v>
      </c>
      <c r="F9" s="6">
        <f>'I trimestre'!F9+'II Trimestre'!F9</f>
        <v>1638</v>
      </c>
      <c r="G9" s="6">
        <f>'I trimestre'!G9+'II Trimestre'!G9</f>
        <v>0</v>
      </c>
    </row>
    <row r="10" spans="1:7" x14ac:dyDescent="0.25">
      <c r="A10" s="2" t="s">
        <v>142</v>
      </c>
      <c r="B10" s="6">
        <f t="shared" ref="B10:B19" si="0">+C10+F10+G10</f>
        <v>1953</v>
      </c>
      <c r="C10" s="6">
        <f>'I trimestre'!C10+'II Trimestre'!C10</f>
        <v>315</v>
      </c>
      <c r="D10" s="6">
        <f>'I trimestre'!D10+'II Trimestre'!D10</f>
        <v>105</v>
      </c>
      <c r="E10" s="6">
        <f>'I trimestre'!E10+'II Trimestre'!E10</f>
        <v>210</v>
      </c>
      <c r="F10" s="6">
        <f>'I trimestre'!F10+'II Trimestre'!F10</f>
        <v>1638</v>
      </c>
      <c r="G10" s="6">
        <f>'I trimestre'!G10+'II Trimestre'!G10</f>
        <v>0</v>
      </c>
    </row>
    <row r="11" spans="1:7" x14ac:dyDescent="0.25">
      <c r="A11" s="2" t="s">
        <v>143</v>
      </c>
      <c r="B11" s="6">
        <f t="shared" si="0"/>
        <v>1684</v>
      </c>
      <c r="C11" s="6">
        <f>'I trimestre'!C11+'II Trimestre'!C11</f>
        <v>250</v>
      </c>
      <c r="D11" s="6">
        <f>'I trimestre'!D11+'II Trimestre'!D11</f>
        <v>156</v>
      </c>
      <c r="E11" s="6">
        <f>'I trimestre'!E11+'II Trimestre'!E11</f>
        <v>94</v>
      </c>
      <c r="F11" s="6">
        <f>'I trimestre'!F11+'II Trimestre'!F11</f>
        <v>1434</v>
      </c>
      <c r="G11" s="6">
        <f>'I trimestre'!G11+'II Trimestre'!G11</f>
        <v>0</v>
      </c>
    </row>
    <row r="12" spans="1:7" x14ac:dyDescent="0.25">
      <c r="A12" s="2" t="s">
        <v>112</v>
      </c>
      <c r="B12" s="6">
        <f t="shared" si="0"/>
        <v>2800</v>
      </c>
      <c r="C12" s="6">
        <f>'II Trimestre'!C12</f>
        <v>750</v>
      </c>
      <c r="D12" s="6">
        <f>'II Trimestre'!D12</f>
        <v>430</v>
      </c>
      <c r="E12" s="6">
        <f>'II Trimestre'!E12</f>
        <v>320</v>
      </c>
      <c r="F12" s="6">
        <f>'II Trimestre'!F12</f>
        <v>2050</v>
      </c>
      <c r="G12" s="6">
        <f>'II Trimestre'!G12</f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8</v>
      </c>
      <c r="B14" s="1"/>
      <c r="C14" s="1"/>
      <c r="D14" s="1"/>
      <c r="E14" s="1"/>
      <c r="F14" s="1"/>
      <c r="G14" s="1"/>
    </row>
    <row r="15" spans="1:7" x14ac:dyDescent="0.25">
      <c r="A15" s="2" t="s">
        <v>144</v>
      </c>
      <c r="B15" s="6">
        <f t="shared" si="0"/>
        <v>664204638</v>
      </c>
      <c r="C15" s="6">
        <f>'I trimestre'!C15+'II Trimestre'!C15</f>
        <v>559330000</v>
      </c>
      <c r="D15" s="6">
        <f>'I trimestre'!D15+'II Trimestre'!D15</f>
        <v>559330000</v>
      </c>
      <c r="E15" s="6">
        <f>'I trimestre'!E15+'II Trimestre'!E15</f>
        <v>0</v>
      </c>
      <c r="F15" s="6">
        <f>'I trimestre'!F15+'II Trimestre'!F15</f>
        <v>104874638</v>
      </c>
      <c r="G15" s="6">
        <f>'I trimestre'!G15+'II Trimestre'!G15</f>
        <v>0</v>
      </c>
    </row>
    <row r="16" spans="1:7" x14ac:dyDescent="0.25">
      <c r="A16" s="2" t="s">
        <v>142</v>
      </c>
      <c r="B16" s="6">
        <f t="shared" si="0"/>
        <v>762500000</v>
      </c>
      <c r="C16" s="6">
        <f>'I trimestre'!C16+'II Trimestre'!C16</f>
        <v>587500000</v>
      </c>
      <c r="D16" s="6">
        <f>'I trimestre'!D16+'II Trimestre'!D16</f>
        <v>262500000</v>
      </c>
      <c r="E16" s="6">
        <f>'I trimestre'!E16+'II Trimestre'!E16</f>
        <v>325000000</v>
      </c>
      <c r="F16" s="6">
        <f>'I trimestre'!F16+'II Trimestre'!F16</f>
        <v>175000000</v>
      </c>
      <c r="G16" s="6">
        <f>'I trimestre'!G16+'II Trimestre'!G16</f>
        <v>0</v>
      </c>
    </row>
    <row r="17" spans="1:7" x14ac:dyDescent="0.25">
      <c r="A17" s="2" t="s">
        <v>143</v>
      </c>
      <c r="B17" s="6">
        <f t="shared" si="0"/>
        <v>916503482.91999996</v>
      </c>
      <c r="C17" s="6">
        <f>'I trimestre'!C17+'II Trimestre'!C17</f>
        <v>844156000</v>
      </c>
      <c r="D17" s="6">
        <f>'I trimestre'!D17+'II Trimestre'!D17</f>
        <v>519455000</v>
      </c>
      <c r="E17" s="6">
        <f>'I trimestre'!E17+'II Trimestre'!E17</f>
        <v>324701000</v>
      </c>
      <c r="F17" s="6">
        <f>'I trimestre'!F17+'II Trimestre'!F17</f>
        <v>72347482.920000002</v>
      </c>
      <c r="G17" s="6">
        <f>'I trimestre'!G17+'II Trimestre'!G17</f>
        <v>0</v>
      </c>
    </row>
    <row r="18" spans="1:7" x14ac:dyDescent="0.25">
      <c r="A18" s="2" t="s">
        <v>112</v>
      </c>
      <c r="B18" s="6">
        <f t="shared" si="0"/>
        <v>2275000000</v>
      </c>
      <c r="C18" s="6">
        <f>'II Trimestre'!C18</f>
        <v>1875000000</v>
      </c>
      <c r="D18" s="6">
        <f>'II Trimestre'!D18</f>
        <v>1275000000</v>
      </c>
      <c r="E18" s="6">
        <f>'II Trimestre'!E18</f>
        <v>600000000</v>
      </c>
      <c r="F18" s="6">
        <f>'II Trimestre'!F18</f>
        <v>400000000</v>
      </c>
      <c r="G18" s="6">
        <f>'II Trimestre'!G18</f>
        <v>0</v>
      </c>
    </row>
    <row r="19" spans="1:7" x14ac:dyDescent="0.25">
      <c r="A19" s="2" t="s">
        <v>145</v>
      </c>
      <c r="B19" s="6">
        <f t="shared" si="0"/>
        <v>916503482.91999996</v>
      </c>
      <c r="C19" s="6">
        <f>C17</f>
        <v>844156000</v>
      </c>
      <c r="D19" s="6">
        <f>D17</f>
        <v>519455000</v>
      </c>
      <c r="E19" s="6">
        <f>E17</f>
        <v>324701000</v>
      </c>
      <c r="F19" s="6">
        <f>F17</f>
        <v>72347482.920000002</v>
      </c>
      <c r="G19" s="6">
        <f>G17</f>
        <v>0</v>
      </c>
    </row>
    <row r="20" spans="1:7" x14ac:dyDescent="0.25">
      <c r="B20" s="6"/>
      <c r="C20" s="6"/>
      <c r="D20" s="6"/>
      <c r="E20" s="6"/>
      <c r="F20" s="6"/>
      <c r="G20" s="6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6"/>
      <c r="G21" s="6"/>
    </row>
    <row r="22" spans="1:7" x14ac:dyDescent="0.25">
      <c r="A22" s="2" t="s">
        <v>142</v>
      </c>
      <c r="B22" s="6">
        <f>B16</f>
        <v>762500000</v>
      </c>
      <c r="C22" s="6"/>
      <c r="D22" s="6">
        <f>D16</f>
        <v>262500000</v>
      </c>
      <c r="E22" s="6">
        <f>F16+E16</f>
        <v>500000000</v>
      </c>
      <c r="F22" s="6"/>
      <c r="G22" s="6"/>
    </row>
    <row r="23" spans="1:7" x14ac:dyDescent="0.25">
      <c r="A23" s="2" t="s">
        <v>143</v>
      </c>
      <c r="B23" s="6">
        <f>D23+E23</f>
        <v>1115800000</v>
      </c>
      <c r="C23" s="6"/>
      <c r="D23" s="6">
        <f>'I trimestre'!D23+'II Trimestre'!D23</f>
        <v>615800000</v>
      </c>
      <c r="E23" s="6">
        <f>'I trimestre'!E23+'II Trimestre'!E23</f>
        <v>500000000</v>
      </c>
      <c r="F23" s="6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94</v>
      </c>
      <c r="B26" s="1">
        <v>1.61</v>
      </c>
      <c r="C26" s="1">
        <v>1.61</v>
      </c>
      <c r="D26" s="1">
        <v>1.61</v>
      </c>
      <c r="E26" s="1">
        <v>1.61</v>
      </c>
      <c r="F26" s="1">
        <v>1.61</v>
      </c>
      <c r="G26" s="1">
        <v>1.61</v>
      </c>
    </row>
    <row r="27" spans="1:7" x14ac:dyDescent="0.25">
      <c r="A27" s="2" t="s">
        <v>146</v>
      </c>
      <c r="B27" s="1">
        <v>1.67</v>
      </c>
      <c r="C27" s="1">
        <v>1.67</v>
      </c>
      <c r="D27" s="1">
        <v>1.67</v>
      </c>
      <c r="E27" s="1">
        <v>1.67</v>
      </c>
      <c r="F27" s="1">
        <v>1.67</v>
      </c>
      <c r="G27" s="1">
        <v>1.67</v>
      </c>
    </row>
    <row r="28" spans="1:7" x14ac:dyDescent="0.25">
      <c r="A28" s="2" t="s">
        <v>11</v>
      </c>
      <c r="B28" s="6">
        <v>94057</v>
      </c>
      <c r="C28" s="6">
        <v>94057</v>
      </c>
      <c r="D28" s="6">
        <v>94057</v>
      </c>
      <c r="E28" s="6">
        <v>94057</v>
      </c>
      <c r="F28" s="6">
        <v>94057</v>
      </c>
      <c r="G28" s="6">
        <v>94057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95</v>
      </c>
      <c r="B31" s="1">
        <f>B15/B26</f>
        <v>412549464.59627324</v>
      </c>
      <c r="C31" s="1">
        <f>C15/C26</f>
        <v>347409937.88819873</v>
      </c>
      <c r="D31" s="1">
        <f>D15/D26</f>
        <v>347409937.88819873</v>
      </c>
      <c r="E31" s="1">
        <f>E15/E26</f>
        <v>0</v>
      </c>
      <c r="F31" s="1">
        <f>F15/F26</f>
        <v>65139526.708074532</v>
      </c>
      <c r="G31" s="1"/>
    </row>
    <row r="32" spans="1:7" x14ac:dyDescent="0.25">
      <c r="A32" s="2" t="s">
        <v>147</v>
      </c>
      <c r="B32" s="1">
        <f>B17/B27</f>
        <v>548804480.7904191</v>
      </c>
      <c r="C32" s="1">
        <f>C17/C27</f>
        <v>505482634.73053896</v>
      </c>
      <c r="D32" s="1">
        <f>D17/D27</f>
        <v>311050898.20359284</v>
      </c>
      <c r="E32" s="1">
        <f>E17/E27</f>
        <v>194431736.52694613</v>
      </c>
      <c r="F32" s="1">
        <f>F17/F27</f>
        <v>43321846.059880242</v>
      </c>
      <c r="G32" s="1"/>
    </row>
    <row r="33" spans="1:7" x14ac:dyDescent="0.25">
      <c r="A33" s="2" t="s">
        <v>96</v>
      </c>
      <c r="B33" s="1">
        <f>B31/B9</f>
        <v>222999.71059258014</v>
      </c>
      <c r="C33" s="1">
        <f>C31/C9</f>
        <v>1638726.122114145</v>
      </c>
      <c r="D33" s="1">
        <f>D31/D9</f>
        <v>1638726.122114145</v>
      </c>
      <c r="E33" s="1" t="e">
        <f>E31/E9</f>
        <v>#DIV/0!</v>
      </c>
      <c r="F33" s="1">
        <f>F31/F9</f>
        <v>39767.720823000323</v>
      </c>
      <c r="G33" s="1"/>
    </row>
    <row r="34" spans="1:7" x14ac:dyDescent="0.25">
      <c r="A34" s="2" t="s">
        <v>148</v>
      </c>
      <c r="B34" s="1">
        <f>B32/B11</f>
        <v>325893.39714395435</v>
      </c>
      <c r="C34" s="1">
        <f>C32/C11</f>
        <v>2021930.5389221557</v>
      </c>
      <c r="D34" s="1">
        <f>D32/D11</f>
        <v>1993916.0141255951</v>
      </c>
      <c r="E34" s="1">
        <f>E32/E11</f>
        <v>2068422.7290100651</v>
      </c>
      <c r="F34" s="1">
        <f>F32/F11</f>
        <v>30210.492370906722</v>
      </c>
      <c r="G34" s="1"/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>B10/B28*100</f>
        <v>2.0764004805596605</v>
      </c>
      <c r="C39" s="1">
        <f>C10/C28*100</f>
        <v>0.33490330331607426</v>
      </c>
      <c r="D39" s="1">
        <f>D10/D28*100</f>
        <v>0.11163443443869144</v>
      </c>
      <c r="E39" s="1">
        <f>E10/E28*100</f>
        <v>0.22326886887738287</v>
      </c>
      <c r="F39" s="1">
        <f>F10/F28*100</f>
        <v>1.7414971772435863</v>
      </c>
      <c r="G39" s="1"/>
    </row>
    <row r="40" spans="1:7" x14ac:dyDescent="0.25">
      <c r="A40" s="2" t="s">
        <v>16</v>
      </c>
      <c r="B40" s="1">
        <f>B11/B28*100</f>
        <v>1.7904036913786323</v>
      </c>
      <c r="C40" s="1">
        <f>C11/C28*100</f>
        <v>0.26579627247307486</v>
      </c>
      <c r="D40" s="1">
        <f>D11/D28*100</f>
        <v>0.16585687402319871</v>
      </c>
      <c r="E40" s="1">
        <f>E11/E28*100</f>
        <v>9.9939398449876149E-2</v>
      </c>
      <c r="F40" s="1">
        <f>F11/F28*100</f>
        <v>1.5246074189055574</v>
      </c>
      <c r="G40" s="1"/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>B11/B10*100</f>
        <v>86.226318484383</v>
      </c>
      <c r="C43" s="1">
        <f>C11/C10*100</f>
        <v>79.365079365079367</v>
      </c>
      <c r="D43" s="1">
        <f>D11/D10*100</f>
        <v>148.57142857142858</v>
      </c>
      <c r="E43" s="1">
        <f>E11/E10*100</f>
        <v>44.761904761904766</v>
      </c>
      <c r="F43" s="1">
        <f>F11/F10*100</f>
        <v>87.545787545787547</v>
      </c>
      <c r="G43" s="1"/>
    </row>
    <row r="44" spans="1:7" x14ac:dyDescent="0.25">
      <c r="A44" s="2" t="s">
        <v>19</v>
      </c>
      <c r="B44" s="1">
        <f>B17/B16*100</f>
        <v>120.19717808786885</v>
      </c>
      <c r="C44" s="1">
        <f>C17/C16*100</f>
        <v>143.68612765957448</v>
      </c>
      <c r="D44" s="1">
        <f>D17/D16*100</f>
        <v>197.88761904761904</v>
      </c>
      <c r="E44" s="1">
        <f>E17/E16*100</f>
        <v>99.908000000000001</v>
      </c>
      <c r="F44" s="1">
        <f>F17/F16*100</f>
        <v>41.341418811428568</v>
      </c>
      <c r="G44" s="1"/>
    </row>
    <row r="45" spans="1:7" x14ac:dyDescent="0.25">
      <c r="A45" s="2" t="s">
        <v>20</v>
      </c>
      <c r="B45" s="1">
        <f>AVERAGE(B43:B44)</f>
        <v>103.21174828612592</v>
      </c>
      <c r="C45" s="1">
        <f>AVERAGE(C43:C44)</f>
        <v>111.52560351232692</v>
      </c>
      <c r="D45" s="1">
        <f>AVERAGE(D43:D44)</f>
        <v>173.22952380952381</v>
      </c>
      <c r="E45" s="1">
        <f>AVERAGE(E43:E44)</f>
        <v>72.334952380952387</v>
      </c>
      <c r="F45" s="1">
        <f>AVERAGE(F43:F44)</f>
        <v>64.443603178608058</v>
      </c>
      <c r="G45" s="1"/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>B11/B12*100</f>
        <v>60.142857142857139</v>
      </c>
      <c r="C48" s="1">
        <f>C11/C12*100</f>
        <v>33.333333333333329</v>
      </c>
      <c r="D48" s="1">
        <f>D11/D12*100</f>
        <v>36.279069767441861</v>
      </c>
      <c r="E48" s="1">
        <f>E11/E12*100</f>
        <v>29.375</v>
      </c>
      <c r="F48" s="1">
        <f>F11/F12*100</f>
        <v>69.951219512195124</v>
      </c>
      <c r="G48" s="1"/>
    </row>
    <row r="49" spans="1:7" x14ac:dyDescent="0.25">
      <c r="A49" s="2" t="s">
        <v>23</v>
      </c>
      <c r="B49" s="1">
        <f>B17/B18*100</f>
        <v>40.285867381098903</v>
      </c>
      <c r="C49" s="1">
        <f>C17/C18*100</f>
        <v>45.021653333333333</v>
      </c>
      <c r="D49" s="1">
        <f>D17/D18*100</f>
        <v>40.741568627450981</v>
      </c>
      <c r="E49" s="1">
        <f>E17/E18*100</f>
        <v>54.116833333333339</v>
      </c>
      <c r="F49" s="1">
        <f>F17/F18*100</f>
        <v>18.086870730000001</v>
      </c>
      <c r="G49" s="1"/>
    </row>
    <row r="50" spans="1:7" x14ac:dyDescent="0.25">
      <c r="A50" s="2" t="s">
        <v>24</v>
      </c>
      <c r="B50" s="1">
        <f>AVERAGE(B48:B49)</f>
        <v>50.214362261978025</v>
      </c>
      <c r="C50" s="1">
        <f>AVERAGE(C48:C49)</f>
        <v>39.177493333333331</v>
      </c>
      <c r="D50" s="1">
        <f>AVERAGE(D48:D49)</f>
        <v>38.510319197446421</v>
      </c>
      <c r="E50" s="1">
        <f>AVERAGE(E48:E49)</f>
        <v>41.745916666666673</v>
      </c>
      <c r="F50" s="1">
        <f>AVERAGE(F48:F49)</f>
        <v>44.019045121097562</v>
      </c>
      <c r="G50" s="1"/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>B19/B17*100</f>
        <v>100</v>
      </c>
      <c r="C52" s="1">
        <f>C19/C17*100</f>
        <v>100</v>
      </c>
      <c r="D52" s="1">
        <f>D19/D17*100</f>
        <v>100</v>
      </c>
      <c r="E52" s="1">
        <f>E19/E17*100</f>
        <v>100</v>
      </c>
      <c r="F52" s="1">
        <f>F19/F17*100</f>
        <v>100</v>
      </c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>((B11/B9)-1)*100</f>
        <v>-8.9729729729729701</v>
      </c>
      <c r="C55" s="1">
        <f>((C11/C9)-1)*100</f>
        <v>17.924528301886799</v>
      </c>
      <c r="D55" s="1">
        <f>((D11/D9)-1)*100</f>
        <v>-26.415094339622648</v>
      </c>
      <c r="E55" s="1" t="e">
        <f>((E11/E9)-1)*100</f>
        <v>#DIV/0!</v>
      </c>
      <c r="F55" s="1">
        <f>((F11/F9)-1)*100</f>
        <v>-12.454212454212454</v>
      </c>
      <c r="G55" s="1"/>
    </row>
    <row r="56" spans="1:7" x14ac:dyDescent="0.25">
      <c r="A56" s="2" t="s">
        <v>28</v>
      </c>
      <c r="B56" s="1">
        <f>((B32/B31)-1)*100</f>
        <v>33.027558604999506</v>
      </c>
      <c r="C56" s="1">
        <f>((C32/C31)-1)*100</f>
        <v>45.500338246861041</v>
      </c>
      <c r="D56" s="1">
        <f>((D32/D31)-1)*100</f>
        <v>-10.465745426173367</v>
      </c>
      <c r="E56" s="1" t="e">
        <f>((E32/E31)-1)*100</f>
        <v>#DIV/0!</v>
      </c>
      <c r="F56" s="1">
        <f>((F32/F31)-1)*100</f>
        <v>-33.493765998594249</v>
      </c>
      <c r="G56" s="1"/>
    </row>
    <row r="57" spans="1:7" x14ac:dyDescent="0.25">
      <c r="A57" s="2" t="s">
        <v>29</v>
      </c>
      <c r="B57" s="1">
        <f>((B34/B33)-1)*100</f>
        <v>46.140726495991146</v>
      </c>
      <c r="C57" s="1">
        <f>((C34/C33)-1)*100</f>
        <v>23.384286833338152</v>
      </c>
      <c r="D57" s="1">
        <f>((D34/D33)-1)*100</f>
        <v>21.67475621571311</v>
      </c>
      <c r="E57" s="1" t="e">
        <f>((E34/E33)-1)*100</f>
        <v>#DIV/0!</v>
      </c>
      <c r="F57" s="1">
        <f>((F34/F33)-1)*100</f>
        <v>-24.032628107180887</v>
      </c>
      <c r="G57" s="1"/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390424.98719918076</v>
      </c>
      <c r="C60" s="1">
        <f t="shared" ref="C60:F61" si="1">C16/C10</f>
        <v>1865079.365079365</v>
      </c>
      <c r="D60" s="1">
        <f>D16/D10</f>
        <v>2500000</v>
      </c>
      <c r="E60" s="1">
        <f>E16/E10</f>
        <v>1547619.0476190476</v>
      </c>
      <c r="F60" s="1">
        <f t="shared" si="1"/>
        <v>106837.60683760684</v>
      </c>
      <c r="G60" s="1"/>
    </row>
    <row r="61" spans="1:7" x14ac:dyDescent="0.25">
      <c r="A61" s="2" t="s">
        <v>32</v>
      </c>
      <c r="B61" s="1">
        <f>B17/B11</f>
        <v>544241.97323040373</v>
      </c>
      <c r="C61" s="1">
        <f t="shared" si="1"/>
        <v>3376624</v>
      </c>
      <c r="D61" s="1">
        <f>D17/D11</f>
        <v>3329839.7435897435</v>
      </c>
      <c r="E61" s="1">
        <f>E17/E11</f>
        <v>3454265.9574468085</v>
      </c>
      <c r="F61" s="1">
        <f t="shared" si="1"/>
        <v>50451.522259414225</v>
      </c>
      <c r="G61" s="1"/>
    </row>
    <row r="62" spans="1:7" x14ac:dyDescent="0.25">
      <c r="A62" s="2" t="s">
        <v>33</v>
      </c>
      <c r="B62" s="1">
        <f>(B60/B61)*B45</f>
        <v>74.041414454368734</v>
      </c>
      <c r="C62" s="1">
        <f>(C60/C61)*C45</f>
        <v>61.601203388018234</v>
      </c>
      <c r="D62" s="1">
        <f>(D60/D61)*D45</f>
        <v>130.05845412155873</v>
      </c>
      <c r="E62" s="1">
        <f>(E60/E61)*E45</f>
        <v>32.408318147026336</v>
      </c>
      <c r="F62" s="1">
        <f>(F60/F61)*F45</f>
        <v>136.46764321982656</v>
      </c>
      <c r="G62" s="1"/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1"/>
      <c r="G64" s="1"/>
    </row>
    <row r="65" spans="1:7" x14ac:dyDescent="0.25">
      <c r="A65" s="2" t="s">
        <v>35</v>
      </c>
      <c r="B65" s="1">
        <f>B23/B22*100</f>
        <v>146.33442622950821</v>
      </c>
      <c r="C65" s="1"/>
      <c r="D65" s="1">
        <f>D23/D22*100</f>
        <v>234.59047619047618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82.138688198601898</v>
      </c>
      <c r="C66" s="1"/>
      <c r="D66" s="1">
        <f>D17/D23*100</f>
        <v>84.354498213705753</v>
      </c>
      <c r="E66" s="1">
        <f>F17/E23*100</f>
        <v>14.469496584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107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165</v>
      </c>
    </row>
    <row r="77" spans="1:7" x14ac:dyDescent="0.25">
      <c r="A77" s="2" t="s">
        <v>76</v>
      </c>
    </row>
    <row r="78" spans="1:7" x14ac:dyDescent="0.25">
      <c r="A78" s="2" t="s">
        <v>105</v>
      </c>
    </row>
    <row r="79" spans="1:7" x14ac:dyDescent="0.25">
      <c r="A79" s="2" t="s">
        <v>166</v>
      </c>
    </row>
    <row r="81" spans="1:1" x14ac:dyDescent="0.25">
      <c r="A81" s="2" t="s">
        <v>167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81"/>
  <sheetViews>
    <sheetView zoomScale="80" zoomScaleNormal="80" workbookViewId="0">
      <pane ySplit="5" topLeftCell="A6" activePane="bottomLeft" state="frozen"/>
      <selection pane="bottomLeft" activeCell="I25" sqref="I25"/>
    </sheetView>
  </sheetViews>
  <sheetFormatPr baseColWidth="10" defaultColWidth="11.42578125" defaultRowHeight="15" x14ac:dyDescent="0.25"/>
  <cols>
    <col min="1" max="1" width="54.85546875" style="2" customWidth="1"/>
    <col min="2" max="2" width="15.28515625" style="2" bestFit="1" customWidth="1"/>
    <col min="3" max="3" width="15.425781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8" x14ac:dyDescent="0.25">
      <c r="A1" s="49" t="s">
        <v>149</v>
      </c>
      <c r="B1" s="49"/>
      <c r="C1" s="49"/>
      <c r="D1" s="49"/>
      <c r="E1" s="49"/>
      <c r="F1" s="49"/>
      <c r="G1" s="49"/>
    </row>
    <row r="3" spans="1:8" x14ac:dyDescent="0.25">
      <c r="A3" s="52" t="s">
        <v>0</v>
      </c>
      <c r="B3" s="46" t="s">
        <v>37</v>
      </c>
      <c r="C3" s="50" t="s">
        <v>2</v>
      </c>
      <c r="D3" s="50"/>
      <c r="E3" s="50"/>
      <c r="F3" s="50"/>
      <c r="G3" s="50"/>
    </row>
    <row r="4" spans="1:8" ht="15.75" thickBot="1" x14ac:dyDescent="0.3">
      <c r="A4" s="53"/>
      <c r="B4" s="48"/>
      <c r="C4" s="51" t="s">
        <v>3</v>
      </c>
      <c r="D4" s="51"/>
      <c r="E4" s="51"/>
      <c r="F4" s="46" t="s">
        <v>4</v>
      </c>
      <c r="G4" s="46" t="s">
        <v>5</v>
      </c>
    </row>
    <row r="5" spans="1:8" ht="16.5" thickTop="1" thickBot="1" x14ac:dyDescent="0.3">
      <c r="A5" s="54"/>
      <c r="B5" s="47"/>
      <c r="C5" s="36" t="s">
        <v>1</v>
      </c>
      <c r="D5" s="36" t="s">
        <v>70</v>
      </c>
      <c r="E5" s="36" t="s">
        <v>72</v>
      </c>
      <c r="F5" s="47"/>
      <c r="G5" s="47"/>
    </row>
    <row r="6" spans="1:8" ht="15.75" thickTop="1" x14ac:dyDescent="0.25">
      <c r="A6" s="37"/>
      <c r="B6" s="38"/>
      <c r="C6" s="39"/>
      <c r="D6" s="39"/>
      <c r="E6" s="39"/>
      <c r="F6" s="38"/>
      <c r="G6" s="38"/>
    </row>
    <row r="7" spans="1:8" x14ac:dyDescent="0.25">
      <c r="A7" s="5" t="s">
        <v>6</v>
      </c>
    </row>
    <row r="8" spans="1:8" x14ac:dyDescent="0.25">
      <c r="A8" s="2" t="s">
        <v>7</v>
      </c>
    </row>
    <row r="9" spans="1:8" x14ac:dyDescent="0.25">
      <c r="A9" s="2" t="s">
        <v>97</v>
      </c>
      <c r="B9" s="6">
        <f>+C9+F9+G9</f>
        <v>2575</v>
      </c>
      <c r="C9" s="45">
        <f>D9+E9</f>
        <v>384</v>
      </c>
      <c r="D9" s="6">
        <f>'I trimestre'!D9+'II Trimestre'!D9+'III Trimestre'!D9</f>
        <v>384</v>
      </c>
      <c r="E9" s="6">
        <f>'I trimestre'!E9+'II Trimestre'!E9+'III Trimestre'!E9</f>
        <v>0</v>
      </c>
      <c r="F9" s="6">
        <f>'I trimestre'!F9+'II Trimestre'!F9+'III Trimestre'!F9</f>
        <v>2191</v>
      </c>
      <c r="G9" s="6">
        <f>'I trimestre'!G9+'II Trimestre'!G9+'III Trimestre'!G9</f>
        <v>0</v>
      </c>
      <c r="H9" s="40"/>
    </row>
    <row r="10" spans="1:8" x14ac:dyDescent="0.25">
      <c r="A10" s="2" t="s">
        <v>150</v>
      </c>
      <c r="B10" s="6">
        <f t="shared" ref="B10:B19" si="0">+C10+F10+G10</f>
        <v>2491</v>
      </c>
      <c r="C10" s="45">
        <f t="shared" ref="C10:C12" si="1">D10+E10</f>
        <v>605</v>
      </c>
      <c r="D10" s="6">
        <f>'I trimestre'!D10+'II Trimestre'!D10+'III Trimestre'!D10</f>
        <v>285</v>
      </c>
      <c r="E10" s="6">
        <f>'I trimestre'!E10+'II Trimestre'!E10+'III Trimestre'!E10</f>
        <v>320</v>
      </c>
      <c r="F10" s="6">
        <f>'I trimestre'!F10+'II Trimestre'!F10+'III Trimestre'!F10</f>
        <v>1886</v>
      </c>
      <c r="G10" s="6">
        <f>'I trimestre'!G10+'II Trimestre'!G10+'III Trimestre'!G10</f>
        <v>0</v>
      </c>
      <c r="H10" s="40"/>
    </row>
    <row r="11" spans="1:8" x14ac:dyDescent="0.25">
      <c r="A11" s="2" t="s">
        <v>151</v>
      </c>
      <c r="B11" s="6">
        <f t="shared" si="0"/>
        <v>3575</v>
      </c>
      <c r="C11" s="45">
        <f t="shared" si="1"/>
        <v>425</v>
      </c>
      <c r="D11" s="6">
        <f>'I trimestre'!D11+'II Trimestre'!D11+'III Trimestre'!D11</f>
        <v>241</v>
      </c>
      <c r="E11" s="6">
        <f>'I trimestre'!E11+'II Trimestre'!E11+'III Trimestre'!E11</f>
        <v>184</v>
      </c>
      <c r="F11" s="6">
        <f>'I trimestre'!F11+'II Trimestre'!F11+'III Trimestre'!F11</f>
        <v>3150</v>
      </c>
      <c r="G11" s="6">
        <f>'I trimestre'!G11+'II Trimestre'!G11+'III Trimestre'!G11</f>
        <v>0</v>
      </c>
      <c r="H11" s="40"/>
    </row>
    <row r="12" spans="1:8" x14ac:dyDescent="0.25">
      <c r="A12" s="2" t="s">
        <v>112</v>
      </c>
      <c r="B12" s="6">
        <f t="shared" si="0"/>
        <v>2800</v>
      </c>
      <c r="C12" s="45">
        <f t="shared" si="1"/>
        <v>750</v>
      </c>
      <c r="D12" s="6">
        <f>'III Trimestre'!D12</f>
        <v>430</v>
      </c>
      <c r="E12" s="6">
        <f>'III Trimestre'!E12</f>
        <v>320</v>
      </c>
      <c r="F12" s="6">
        <f>'III Trimestre'!F12</f>
        <v>2050</v>
      </c>
      <c r="G12" s="6">
        <f>'III Trimestre'!G12</f>
        <v>0</v>
      </c>
      <c r="H12" s="40"/>
    </row>
    <row r="13" spans="1:8" x14ac:dyDescent="0.25">
      <c r="B13" s="1"/>
      <c r="C13" s="1"/>
      <c r="D13" s="1"/>
      <c r="E13" s="1"/>
      <c r="F13" s="1"/>
      <c r="G13" s="1"/>
    </row>
    <row r="14" spans="1:8" x14ac:dyDescent="0.25">
      <c r="A14" s="2" t="s">
        <v>8</v>
      </c>
      <c r="B14" s="1"/>
      <c r="C14" s="1"/>
      <c r="D14" s="1"/>
      <c r="E14" s="1"/>
      <c r="F14" s="1"/>
      <c r="G14" s="1"/>
    </row>
    <row r="15" spans="1:8" x14ac:dyDescent="0.25">
      <c r="A15" s="2" t="s">
        <v>152</v>
      </c>
      <c r="B15" s="6">
        <f t="shared" si="0"/>
        <v>1228837896.8</v>
      </c>
      <c r="C15" s="45">
        <f>D15+E15</f>
        <v>1030590000</v>
      </c>
      <c r="D15" s="6">
        <f>'I trimestre'!D15+'II Trimestre'!D15+'III Trimestre'!D15</f>
        <v>1030590000</v>
      </c>
      <c r="E15" s="6">
        <f>'I trimestre'!E15+'II Trimestre'!E15+'III Trimestre'!E15</f>
        <v>0</v>
      </c>
      <c r="F15" s="6">
        <f>'I trimestre'!F15+'II Trimestre'!F15+'III Trimestre'!F15</f>
        <v>198247896.80000001</v>
      </c>
      <c r="G15" s="6">
        <f>'I trimestre'!G15+'II Trimestre'!G15+'III Trimestre'!G15</f>
        <v>0</v>
      </c>
      <c r="H15" s="40"/>
    </row>
    <row r="16" spans="1:8" x14ac:dyDescent="0.25">
      <c r="A16" s="2" t="s">
        <v>150</v>
      </c>
      <c r="B16" s="6">
        <f t="shared" si="0"/>
        <v>1812500000</v>
      </c>
      <c r="C16" s="45">
        <f t="shared" ref="C16:C18" si="2">D16+E16</f>
        <v>1512500000</v>
      </c>
      <c r="D16" s="6">
        <f>'I trimestre'!D16+'II Trimestre'!D16+'III Trimestre'!D16</f>
        <v>912500000</v>
      </c>
      <c r="E16" s="6">
        <f>'I trimestre'!E16+'II Trimestre'!E16+'III Trimestre'!E16</f>
        <v>600000000</v>
      </c>
      <c r="F16" s="6">
        <f>'I trimestre'!F16+'II Trimestre'!F16+'III Trimestre'!F16</f>
        <v>300000000</v>
      </c>
      <c r="G16" s="6">
        <f>'I trimestre'!G16+'II Trimestre'!G16+'III Trimestre'!G16</f>
        <v>0</v>
      </c>
      <c r="H16" s="40"/>
    </row>
    <row r="17" spans="1:8" x14ac:dyDescent="0.25">
      <c r="A17" s="2" t="s">
        <v>151</v>
      </c>
      <c r="B17" s="6">
        <f t="shared" si="0"/>
        <v>1634884967.9200001</v>
      </c>
      <c r="C17" s="45">
        <f t="shared" si="2"/>
        <v>1444745000</v>
      </c>
      <c r="D17" s="6">
        <f>'I trimestre'!D17+'II Trimestre'!D17+'III Trimestre'!D17</f>
        <v>845804000</v>
      </c>
      <c r="E17" s="6">
        <f>'I trimestre'!E17+'II Trimestre'!E17+'III Trimestre'!E17</f>
        <v>598941000</v>
      </c>
      <c r="F17" s="6">
        <f>'I trimestre'!F17+'II Trimestre'!F17+'III Trimestre'!F17</f>
        <v>190139967.92000002</v>
      </c>
      <c r="G17" s="6">
        <f>'I trimestre'!G17+'II Trimestre'!G17+'III Trimestre'!G17</f>
        <v>0</v>
      </c>
      <c r="H17" s="40"/>
    </row>
    <row r="18" spans="1:8" x14ac:dyDescent="0.25">
      <c r="A18" s="2" t="s">
        <v>112</v>
      </c>
      <c r="B18" s="6">
        <f t="shared" si="0"/>
        <v>2275000000</v>
      </c>
      <c r="C18" s="45">
        <f t="shared" si="2"/>
        <v>1875000000</v>
      </c>
      <c r="D18" s="6">
        <f>'III Trimestre'!D18</f>
        <v>1275000000</v>
      </c>
      <c r="E18" s="6">
        <f>'III Trimestre'!E18</f>
        <v>600000000</v>
      </c>
      <c r="F18" s="6">
        <f>'III Trimestre'!F18</f>
        <v>400000000</v>
      </c>
      <c r="G18" s="6">
        <f>'III Trimestre'!G18</f>
        <v>0</v>
      </c>
      <c r="H18" s="40"/>
    </row>
    <row r="19" spans="1:8" x14ac:dyDescent="0.25">
      <c r="A19" s="2" t="s">
        <v>153</v>
      </c>
      <c r="B19" s="6">
        <f t="shared" si="0"/>
        <v>1634884967.9200001</v>
      </c>
      <c r="C19" s="45">
        <f>C17</f>
        <v>1444745000</v>
      </c>
      <c r="D19" s="6">
        <f>D17</f>
        <v>845804000</v>
      </c>
      <c r="E19" s="6">
        <f>E17</f>
        <v>598941000</v>
      </c>
      <c r="F19" s="6">
        <f>F17</f>
        <v>190139967.92000002</v>
      </c>
      <c r="G19" s="6">
        <f>G17</f>
        <v>0</v>
      </c>
      <c r="H19" s="44"/>
    </row>
    <row r="20" spans="1:8" x14ac:dyDescent="0.25">
      <c r="B20" s="1"/>
      <c r="C20" s="1"/>
      <c r="D20" s="1"/>
      <c r="E20" s="1"/>
      <c r="F20" s="1"/>
      <c r="G20" s="1"/>
    </row>
    <row r="21" spans="1:8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1"/>
      <c r="G21" s="1"/>
    </row>
    <row r="22" spans="1:8" x14ac:dyDescent="0.25">
      <c r="A22" s="2" t="s">
        <v>150</v>
      </c>
      <c r="B22" s="6">
        <f>B16</f>
        <v>1812500000</v>
      </c>
      <c r="C22" s="6"/>
      <c r="D22" s="6">
        <f>D16</f>
        <v>912500000</v>
      </c>
      <c r="E22" s="6">
        <f>+E16+F16</f>
        <v>900000000</v>
      </c>
      <c r="F22" s="1"/>
      <c r="G22" s="1"/>
    </row>
    <row r="23" spans="1:8" x14ac:dyDescent="0.25">
      <c r="A23" s="2" t="s">
        <v>151</v>
      </c>
      <c r="B23" s="45">
        <f>D23+E23</f>
        <v>1910800000</v>
      </c>
      <c r="C23" s="6"/>
      <c r="D23" s="6">
        <f>'I trimestre'!D23+'II Trimestre'!D23+'III Trimestre'!D23</f>
        <v>1010800000</v>
      </c>
      <c r="E23" s="6">
        <f>'I trimestre'!E23+'II Trimestre'!E23+'III Trimestre'!E23</f>
        <v>900000000</v>
      </c>
      <c r="F23" s="1"/>
      <c r="G23" s="1"/>
      <c r="H23" s="44"/>
    </row>
    <row r="24" spans="1:8" x14ac:dyDescent="0.25">
      <c r="B24" s="1"/>
      <c r="C24" s="1"/>
      <c r="D24" s="1"/>
      <c r="E24" s="1"/>
      <c r="F24" s="1"/>
      <c r="G24" s="1"/>
    </row>
    <row r="25" spans="1:8" x14ac:dyDescent="0.25">
      <c r="A25" s="2" t="s">
        <v>10</v>
      </c>
      <c r="B25" s="1"/>
      <c r="C25" s="1"/>
      <c r="D25" s="1"/>
      <c r="E25" s="1"/>
      <c r="F25" s="1"/>
      <c r="G25" s="1"/>
    </row>
    <row r="26" spans="1:8" x14ac:dyDescent="0.25">
      <c r="A26" s="2" t="s">
        <v>98</v>
      </c>
      <c r="B26" s="1">
        <v>1.6128472990111107</v>
      </c>
      <c r="C26" s="1">
        <v>1.6128472990111107</v>
      </c>
      <c r="D26" s="1">
        <v>1.6128472990111107</v>
      </c>
      <c r="E26" s="1">
        <v>1.6128472990111107</v>
      </c>
      <c r="F26" s="1">
        <v>1.6128472990111107</v>
      </c>
      <c r="G26" s="1">
        <v>1.6128472990111107</v>
      </c>
    </row>
    <row r="27" spans="1:8" x14ac:dyDescent="0.25">
      <c r="A27" s="2" t="s">
        <v>154</v>
      </c>
      <c r="B27" s="1">
        <v>1.68</v>
      </c>
      <c r="C27" s="1">
        <v>1.68</v>
      </c>
      <c r="D27" s="1">
        <v>1.68</v>
      </c>
      <c r="E27" s="1">
        <v>1.68</v>
      </c>
      <c r="F27" s="1">
        <v>1.68</v>
      </c>
      <c r="G27" s="1">
        <v>1.68</v>
      </c>
    </row>
    <row r="28" spans="1:8" x14ac:dyDescent="0.25">
      <c r="A28" s="2" t="s">
        <v>11</v>
      </c>
      <c r="B28" s="6">
        <v>94057</v>
      </c>
      <c r="C28" s="6">
        <v>94057</v>
      </c>
      <c r="D28" s="6">
        <v>94057</v>
      </c>
      <c r="E28" s="6">
        <v>94057</v>
      </c>
      <c r="F28" s="6">
        <v>94057</v>
      </c>
      <c r="G28" s="6">
        <v>94057</v>
      </c>
    </row>
    <row r="29" spans="1:8" x14ac:dyDescent="0.25">
      <c r="B29" s="1"/>
      <c r="C29" s="1"/>
      <c r="D29" s="1"/>
      <c r="E29" s="1"/>
      <c r="F29" s="1"/>
      <c r="G29" s="1"/>
    </row>
    <row r="30" spans="1:8" x14ac:dyDescent="0.25">
      <c r="A30" s="2" t="s">
        <v>12</v>
      </c>
      <c r="B30" s="1"/>
      <c r="C30" s="1"/>
      <c r="D30" s="1"/>
      <c r="E30" s="1"/>
      <c r="F30" s="1"/>
      <c r="G30" s="1"/>
    </row>
    <row r="31" spans="1:8" x14ac:dyDescent="0.25">
      <c r="A31" s="2" t="s">
        <v>99</v>
      </c>
      <c r="B31" s="1">
        <f t="shared" ref="B31:G31" si="3">B15/B26</f>
        <v>761905914.80882323</v>
      </c>
      <c r="C31" s="1">
        <f t="shared" si="3"/>
        <v>638987956.66017997</v>
      </c>
      <c r="D31" s="1">
        <f t="shared" si="3"/>
        <v>638987956.66017997</v>
      </c>
      <c r="E31" s="1">
        <f t="shared" si="3"/>
        <v>0</v>
      </c>
      <c r="F31" s="1">
        <f t="shared" si="3"/>
        <v>122917958.14864326</v>
      </c>
      <c r="G31" s="1">
        <f t="shared" si="3"/>
        <v>0</v>
      </c>
    </row>
    <row r="32" spans="1:8" x14ac:dyDescent="0.25">
      <c r="A32" s="2" t="s">
        <v>155</v>
      </c>
      <c r="B32" s="1">
        <f t="shared" ref="B32:G32" si="4">B17/B27</f>
        <v>973145814.23809528</v>
      </c>
      <c r="C32" s="1">
        <f t="shared" si="4"/>
        <v>859967261.90476191</v>
      </c>
      <c r="D32" s="1">
        <f t="shared" si="4"/>
        <v>503454761.90476191</v>
      </c>
      <c r="E32" s="1">
        <f t="shared" si="4"/>
        <v>356512500</v>
      </c>
      <c r="F32" s="1">
        <f t="shared" si="4"/>
        <v>113178552.33333334</v>
      </c>
      <c r="G32" s="1">
        <f t="shared" si="4"/>
        <v>0</v>
      </c>
    </row>
    <row r="33" spans="1:7" x14ac:dyDescent="0.25">
      <c r="A33" s="2" t="s">
        <v>100</v>
      </c>
      <c r="B33" s="1">
        <f t="shared" ref="B33:G33" si="5">B31/B9</f>
        <v>295885.7921587663</v>
      </c>
      <c r="C33" s="1">
        <f t="shared" si="5"/>
        <v>1664031.1371358854</v>
      </c>
      <c r="D33" s="1">
        <f t="shared" si="5"/>
        <v>1664031.1371358854</v>
      </c>
      <c r="E33" s="1" t="e">
        <f t="shared" si="5"/>
        <v>#DIV/0!</v>
      </c>
      <c r="F33" s="1">
        <f t="shared" si="5"/>
        <v>56101.304495044846</v>
      </c>
      <c r="G33" s="1" t="e">
        <f t="shared" si="5"/>
        <v>#DIV/0!</v>
      </c>
    </row>
    <row r="34" spans="1:7" x14ac:dyDescent="0.25">
      <c r="A34" s="2" t="s">
        <v>156</v>
      </c>
      <c r="B34" s="1">
        <f t="shared" ref="B34:G34" si="6">B32/B11</f>
        <v>272208.61936729937</v>
      </c>
      <c r="C34" s="1">
        <f t="shared" si="6"/>
        <v>2023452.3809523811</v>
      </c>
      <c r="D34" s="1">
        <f t="shared" si="6"/>
        <v>2089023.9083185142</v>
      </c>
      <c r="E34" s="1">
        <f t="shared" si="6"/>
        <v>1937567.9347826086</v>
      </c>
      <c r="F34" s="1">
        <f t="shared" si="6"/>
        <v>35929.699153439156</v>
      </c>
      <c r="G34" s="1" t="e">
        <f t="shared" si="6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7">B10/B28*100</f>
        <v>2.6483940589217174</v>
      </c>
      <c r="C39" s="1">
        <f t="shared" si="7"/>
        <v>0.64322697938484119</v>
      </c>
      <c r="D39" s="1">
        <f t="shared" si="7"/>
        <v>0.30300775061930529</v>
      </c>
      <c r="E39" s="1">
        <f t="shared" si="7"/>
        <v>0.34021922876553579</v>
      </c>
      <c r="F39" s="1">
        <f t="shared" si="7"/>
        <v>2.0051670795368763</v>
      </c>
      <c r="G39" s="1">
        <f t="shared" si="7"/>
        <v>0</v>
      </c>
    </row>
    <row r="40" spans="1:7" x14ac:dyDescent="0.25">
      <c r="A40" s="2" t="s">
        <v>16</v>
      </c>
      <c r="B40" s="1">
        <f t="shared" ref="B40:G40" si="8">B11/B28*100</f>
        <v>3.8008866963649703</v>
      </c>
      <c r="C40" s="1">
        <f t="shared" si="8"/>
        <v>0.45185366320422721</v>
      </c>
      <c r="D40" s="1">
        <f t="shared" si="8"/>
        <v>0.25622760666404415</v>
      </c>
      <c r="E40" s="1">
        <f t="shared" si="8"/>
        <v>0.19562605654018309</v>
      </c>
      <c r="F40" s="1">
        <f t="shared" si="8"/>
        <v>3.349033033160743</v>
      </c>
      <c r="G40" s="1">
        <f t="shared" si="8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9">B11/B10*100</f>
        <v>143.51665997591329</v>
      </c>
      <c r="C43" s="1">
        <f t="shared" si="9"/>
        <v>70.247933884297524</v>
      </c>
      <c r="D43" s="1">
        <f t="shared" si="9"/>
        <v>84.561403508771932</v>
      </c>
      <c r="E43" s="1">
        <f t="shared" si="9"/>
        <v>57.499999999999993</v>
      </c>
      <c r="F43" s="1">
        <f t="shared" si="9"/>
        <v>167.02014846235417</v>
      </c>
      <c r="G43" s="1" t="e">
        <f t="shared" si="9"/>
        <v>#DIV/0!</v>
      </c>
    </row>
    <row r="44" spans="1:7" x14ac:dyDescent="0.25">
      <c r="A44" s="2" t="s">
        <v>19</v>
      </c>
      <c r="B44" s="1">
        <f t="shared" ref="B44:G44" si="10">B17/B16*100</f>
        <v>90.200549954206906</v>
      </c>
      <c r="C44" s="1">
        <f t="shared" si="10"/>
        <v>95.520330578512386</v>
      </c>
      <c r="D44" s="1">
        <f t="shared" si="10"/>
        <v>92.69084931506849</v>
      </c>
      <c r="E44" s="1">
        <f t="shared" si="10"/>
        <v>99.823499999999996</v>
      </c>
      <c r="F44" s="1">
        <f t="shared" si="10"/>
        <v>63.379989306666673</v>
      </c>
      <c r="G44" s="1" t="e">
        <f t="shared" si="10"/>
        <v>#DIV/0!</v>
      </c>
    </row>
    <row r="45" spans="1:7" x14ac:dyDescent="0.25">
      <c r="A45" s="2" t="s">
        <v>20</v>
      </c>
      <c r="B45" s="1">
        <f t="shared" ref="B45:G45" si="11">AVERAGE(B43:B44)</f>
        <v>116.8586049650601</v>
      </c>
      <c r="C45" s="1">
        <f t="shared" si="11"/>
        <v>82.884132231404948</v>
      </c>
      <c r="D45" s="1">
        <f t="shared" si="11"/>
        <v>88.626126411920211</v>
      </c>
      <c r="E45" s="1">
        <f t="shared" si="11"/>
        <v>78.661749999999998</v>
      </c>
      <c r="F45" s="1">
        <f t="shared" si="11"/>
        <v>115.20006888451042</v>
      </c>
      <c r="G45" s="1" t="e">
        <f t="shared" si="11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2">B11/B12*100</f>
        <v>127.67857142857142</v>
      </c>
      <c r="C48" s="1">
        <f t="shared" si="12"/>
        <v>56.666666666666664</v>
      </c>
      <c r="D48" s="1">
        <f t="shared" si="12"/>
        <v>56.04651162790698</v>
      </c>
      <c r="E48" s="1">
        <f t="shared" si="12"/>
        <v>57.499999999999993</v>
      </c>
      <c r="F48" s="1">
        <f t="shared" si="12"/>
        <v>153.65853658536585</v>
      </c>
      <c r="G48" s="1" t="e">
        <f t="shared" si="12"/>
        <v>#DIV/0!</v>
      </c>
    </row>
    <row r="49" spans="1:7" x14ac:dyDescent="0.25">
      <c r="A49" s="2" t="s">
        <v>23</v>
      </c>
      <c r="B49" s="1">
        <f t="shared" ref="B49:G49" si="13">B17/B18*100</f>
        <v>71.863075512967029</v>
      </c>
      <c r="C49" s="1">
        <f t="shared" si="13"/>
        <v>77.053066666666666</v>
      </c>
      <c r="D49" s="1">
        <f t="shared" si="13"/>
        <v>66.337568627450977</v>
      </c>
      <c r="E49" s="1">
        <f t="shared" si="13"/>
        <v>99.823499999999996</v>
      </c>
      <c r="F49" s="1">
        <f t="shared" si="13"/>
        <v>47.534991980000001</v>
      </c>
      <c r="G49" s="1" t="e">
        <f t="shared" si="13"/>
        <v>#DIV/0!</v>
      </c>
    </row>
    <row r="50" spans="1:7" x14ac:dyDescent="0.25">
      <c r="A50" s="2" t="s">
        <v>24</v>
      </c>
      <c r="B50" s="1">
        <f t="shared" ref="B50:G50" si="14">AVERAGE(B48:B49)</f>
        <v>99.770823470769216</v>
      </c>
      <c r="C50" s="1">
        <f t="shared" si="14"/>
        <v>66.859866666666662</v>
      </c>
      <c r="D50" s="1">
        <f t="shared" si="14"/>
        <v>61.192040127678979</v>
      </c>
      <c r="E50" s="1">
        <f t="shared" si="14"/>
        <v>78.661749999999998</v>
      </c>
      <c r="F50" s="1">
        <f t="shared" si="14"/>
        <v>100.59676428268293</v>
      </c>
      <c r="G50" s="1" t="e">
        <f t="shared" si="14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5">B19/B17*100</f>
        <v>100</v>
      </c>
      <c r="C52" s="1">
        <f t="shared" si="15"/>
        <v>100</v>
      </c>
      <c r="D52" s="1">
        <f t="shared" si="15"/>
        <v>100</v>
      </c>
      <c r="E52" s="1">
        <f t="shared" si="15"/>
        <v>100</v>
      </c>
      <c r="F52" s="1">
        <f t="shared" si="15"/>
        <v>100</v>
      </c>
      <c r="G52" s="1" t="e">
        <f t="shared" si="15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6">((B11/B9)-1)*100</f>
        <v>38.834951456310684</v>
      </c>
      <c r="C55" s="1">
        <f t="shared" si="16"/>
        <v>10.677083333333325</v>
      </c>
      <c r="D55" s="1">
        <f t="shared" si="16"/>
        <v>-37.239583333333336</v>
      </c>
      <c r="E55" s="1" t="e">
        <f t="shared" si="16"/>
        <v>#DIV/0!</v>
      </c>
      <c r="F55" s="1">
        <f t="shared" si="16"/>
        <v>43.769968051118212</v>
      </c>
      <c r="G55" s="1" t="e">
        <f t="shared" si="16"/>
        <v>#DIV/0!</v>
      </c>
    </row>
    <row r="56" spans="1:7" x14ac:dyDescent="0.25">
      <c r="A56" s="2" t="s">
        <v>28</v>
      </c>
      <c r="B56" s="1">
        <f t="shared" ref="B56:G56" si="17">((B32/B31)-1)*100</f>
        <v>27.725194846699175</v>
      </c>
      <c r="C56" s="1">
        <f t="shared" si="17"/>
        <v>34.582702684974208</v>
      </c>
      <c r="D56" s="1">
        <f t="shared" si="17"/>
        <v>-21.210602381899967</v>
      </c>
      <c r="E56" s="1" t="e">
        <f t="shared" si="17"/>
        <v>#DIV/0!</v>
      </c>
      <c r="F56" s="1">
        <f t="shared" si="17"/>
        <v>-7.9235011401118101</v>
      </c>
      <c r="G56" s="1" t="e">
        <f t="shared" si="17"/>
        <v>#DIV/0!</v>
      </c>
    </row>
    <row r="57" spans="1:7" x14ac:dyDescent="0.25">
      <c r="A57" s="2" t="s">
        <v>29</v>
      </c>
      <c r="B57" s="1">
        <f t="shared" ref="B57:G57" si="18">((B34/B33)-1)*100</f>
        <v>-8.0021323831467548</v>
      </c>
      <c r="C57" s="1">
        <f t="shared" si="18"/>
        <v>21.599430190659064</v>
      </c>
      <c r="D57" s="1">
        <f t="shared" si="18"/>
        <v>25.53995305124652</v>
      </c>
      <c r="E57" s="1" t="e">
        <f t="shared" si="18"/>
        <v>#DIV/0!</v>
      </c>
      <c r="F57" s="1">
        <f t="shared" si="18"/>
        <v>-35.955679681900001</v>
      </c>
      <c r="G57" s="1" t="e">
        <f t="shared" si="18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727619.42994781211</v>
      </c>
      <c r="C60" s="1">
        <f t="shared" ref="C60:G61" si="19">C16/C10</f>
        <v>2500000</v>
      </c>
      <c r="D60" s="1">
        <f>D16/D10</f>
        <v>3201754.3859649124</v>
      </c>
      <c r="E60" s="1">
        <f>E16/E10</f>
        <v>1875000</v>
      </c>
      <c r="F60" s="1">
        <f t="shared" si="19"/>
        <v>159066.80805938493</v>
      </c>
      <c r="G60" s="1" t="e">
        <f t="shared" si="19"/>
        <v>#DIV/0!</v>
      </c>
    </row>
    <row r="61" spans="1:7" x14ac:dyDescent="0.25">
      <c r="A61" s="2" t="s">
        <v>32</v>
      </c>
      <c r="B61" s="1">
        <f>B17/B11</f>
        <v>457310.48053706298</v>
      </c>
      <c r="C61" s="1">
        <f t="shared" si="19"/>
        <v>3399400</v>
      </c>
      <c r="D61" s="1">
        <f>D17/D11</f>
        <v>3509560.1659751036</v>
      </c>
      <c r="E61" s="1">
        <f>E17/E11</f>
        <v>3255114.1304347827</v>
      </c>
      <c r="F61" s="1">
        <f t="shared" si="19"/>
        <v>60361.894577777784</v>
      </c>
      <c r="G61" s="1" t="e">
        <f t="shared" si="19"/>
        <v>#DIV/0!</v>
      </c>
    </row>
    <row r="62" spans="1:7" x14ac:dyDescent="0.25">
      <c r="A62" s="2" t="s">
        <v>33</v>
      </c>
      <c r="B62" s="1">
        <f t="shared" ref="B62:G62" si="20">(B60/B61)*B45</f>
        <v>185.93186718423001</v>
      </c>
      <c r="C62" s="1">
        <f t="shared" si="20"/>
        <v>60.954971635733479</v>
      </c>
      <c r="D62" s="1">
        <f t="shared" si="20"/>
        <v>80.853176902754726</v>
      </c>
      <c r="E62" s="1">
        <f t="shared" si="20"/>
        <v>45.310479245868954</v>
      </c>
      <c r="F62" s="1">
        <f t="shared" si="20"/>
        <v>303.57740382169021</v>
      </c>
      <c r="G62" s="1" t="e">
        <f t="shared" si="20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1"/>
      <c r="G64" s="1"/>
    </row>
    <row r="65" spans="1:7" x14ac:dyDescent="0.25">
      <c r="A65" s="2" t="s">
        <v>35</v>
      </c>
      <c r="B65" s="1">
        <f>B23/B22*100</f>
        <v>105.42344827586207</v>
      </c>
      <c r="C65" s="1"/>
      <c r="D65" s="1">
        <f>D23/D22*100</f>
        <v>110.77260273972603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85.560234871258118</v>
      </c>
      <c r="C66" s="1"/>
      <c r="D66" s="1">
        <f>D17/D23*100</f>
        <v>83.676691729323309</v>
      </c>
      <c r="E66" s="1">
        <f>F17/E23*100</f>
        <v>21.126663102222224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107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165</v>
      </c>
    </row>
    <row r="77" spans="1:7" x14ac:dyDescent="0.25">
      <c r="A77" s="2" t="s">
        <v>76</v>
      </c>
    </row>
    <row r="78" spans="1:7" x14ac:dyDescent="0.25">
      <c r="A78" s="2" t="s">
        <v>105</v>
      </c>
    </row>
    <row r="79" spans="1:7" x14ac:dyDescent="0.25">
      <c r="A79" s="2" t="s">
        <v>166</v>
      </c>
    </row>
    <row r="81" spans="1:1" x14ac:dyDescent="0.25">
      <c r="A81" s="2" t="s">
        <v>168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81"/>
  <sheetViews>
    <sheetView tabSelected="1" topLeftCell="A4" zoomScale="90" zoomScaleNormal="90" workbookViewId="0">
      <selection activeCell="F23" sqref="F23"/>
    </sheetView>
  </sheetViews>
  <sheetFormatPr baseColWidth="10" defaultColWidth="11.42578125" defaultRowHeight="15" x14ac:dyDescent="0.25"/>
  <cols>
    <col min="1" max="1" width="54.85546875" style="2" customWidth="1"/>
    <col min="2" max="2" width="22" style="2" customWidth="1"/>
    <col min="3" max="3" width="21" style="2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8" x14ac:dyDescent="0.25">
      <c r="A1" s="49" t="s">
        <v>157</v>
      </c>
      <c r="B1" s="49"/>
      <c r="C1" s="49"/>
      <c r="D1" s="49"/>
      <c r="E1" s="49"/>
      <c r="F1" s="49"/>
      <c r="G1" s="49"/>
    </row>
    <row r="3" spans="1:8" x14ac:dyDescent="0.25">
      <c r="A3" s="52" t="s">
        <v>0</v>
      </c>
      <c r="B3" s="46" t="s">
        <v>37</v>
      </c>
      <c r="C3" s="50" t="s">
        <v>2</v>
      </c>
      <c r="D3" s="50"/>
      <c r="E3" s="50"/>
      <c r="F3" s="50"/>
      <c r="G3" s="50"/>
    </row>
    <row r="4" spans="1:8" ht="15.75" thickBot="1" x14ac:dyDescent="0.3">
      <c r="A4" s="53"/>
      <c r="B4" s="48"/>
      <c r="C4" s="51" t="s">
        <v>3</v>
      </c>
      <c r="D4" s="51"/>
      <c r="E4" s="51"/>
      <c r="F4" s="46" t="s">
        <v>4</v>
      </c>
      <c r="G4" s="46" t="s">
        <v>5</v>
      </c>
    </row>
    <row r="5" spans="1:8" ht="16.5" thickTop="1" thickBot="1" x14ac:dyDescent="0.3">
      <c r="A5" s="54"/>
      <c r="B5" s="47"/>
      <c r="C5" s="36" t="s">
        <v>108</v>
      </c>
      <c r="D5" s="36" t="s">
        <v>70</v>
      </c>
      <c r="E5" s="36" t="s">
        <v>72</v>
      </c>
      <c r="F5" s="47"/>
      <c r="G5" s="47"/>
    </row>
    <row r="6" spans="1:8" ht="15.75" thickTop="1" x14ac:dyDescent="0.25">
      <c r="A6" s="37"/>
      <c r="B6" s="38"/>
      <c r="C6" s="39"/>
      <c r="D6" s="39"/>
      <c r="E6" s="39"/>
      <c r="F6" s="38"/>
      <c r="G6" s="38"/>
    </row>
    <row r="7" spans="1:8" x14ac:dyDescent="0.25">
      <c r="A7" s="5" t="s">
        <v>6</v>
      </c>
    </row>
    <row r="8" spans="1:8" x14ac:dyDescent="0.25">
      <c r="A8" s="2" t="s">
        <v>7</v>
      </c>
    </row>
    <row r="9" spans="1:8" x14ac:dyDescent="0.25">
      <c r="A9" s="2" t="s">
        <v>101</v>
      </c>
      <c r="B9" s="6">
        <f>+C9+F9+G9</f>
        <v>3520</v>
      </c>
      <c r="C9" s="45">
        <f>D9+E9</f>
        <v>544</v>
      </c>
      <c r="D9" s="6">
        <f>'I trimestre'!D9+'II Trimestre'!D9+'III Trimestre'!D9+'IV Trimestre'!D9</f>
        <v>544</v>
      </c>
      <c r="E9" s="6">
        <f>'I trimestre'!E9+'II Trimestre'!E9+'III Trimestre'!E9+'IV Trimestre'!E9</f>
        <v>0</v>
      </c>
      <c r="F9" s="6">
        <f>'I trimestre'!F9+'II Trimestre'!F9+'III Trimestre'!F9+'IV Trimestre'!F9</f>
        <v>2976</v>
      </c>
      <c r="G9" s="6">
        <f>'I trimestre'!G9+'II Trimestre'!G9+'III Trimestre'!G9+'IV Trimestre'!G9</f>
        <v>0</v>
      </c>
      <c r="H9" s="40"/>
    </row>
    <row r="10" spans="1:8" x14ac:dyDescent="0.25">
      <c r="A10" s="2" t="s">
        <v>158</v>
      </c>
      <c r="B10" s="6">
        <f t="shared" ref="B10:B19" si="0">+C10+F10+G10</f>
        <v>2800</v>
      </c>
      <c r="C10" s="45">
        <f t="shared" ref="C10:C12" si="1">D10+E10</f>
        <v>750</v>
      </c>
      <c r="D10" s="6">
        <f>'I trimestre'!D10+'II Trimestre'!D10+'III Trimestre'!D10+'IV Trimestre'!D10</f>
        <v>430</v>
      </c>
      <c r="E10" s="6">
        <f>'I trimestre'!E10+'II Trimestre'!E10+'III Trimestre'!E10+'IV Trimestre'!E10</f>
        <v>320</v>
      </c>
      <c r="F10" s="6">
        <f>'I trimestre'!F10+'II Trimestre'!F10+'III Trimestre'!F10+'IV Trimestre'!F10</f>
        <v>2050</v>
      </c>
      <c r="G10" s="6">
        <f>'I trimestre'!G10+'II Trimestre'!G10+'III Trimestre'!G10+'IV Trimestre'!G10</f>
        <v>0</v>
      </c>
      <c r="H10" s="40"/>
    </row>
    <row r="11" spans="1:8" x14ac:dyDescent="0.25">
      <c r="A11" s="2" t="s">
        <v>159</v>
      </c>
      <c r="B11" s="6">
        <f t="shared" si="0"/>
        <v>3753</v>
      </c>
      <c r="C11" s="45">
        <f t="shared" si="1"/>
        <v>603</v>
      </c>
      <c r="D11" s="6">
        <f>'I trimestre'!D11+'II Trimestre'!D11+'III Trimestre'!D11+'IV Trimestre'!D11</f>
        <v>418</v>
      </c>
      <c r="E11" s="6">
        <f>'I trimestre'!E11+'II Trimestre'!E11+'III Trimestre'!E11+'IV Trimestre'!E11</f>
        <v>185</v>
      </c>
      <c r="F11" s="6">
        <f>'I trimestre'!F11+'II Trimestre'!F11+'III Trimestre'!F11+'IV Trimestre'!F11</f>
        <v>3150</v>
      </c>
      <c r="G11" s="6">
        <f>'I trimestre'!G11+'II Trimestre'!G11+'III Trimestre'!G11+'IV Trimestre'!G11</f>
        <v>0</v>
      </c>
      <c r="H11" s="40"/>
    </row>
    <row r="12" spans="1:8" x14ac:dyDescent="0.25">
      <c r="A12" s="2" t="s">
        <v>112</v>
      </c>
      <c r="B12" s="6">
        <f t="shared" si="0"/>
        <v>2800</v>
      </c>
      <c r="C12" s="45">
        <f t="shared" si="1"/>
        <v>750</v>
      </c>
      <c r="D12" s="6">
        <f>'IV Trimestre'!D12</f>
        <v>430</v>
      </c>
      <c r="E12" s="6">
        <f>'IV Trimestre'!E12</f>
        <v>320</v>
      </c>
      <c r="F12" s="6">
        <f>'IV Trimestre'!F12</f>
        <v>2050</v>
      </c>
      <c r="G12" s="6">
        <f>'IV Trimestre'!G12</f>
        <v>0</v>
      </c>
      <c r="H12" s="40"/>
    </row>
    <row r="13" spans="1:8" x14ac:dyDescent="0.25">
      <c r="B13" s="1"/>
      <c r="C13" s="1"/>
      <c r="D13" s="1"/>
      <c r="E13" s="1"/>
      <c r="F13" s="1"/>
      <c r="G13" s="1"/>
    </row>
    <row r="14" spans="1:8" x14ac:dyDescent="0.25">
      <c r="A14" s="2" t="s">
        <v>8</v>
      </c>
      <c r="B14" s="1"/>
      <c r="C14" s="1"/>
      <c r="D14" s="1"/>
      <c r="E14" s="1"/>
      <c r="F14" s="1"/>
      <c r="G14" s="1"/>
    </row>
    <row r="15" spans="1:8" x14ac:dyDescent="0.25">
      <c r="A15" s="2" t="s">
        <v>160</v>
      </c>
      <c r="B15" s="6">
        <f t="shared" si="0"/>
        <v>1933306977</v>
      </c>
      <c r="C15" s="45">
        <f>D15+E15</f>
        <v>1563905000</v>
      </c>
      <c r="D15" s="6">
        <f>'I trimestre'!D15+'II Trimestre'!D15+'III Trimestre'!D15+'IV Trimestre'!D15</f>
        <v>1563905000</v>
      </c>
      <c r="E15" s="6">
        <f>'I trimestre'!E15+'II Trimestre'!E15+'III Trimestre'!E15+'IV Trimestre'!E15</f>
        <v>0</v>
      </c>
      <c r="F15" s="6">
        <f>'I trimestre'!F15+'II Trimestre'!F15+'III Trimestre'!F15+'IV Trimestre'!F15</f>
        <v>369401977</v>
      </c>
      <c r="G15" s="6">
        <f>'I trimestre'!G15+'II Trimestre'!G15+'III Trimestre'!G15+'IV Trimestre'!G15</f>
        <v>0</v>
      </c>
      <c r="H15" s="40"/>
    </row>
    <row r="16" spans="1:8" x14ac:dyDescent="0.25">
      <c r="A16" s="2" t="s">
        <v>158</v>
      </c>
      <c r="B16" s="6">
        <f t="shared" si="0"/>
        <v>2275000000</v>
      </c>
      <c r="C16" s="45">
        <f t="shared" ref="C16:C18" si="2">D16+E16</f>
        <v>1875000000</v>
      </c>
      <c r="D16" s="6">
        <f>'I trimestre'!D16+'II Trimestre'!D16+'III Trimestre'!D16+'IV Trimestre'!D16</f>
        <v>1275000000</v>
      </c>
      <c r="E16" s="6">
        <f>'I trimestre'!E16+'II Trimestre'!E16+'III Trimestre'!E16+'IV Trimestre'!E16</f>
        <v>600000000</v>
      </c>
      <c r="F16" s="6">
        <f>'I trimestre'!F16+'II Trimestre'!F16+'III Trimestre'!F16+'IV Trimestre'!F16</f>
        <v>400000000</v>
      </c>
      <c r="G16" s="6">
        <f>'I trimestre'!G16+'II Trimestre'!G16+'III Trimestre'!G16+'IV Trimestre'!G16</f>
        <v>0</v>
      </c>
      <c r="H16" s="40"/>
    </row>
    <row r="17" spans="1:8" x14ac:dyDescent="0.25">
      <c r="A17" s="2" t="s">
        <v>159</v>
      </c>
      <c r="B17" s="6">
        <f t="shared" si="0"/>
        <v>2400309687.96</v>
      </c>
      <c r="C17" s="45">
        <f t="shared" si="2"/>
        <v>2017954000</v>
      </c>
      <c r="D17" s="6">
        <f>'I trimestre'!D17+'II Trimestre'!D17+'III Trimestre'!D17+'IV Trimestre'!D17</f>
        <v>1417954000</v>
      </c>
      <c r="E17" s="6">
        <f>'I trimestre'!E17+'II Trimestre'!E17+'III Trimestre'!E17+'IV Trimestre'!E17</f>
        <v>600000000</v>
      </c>
      <c r="F17" s="6">
        <f>'I trimestre'!F17+'II Trimestre'!F17+'III Trimestre'!F17+'IV Trimestre'!F17</f>
        <v>382355687.96000004</v>
      </c>
      <c r="G17" s="6">
        <f>'I trimestre'!G17+'II Trimestre'!G17+'III Trimestre'!G17+'IV Trimestre'!G17</f>
        <v>0</v>
      </c>
      <c r="H17" s="40"/>
    </row>
    <row r="18" spans="1:8" x14ac:dyDescent="0.25">
      <c r="A18" s="2" t="s">
        <v>112</v>
      </c>
      <c r="B18" s="6">
        <f t="shared" si="0"/>
        <v>2275000000</v>
      </c>
      <c r="C18" s="45">
        <f t="shared" si="2"/>
        <v>1875000000</v>
      </c>
      <c r="D18" s="6">
        <f>'IV Trimestre'!D18</f>
        <v>1275000000</v>
      </c>
      <c r="E18" s="6">
        <f>'IV Trimestre'!E18</f>
        <v>600000000</v>
      </c>
      <c r="F18" s="6">
        <f>'IV Trimestre'!F18</f>
        <v>400000000</v>
      </c>
      <c r="G18" s="6">
        <f>'IV Trimestre'!G18</f>
        <v>0</v>
      </c>
      <c r="H18" s="40"/>
    </row>
    <row r="19" spans="1:8" x14ac:dyDescent="0.25">
      <c r="A19" s="2" t="s">
        <v>161</v>
      </c>
      <c r="B19" s="6">
        <f t="shared" si="0"/>
        <v>2400309687.96</v>
      </c>
      <c r="C19" s="45">
        <f>C17</f>
        <v>2017954000</v>
      </c>
      <c r="D19" s="6">
        <f>D17</f>
        <v>1417954000</v>
      </c>
      <c r="E19" s="6">
        <f>E17</f>
        <v>600000000</v>
      </c>
      <c r="F19" s="6">
        <f>F17</f>
        <v>382355687.96000004</v>
      </c>
      <c r="G19" s="6">
        <f>G17</f>
        <v>0</v>
      </c>
      <c r="H19" s="44"/>
    </row>
    <row r="20" spans="1:8" x14ac:dyDescent="0.25">
      <c r="B20" s="6"/>
      <c r="C20" s="6"/>
      <c r="D20" s="6"/>
      <c r="E20" s="6"/>
      <c r="F20" s="6"/>
      <c r="G20" s="6"/>
    </row>
    <row r="21" spans="1:8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6" t="s">
        <v>4</v>
      </c>
      <c r="G21" s="6"/>
    </row>
    <row r="22" spans="1:8" x14ac:dyDescent="0.25">
      <c r="A22" s="2" t="s">
        <v>158</v>
      </c>
      <c r="B22" s="6">
        <f>B16</f>
        <v>2275000000</v>
      </c>
      <c r="C22" s="6"/>
      <c r="D22" s="6">
        <f>D16</f>
        <v>1275000000</v>
      </c>
      <c r="E22" s="6">
        <f>E16</f>
        <v>600000000</v>
      </c>
      <c r="F22" s="6">
        <f>F16</f>
        <v>400000000</v>
      </c>
      <c r="G22" s="6"/>
    </row>
    <row r="23" spans="1:8" x14ac:dyDescent="0.25">
      <c r="A23" s="2" t="s">
        <v>159</v>
      </c>
      <c r="B23" s="45">
        <f>D23+E23+F23</f>
        <v>2367800000</v>
      </c>
      <c r="C23" s="6"/>
      <c r="D23" s="6">
        <f>'I trimestre'!D23+'II Trimestre'!D23+'III Trimestre'!D23+'IV Trimestre'!D23</f>
        <v>1367800000</v>
      </c>
      <c r="E23" s="6">
        <v>600000000</v>
      </c>
      <c r="F23" s="6">
        <v>400000000</v>
      </c>
      <c r="G23" s="1"/>
      <c r="H23" s="44"/>
    </row>
    <row r="24" spans="1:8" x14ac:dyDescent="0.25">
      <c r="B24" s="1"/>
      <c r="C24" s="1"/>
      <c r="D24" s="1"/>
      <c r="E24" s="1"/>
      <c r="F24" s="1"/>
      <c r="G24" s="1"/>
    </row>
    <row r="25" spans="1:8" x14ac:dyDescent="0.25">
      <c r="A25" s="2" t="s">
        <v>10</v>
      </c>
      <c r="B25" s="1"/>
      <c r="C25" s="1"/>
      <c r="D25" s="1"/>
      <c r="E25" s="1"/>
      <c r="F25" s="1"/>
      <c r="G25" s="1"/>
    </row>
    <row r="26" spans="1:8" x14ac:dyDescent="0.25">
      <c r="A26" s="2" t="s">
        <v>102</v>
      </c>
      <c r="B26" s="1">
        <v>1.61</v>
      </c>
      <c r="C26" s="1">
        <v>1.61</v>
      </c>
      <c r="D26" s="1">
        <v>1.61</v>
      </c>
      <c r="E26" s="1">
        <v>1.61</v>
      </c>
      <c r="F26" s="1">
        <v>1.61</v>
      </c>
      <c r="G26" s="1">
        <v>1.61</v>
      </c>
    </row>
    <row r="27" spans="1:8" x14ac:dyDescent="0.25">
      <c r="A27" s="2" t="s">
        <v>162</v>
      </c>
      <c r="B27" s="1">
        <v>1.69</v>
      </c>
      <c r="C27" s="1">
        <v>1.69</v>
      </c>
      <c r="D27" s="1">
        <v>1.69</v>
      </c>
      <c r="E27" s="1">
        <v>1.69</v>
      </c>
      <c r="F27" s="1">
        <v>1.69</v>
      </c>
      <c r="G27" s="1">
        <v>1.69</v>
      </c>
    </row>
    <row r="28" spans="1:8" x14ac:dyDescent="0.25">
      <c r="A28" s="2" t="s">
        <v>11</v>
      </c>
      <c r="B28" s="6">
        <v>94057</v>
      </c>
      <c r="C28" s="6">
        <v>94057</v>
      </c>
      <c r="D28" s="6">
        <v>94057</v>
      </c>
      <c r="E28" s="6">
        <v>94057</v>
      </c>
      <c r="F28" s="6">
        <v>94057</v>
      </c>
      <c r="G28" s="6">
        <v>94057</v>
      </c>
    </row>
    <row r="29" spans="1:8" x14ac:dyDescent="0.25">
      <c r="B29" s="1"/>
      <c r="C29" s="1"/>
      <c r="D29" s="1"/>
      <c r="E29" s="1"/>
      <c r="F29" s="1"/>
      <c r="G29" s="1"/>
    </row>
    <row r="30" spans="1:8" x14ac:dyDescent="0.25">
      <c r="A30" s="2" t="s">
        <v>12</v>
      </c>
      <c r="B30" s="1"/>
      <c r="C30" s="1"/>
      <c r="D30" s="1"/>
      <c r="E30" s="1"/>
      <c r="F30" s="1"/>
      <c r="G30" s="1"/>
    </row>
    <row r="31" spans="1:8" x14ac:dyDescent="0.25">
      <c r="A31" s="2" t="s">
        <v>103</v>
      </c>
      <c r="B31" s="1">
        <f t="shared" ref="B31:G31" si="3">B15/B26</f>
        <v>1200811786.9565217</v>
      </c>
      <c r="C31" s="1">
        <f t="shared" si="3"/>
        <v>971369565.21739125</v>
      </c>
      <c r="D31" s="1">
        <f t="shared" si="3"/>
        <v>971369565.21739125</v>
      </c>
      <c r="E31" s="1">
        <f t="shared" si="3"/>
        <v>0</v>
      </c>
      <c r="F31" s="1">
        <f t="shared" si="3"/>
        <v>229442221.73913041</v>
      </c>
      <c r="G31" s="1">
        <f t="shared" si="3"/>
        <v>0</v>
      </c>
    </row>
    <row r="32" spans="1:8" x14ac:dyDescent="0.25">
      <c r="A32" s="2" t="s">
        <v>163</v>
      </c>
      <c r="B32" s="1">
        <f t="shared" ref="B32:G32" si="4">B17/B27</f>
        <v>1420301590.5088758</v>
      </c>
      <c r="C32" s="1">
        <f t="shared" si="4"/>
        <v>1194055621.3017752</v>
      </c>
      <c r="D32" s="1">
        <f t="shared" si="4"/>
        <v>839026035.50295866</v>
      </c>
      <c r="E32" s="1">
        <f t="shared" si="4"/>
        <v>355029585.79881656</v>
      </c>
      <c r="F32" s="1">
        <f t="shared" si="4"/>
        <v>226245969.20710063</v>
      </c>
      <c r="G32" s="1">
        <f t="shared" si="4"/>
        <v>0</v>
      </c>
    </row>
    <row r="33" spans="1:7" x14ac:dyDescent="0.25">
      <c r="A33" s="2" t="s">
        <v>104</v>
      </c>
      <c r="B33" s="1">
        <f t="shared" ref="B33:G33" si="5">B31/B9</f>
        <v>341139.71220355731</v>
      </c>
      <c r="C33" s="1">
        <f t="shared" si="5"/>
        <v>1785605.8184143221</v>
      </c>
      <c r="D33" s="1">
        <f t="shared" si="5"/>
        <v>1785605.8184143221</v>
      </c>
      <c r="E33" s="1" t="e">
        <f t="shared" si="5"/>
        <v>#DIV/0!</v>
      </c>
      <c r="F33" s="1">
        <f t="shared" si="5"/>
        <v>77097.520745675545</v>
      </c>
      <c r="G33" s="1" t="e">
        <f t="shared" si="5"/>
        <v>#DIV/0!</v>
      </c>
    </row>
    <row r="34" spans="1:7" x14ac:dyDescent="0.25">
      <c r="A34" s="2" t="s">
        <v>164</v>
      </c>
      <c r="B34" s="1">
        <f t="shared" ref="B34:G34" si="6">B32/B11</f>
        <v>378444.3353340996</v>
      </c>
      <c r="C34" s="1">
        <f t="shared" si="6"/>
        <v>1980191.7434523636</v>
      </c>
      <c r="D34" s="1">
        <f t="shared" si="6"/>
        <v>2007239.3193850685</v>
      </c>
      <c r="E34" s="1">
        <f t="shared" si="6"/>
        <v>1919078.8421557653</v>
      </c>
      <c r="F34" s="1">
        <f t="shared" si="6"/>
        <v>71824.117208603377</v>
      </c>
      <c r="G34" s="1" t="e">
        <f t="shared" si="6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7">B10/B28*100</f>
        <v>2.976918251698438</v>
      </c>
      <c r="C39" s="1">
        <f t="shared" si="7"/>
        <v>0.79738881741922463</v>
      </c>
      <c r="D39" s="1">
        <f t="shared" si="7"/>
        <v>0.45716958865368873</v>
      </c>
      <c r="E39" s="1">
        <f t="shared" si="7"/>
        <v>0.34021922876553579</v>
      </c>
      <c r="F39" s="1">
        <f t="shared" si="7"/>
        <v>2.179529434279214</v>
      </c>
      <c r="G39" s="1">
        <f t="shared" si="7"/>
        <v>0</v>
      </c>
    </row>
    <row r="40" spans="1:7" x14ac:dyDescent="0.25">
      <c r="A40" s="2" t="s">
        <v>16</v>
      </c>
      <c r="B40" s="1">
        <f t="shared" ref="B40:G40" si="8">B11/B28*100</f>
        <v>3.9901336423657994</v>
      </c>
      <c r="C40" s="1">
        <f t="shared" si="8"/>
        <v>0.64110060920505652</v>
      </c>
      <c r="D40" s="1">
        <f t="shared" si="8"/>
        <v>0.44441136757498118</v>
      </c>
      <c r="E40" s="1">
        <f t="shared" si="8"/>
        <v>0.1966892416300754</v>
      </c>
      <c r="F40" s="1">
        <f t="shared" si="8"/>
        <v>3.349033033160743</v>
      </c>
      <c r="G40" s="1">
        <f t="shared" si="8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9">B11/B10*100</f>
        <v>134.03571428571428</v>
      </c>
      <c r="C43" s="1">
        <f t="shared" si="9"/>
        <v>80.400000000000006</v>
      </c>
      <c r="D43" s="1">
        <f t="shared" si="9"/>
        <v>97.20930232558139</v>
      </c>
      <c r="E43" s="1">
        <f t="shared" si="9"/>
        <v>57.8125</v>
      </c>
      <c r="F43" s="1">
        <f t="shared" si="9"/>
        <v>153.65853658536585</v>
      </c>
      <c r="G43" s="1" t="e">
        <f t="shared" si="9"/>
        <v>#DIV/0!</v>
      </c>
    </row>
    <row r="44" spans="1:7" x14ac:dyDescent="0.25">
      <c r="A44" s="2" t="s">
        <v>19</v>
      </c>
      <c r="B44" s="1">
        <f t="shared" ref="B44:G44" si="10">B17/B16*100</f>
        <v>105.50811815208792</v>
      </c>
      <c r="C44" s="1">
        <f t="shared" si="10"/>
        <v>107.62421333333334</v>
      </c>
      <c r="D44" s="1">
        <f t="shared" si="10"/>
        <v>111.21207843137255</v>
      </c>
      <c r="E44" s="1">
        <f t="shared" si="10"/>
        <v>100</v>
      </c>
      <c r="F44" s="1">
        <f t="shared" si="10"/>
        <v>95.588921990000003</v>
      </c>
      <c r="G44" s="1" t="e">
        <f t="shared" si="10"/>
        <v>#DIV/0!</v>
      </c>
    </row>
    <row r="45" spans="1:7" x14ac:dyDescent="0.25">
      <c r="A45" s="2" t="s">
        <v>20</v>
      </c>
      <c r="B45" s="1">
        <f t="shared" ref="B45:G45" si="11">AVERAGE(B43:B44)</f>
        <v>119.7719162189011</v>
      </c>
      <c r="C45" s="1">
        <f t="shared" si="11"/>
        <v>94.012106666666682</v>
      </c>
      <c r="D45" s="1">
        <f t="shared" si="11"/>
        <v>104.21069037847697</v>
      </c>
      <c r="E45" s="1">
        <f t="shared" si="11"/>
        <v>78.90625</v>
      </c>
      <c r="F45" s="1">
        <f t="shared" si="11"/>
        <v>124.62372928768292</v>
      </c>
      <c r="G45" s="1" t="e">
        <f t="shared" si="11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2">B11/B12*100</f>
        <v>134.03571428571428</v>
      </c>
      <c r="C48" s="1">
        <f t="shared" si="12"/>
        <v>80.400000000000006</v>
      </c>
      <c r="D48" s="1">
        <f t="shared" si="12"/>
        <v>97.20930232558139</v>
      </c>
      <c r="E48" s="1">
        <f t="shared" si="12"/>
        <v>57.8125</v>
      </c>
      <c r="F48" s="1">
        <f t="shared" si="12"/>
        <v>153.65853658536585</v>
      </c>
      <c r="G48" s="1" t="e">
        <f t="shared" si="12"/>
        <v>#DIV/0!</v>
      </c>
    </row>
    <row r="49" spans="1:7" x14ac:dyDescent="0.25">
      <c r="A49" s="2" t="s">
        <v>23</v>
      </c>
      <c r="B49" s="1">
        <f t="shared" ref="B49:G49" si="13">B17/B18*100</f>
        <v>105.50811815208792</v>
      </c>
      <c r="C49" s="1">
        <f t="shared" si="13"/>
        <v>107.62421333333334</v>
      </c>
      <c r="D49" s="1">
        <f t="shared" si="13"/>
        <v>111.21207843137255</v>
      </c>
      <c r="E49" s="1">
        <f t="shared" si="13"/>
        <v>100</v>
      </c>
      <c r="F49" s="1">
        <f t="shared" si="13"/>
        <v>95.588921990000003</v>
      </c>
      <c r="G49" s="1" t="e">
        <f t="shared" si="13"/>
        <v>#DIV/0!</v>
      </c>
    </row>
    <row r="50" spans="1:7" x14ac:dyDescent="0.25">
      <c r="A50" s="2" t="s">
        <v>24</v>
      </c>
      <c r="B50" s="1">
        <f t="shared" ref="B50:G50" si="14">AVERAGE(B48:B49)</f>
        <v>119.7719162189011</v>
      </c>
      <c r="C50" s="1">
        <f t="shared" si="14"/>
        <v>94.012106666666682</v>
      </c>
      <c r="D50" s="1">
        <f t="shared" si="14"/>
        <v>104.21069037847697</v>
      </c>
      <c r="E50" s="1">
        <f t="shared" si="14"/>
        <v>78.90625</v>
      </c>
      <c r="F50" s="1">
        <f t="shared" si="14"/>
        <v>124.62372928768292</v>
      </c>
      <c r="G50" s="1" t="e">
        <f t="shared" si="14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5">B19/B17*100</f>
        <v>100</v>
      </c>
      <c r="C52" s="1">
        <f t="shared" si="15"/>
        <v>100</v>
      </c>
      <c r="D52" s="1">
        <f t="shared" si="15"/>
        <v>100</v>
      </c>
      <c r="E52" s="1">
        <f t="shared" si="15"/>
        <v>100</v>
      </c>
      <c r="F52" s="1">
        <f t="shared" si="15"/>
        <v>100</v>
      </c>
      <c r="G52" s="1" t="e">
        <f t="shared" si="15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6">((B11/B9)-1)*100</f>
        <v>6.619318181818179</v>
      </c>
      <c r="C55" s="1">
        <f t="shared" si="16"/>
        <v>10.845588235294112</v>
      </c>
      <c r="D55" s="1">
        <f t="shared" si="16"/>
        <v>-23.161764705882348</v>
      </c>
      <c r="E55" s="1" t="e">
        <f t="shared" si="16"/>
        <v>#DIV/0!</v>
      </c>
      <c r="F55" s="1">
        <f t="shared" si="16"/>
        <v>5.8467741935483764</v>
      </c>
      <c r="G55" s="1" t="e">
        <f t="shared" si="16"/>
        <v>#DIV/0!</v>
      </c>
    </row>
    <row r="56" spans="1:7" x14ac:dyDescent="0.25">
      <c r="A56" s="2" t="s">
        <v>28</v>
      </c>
      <c r="B56" s="1">
        <f t="shared" ref="B56:G56" si="17">((B32/B31)-1)*100</f>
        <v>18.278451788739925</v>
      </c>
      <c r="C56" s="1">
        <f t="shared" si="17"/>
        <v>22.924957097512831</v>
      </c>
      <c r="D56" s="1">
        <f t="shared" si="17"/>
        <v>-13.624426217720165</v>
      </c>
      <c r="E56" s="1" t="e">
        <f t="shared" si="17"/>
        <v>#DIV/0!</v>
      </c>
      <c r="F56" s="1">
        <f t="shared" si="17"/>
        <v>-1.393053339443262</v>
      </c>
      <c r="G56" s="1" t="e">
        <f t="shared" si="17"/>
        <v>#DIV/0!</v>
      </c>
    </row>
    <row r="57" spans="1:7" x14ac:dyDescent="0.25">
      <c r="A57" s="2" t="s">
        <v>29</v>
      </c>
      <c r="B57" s="1">
        <f t="shared" ref="B57:G57" si="18">((B34/B33)-1)*100</f>
        <v>10.935291845554085</v>
      </c>
      <c r="C57" s="1">
        <f t="shared" si="18"/>
        <v>10.897473733079588</v>
      </c>
      <c r="D57" s="1">
        <f t="shared" si="18"/>
        <v>12.412229994163226</v>
      </c>
      <c r="E57" s="1" t="e">
        <f t="shared" si="18"/>
        <v>#DIV/0!</v>
      </c>
      <c r="F57" s="1">
        <f t="shared" si="18"/>
        <v>-6.8399132502168776</v>
      </c>
      <c r="G57" s="1" t="e">
        <f t="shared" si="18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812500</v>
      </c>
      <c r="C60" s="1">
        <f t="shared" ref="C60:G61" si="19">C16/C10</f>
        <v>2500000</v>
      </c>
      <c r="D60" s="1">
        <f>D16/D10</f>
        <v>2965116.2790697673</v>
      </c>
      <c r="E60" s="1">
        <f>E16/E10</f>
        <v>1875000</v>
      </c>
      <c r="F60" s="1">
        <f t="shared" si="19"/>
        <v>195121.95121951221</v>
      </c>
      <c r="G60" s="1" t="e">
        <f t="shared" si="19"/>
        <v>#DIV/0!</v>
      </c>
    </row>
    <row r="61" spans="1:7" x14ac:dyDescent="0.25">
      <c r="A61" s="2" t="s">
        <v>32</v>
      </c>
      <c r="B61" s="1">
        <f>B17/B11</f>
        <v>639570.92671462835</v>
      </c>
      <c r="C61" s="1">
        <f t="shared" si="19"/>
        <v>3346524.0464344942</v>
      </c>
      <c r="D61" s="1">
        <f>D17/D11</f>
        <v>3392234.4497607658</v>
      </c>
      <c r="E61" s="1">
        <f>E17/E11</f>
        <v>3243243.2432432431</v>
      </c>
      <c r="F61" s="1">
        <f t="shared" si="19"/>
        <v>121382.7580825397</v>
      </c>
      <c r="G61" s="1" t="e">
        <f t="shared" si="19"/>
        <v>#DIV/0!</v>
      </c>
    </row>
    <row r="62" spans="1:7" x14ac:dyDescent="0.25">
      <c r="A62" s="2" t="s">
        <v>33</v>
      </c>
      <c r="B62" s="1">
        <f t="shared" ref="B62:G62" si="20">(B60/B61)*B45</f>
        <v>152.15620013834402</v>
      </c>
      <c r="C62" s="1">
        <f t="shared" si="20"/>
        <v>70.231160274218354</v>
      </c>
      <c r="D62" s="1">
        <f t="shared" si="20"/>
        <v>91.089463028156246</v>
      </c>
      <c r="E62" s="1">
        <f t="shared" si="20"/>
        <v>45.61767578125</v>
      </c>
      <c r="F62" s="1">
        <f t="shared" si="20"/>
        <v>200.33179020639517</v>
      </c>
      <c r="G62" s="1" t="e">
        <f t="shared" si="20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1" t="s">
        <v>4</v>
      </c>
      <c r="G64" s="1"/>
    </row>
    <row r="65" spans="1:7" x14ac:dyDescent="0.25">
      <c r="A65" s="2" t="s">
        <v>35</v>
      </c>
      <c r="B65" s="1">
        <f>B23/B22*100</f>
        <v>104.07912087912088</v>
      </c>
      <c r="C65" s="1"/>
      <c r="D65" s="1">
        <f>D23/D22*100</f>
        <v>107.27843137254902</v>
      </c>
      <c r="E65" s="1">
        <f>E23/E22*100</f>
        <v>100</v>
      </c>
      <c r="F65" s="1">
        <f>F23/F22*100</f>
        <v>100</v>
      </c>
      <c r="G65" s="1"/>
    </row>
    <row r="66" spans="1:7" x14ac:dyDescent="0.25">
      <c r="A66" s="2" t="s">
        <v>36</v>
      </c>
      <c r="B66" s="1">
        <f>B17/B23*100</f>
        <v>101.37299129825155</v>
      </c>
      <c r="C66" s="1"/>
      <c r="D66" s="1">
        <f t="shared" ref="D66:F66" si="21">D17/D23*100</f>
        <v>103.66676414680509</v>
      </c>
      <c r="E66" s="1">
        <f t="shared" si="21"/>
        <v>100</v>
      </c>
      <c r="F66" s="1">
        <f t="shared" si="21"/>
        <v>95.588921990000003</v>
      </c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107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165</v>
      </c>
    </row>
    <row r="77" spans="1:7" x14ac:dyDescent="0.25">
      <c r="A77" s="2" t="s">
        <v>76</v>
      </c>
    </row>
    <row r="78" spans="1:7" x14ac:dyDescent="0.25">
      <c r="A78" s="2" t="s">
        <v>105</v>
      </c>
    </row>
    <row r="79" spans="1:7" x14ac:dyDescent="0.25">
      <c r="A79" s="2" t="s">
        <v>166</v>
      </c>
    </row>
    <row r="81" spans="1:1" x14ac:dyDescent="0.25">
      <c r="A81" s="2" t="s">
        <v>170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A2:N36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 x14ac:dyDescent="0.25">
      <c r="B2" s="55" t="s">
        <v>37</v>
      </c>
      <c r="C2" s="57" t="s">
        <v>2</v>
      </c>
      <c r="D2" s="57"/>
      <c r="E2" s="57"/>
      <c r="F2" s="57"/>
      <c r="G2" s="28"/>
    </row>
    <row r="3" spans="1:13" ht="15.75" thickBot="1" x14ac:dyDescent="0.3">
      <c r="B3" s="56"/>
      <c r="C3" s="4" t="s">
        <v>38</v>
      </c>
      <c r="D3" s="4"/>
      <c r="E3" s="4"/>
      <c r="F3" s="4" t="s">
        <v>39</v>
      </c>
      <c r="G3" s="29"/>
    </row>
    <row r="4" spans="1:13" ht="15.75" thickTop="1" x14ac:dyDescent="0.25">
      <c r="A4" s="7" t="s">
        <v>41</v>
      </c>
      <c r="C4" t="s">
        <v>1</v>
      </c>
      <c r="D4" t="s">
        <v>70</v>
      </c>
      <c r="E4" t="s">
        <v>71</v>
      </c>
    </row>
    <row r="6" spans="1:13" x14ac:dyDescent="0.25">
      <c r="A6" t="s">
        <v>42</v>
      </c>
      <c r="B6" s="6">
        <f>C6+F6</f>
        <v>203500000</v>
      </c>
      <c r="C6" s="6">
        <v>163500000</v>
      </c>
      <c r="D6" s="6">
        <f>D14*C7</f>
        <v>58860000</v>
      </c>
      <c r="E6" s="6">
        <f>E14*C7</f>
        <v>156960000</v>
      </c>
      <c r="F6" s="6">
        <v>40000000</v>
      </c>
      <c r="G6" s="6"/>
      <c r="I6" s="6">
        <v>14</v>
      </c>
      <c r="K6">
        <v>13</v>
      </c>
      <c r="M6">
        <v>20</v>
      </c>
    </row>
    <row r="7" spans="1:13" x14ac:dyDescent="0.25">
      <c r="B7" s="1">
        <f>B6/B14</f>
        <v>0.14034482758620689</v>
      </c>
      <c r="C7" s="1">
        <f>C6/C14</f>
        <v>0.1308</v>
      </c>
      <c r="D7" s="1"/>
      <c r="E7" s="1"/>
      <c r="F7" s="1">
        <f>F6/F14</f>
        <v>0.2</v>
      </c>
      <c r="G7" s="1"/>
      <c r="I7">
        <v>29</v>
      </c>
      <c r="K7">
        <v>29</v>
      </c>
      <c r="M7">
        <v>30</v>
      </c>
    </row>
    <row r="8" spans="1:13" x14ac:dyDescent="0.25">
      <c r="A8" t="s">
        <v>43</v>
      </c>
      <c r="B8" s="6">
        <f>C8+F8</f>
        <v>427500000</v>
      </c>
      <c r="C8" s="9">
        <v>367500000</v>
      </c>
      <c r="D8" s="9">
        <f>D14*C9</f>
        <v>132300000</v>
      </c>
      <c r="E8" s="9">
        <f>E14*C9</f>
        <v>352800000</v>
      </c>
      <c r="F8" s="6">
        <v>60000000</v>
      </c>
      <c r="G8" s="6"/>
      <c r="I8" s="6">
        <v>34</v>
      </c>
      <c r="K8" s="6">
        <v>35</v>
      </c>
      <c r="M8">
        <v>30</v>
      </c>
    </row>
    <row r="9" spans="1:13" x14ac:dyDescent="0.25">
      <c r="B9" s="1">
        <f>B8/B14</f>
        <v>0.29482758620689653</v>
      </c>
      <c r="C9" s="1">
        <f>C8/C14</f>
        <v>0.29399999999999998</v>
      </c>
      <c r="D9" s="1"/>
      <c r="E9" s="1"/>
      <c r="F9" s="1">
        <f>F8/F14</f>
        <v>0.3</v>
      </c>
      <c r="G9" s="1"/>
      <c r="I9">
        <v>23</v>
      </c>
      <c r="K9">
        <v>23</v>
      </c>
      <c r="M9">
        <v>20</v>
      </c>
    </row>
    <row r="10" spans="1:13" x14ac:dyDescent="0.25">
      <c r="A10" t="s">
        <v>40</v>
      </c>
      <c r="B10" s="6">
        <f>C10+F10</f>
        <v>492000000</v>
      </c>
      <c r="C10" s="9">
        <v>432000000</v>
      </c>
      <c r="D10" s="9">
        <f>D14*C11</f>
        <v>155520000</v>
      </c>
      <c r="E10" s="9">
        <f>E14*C11</f>
        <v>414720000</v>
      </c>
      <c r="F10" s="6">
        <v>60000000</v>
      </c>
      <c r="G10" s="6"/>
      <c r="H10" s="6"/>
    </row>
    <row r="11" spans="1:13" ht="15" customHeight="1" x14ac:dyDescent="0.25">
      <c r="B11" s="1">
        <f>B10/B14</f>
        <v>0.33931034482758621</v>
      </c>
      <c r="C11" s="1">
        <f>C10/C14</f>
        <v>0.34560000000000002</v>
      </c>
      <c r="D11" s="1"/>
      <c r="E11" s="1"/>
      <c r="F11" s="1">
        <f>F10/F14</f>
        <v>0.3</v>
      </c>
      <c r="G11" s="1"/>
      <c r="H11" s="6"/>
      <c r="I11" s="58" t="s">
        <v>57</v>
      </c>
      <c r="J11" s="58"/>
      <c r="K11" s="58"/>
      <c r="L11" s="58"/>
    </row>
    <row r="12" spans="1:13" x14ac:dyDescent="0.25">
      <c r="A12" t="s">
        <v>44</v>
      </c>
      <c r="B12" s="6">
        <f>C12+F12</f>
        <v>326500000</v>
      </c>
      <c r="C12" s="6">
        <v>286500000</v>
      </c>
      <c r="D12" s="6">
        <f>D14*C13</f>
        <v>103140000</v>
      </c>
      <c r="E12" s="6">
        <f>E14*C13</f>
        <v>275040000</v>
      </c>
      <c r="F12" s="6">
        <v>40000000</v>
      </c>
      <c r="G12" s="6"/>
      <c r="H12" s="6"/>
      <c r="I12" s="58"/>
      <c r="J12" s="58"/>
      <c r="K12" s="58"/>
      <c r="L12" s="58"/>
    </row>
    <row r="13" spans="1:13" x14ac:dyDescent="0.25">
      <c r="B13" s="1">
        <f>B12/B14</f>
        <v>0.22517241379310346</v>
      </c>
      <c r="C13" s="1">
        <f>C12/C14</f>
        <v>0.22919999999999999</v>
      </c>
      <c r="D13" s="1"/>
      <c r="E13" s="1"/>
      <c r="F13" s="1">
        <f>F12/F14</f>
        <v>0.2</v>
      </c>
      <c r="G13" s="1"/>
      <c r="H13" s="6"/>
      <c r="I13" s="13"/>
      <c r="K13" s="6"/>
    </row>
    <row r="14" spans="1:13" x14ac:dyDescent="0.25">
      <c r="A14" t="s">
        <v>45</v>
      </c>
      <c r="B14" s="6">
        <f>C14+F14</f>
        <v>1450000000</v>
      </c>
      <c r="C14" s="9">
        <v>1250000000</v>
      </c>
      <c r="D14" s="9">
        <v>450000000</v>
      </c>
      <c r="E14" s="9">
        <v>1200000000</v>
      </c>
      <c r="F14" s="6">
        <v>200000000</v>
      </c>
      <c r="G14" s="6"/>
      <c r="I14" s="13"/>
      <c r="K14" s="6"/>
    </row>
    <row r="15" spans="1:13" x14ac:dyDescent="0.25">
      <c r="I15" s="13"/>
      <c r="K15" s="6"/>
    </row>
    <row r="16" spans="1:13" x14ac:dyDescent="0.25">
      <c r="I16" s="13"/>
      <c r="K16" s="6"/>
    </row>
    <row r="17" spans="1:14" x14ac:dyDescent="0.25">
      <c r="A17" s="8" t="s">
        <v>46</v>
      </c>
      <c r="B17" s="6">
        <f>SUM(C17:F17)</f>
        <v>1450000000</v>
      </c>
      <c r="C17" s="9">
        <v>1250000000</v>
      </c>
      <c r="D17" s="9"/>
      <c r="E17" s="9"/>
      <c r="F17" s="6">
        <v>200000000</v>
      </c>
      <c r="G17" s="6"/>
      <c r="I17" s="14" t="s">
        <v>58</v>
      </c>
      <c r="K17" s="6"/>
    </row>
    <row r="18" spans="1:14" x14ac:dyDescent="0.25">
      <c r="A18" s="10" t="s">
        <v>47</v>
      </c>
      <c r="B18" s="6">
        <f>SUM(C18:F18)</f>
        <v>0</v>
      </c>
      <c r="C18" s="11">
        <f>C17-C14</f>
        <v>0</v>
      </c>
      <c r="D18" s="11"/>
      <c r="E18" s="11"/>
      <c r="F18" s="11">
        <f>F17-F14</f>
        <v>0</v>
      </c>
      <c r="G18" s="11"/>
      <c r="I18" s="21" t="s">
        <v>59</v>
      </c>
      <c r="J18" s="19"/>
      <c r="K18" s="20" t="s">
        <v>60</v>
      </c>
      <c r="L18" s="19"/>
      <c r="M18" s="20" t="s">
        <v>4</v>
      </c>
      <c r="N18" s="19"/>
    </row>
    <row r="19" spans="1:14" x14ac:dyDescent="0.25">
      <c r="A19" s="10" t="s">
        <v>48</v>
      </c>
      <c r="B19" s="6">
        <f>SUM(C19:F19)</f>
        <v>0</v>
      </c>
      <c r="C19" s="11">
        <f>C18*L19/100</f>
        <v>0</v>
      </c>
      <c r="D19" s="11"/>
      <c r="E19" s="11"/>
      <c r="F19" s="11">
        <f>F18*N19/100</f>
        <v>0</v>
      </c>
      <c r="G19" s="11"/>
      <c r="I19" s="22">
        <v>29</v>
      </c>
      <c r="J19" s="17">
        <f>I19*J20/I20</f>
        <v>33.720930232558139</v>
      </c>
      <c r="K19" s="18">
        <v>29</v>
      </c>
      <c r="L19" s="17">
        <f>K19*L20/K20</f>
        <v>33.333333333333336</v>
      </c>
      <c r="M19" s="18">
        <v>30</v>
      </c>
      <c r="N19" s="17">
        <f>M19*N20/M20</f>
        <v>37.5</v>
      </c>
    </row>
    <row r="20" spans="1:14" x14ac:dyDescent="0.25">
      <c r="A20" t="s">
        <v>49</v>
      </c>
      <c r="B20" s="6">
        <f>SUM(C20:F20)</f>
        <v>427500000</v>
      </c>
      <c r="C20" s="11">
        <f>C8+C19</f>
        <v>367500000</v>
      </c>
      <c r="D20" s="11"/>
      <c r="E20" s="11"/>
      <c r="F20" s="11">
        <f>F8+F19</f>
        <v>60000000</v>
      </c>
      <c r="G20" s="11"/>
      <c r="I20" s="23">
        <f>100-I6</f>
        <v>86</v>
      </c>
      <c r="J20" s="24">
        <v>100</v>
      </c>
      <c r="K20" s="25">
        <f>100-K6</f>
        <v>87</v>
      </c>
      <c r="L20" s="24">
        <v>100</v>
      </c>
      <c r="M20" s="25">
        <f>100-M6</f>
        <v>80</v>
      </c>
      <c r="N20" s="26">
        <v>100</v>
      </c>
    </row>
    <row r="21" spans="1:14" x14ac:dyDescent="0.25">
      <c r="A21" t="s">
        <v>50</v>
      </c>
      <c r="B21" s="11">
        <f>B20+B6</f>
        <v>631000000</v>
      </c>
      <c r="C21" s="11">
        <f>C20+C6</f>
        <v>531000000</v>
      </c>
      <c r="D21" s="11"/>
      <c r="E21" s="11"/>
      <c r="F21" s="11">
        <f>F20+F6</f>
        <v>100000000</v>
      </c>
      <c r="G21" s="11"/>
      <c r="I21" s="15"/>
      <c r="J21" s="16"/>
      <c r="K21" s="16"/>
      <c r="L21" s="16"/>
      <c r="M21" s="16"/>
      <c r="N21" s="16"/>
    </row>
    <row r="22" spans="1:14" x14ac:dyDescent="0.25">
      <c r="B22" s="11"/>
      <c r="C22" s="11"/>
      <c r="D22" s="11"/>
      <c r="E22" s="11"/>
      <c r="F22" s="11"/>
      <c r="G22" s="11"/>
    </row>
    <row r="23" spans="1:14" x14ac:dyDescent="0.25">
      <c r="A23" s="8" t="s">
        <v>51</v>
      </c>
      <c r="B23" s="6">
        <f>SUM(C23:F23)</f>
        <v>2600000000</v>
      </c>
      <c r="C23" s="6">
        <v>2300000000</v>
      </c>
      <c r="D23" s="6"/>
      <c r="E23" s="6"/>
      <c r="F23" s="12">
        <v>300000000</v>
      </c>
      <c r="G23" s="12"/>
      <c r="H23" s="6"/>
      <c r="I23" s="14" t="s">
        <v>40</v>
      </c>
      <c r="K23" s="6"/>
    </row>
    <row r="24" spans="1:14" x14ac:dyDescent="0.25">
      <c r="A24" s="10" t="s">
        <v>47</v>
      </c>
      <c r="B24" s="6">
        <f>SUM(C24:F24)</f>
        <v>1150000000</v>
      </c>
      <c r="C24" s="11">
        <f>C23-C17</f>
        <v>1050000000</v>
      </c>
      <c r="D24" s="11"/>
      <c r="E24" s="11"/>
      <c r="F24" s="11">
        <f>F23-F17</f>
        <v>100000000</v>
      </c>
      <c r="G24" s="11"/>
      <c r="H24" s="11"/>
      <c r="I24" s="21" t="s">
        <v>59</v>
      </c>
      <c r="J24" s="19"/>
      <c r="K24" s="20" t="s">
        <v>60</v>
      </c>
      <c r="L24" s="19"/>
      <c r="M24" s="20" t="s">
        <v>4</v>
      </c>
      <c r="N24" s="19"/>
    </row>
    <row r="25" spans="1:14" x14ac:dyDescent="0.25">
      <c r="A25" s="10" t="s">
        <v>61</v>
      </c>
      <c r="B25" s="6">
        <f>SUM(C25:F25)</f>
        <v>693620689.65517247</v>
      </c>
      <c r="C25" s="11">
        <f>C24*L25/100</f>
        <v>633620689.65517247</v>
      </c>
      <c r="D25" s="11"/>
      <c r="E25" s="11"/>
      <c r="F25" s="11">
        <f>F24*N25/100</f>
        <v>60000000</v>
      </c>
      <c r="G25" s="11"/>
      <c r="H25" s="30" t="s">
        <v>62</v>
      </c>
      <c r="I25" s="27">
        <v>34</v>
      </c>
      <c r="J25" s="17">
        <f>I25*J26/I26</f>
        <v>59.649122807017541</v>
      </c>
      <c r="K25" s="18">
        <v>35</v>
      </c>
      <c r="L25" s="17">
        <f>K25*L26/K26</f>
        <v>60.344827586206897</v>
      </c>
      <c r="M25" s="18">
        <v>30</v>
      </c>
      <c r="N25" s="17">
        <f>M25*N26/M26</f>
        <v>60</v>
      </c>
    </row>
    <row r="26" spans="1:14" x14ac:dyDescent="0.25">
      <c r="A26" s="7" t="s">
        <v>52</v>
      </c>
      <c r="B26" s="33">
        <f>SUM(C26:F26)</f>
        <v>1185620689.6551723</v>
      </c>
      <c r="C26" s="32">
        <f>C10+C25</f>
        <v>1065620689.6551725</v>
      </c>
      <c r="D26" s="32"/>
      <c r="E26" s="32"/>
      <c r="F26" s="31">
        <f>F10+F25</f>
        <v>120000000</v>
      </c>
      <c r="G26" s="11"/>
      <c r="H26" s="11"/>
      <c r="I26" s="23">
        <f>100-I6-I7</f>
        <v>57</v>
      </c>
      <c r="J26" s="26">
        <v>100</v>
      </c>
      <c r="K26" s="25">
        <f>100-K6-K7</f>
        <v>58</v>
      </c>
      <c r="L26" s="26">
        <v>100</v>
      </c>
      <c r="M26" s="25">
        <f>100-M6-M7</f>
        <v>50</v>
      </c>
      <c r="N26" s="26">
        <v>100</v>
      </c>
    </row>
    <row r="27" spans="1:14" x14ac:dyDescent="0.25">
      <c r="A27" t="s">
        <v>53</v>
      </c>
      <c r="B27" s="11">
        <f>B26+B21</f>
        <v>1816620689.6551723</v>
      </c>
      <c r="C27" s="11">
        <f>C26+C21</f>
        <v>1596620689.6551723</v>
      </c>
      <c r="D27" s="11"/>
      <c r="E27" s="11"/>
      <c r="F27" s="11">
        <f>F26+F21</f>
        <v>220000000</v>
      </c>
      <c r="G27" s="11"/>
      <c r="H27" s="30" t="s">
        <v>63</v>
      </c>
      <c r="I27" s="27">
        <v>23</v>
      </c>
      <c r="J27" s="17">
        <f>I27*J28/I28</f>
        <v>40.350877192982459</v>
      </c>
      <c r="K27" s="18">
        <v>23</v>
      </c>
      <c r="L27" s="17">
        <f>K27*L28/K28</f>
        <v>39.655172413793103</v>
      </c>
      <c r="M27" s="18">
        <v>20</v>
      </c>
      <c r="N27" s="17">
        <f>M27*N28/M28</f>
        <v>40</v>
      </c>
    </row>
    <row r="28" spans="1:14" x14ac:dyDescent="0.25">
      <c r="H28" s="11"/>
      <c r="I28" s="23">
        <f>100-I6-I7</f>
        <v>57</v>
      </c>
      <c r="J28" s="26">
        <v>100</v>
      </c>
      <c r="K28" s="25">
        <f>100-K6-K7</f>
        <v>58</v>
      </c>
      <c r="L28" s="26">
        <v>100</v>
      </c>
      <c r="M28" s="25">
        <f>100-M6-M7</f>
        <v>50</v>
      </c>
      <c r="N28" s="26">
        <v>100</v>
      </c>
    </row>
    <row r="29" spans="1:14" x14ac:dyDescent="0.25">
      <c r="A29" s="8" t="s">
        <v>54</v>
      </c>
      <c r="B29" s="6">
        <f>SUM(C29:F29)</f>
        <v>2600000000</v>
      </c>
      <c r="C29" s="6">
        <v>2300000000</v>
      </c>
      <c r="D29" s="6"/>
      <c r="E29" s="6"/>
      <c r="F29" s="9">
        <v>300000000</v>
      </c>
      <c r="G29" s="11"/>
    </row>
    <row r="30" spans="1:14" x14ac:dyDescent="0.25">
      <c r="A30" s="10" t="s">
        <v>47</v>
      </c>
      <c r="B30" s="6">
        <f>SUM(C30:F30)</f>
        <v>1150000000</v>
      </c>
      <c r="C30" s="11">
        <f>C29-C17</f>
        <v>1050000000</v>
      </c>
      <c r="D30" s="11"/>
      <c r="E30" s="11"/>
      <c r="F30" s="11">
        <f>F29-F17</f>
        <v>100000000</v>
      </c>
      <c r="G30" s="11"/>
      <c r="H30" s="59" t="s">
        <v>64</v>
      </c>
      <c r="I30" s="59"/>
      <c r="J30" s="59"/>
      <c r="K30" s="59"/>
      <c r="L30" s="59"/>
      <c r="M30" s="59"/>
      <c r="N30" s="59"/>
    </row>
    <row r="31" spans="1:14" x14ac:dyDescent="0.25">
      <c r="A31" t="s">
        <v>67</v>
      </c>
      <c r="B31" s="6">
        <f>SUM(C31:F31)</f>
        <v>456379310.34482759</v>
      </c>
      <c r="C31" s="11">
        <f>C30*L27/100</f>
        <v>416379310.34482759</v>
      </c>
      <c r="D31" s="11"/>
      <c r="E31" s="11"/>
      <c r="F31" s="11">
        <f>F30*N27/100</f>
        <v>40000000</v>
      </c>
      <c r="G31" s="11"/>
      <c r="H31" s="59"/>
      <c r="I31" s="59"/>
      <c r="J31" s="59"/>
      <c r="K31" s="59"/>
      <c r="L31" s="59"/>
      <c r="M31" s="59"/>
      <c r="N31" s="59"/>
    </row>
    <row r="32" spans="1:14" x14ac:dyDescent="0.25">
      <c r="A32" s="7" t="s">
        <v>55</v>
      </c>
      <c r="B32" s="33">
        <f>SUM(C32:F32)</f>
        <v>782879310.34482765</v>
      </c>
      <c r="C32" s="31">
        <f>C12+C31</f>
        <v>702879310.34482765</v>
      </c>
      <c r="D32" s="31"/>
      <c r="E32" s="31"/>
      <c r="F32" s="31">
        <f>F12+F31</f>
        <v>80000000</v>
      </c>
      <c r="G32" s="11"/>
      <c r="H32" s="59"/>
      <c r="I32" s="59"/>
      <c r="J32" s="59"/>
      <c r="K32" s="59"/>
      <c r="L32" s="59"/>
      <c r="M32" s="59"/>
      <c r="N32" s="59"/>
    </row>
    <row r="33" spans="1:14" x14ac:dyDescent="0.25">
      <c r="A33" t="s">
        <v>56</v>
      </c>
      <c r="B33" s="11">
        <f>B32+B27</f>
        <v>2599500000</v>
      </c>
      <c r="C33" s="11">
        <f>C32+C27</f>
        <v>2299500000</v>
      </c>
      <c r="D33" s="11"/>
      <c r="E33" s="11"/>
      <c r="F33" s="11">
        <f>F32+F27</f>
        <v>300000000</v>
      </c>
      <c r="G33" s="11"/>
      <c r="H33" s="11"/>
    </row>
    <row r="34" spans="1:14" x14ac:dyDescent="0.25">
      <c r="H34" s="60" t="s">
        <v>65</v>
      </c>
      <c r="I34" s="60"/>
      <c r="J34" s="60"/>
      <c r="K34" s="60"/>
      <c r="L34" s="60"/>
      <c r="M34" s="60"/>
      <c r="N34" s="60"/>
    </row>
    <row r="35" spans="1:14" x14ac:dyDescent="0.25">
      <c r="A35" t="s">
        <v>66</v>
      </c>
      <c r="H35" s="60"/>
      <c r="I35" s="60"/>
      <c r="J35" s="60"/>
      <c r="K35" s="60"/>
      <c r="L35" s="60"/>
      <c r="M35" s="60"/>
      <c r="N35" s="60"/>
    </row>
    <row r="36" spans="1:14" x14ac:dyDescent="0.25">
      <c r="H36" s="60"/>
      <c r="I36" s="60"/>
      <c r="J36" s="60"/>
      <c r="K36" s="60"/>
      <c r="L36" s="60"/>
      <c r="M36" s="60"/>
      <c r="N36" s="60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A2:L36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 x14ac:dyDescent="0.25">
      <c r="B2" s="55" t="s">
        <v>37</v>
      </c>
      <c r="C2" s="57" t="s">
        <v>2</v>
      </c>
      <c r="D2" s="57"/>
      <c r="E2" s="28"/>
    </row>
    <row r="3" spans="1:11" ht="15.75" thickBot="1" x14ac:dyDescent="0.3">
      <c r="B3" s="56"/>
      <c r="C3" s="4" t="s">
        <v>38</v>
      </c>
      <c r="D3" s="4" t="s">
        <v>39</v>
      </c>
      <c r="E3" s="29"/>
    </row>
    <row r="4" spans="1:11" ht="15.75" thickTop="1" x14ac:dyDescent="0.25">
      <c r="A4" s="7" t="s">
        <v>68</v>
      </c>
    </row>
    <row r="6" spans="1:11" x14ac:dyDescent="0.25">
      <c r="A6" t="s">
        <v>42</v>
      </c>
      <c r="B6" s="6">
        <f>SUM(C6:D6)</f>
        <v>459</v>
      </c>
      <c r="C6" s="6">
        <v>109</v>
      </c>
      <c r="D6" s="6">
        <v>350</v>
      </c>
      <c r="E6" s="6"/>
      <c r="G6" s="6">
        <v>18</v>
      </c>
      <c r="I6">
        <v>13</v>
      </c>
      <c r="K6">
        <v>20</v>
      </c>
    </row>
    <row r="7" spans="1:11" x14ac:dyDescent="0.25">
      <c r="B7" s="34">
        <f>B6/B14</f>
        <v>0.17770034843205576</v>
      </c>
      <c r="C7" s="34">
        <f>C6/C14</f>
        <v>0.13085234093637454</v>
      </c>
      <c r="D7" s="34">
        <f>D6/D14</f>
        <v>0.2</v>
      </c>
      <c r="E7" s="1"/>
      <c r="G7">
        <v>30</v>
      </c>
      <c r="I7">
        <v>29</v>
      </c>
      <c r="K7">
        <v>30</v>
      </c>
    </row>
    <row r="8" spans="1:11" x14ac:dyDescent="0.25">
      <c r="A8" t="s">
        <v>43</v>
      </c>
      <c r="B8" s="6">
        <f>SUM(C8:D8)</f>
        <v>770</v>
      </c>
      <c r="C8" s="6">
        <v>245</v>
      </c>
      <c r="D8" s="6">
        <v>525</v>
      </c>
      <c r="E8" s="6"/>
      <c r="G8" s="6">
        <v>31</v>
      </c>
      <c r="I8" s="6">
        <v>35</v>
      </c>
      <c r="K8">
        <v>30</v>
      </c>
    </row>
    <row r="9" spans="1:11" x14ac:dyDescent="0.25">
      <c r="B9" s="34">
        <f>B8/B14</f>
        <v>0.29810298102981031</v>
      </c>
      <c r="C9" s="34">
        <f>C8/C14</f>
        <v>0.29411764705882354</v>
      </c>
      <c r="D9" s="34">
        <f>D8/D14</f>
        <v>0.3</v>
      </c>
      <c r="E9" s="1"/>
      <c r="G9">
        <v>21</v>
      </c>
      <c r="I9">
        <v>23</v>
      </c>
      <c r="K9">
        <v>20</v>
      </c>
    </row>
    <row r="10" spans="1:11" x14ac:dyDescent="0.25">
      <c r="A10" t="s">
        <v>40</v>
      </c>
      <c r="B10" s="6">
        <f>SUM(C10:D10)</f>
        <v>813</v>
      </c>
      <c r="C10" s="6">
        <v>288</v>
      </c>
      <c r="D10" s="6">
        <v>525</v>
      </c>
      <c r="E10" s="6"/>
      <c r="F10" s="6"/>
    </row>
    <row r="11" spans="1:11" x14ac:dyDescent="0.25">
      <c r="B11" s="34">
        <f>B10/B14</f>
        <v>0.31475029036004648</v>
      </c>
      <c r="C11" s="34">
        <f>C10/C14</f>
        <v>0.34573829531812728</v>
      </c>
      <c r="D11" s="34">
        <f>D10/D14</f>
        <v>0.3</v>
      </c>
      <c r="E11" s="1"/>
      <c r="F11" s="6"/>
      <c r="G11" s="58" t="s">
        <v>69</v>
      </c>
      <c r="H11" s="58"/>
      <c r="I11" s="58"/>
      <c r="J11" s="58"/>
    </row>
    <row r="12" spans="1:11" x14ac:dyDescent="0.25">
      <c r="A12" t="s">
        <v>44</v>
      </c>
      <c r="B12" s="6">
        <f>SUM(C12:D12)</f>
        <v>541</v>
      </c>
      <c r="C12" s="6">
        <v>191</v>
      </c>
      <c r="D12" s="6">
        <v>350</v>
      </c>
      <c r="E12" s="6"/>
      <c r="F12" s="6"/>
      <c r="G12" s="58"/>
      <c r="H12" s="58"/>
      <c r="I12" s="58"/>
      <c r="J12" s="58"/>
    </row>
    <row r="13" spans="1:11" x14ac:dyDescent="0.25">
      <c r="B13" s="34">
        <f>B12/B14</f>
        <v>0.2094463801780875</v>
      </c>
      <c r="C13" s="34">
        <f>C12/C14</f>
        <v>0.22929171668667467</v>
      </c>
      <c r="D13" s="34">
        <f>D12/D14</f>
        <v>0.2</v>
      </c>
      <c r="E13" s="1"/>
      <c r="F13" s="6"/>
      <c r="G13" s="13"/>
      <c r="I13" s="6"/>
    </row>
    <row r="14" spans="1:11" x14ac:dyDescent="0.25">
      <c r="A14" t="s">
        <v>45</v>
      </c>
      <c r="B14" s="6">
        <f>SUM(C14:D14)</f>
        <v>2583</v>
      </c>
      <c r="C14" s="9">
        <v>833</v>
      </c>
      <c r="D14" s="6">
        <v>1750</v>
      </c>
      <c r="E14" s="6"/>
      <c r="G14" s="13"/>
      <c r="I14" s="6"/>
    </row>
    <row r="15" spans="1:11" x14ac:dyDescent="0.25">
      <c r="G15" s="13"/>
      <c r="I15" s="6"/>
    </row>
    <row r="16" spans="1:11" x14ac:dyDescent="0.25">
      <c r="G16" s="13"/>
      <c r="I16" s="6"/>
    </row>
    <row r="17" spans="1:12" x14ac:dyDescent="0.25">
      <c r="A17" s="8" t="s">
        <v>46</v>
      </c>
      <c r="B17" s="6">
        <f>SUM(C17:D17)</f>
        <v>2583</v>
      </c>
      <c r="C17" s="9">
        <v>833</v>
      </c>
      <c r="D17" s="6">
        <v>1750</v>
      </c>
      <c r="E17" s="6"/>
      <c r="G17" s="14" t="s">
        <v>58</v>
      </c>
      <c r="I17" s="6"/>
    </row>
    <row r="18" spans="1:12" x14ac:dyDescent="0.25">
      <c r="A18" s="10" t="s">
        <v>47</v>
      </c>
      <c r="B18" s="6">
        <f>SUM(C18:D18)</f>
        <v>0</v>
      </c>
      <c r="C18" s="11">
        <f>C17-C14</f>
        <v>0</v>
      </c>
      <c r="D18" s="11">
        <f>D17-D14</f>
        <v>0</v>
      </c>
      <c r="E18" s="11"/>
      <c r="G18" s="21" t="s">
        <v>59</v>
      </c>
      <c r="H18" s="19"/>
      <c r="I18" s="20" t="s">
        <v>60</v>
      </c>
      <c r="J18" s="19"/>
      <c r="K18" s="20" t="s">
        <v>4</v>
      </c>
      <c r="L18" s="19"/>
    </row>
    <row r="19" spans="1:12" x14ac:dyDescent="0.25">
      <c r="A19" s="10" t="s">
        <v>48</v>
      </c>
      <c r="B19" s="6">
        <f>SUM(C19:D19)</f>
        <v>0</v>
      </c>
      <c r="C19" s="11">
        <f>C18*J19/100</f>
        <v>0</v>
      </c>
      <c r="D19" s="11">
        <f>D18*L19/100</f>
        <v>0</v>
      </c>
      <c r="E19" s="11"/>
      <c r="G19" s="22">
        <v>29</v>
      </c>
      <c r="H19" s="17">
        <f>G19*H20/G20</f>
        <v>35.365853658536587</v>
      </c>
      <c r="I19" s="18">
        <v>29</v>
      </c>
      <c r="J19" s="17">
        <f>I19*J20/I20</f>
        <v>33.333333333333336</v>
      </c>
      <c r="K19" s="18">
        <v>30</v>
      </c>
      <c r="L19" s="17">
        <f>K19*L20/K20</f>
        <v>37.5</v>
      </c>
    </row>
    <row r="20" spans="1:12" x14ac:dyDescent="0.25">
      <c r="A20" t="s">
        <v>49</v>
      </c>
      <c r="B20" s="33">
        <f>SUM(C20:D20)</f>
        <v>770</v>
      </c>
      <c r="C20" s="31">
        <f>C8+C19</f>
        <v>245</v>
      </c>
      <c r="D20" s="31">
        <f>D8+D19</f>
        <v>525</v>
      </c>
      <c r="E20" s="11"/>
      <c r="G20" s="23">
        <f>100-G6</f>
        <v>82</v>
      </c>
      <c r="H20" s="24">
        <v>100</v>
      </c>
      <c r="I20" s="25">
        <f>100-I6</f>
        <v>87</v>
      </c>
      <c r="J20" s="24">
        <v>100</v>
      </c>
      <c r="K20" s="25">
        <f>100-K6</f>
        <v>80</v>
      </c>
      <c r="L20" s="26">
        <v>100</v>
      </c>
    </row>
    <row r="21" spans="1:12" x14ac:dyDescent="0.25">
      <c r="A21" t="s">
        <v>50</v>
      </c>
      <c r="B21" s="11">
        <f>B20+B6</f>
        <v>1229</v>
      </c>
      <c r="C21" s="11">
        <f>C20+C6</f>
        <v>354</v>
      </c>
      <c r="D21" s="11">
        <f>D20+D6</f>
        <v>875</v>
      </c>
      <c r="E21" s="11"/>
      <c r="G21" s="15"/>
      <c r="H21" s="16"/>
      <c r="I21" s="16"/>
      <c r="J21" s="16"/>
      <c r="K21" s="16"/>
      <c r="L21" s="16"/>
    </row>
    <row r="22" spans="1:12" x14ac:dyDescent="0.25">
      <c r="B22" s="11"/>
      <c r="C22" s="11"/>
      <c r="D22" s="11"/>
      <c r="E22" s="11"/>
    </row>
    <row r="23" spans="1:12" x14ac:dyDescent="0.25">
      <c r="A23" s="8" t="s">
        <v>51</v>
      </c>
      <c r="B23" s="6">
        <f>SUM(C23:D23)</f>
        <v>4033</v>
      </c>
      <c r="C23" s="6">
        <v>1533</v>
      </c>
      <c r="D23" s="6">
        <v>2500</v>
      </c>
      <c r="E23" s="12"/>
      <c r="F23" s="6"/>
      <c r="G23" s="14" t="s">
        <v>40</v>
      </c>
      <c r="I23" s="6"/>
    </row>
    <row r="24" spans="1:12" x14ac:dyDescent="0.25">
      <c r="A24" s="10" t="s">
        <v>47</v>
      </c>
      <c r="B24" s="6">
        <f>SUM(C24:D24)</f>
        <v>1450</v>
      </c>
      <c r="C24" s="11">
        <f>C23-C17</f>
        <v>700</v>
      </c>
      <c r="D24" s="11">
        <f>D23-D17</f>
        <v>750</v>
      </c>
      <c r="E24" s="11"/>
      <c r="F24" s="11"/>
      <c r="G24" s="21" t="s">
        <v>59</v>
      </c>
      <c r="H24" s="19"/>
      <c r="I24" s="20" t="s">
        <v>60</v>
      </c>
      <c r="J24" s="19"/>
      <c r="K24" s="20" t="s">
        <v>4</v>
      </c>
      <c r="L24" s="19"/>
    </row>
    <row r="25" spans="1:12" x14ac:dyDescent="0.25">
      <c r="A25" s="10" t="s">
        <v>61</v>
      </c>
      <c r="B25" s="6">
        <f>SUM(C25:D25)</f>
        <v>872.41379310344826</v>
      </c>
      <c r="C25" s="11">
        <f>C24*J25/100</f>
        <v>422.41379310344826</v>
      </c>
      <c r="D25" s="11">
        <f>D24*L25/100</f>
        <v>450</v>
      </c>
      <c r="E25" s="11"/>
      <c r="F25" s="30" t="s">
        <v>62</v>
      </c>
      <c r="G25" s="27">
        <v>34</v>
      </c>
      <c r="H25" s="17">
        <f>G25*H26/G26</f>
        <v>65.384615384615387</v>
      </c>
      <c r="I25" s="18">
        <v>35</v>
      </c>
      <c r="J25" s="17">
        <f>I25*J26/I26</f>
        <v>60.344827586206897</v>
      </c>
      <c r="K25" s="18">
        <v>30</v>
      </c>
      <c r="L25" s="17">
        <f>K25*L26/K26</f>
        <v>60</v>
      </c>
    </row>
    <row r="26" spans="1:12" x14ac:dyDescent="0.25">
      <c r="A26" s="7" t="s">
        <v>52</v>
      </c>
      <c r="B26" s="33">
        <f>SUM(C26:D26)</f>
        <v>1685.4137931034484</v>
      </c>
      <c r="C26" s="31">
        <f>C10+C25</f>
        <v>710.41379310344826</v>
      </c>
      <c r="D26" s="31">
        <f>D10+D25</f>
        <v>975</v>
      </c>
      <c r="E26" s="11"/>
      <c r="F26" s="11"/>
      <c r="G26" s="23">
        <f>100-G6-G7</f>
        <v>52</v>
      </c>
      <c r="H26" s="26">
        <v>100</v>
      </c>
      <c r="I26" s="25">
        <f>100-I6-I7</f>
        <v>58</v>
      </c>
      <c r="J26" s="26">
        <v>100</v>
      </c>
      <c r="K26" s="25">
        <f>100-K6-K7</f>
        <v>50</v>
      </c>
      <c r="L26" s="26">
        <v>100</v>
      </c>
    </row>
    <row r="27" spans="1:12" x14ac:dyDescent="0.25">
      <c r="A27" t="s">
        <v>53</v>
      </c>
      <c r="B27" s="11">
        <f>B26+B21</f>
        <v>2914.4137931034484</v>
      </c>
      <c r="C27" s="11">
        <f>C26+C21</f>
        <v>1064.4137931034484</v>
      </c>
      <c r="D27" s="11">
        <f>D26+D21</f>
        <v>1850</v>
      </c>
      <c r="E27" s="11"/>
      <c r="F27" s="30" t="s">
        <v>63</v>
      </c>
      <c r="G27" s="27">
        <v>23</v>
      </c>
      <c r="H27" s="17">
        <f>G27*H28/G28</f>
        <v>44.230769230769234</v>
      </c>
      <c r="I27" s="18">
        <v>23</v>
      </c>
      <c r="J27" s="17">
        <f>I27*J28/I28</f>
        <v>39.655172413793103</v>
      </c>
      <c r="K27" s="18">
        <v>20</v>
      </c>
      <c r="L27" s="17">
        <f>K27*L28/K28</f>
        <v>40</v>
      </c>
    </row>
    <row r="28" spans="1:12" x14ac:dyDescent="0.25">
      <c r="F28" s="11"/>
      <c r="G28" s="23">
        <f>100-G6-G7</f>
        <v>52</v>
      </c>
      <c r="H28" s="26">
        <v>100</v>
      </c>
      <c r="I28" s="25">
        <f>100-I6-I7</f>
        <v>58</v>
      </c>
      <c r="J28" s="26">
        <v>100</v>
      </c>
      <c r="K28" s="25">
        <f>100-K6-K7</f>
        <v>50</v>
      </c>
      <c r="L28" s="26">
        <v>100</v>
      </c>
    </row>
    <row r="29" spans="1:12" x14ac:dyDescent="0.25">
      <c r="A29" s="8" t="s">
        <v>54</v>
      </c>
      <c r="B29" s="6">
        <f>SUM(C29:D29)</f>
        <v>4033</v>
      </c>
      <c r="C29" s="6">
        <v>1533</v>
      </c>
      <c r="D29" s="6">
        <v>2500</v>
      </c>
      <c r="E29" s="11"/>
    </row>
    <row r="30" spans="1:12" x14ac:dyDescent="0.25">
      <c r="A30" s="10" t="s">
        <v>47</v>
      </c>
      <c r="B30" s="6">
        <f>SUM(C30:D30)</f>
        <v>1450</v>
      </c>
      <c r="C30" s="11">
        <f>C29-C17</f>
        <v>700</v>
      </c>
      <c r="D30" s="11">
        <f>D29-D17</f>
        <v>750</v>
      </c>
      <c r="E30" s="11"/>
      <c r="F30" s="59" t="s">
        <v>64</v>
      </c>
      <c r="G30" s="59"/>
      <c r="H30" s="59"/>
      <c r="I30" s="59"/>
      <c r="J30" s="59"/>
      <c r="K30" s="59"/>
      <c r="L30" s="59"/>
    </row>
    <row r="31" spans="1:12" x14ac:dyDescent="0.25">
      <c r="A31" t="s">
        <v>67</v>
      </c>
      <c r="B31" s="6">
        <f>SUM(C31:D31)</f>
        <v>577.58620689655174</v>
      </c>
      <c r="C31" s="11">
        <f>C30*J27/100</f>
        <v>277.58620689655174</v>
      </c>
      <c r="D31" s="11">
        <f>D30*L27/100</f>
        <v>300</v>
      </c>
      <c r="E31" s="11"/>
      <c r="F31" s="59"/>
      <c r="G31" s="59"/>
      <c r="H31" s="59"/>
      <c r="I31" s="59"/>
      <c r="J31" s="59"/>
      <c r="K31" s="59"/>
      <c r="L31" s="59"/>
    </row>
    <row r="32" spans="1:12" x14ac:dyDescent="0.25">
      <c r="A32" s="7" t="s">
        <v>55</v>
      </c>
      <c r="B32" s="33">
        <f>SUM(C32:D32)</f>
        <v>1118.5862068965516</v>
      </c>
      <c r="C32" s="31">
        <f>C12+C31</f>
        <v>468.58620689655174</v>
      </c>
      <c r="D32" s="31">
        <f>D12+D31</f>
        <v>650</v>
      </c>
      <c r="E32" s="11"/>
      <c r="F32" s="59"/>
      <c r="G32" s="59"/>
      <c r="H32" s="59"/>
      <c r="I32" s="59"/>
      <c r="J32" s="59"/>
      <c r="K32" s="59"/>
      <c r="L32" s="59"/>
    </row>
    <row r="33" spans="1:12" x14ac:dyDescent="0.25">
      <c r="A33" t="s">
        <v>56</v>
      </c>
      <c r="B33" s="11">
        <f>B32+B27</f>
        <v>4033</v>
      </c>
      <c r="C33" s="11">
        <f>C32+C27</f>
        <v>1533</v>
      </c>
      <c r="D33" s="11">
        <f>D32+D27</f>
        <v>2500</v>
      </c>
      <c r="E33" s="11"/>
      <c r="F33" s="11"/>
    </row>
    <row r="34" spans="1:12" x14ac:dyDescent="0.25">
      <c r="F34" s="60" t="s">
        <v>65</v>
      </c>
      <c r="G34" s="60"/>
      <c r="H34" s="60"/>
      <c r="I34" s="60"/>
      <c r="J34" s="60"/>
      <c r="K34" s="60"/>
      <c r="L34" s="60"/>
    </row>
    <row r="35" spans="1:12" x14ac:dyDescent="0.25">
      <c r="A35" t="s">
        <v>66</v>
      </c>
      <c r="F35" s="60"/>
      <c r="G35" s="60"/>
      <c r="H35" s="60"/>
      <c r="I35" s="60"/>
      <c r="J35" s="60"/>
      <c r="K35" s="60"/>
      <c r="L35" s="60"/>
    </row>
    <row r="36" spans="1:12" x14ac:dyDescent="0.25">
      <c r="F36" s="60"/>
      <c r="G36" s="60"/>
      <c r="H36" s="60"/>
      <c r="I36" s="60"/>
      <c r="J36" s="60"/>
      <c r="K36" s="60"/>
      <c r="L36" s="60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  <vt:lpstr>Calculo gastos prog. x Trim</vt:lpstr>
      <vt:lpstr>Calculo Ben. prog. x Trim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2012-02-07T15:57:09Z</dcterms:created>
  <dcterms:modified xsi:type="dcterms:W3CDTF">2015-07-01T18:05:37Z</dcterms:modified>
</cp:coreProperties>
</file>