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odo\DESAF 2014\Indicadores 2014-Horacio\IAFA\Indicadores\"/>
    </mc:Choice>
  </mc:AlternateContent>
  <bookViews>
    <workbookView xWindow="0" yWindow="0" windowWidth="21600" windowHeight="9735" tabRatio="670" activeTab="6"/>
  </bookViews>
  <sheets>
    <sheet name="I Trimestre" sheetId="2" r:id="rId1"/>
    <sheet name="II Trimestre" sheetId="3" r:id="rId2"/>
    <sheet name="III Trimestre" sheetId="1" r:id="rId3"/>
    <sheet name="IV Trimestre" sheetId="4" r:id="rId4"/>
    <sheet name="I Semestre" sheetId="5" r:id="rId5"/>
    <sheet name="III Trimestre Acumulado" sheetId="6" r:id="rId6"/>
    <sheet name="Anual" sheetId="7" r:id="rId7"/>
    <sheet name="Hoja1" sheetId="8" r:id="rId8"/>
  </sheets>
  <calcPr calcId="152511"/>
</workbook>
</file>

<file path=xl/calcChain.xml><?xml version="1.0" encoding="utf-8"?>
<calcChain xmlns="http://schemas.openxmlformats.org/spreadsheetml/2006/main">
  <c r="F23" i="7" l="1"/>
  <c r="G23" i="7"/>
  <c r="F23" i="6"/>
  <c r="G23" i="6"/>
  <c r="F23" i="5"/>
  <c r="G23" i="5"/>
  <c r="F23" i="4"/>
  <c r="G23" i="4"/>
  <c r="F23" i="1"/>
  <c r="G23" i="1"/>
  <c r="F23" i="3"/>
  <c r="G23" i="3"/>
  <c r="F23" i="2"/>
  <c r="G23" i="2"/>
  <c r="B20" i="7" l="1"/>
  <c r="B21" i="7"/>
  <c r="B19" i="7"/>
  <c r="C20" i="7"/>
  <c r="C21" i="7"/>
  <c r="C19" i="7"/>
  <c r="F20" i="7"/>
  <c r="F21" i="7"/>
  <c r="F19" i="7"/>
  <c r="E21" i="7"/>
  <c r="F14" i="7"/>
  <c r="F15" i="7"/>
  <c r="B20" i="6"/>
  <c r="B21" i="6"/>
  <c r="B19" i="6"/>
  <c r="C20" i="6"/>
  <c r="C21" i="6"/>
  <c r="C19" i="6"/>
  <c r="E21" i="6"/>
  <c r="B20" i="5"/>
  <c r="B21" i="5"/>
  <c r="B19" i="5"/>
  <c r="C20" i="5"/>
  <c r="C21" i="5"/>
  <c r="C19" i="5"/>
  <c r="E21" i="5"/>
  <c r="F14" i="3" l="1"/>
  <c r="F13" i="3" l="1"/>
  <c r="C22" i="2"/>
  <c r="C20" i="2"/>
  <c r="F20" i="2"/>
  <c r="E23" i="4" l="1"/>
  <c r="D23" i="4"/>
  <c r="F22" i="1" l="1"/>
  <c r="B22" i="1" s="1"/>
  <c r="C22" i="1"/>
  <c r="F16" i="1"/>
  <c r="C16" i="1"/>
  <c r="F22" i="3"/>
  <c r="C22" i="3"/>
  <c r="B22" i="3" s="1"/>
  <c r="F16" i="3"/>
  <c r="C16" i="3"/>
  <c r="B16" i="3" s="1"/>
  <c r="B16" i="1" l="1"/>
  <c r="F16" i="2"/>
  <c r="F12" i="3"/>
  <c r="C12" i="3"/>
  <c r="B12" i="3" s="1"/>
  <c r="F11" i="3"/>
  <c r="B11" i="3" s="1"/>
  <c r="C11" i="3"/>
  <c r="E36" i="2" l="1"/>
  <c r="D69" i="2"/>
  <c r="E69" i="2"/>
  <c r="G69" i="2"/>
  <c r="H69" i="2"/>
  <c r="H66" i="2"/>
  <c r="G66" i="2"/>
  <c r="E66" i="2"/>
  <c r="D66" i="2"/>
  <c r="D65" i="2"/>
  <c r="E65" i="2"/>
  <c r="G65" i="2"/>
  <c r="H65" i="2"/>
  <c r="D53" i="2"/>
  <c r="E53" i="2"/>
  <c r="G53" i="2"/>
  <c r="H53" i="2"/>
  <c r="F27" i="7" l="1"/>
  <c r="D20" i="7"/>
  <c r="E20" i="7"/>
  <c r="G20" i="7"/>
  <c r="G15" i="7"/>
  <c r="G14" i="7"/>
  <c r="F27" i="6"/>
  <c r="G20" i="6"/>
  <c r="E20" i="6"/>
  <c r="D20" i="6"/>
  <c r="G15" i="6"/>
  <c r="G14" i="6"/>
  <c r="F27" i="5" l="1"/>
  <c r="G20" i="5"/>
  <c r="E20" i="5"/>
  <c r="D20" i="5"/>
  <c r="E23" i="2" l="1"/>
  <c r="H68" i="2" l="1"/>
  <c r="G68" i="2"/>
  <c r="E68" i="2"/>
  <c r="D68" i="2"/>
  <c r="G69" i="1" l="1"/>
  <c r="G66" i="1"/>
  <c r="G60" i="1"/>
  <c r="G52" i="1"/>
  <c r="G47" i="1"/>
  <c r="G48" i="2"/>
  <c r="E48" i="2"/>
  <c r="D48" i="2"/>
  <c r="F20" i="1" l="1"/>
  <c r="C20" i="1"/>
  <c r="F19" i="1"/>
  <c r="C19" i="1"/>
  <c r="F15" i="1"/>
  <c r="F14" i="1"/>
  <c r="F13" i="1"/>
  <c r="F12" i="1"/>
  <c r="C12" i="1"/>
  <c r="F11" i="1"/>
  <c r="C11" i="1"/>
  <c r="B11" i="1" s="1"/>
  <c r="F60" i="1" l="1"/>
  <c r="F47" i="1"/>
  <c r="F52" i="1"/>
  <c r="B20" i="1"/>
  <c r="B12" i="1"/>
  <c r="B19" i="1"/>
  <c r="B27" i="3" l="1"/>
  <c r="B27" i="5" s="1"/>
  <c r="C20" i="3" l="1"/>
  <c r="F20" i="3"/>
  <c r="F19" i="3"/>
  <c r="C19" i="3"/>
  <c r="B19" i="3" s="1"/>
  <c r="C21" i="2" l="1"/>
  <c r="C53" i="2" l="1"/>
  <c r="F14" i="2"/>
  <c r="F15" i="2"/>
  <c r="F19" i="2" l="1"/>
  <c r="C19" i="2"/>
  <c r="B19" i="2" l="1"/>
  <c r="F11" i="2"/>
  <c r="F12" i="2"/>
  <c r="C11" i="2"/>
  <c r="B11" i="2" s="1"/>
  <c r="C23" i="4" l="1"/>
  <c r="H23" i="1"/>
  <c r="E23" i="1"/>
  <c r="D23" i="1"/>
  <c r="H23" i="3"/>
  <c r="E23" i="3"/>
  <c r="D23" i="3"/>
  <c r="H23" i="2"/>
  <c r="C23" i="3" l="1"/>
  <c r="B23" i="3" s="1"/>
  <c r="C23" i="1"/>
  <c r="B23" i="1" s="1"/>
  <c r="B23" i="4"/>
  <c r="H52" i="4"/>
  <c r="G52" i="4"/>
  <c r="E52" i="4"/>
  <c r="D52" i="4"/>
  <c r="H52" i="1"/>
  <c r="E52" i="1"/>
  <c r="D52" i="1"/>
  <c r="H52" i="3"/>
  <c r="G52" i="3"/>
  <c r="E52" i="3"/>
  <c r="D52" i="3"/>
  <c r="D52" i="2"/>
  <c r="E52" i="2"/>
  <c r="G52" i="2"/>
  <c r="H52" i="2"/>
  <c r="C27" i="5" l="1"/>
  <c r="H47" i="4"/>
  <c r="G47" i="4"/>
  <c r="E47" i="4"/>
  <c r="D47" i="4"/>
  <c r="H47" i="1"/>
  <c r="E47" i="1"/>
  <c r="D47" i="1"/>
  <c r="H47" i="3"/>
  <c r="G47" i="3"/>
  <c r="E47" i="3"/>
  <c r="D47" i="3"/>
  <c r="D47" i="2"/>
  <c r="E47" i="2"/>
  <c r="G47" i="2"/>
  <c r="H47" i="2"/>
  <c r="C27" i="7" l="1"/>
  <c r="D14" i="7"/>
  <c r="D14" i="6"/>
  <c r="D14" i="5"/>
  <c r="D12" i="7" l="1"/>
  <c r="D13" i="7"/>
  <c r="D15" i="7"/>
  <c r="D11" i="7"/>
  <c r="D15" i="5"/>
  <c r="D15" i="6"/>
  <c r="D16" i="5" l="1"/>
  <c r="D52" i="5" s="1"/>
  <c r="D11" i="5"/>
  <c r="D12" i="5"/>
  <c r="D13" i="5"/>
  <c r="C27" i="6"/>
  <c r="D11" i="6"/>
  <c r="D12" i="6"/>
  <c r="D13" i="6"/>
  <c r="B27" i="1" l="1"/>
  <c r="B27" i="6" s="1"/>
  <c r="B27" i="4"/>
  <c r="D22" i="7"/>
  <c r="E22" i="7"/>
  <c r="G22" i="7"/>
  <c r="H22" i="7"/>
  <c r="E19" i="7"/>
  <c r="G19" i="7"/>
  <c r="H19" i="7"/>
  <c r="H20" i="7"/>
  <c r="E23" i="7"/>
  <c r="G21" i="7"/>
  <c r="H21" i="7"/>
  <c r="H23" i="7" s="1"/>
  <c r="E16" i="7"/>
  <c r="G16" i="7"/>
  <c r="H16" i="7"/>
  <c r="E11" i="7"/>
  <c r="G11" i="7"/>
  <c r="F11" i="7" s="1"/>
  <c r="H11" i="7"/>
  <c r="E12" i="7"/>
  <c r="G12" i="7"/>
  <c r="H12" i="7"/>
  <c r="E13" i="7"/>
  <c r="G13" i="7"/>
  <c r="F13" i="7" s="1"/>
  <c r="H13" i="7"/>
  <c r="E14" i="7"/>
  <c r="E52" i="7" s="1"/>
  <c r="G52" i="7"/>
  <c r="H14" i="7"/>
  <c r="H52" i="7" s="1"/>
  <c r="E15" i="7"/>
  <c r="H15" i="7"/>
  <c r="D22" i="6"/>
  <c r="E22" i="6"/>
  <c r="G22" i="6"/>
  <c r="H22" i="6"/>
  <c r="E19" i="6"/>
  <c r="E23" i="6"/>
  <c r="E16" i="6"/>
  <c r="G16" i="6"/>
  <c r="H16" i="6"/>
  <c r="E11" i="6"/>
  <c r="E12" i="6"/>
  <c r="E13" i="6"/>
  <c r="E14" i="6"/>
  <c r="E15" i="6"/>
  <c r="E22" i="5"/>
  <c r="G22" i="5"/>
  <c r="H22" i="5"/>
  <c r="D22" i="5"/>
  <c r="E16" i="5"/>
  <c r="F16" i="5"/>
  <c r="G16" i="5"/>
  <c r="H16" i="5"/>
  <c r="E12" i="5"/>
  <c r="E13" i="5"/>
  <c r="E14" i="5"/>
  <c r="E15" i="5"/>
  <c r="E11" i="5"/>
  <c r="F12" i="7" l="1"/>
  <c r="E23" i="5"/>
  <c r="E36" i="5"/>
  <c r="B27" i="7"/>
  <c r="E52" i="5"/>
  <c r="E52" i="6"/>
  <c r="H20" i="5"/>
  <c r="G21" i="5"/>
  <c r="G36" i="5" s="1"/>
  <c r="H21" i="5"/>
  <c r="H19" i="5"/>
  <c r="G19" i="5"/>
  <c r="H20" i="6"/>
  <c r="F20" i="6" s="1"/>
  <c r="G21" i="6"/>
  <c r="H21" i="6"/>
  <c r="H23" i="6" s="1"/>
  <c r="H19" i="6"/>
  <c r="G19" i="6"/>
  <c r="E19" i="5"/>
  <c r="G12" i="5"/>
  <c r="H12" i="5"/>
  <c r="G13" i="5"/>
  <c r="H13" i="5"/>
  <c r="G14" i="5"/>
  <c r="G52" i="5" s="1"/>
  <c r="H14" i="5"/>
  <c r="H52" i="5" s="1"/>
  <c r="G15" i="5"/>
  <c r="H15" i="5"/>
  <c r="H11" i="5"/>
  <c r="G11" i="5"/>
  <c r="G12" i="6"/>
  <c r="H12" i="6"/>
  <c r="G13" i="6"/>
  <c r="H13" i="6"/>
  <c r="G52" i="6"/>
  <c r="H14" i="6"/>
  <c r="H52" i="6" s="1"/>
  <c r="H15" i="6"/>
  <c r="H11" i="6"/>
  <c r="G11" i="6"/>
  <c r="H23" i="5" l="1"/>
  <c r="H36" i="5"/>
  <c r="C14" i="7"/>
  <c r="C13" i="7"/>
  <c r="C12" i="7"/>
  <c r="C11" i="7"/>
  <c r="F21" i="6"/>
  <c r="F26" i="6"/>
  <c r="F19" i="6"/>
  <c r="F15" i="6"/>
  <c r="F14" i="6"/>
  <c r="F13" i="6"/>
  <c r="F12" i="6"/>
  <c r="F11" i="6"/>
  <c r="C15" i="6"/>
  <c r="C14" i="6"/>
  <c r="C13" i="6"/>
  <c r="C12" i="6"/>
  <c r="C11" i="6"/>
  <c r="F21" i="5"/>
  <c r="F36" i="5" s="1"/>
  <c r="F20" i="5"/>
  <c r="F26" i="5" s="1"/>
  <c r="F19" i="5"/>
  <c r="F15" i="5"/>
  <c r="F14" i="5"/>
  <c r="F52" i="5" s="1"/>
  <c r="F13" i="5"/>
  <c r="F12" i="5"/>
  <c r="F11" i="5"/>
  <c r="C15" i="5"/>
  <c r="C14" i="5"/>
  <c r="C13" i="5"/>
  <c r="C12" i="5"/>
  <c r="C11" i="5"/>
  <c r="F22" i="4"/>
  <c r="F22" i="7" s="1"/>
  <c r="F21" i="4"/>
  <c r="F20" i="4"/>
  <c r="F26" i="4" s="1"/>
  <c r="F19" i="4"/>
  <c r="C22" i="4"/>
  <c r="C21" i="4"/>
  <c r="C20" i="4"/>
  <c r="C26" i="4" s="1"/>
  <c r="C19" i="4"/>
  <c r="F16" i="4"/>
  <c r="F16" i="7" s="1"/>
  <c r="F15" i="4"/>
  <c r="F14" i="4"/>
  <c r="F13" i="4"/>
  <c r="F12" i="4"/>
  <c r="F11" i="4"/>
  <c r="C15" i="4"/>
  <c r="C14" i="4"/>
  <c r="C13" i="4"/>
  <c r="C12" i="4"/>
  <c r="C11" i="4"/>
  <c r="F22" i="6"/>
  <c r="F21" i="1"/>
  <c r="F26" i="1"/>
  <c r="C21" i="1"/>
  <c r="C26" i="1"/>
  <c r="F16" i="6"/>
  <c r="C15" i="1"/>
  <c r="B15" i="1" s="1"/>
  <c r="C14" i="1"/>
  <c r="B14" i="1" s="1"/>
  <c r="C13" i="1"/>
  <c r="F22" i="5"/>
  <c r="F21" i="3"/>
  <c r="F73" i="3" s="1"/>
  <c r="F26" i="3"/>
  <c r="F72" i="3" s="1"/>
  <c r="C21" i="3"/>
  <c r="C26" i="3"/>
  <c r="F15" i="3"/>
  <c r="C15" i="3"/>
  <c r="C14" i="3"/>
  <c r="B14" i="3" s="1"/>
  <c r="C13" i="3"/>
  <c r="F22" i="2"/>
  <c r="B22" i="2" s="1"/>
  <c r="F21" i="2"/>
  <c r="F13" i="2"/>
  <c r="C16" i="2"/>
  <c r="C15" i="2"/>
  <c r="C14" i="2"/>
  <c r="C13" i="2"/>
  <c r="C65" i="2" s="1"/>
  <c r="C12" i="2"/>
  <c r="B21" i="4" l="1"/>
  <c r="F65" i="2"/>
  <c r="F68" i="2"/>
  <c r="F69" i="1"/>
  <c r="F66" i="1"/>
  <c r="C66" i="2"/>
  <c r="C69" i="2"/>
  <c r="F66" i="2"/>
  <c r="F53" i="2"/>
  <c r="F69" i="2"/>
  <c r="C52" i="3"/>
  <c r="F47" i="2"/>
  <c r="F52" i="2"/>
  <c r="F47" i="4"/>
  <c r="F52" i="4"/>
  <c r="C52" i="2"/>
  <c r="C47" i="2"/>
  <c r="F52" i="6"/>
  <c r="B21" i="3"/>
  <c r="F47" i="3"/>
  <c r="F52" i="3"/>
  <c r="B14" i="5"/>
  <c r="C47" i="1"/>
  <c r="C47" i="3"/>
  <c r="C47" i="4"/>
  <c r="B13" i="5"/>
  <c r="B13" i="3"/>
  <c r="B12" i="5"/>
  <c r="B19" i="4"/>
  <c r="B15" i="3"/>
  <c r="B16" i="5"/>
  <c r="C16" i="5"/>
  <c r="C52" i="5" s="1"/>
  <c r="B11" i="5"/>
  <c r="B15" i="5"/>
  <c r="B11" i="4"/>
  <c r="B13" i="4"/>
  <c r="B15" i="4"/>
  <c r="B13" i="1"/>
  <c r="B12" i="4"/>
  <c r="B14" i="4"/>
  <c r="B12" i="7"/>
  <c r="B15" i="6"/>
  <c r="B14" i="6"/>
  <c r="B13" i="6"/>
  <c r="B22" i="4"/>
  <c r="B22" i="7" s="1"/>
  <c r="C22" i="7"/>
  <c r="C16" i="4"/>
  <c r="C52" i="4" s="1"/>
  <c r="D16" i="7"/>
  <c r="D52" i="7" s="1"/>
  <c r="B22" i="6"/>
  <c r="C22" i="6"/>
  <c r="C52" i="1"/>
  <c r="D16" i="6"/>
  <c r="D52" i="6" s="1"/>
  <c r="B22" i="5"/>
  <c r="C22" i="5"/>
  <c r="B11" i="7"/>
  <c r="B13" i="7"/>
  <c r="D19" i="7"/>
  <c r="D19" i="6"/>
  <c r="D19" i="5"/>
  <c r="C26" i="7"/>
  <c r="C26" i="6"/>
  <c r="C26" i="5"/>
  <c r="C26" i="2"/>
  <c r="B12" i="2"/>
  <c r="B12" i="6"/>
  <c r="B11" i="6"/>
  <c r="B14" i="2"/>
  <c r="B13" i="2"/>
  <c r="B16" i="2"/>
  <c r="B26" i="1"/>
  <c r="B20" i="3"/>
  <c r="B26" i="3" s="1"/>
  <c r="B72" i="3" s="1"/>
  <c r="B20" i="4"/>
  <c r="B26" i="4" s="1"/>
  <c r="B21" i="1"/>
  <c r="B15" i="2"/>
  <c r="B52" i="2" l="1"/>
  <c r="B47" i="2"/>
  <c r="B47" i="1"/>
  <c r="B52" i="5"/>
  <c r="B14" i="7"/>
  <c r="F52" i="7"/>
  <c r="B52" i="3"/>
  <c r="B47" i="4"/>
  <c r="B47" i="3"/>
  <c r="B16" i="4"/>
  <c r="B16" i="7" s="1"/>
  <c r="C16" i="7"/>
  <c r="C52" i="7" s="1"/>
  <c r="B16" i="6"/>
  <c r="B52" i="6" s="1"/>
  <c r="C16" i="6"/>
  <c r="C52" i="6" s="1"/>
  <c r="D60" i="2"/>
  <c r="B52" i="7" l="1"/>
  <c r="B52" i="1"/>
  <c r="B52" i="4"/>
  <c r="B65" i="3"/>
  <c r="B66" i="3" l="1"/>
  <c r="C69" i="4" l="1"/>
  <c r="D69" i="4"/>
  <c r="E69" i="4"/>
  <c r="G69" i="4"/>
  <c r="H69" i="4"/>
  <c r="C68" i="4"/>
  <c r="D68" i="4"/>
  <c r="E68" i="4"/>
  <c r="G68" i="4"/>
  <c r="H68" i="4"/>
  <c r="D69" i="1"/>
  <c r="E69" i="1"/>
  <c r="H69" i="1"/>
  <c r="D68" i="1"/>
  <c r="E68" i="1"/>
  <c r="G68" i="1"/>
  <c r="H68" i="1"/>
  <c r="D69" i="3"/>
  <c r="E69" i="3"/>
  <c r="G69" i="3"/>
  <c r="H69" i="3"/>
  <c r="D68" i="3"/>
  <c r="E68" i="3"/>
  <c r="G68" i="3"/>
  <c r="H68" i="3"/>
  <c r="H35" i="5" l="1"/>
  <c r="G35" i="5"/>
  <c r="E35" i="5"/>
  <c r="H66" i="5"/>
  <c r="G66" i="5"/>
  <c r="E69" i="6"/>
  <c r="H35" i="6"/>
  <c r="E35" i="6"/>
  <c r="G35" i="6"/>
  <c r="G37" i="6" s="1"/>
  <c r="E35" i="7"/>
  <c r="H36" i="7"/>
  <c r="G35" i="7"/>
  <c r="G37" i="7" s="1"/>
  <c r="H66" i="4"/>
  <c r="G66" i="4"/>
  <c r="E66" i="4"/>
  <c r="H65" i="4"/>
  <c r="G65" i="4"/>
  <c r="H60" i="4"/>
  <c r="G60" i="4"/>
  <c r="E60" i="4"/>
  <c r="H53" i="4"/>
  <c r="H54" i="4" s="1"/>
  <c r="G53" i="4"/>
  <c r="G54" i="4" s="1"/>
  <c r="E53" i="4"/>
  <c r="E54" i="4" s="1"/>
  <c r="H48" i="4"/>
  <c r="G48" i="4"/>
  <c r="G49" i="4" s="1"/>
  <c r="H49" i="4"/>
  <c r="H36" i="4"/>
  <c r="G36" i="4"/>
  <c r="E36" i="4"/>
  <c r="H35" i="4"/>
  <c r="H37" i="4" s="1"/>
  <c r="G35" i="4"/>
  <c r="G37" i="4" s="1"/>
  <c r="E35" i="4"/>
  <c r="E37" i="4" s="1"/>
  <c r="F73" i="4"/>
  <c r="F68" i="4"/>
  <c r="D65" i="4"/>
  <c r="F35" i="4"/>
  <c r="D35" i="4"/>
  <c r="H66" i="3"/>
  <c r="G66" i="3"/>
  <c r="E66" i="3"/>
  <c r="H65" i="3"/>
  <c r="G65" i="3"/>
  <c r="H60" i="3"/>
  <c r="G60" i="3"/>
  <c r="E60" i="3"/>
  <c r="H53" i="3"/>
  <c r="H54" i="3" s="1"/>
  <c r="G53" i="3"/>
  <c r="G54" i="3" s="1"/>
  <c r="E53" i="3"/>
  <c r="E54" i="3" s="1"/>
  <c r="H48" i="3"/>
  <c r="G48" i="3"/>
  <c r="H49" i="3"/>
  <c r="H36" i="3"/>
  <c r="G36" i="3"/>
  <c r="E36" i="3"/>
  <c r="H35" i="3"/>
  <c r="H37" i="3" s="1"/>
  <c r="G35" i="3"/>
  <c r="G37" i="3" s="1"/>
  <c r="E35" i="3"/>
  <c r="E37" i="3" s="1"/>
  <c r="D65" i="3"/>
  <c r="F35" i="3"/>
  <c r="D35" i="3"/>
  <c r="H60" i="2"/>
  <c r="G60" i="2"/>
  <c r="E60" i="2"/>
  <c r="H54" i="2"/>
  <c r="G54" i="2"/>
  <c r="E54" i="2"/>
  <c r="H48" i="2"/>
  <c r="H49" i="2"/>
  <c r="G49" i="2"/>
  <c r="H36" i="2"/>
  <c r="G36" i="2"/>
  <c r="H35" i="2"/>
  <c r="H37" i="2" s="1"/>
  <c r="G35" i="2"/>
  <c r="G37" i="2" s="1"/>
  <c r="E35" i="2"/>
  <c r="E37" i="2" s="1"/>
  <c r="F73" i="2"/>
  <c r="F35" i="2"/>
  <c r="H66" i="1"/>
  <c r="E66" i="1"/>
  <c r="H65" i="1"/>
  <c r="G65" i="1"/>
  <c r="H60" i="1"/>
  <c r="E60" i="1"/>
  <c r="H53" i="1"/>
  <c r="G53" i="1"/>
  <c r="G54" i="1" s="1"/>
  <c r="E53" i="1"/>
  <c r="E54" i="1" s="1"/>
  <c r="H48" i="1"/>
  <c r="G48" i="1"/>
  <c r="G49" i="1" s="1"/>
  <c r="H36" i="1"/>
  <c r="G36" i="1"/>
  <c r="G38" i="1" s="1"/>
  <c r="E36" i="1"/>
  <c r="H35" i="1"/>
  <c r="H37" i="1" s="1"/>
  <c r="G35" i="1"/>
  <c r="G37" i="1" s="1"/>
  <c r="E35" i="1"/>
  <c r="E37" i="1" s="1"/>
  <c r="F72" i="1"/>
  <c r="F73" i="1"/>
  <c r="F35" i="1"/>
  <c r="H67" i="2" l="1"/>
  <c r="H49" i="1"/>
  <c r="H67" i="1" s="1"/>
  <c r="G49" i="3"/>
  <c r="G67" i="3" s="1"/>
  <c r="C68" i="1"/>
  <c r="C68" i="3"/>
  <c r="C69" i="3"/>
  <c r="F69" i="4"/>
  <c r="F68" i="1"/>
  <c r="F69" i="3"/>
  <c r="F68" i="3"/>
  <c r="G68" i="6"/>
  <c r="E69" i="7"/>
  <c r="G68" i="7"/>
  <c r="H69" i="7"/>
  <c r="H69" i="6"/>
  <c r="G68" i="5"/>
  <c r="G69" i="5"/>
  <c r="E36" i="7"/>
  <c r="E38" i="7" s="1"/>
  <c r="H68" i="7"/>
  <c r="G69" i="7"/>
  <c r="G69" i="6"/>
  <c r="H68" i="6"/>
  <c r="G60" i="5"/>
  <c r="H60" i="5"/>
  <c r="E69" i="5"/>
  <c r="H68" i="5"/>
  <c r="H69" i="5"/>
  <c r="H37" i="5"/>
  <c r="F35" i="5"/>
  <c r="F37" i="5" s="1"/>
  <c r="G60" i="6"/>
  <c r="G65" i="6"/>
  <c r="G37" i="5"/>
  <c r="G65" i="5"/>
  <c r="H54" i="1"/>
  <c r="F73" i="5"/>
  <c r="G66" i="7"/>
  <c r="G66" i="6"/>
  <c r="G36" i="7"/>
  <c r="G61" i="7" s="1"/>
  <c r="G47" i="7"/>
  <c r="G53" i="7"/>
  <c r="E60" i="7"/>
  <c r="G48" i="7"/>
  <c r="E60" i="5"/>
  <c r="E66" i="5"/>
  <c r="H47" i="7"/>
  <c r="H60" i="7"/>
  <c r="G60" i="7"/>
  <c r="H66" i="6"/>
  <c r="H48" i="7"/>
  <c r="E53" i="7"/>
  <c r="H53" i="7"/>
  <c r="G65" i="7"/>
  <c r="E60" i="6"/>
  <c r="H60" i="6"/>
  <c r="F35" i="6"/>
  <c r="F37" i="6" s="1"/>
  <c r="E66" i="6"/>
  <c r="E66" i="7"/>
  <c r="E37" i="6"/>
  <c r="H65" i="7"/>
  <c r="E37" i="7"/>
  <c r="C72" i="1"/>
  <c r="F35" i="7"/>
  <c r="F37" i="7" s="1"/>
  <c r="F72" i="4"/>
  <c r="F37" i="2"/>
  <c r="E68" i="6"/>
  <c r="D35" i="1"/>
  <c r="D37" i="1" s="1"/>
  <c r="D65" i="1"/>
  <c r="D66" i="1"/>
  <c r="F60" i="2"/>
  <c r="F60" i="3"/>
  <c r="F37" i="3"/>
  <c r="F65" i="3"/>
  <c r="F60" i="4"/>
  <c r="F37" i="4"/>
  <c r="F65" i="4"/>
  <c r="H66" i="7"/>
  <c r="H37" i="6"/>
  <c r="D60" i="3"/>
  <c r="E65" i="3"/>
  <c r="E65" i="4"/>
  <c r="E37" i="5"/>
  <c r="H47" i="5"/>
  <c r="H48" i="5"/>
  <c r="H53" i="5"/>
  <c r="H65" i="5"/>
  <c r="E47" i="5"/>
  <c r="G47" i="5"/>
  <c r="G48" i="5"/>
  <c r="E53" i="5"/>
  <c r="G53" i="5"/>
  <c r="H35" i="7"/>
  <c r="H37" i="7" s="1"/>
  <c r="F72" i="6"/>
  <c r="H36" i="6"/>
  <c r="H47" i="6"/>
  <c r="H48" i="6"/>
  <c r="H53" i="6"/>
  <c r="H65" i="6"/>
  <c r="E36" i="6"/>
  <c r="G36" i="6"/>
  <c r="G47" i="6"/>
  <c r="E48" i="6"/>
  <c r="G48" i="6"/>
  <c r="E53" i="6"/>
  <c r="G53" i="6"/>
  <c r="C60" i="4"/>
  <c r="C60" i="3"/>
  <c r="F36" i="7"/>
  <c r="H38" i="7"/>
  <c r="F53" i="7"/>
  <c r="F57" i="7"/>
  <c r="G61" i="2"/>
  <c r="E61" i="2"/>
  <c r="H61" i="2"/>
  <c r="E61" i="3"/>
  <c r="H61" i="3"/>
  <c r="G61" i="3"/>
  <c r="E61" i="4"/>
  <c r="H61" i="4"/>
  <c r="G61" i="4"/>
  <c r="D66" i="4"/>
  <c r="G67" i="4"/>
  <c r="H67" i="4"/>
  <c r="F36" i="4"/>
  <c r="H38" i="4"/>
  <c r="H62" i="4" s="1"/>
  <c r="F48" i="4"/>
  <c r="F53" i="4"/>
  <c r="F57" i="4"/>
  <c r="F66" i="4"/>
  <c r="D36" i="4"/>
  <c r="E38" i="4"/>
  <c r="E62" i="4" s="1"/>
  <c r="G38" i="4"/>
  <c r="G62" i="4" s="1"/>
  <c r="D48" i="4"/>
  <c r="E48" i="4"/>
  <c r="E49" i="4" s="1"/>
  <c r="D53" i="4"/>
  <c r="D66" i="3"/>
  <c r="H67" i="3"/>
  <c r="F36" i="3"/>
  <c r="H38" i="3"/>
  <c r="H62" i="3" s="1"/>
  <c r="F48" i="3"/>
  <c r="F53" i="3"/>
  <c r="F57" i="3"/>
  <c r="F66" i="3"/>
  <c r="D36" i="3"/>
  <c r="E38" i="3"/>
  <c r="E62" i="3" s="1"/>
  <c r="G38" i="3"/>
  <c r="G62" i="3" s="1"/>
  <c r="D48" i="3"/>
  <c r="E48" i="3"/>
  <c r="E49" i="3" s="1"/>
  <c r="D53" i="3"/>
  <c r="D35" i="2"/>
  <c r="D37" i="2" s="1"/>
  <c r="G67" i="2"/>
  <c r="F36" i="2"/>
  <c r="H38" i="2"/>
  <c r="H62" i="2" s="1"/>
  <c r="F54" i="2"/>
  <c r="F57" i="2"/>
  <c r="E38" i="2"/>
  <c r="E62" i="2" s="1"/>
  <c r="G38" i="2"/>
  <c r="G62" i="2" s="1"/>
  <c r="E49" i="2"/>
  <c r="E67" i="2" s="1"/>
  <c r="F37" i="1"/>
  <c r="G61" i="1"/>
  <c r="E65" i="1"/>
  <c r="E61" i="1"/>
  <c r="H61" i="1"/>
  <c r="F65" i="1"/>
  <c r="G67" i="1"/>
  <c r="B72" i="1"/>
  <c r="F36" i="1"/>
  <c r="F38" i="1" s="1"/>
  <c r="H38" i="1"/>
  <c r="H62" i="1" s="1"/>
  <c r="F48" i="1"/>
  <c r="F53" i="1"/>
  <c r="F57" i="1"/>
  <c r="D36" i="1"/>
  <c r="E38" i="1"/>
  <c r="E62" i="1" s="1"/>
  <c r="G62" i="1"/>
  <c r="D48" i="1"/>
  <c r="E48" i="1"/>
  <c r="E49" i="1" s="1"/>
  <c r="D53" i="1"/>
  <c r="G38" i="7" l="1"/>
  <c r="G62" i="7" s="1"/>
  <c r="F49" i="3"/>
  <c r="F67" i="3" s="1"/>
  <c r="E61" i="7"/>
  <c r="G49" i="6"/>
  <c r="G67" i="6" s="1"/>
  <c r="G49" i="5"/>
  <c r="G67" i="5" s="1"/>
  <c r="F49" i="4"/>
  <c r="F67" i="4" s="1"/>
  <c r="H49" i="5"/>
  <c r="H67" i="5" s="1"/>
  <c r="F49" i="2"/>
  <c r="G49" i="7"/>
  <c r="G67" i="7" s="1"/>
  <c r="F72" i="5"/>
  <c r="E67" i="3"/>
  <c r="E67" i="1"/>
  <c r="B69" i="4"/>
  <c r="F49" i="1"/>
  <c r="F67" i="1" s="1"/>
  <c r="B69" i="3"/>
  <c r="E48" i="7"/>
  <c r="E68" i="7"/>
  <c r="E68" i="5"/>
  <c r="F68" i="6"/>
  <c r="F73" i="6"/>
  <c r="F69" i="6"/>
  <c r="F48" i="5"/>
  <c r="F68" i="5"/>
  <c r="F61" i="5"/>
  <c r="F69" i="5"/>
  <c r="F66" i="6"/>
  <c r="E48" i="5"/>
  <c r="E49" i="5" s="1"/>
  <c r="F57" i="5"/>
  <c r="F53" i="5"/>
  <c r="F54" i="5" s="1"/>
  <c r="F73" i="7"/>
  <c r="F69" i="7"/>
  <c r="F47" i="7"/>
  <c r="E62" i="7"/>
  <c r="F66" i="7"/>
  <c r="F57" i="6"/>
  <c r="F53" i="6"/>
  <c r="F54" i="6" s="1"/>
  <c r="F48" i="6"/>
  <c r="F36" i="6"/>
  <c r="F38" i="6" s="1"/>
  <c r="F62" i="6" s="1"/>
  <c r="C72" i="5"/>
  <c r="D68" i="5"/>
  <c r="E54" i="7"/>
  <c r="G54" i="7"/>
  <c r="H49" i="6"/>
  <c r="H67" i="6" s="1"/>
  <c r="H49" i="7"/>
  <c r="H67" i="7" s="1"/>
  <c r="E67" i="4"/>
  <c r="C72" i="4"/>
  <c r="H61" i="7"/>
  <c r="E47" i="6"/>
  <c r="E49" i="6" s="1"/>
  <c r="F60" i="7"/>
  <c r="E65" i="6"/>
  <c r="H54" i="7"/>
  <c r="F66" i="5"/>
  <c r="E65" i="7"/>
  <c r="E65" i="5"/>
  <c r="D37" i="4"/>
  <c r="G54" i="6"/>
  <c r="H62" i="7"/>
  <c r="D60" i="4"/>
  <c r="F54" i="3"/>
  <c r="D37" i="3"/>
  <c r="D68" i="7"/>
  <c r="D60" i="1"/>
  <c r="D49" i="1"/>
  <c r="D67" i="1" s="1"/>
  <c r="D54" i="1"/>
  <c r="E47" i="7"/>
  <c r="G54" i="5"/>
  <c r="G61" i="5"/>
  <c r="G38" i="5"/>
  <c r="G62" i="5" s="1"/>
  <c r="H61" i="5"/>
  <c r="H38" i="5"/>
  <c r="H62" i="5" s="1"/>
  <c r="D35" i="5"/>
  <c r="E54" i="5"/>
  <c r="F65" i="5"/>
  <c r="E61" i="5"/>
  <c r="E38" i="5"/>
  <c r="E62" i="5" s="1"/>
  <c r="C68" i="5"/>
  <c r="F60" i="5"/>
  <c r="F47" i="5"/>
  <c r="H54" i="5"/>
  <c r="G61" i="6"/>
  <c r="G38" i="6"/>
  <c r="G62" i="6" s="1"/>
  <c r="H61" i="6"/>
  <c r="H38" i="6"/>
  <c r="H62" i="6" s="1"/>
  <c r="D35" i="6"/>
  <c r="D37" i="6" s="1"/>
  <c r="E54" i="6"/>
  <c r="F65" i="6"/>
  <c r="E61" i="6"/>
  <c r="E38" i="6"/>
  <c r="E62" i="6" s="1"/>
  <c r="F60" i="6"/>
  <c r="F47" i="6"/>
  <c r="H54" i="6"/>
  <c r="F54" i="7"/>
  <c r="F61" i="7"/>
  <c r="F38" i="7"/>
  <c r="F62" i="7" s="1"/>
  <c r="F54" i="4"/>
  <c r="D61" i="4"/>
  <c r="D38" i="4"/>
  <c r="F61" i="4"/>
  <c r="F38" i="4"/>
  <c r="F62" i="4" s="1"/>
  <c r="C65" i="4"/>
  <c r="C73" i="4"/>
  <c r="C66" i="4"/>
  <c r="C57" i="4"/>
  <c r="C53" i="4"/>
  <c r="C54" i="4" s="1"/>
  <c r="C48" i="4"/>
  <c r="C49" i="4" s="1"/>
  <c r="C36" i="4"/>
  <c r="B35" i="4"/>
  <c r="B37" i="4" s="1"/>
  <c r="C35" i="4"/>
  <c r="C37" i="4" s="1"/>
  <c r="D54" i="4"/>
  <c r="D49" i="4"/>
  <c r="D67" i="4" s="1"/>
  <c r="B60" i="4"/>
  <c r="D61" i="3"/>
  <c r="D38" i="3"/>
  <c r="C73" i="3"/>
  <c r="C66" i="3"/>
  <c r="C57" i="3"/>
  <c r="C53" i="3"/>
  <c r="C54" i="3" s="1"/>
  <c r="C48" i="3"/>
  <c r="C49" i="3" s="1"/>
  <c r="C36" i="3"/>
  <c r="B35" i="3"/>
  <c r="B37" i="3" s="1"/>
  <c r="C35" i="3"/>
  <c r="C37" i="3" s="1"/>
  <c r="D54" i="3"/>
  <c r="D49" i="3"/>
  <c r="D67" i="3" s="1"/>
  <c r="F61" i="3"/>
  <c r="F38" i="3"/>
  <c r="F62" i="3" s="1"/>
  <c r="C65" i="3"/>
  <c r="B60" i="3"/>
  <c r="C68" i="2"/>
  <c r="F61" i="2"/>
  <c r="F38" i="2"/>
  <c r="F62" i="2" s="1"/>
  <c r="B35" i="2"/>
  <c r="C35" i="2"/>
  <c r="C37" i="2" s="1"/>
  <c r="F54" i="1"/>
  <c r="D61" i="1"/>
  <c r="D38" i="1"/>
  <c r="D62" i="1" s="1"/>
  <c r="C73" i="1"/>
  <c r="C66" i="1"/>
  <c r="C57" i="1"/>
  <c r="C53" i="1"/>
  <c r="C48" i="1"/>
  <c r="C36" i="1"/>
  <c r="B35" i="1"/>
  <c r="B37" i="1" s="1"/>
  <c r="C35" i="1"/>
  <c r="C37" i="1" s="1"/>
  <c r="F61" i="1"/>
  <c r="F62" i="1"/>
  <c r="C65" i="1"/>
  <c r="D62" i="4" l="1"/>
  <c r="F38" i="5"/>
  <c r="F62" i="5" s="1"/>
  <c r="F49" i="5"/>
  <c r="F67" i="5" s="1"/>
  <c r="D62" i="3"/>
  <c r="F49" i="6"/>
  <c r="F67" i="6" s="1"/>
  <c r="B72" i="4"/>
  <c r="C69" i="1"/>
  <c r="C54" i="1"/>
  <c r="B65" i="4"/>
  <c r="B68" i="4"/>
  <c r="B65" i="1"/>
  <c r="B68" i="1"/>
  <c r="B68" i="3"/>
  <c r="E67" i="6"/>
  <c r="D68" i="6"/>
  <c r="F61" i="6"/>
  <c r="D37" i="5"/>
  <c r="E49" i="7"/>
  <c r="E67" i="7" s="1"/>
  <c r="E67" i="5"/>
  <c r="D65" i="6"/>
  <c r="C72" i="6"/>
  <c r="B47" i="5"/>
  <c r="C47" i="5"/>
  <c r="D65" i="5"/>
  <c r="D47" i="5"/>
  <c r="D60" i="7"/>
  <c r="D47" i="7"/>
  <c r="B60" i="2"/>
  <c r="C60" i="2"/>
  <c r="D60" i="5"/>
  <c r="C72" i="2"/>
  <c r="D35" i="7"/>
  <c r="D47" i="6"/>
  <c r="D60" i="6"/>
  <c r="C60" i="1"/>
  <c r="C49" i="1"/>
  <c r="C67" i="1" s="1"/>
  <c r="D65" i="7"/>
  <c r="C72" i="3"/>
  <c r="C65" i="5"/>
  <c r="C35" i="5"/>
  <c r="B35" i="5"/>
  <c r="C35" i="6"/>
  <c r="C37" i="6" s="1"/>
  <c r="B35" i="6"/>
  <c r="B37" i="6" s="1"/>
  <c r="C61" i="4"/>
  <c r="C38" i="4"/>
  <c r="C62" i="4" s="1"/>
  <c r="B66" i="4"/>
  <c r="B57" i="4"/>
  <c r="B53" i="4"/>
  <c r="B54" i="4" s="1"/>
  <c r="B48" i="4"/>
  <c r="B49" i="4" s="1"/>
  <c r="B36" i="4"/>
  <c r="B73" i="4"/>
  <c r="C67" i="4"/>
  <c r="B57" i="3"/>
  <c r="B53" i="3"/>
  <c r="B54" i="3" s="1"/>
  <c r="B48" i="3"/>
  <c r="B49" i="3" s="1"/>
  <c r="B67" i="3" s="1"/>
  <c r="B36" i="3"/>
  <c r="B73" i="3"/>
  <c r="C61" i="3"/>
  <c r="C38" i="3"/>
  <c r="C62" i="3" s="1"/>
  <c r="C67" i="3"/>
  <c r="B66" i="1"/>
  <c r="B57" i="1"/>
  <c r="B53" i="1"/>
  <c r="B48" i="1"/>
  <c r="B36" i="1"/>
  <c r="B73" i="1"/>
  <c r="C61" i="1"/>
  <c r="C38" i="1"/>
  <c r="C62" i="1" s="1"/>
  <c r="C68" i="7" l="1"/>
  <c r="B54" i="1"/>
  <c r="B69" i="1"/>
  <c r="C68" i="6"/>
  <c r="C65" i="6"/>
  <c r="C72" i="7"/>
  <c r="C37" i="5"/>
  <c r="C65" i="7"/>
  <c r="B60" i="1"/>
  <c r="B49" i="1"/>
  <c r="B67" i="1" s="1"/>
  <c r="C60" i="6"/>
  <c r="C47" i="6"/>
  <c r="C35" i="7"/>
  <c r="B35" i="7"/>
  <c r="B37" i="7" s="1"/>
  <c r="B60" i="5"/>
  <c r="C60" i="5"/>
  <c r="D37" i="7"/>
  <c r="C47" i="7"/>
  <c r="C60" i="7"/>
  <c r="B37" i="2"/>
  <c r="B67" i="4"/>
  <c r="B61" i="4"/>
  <c r="B38" i="4"/>
  <c r="B62" i="4" s="1"/>
  <c r="B61" i="3"/>
  <c r="B38" i="3"/>
  <c r="B62" i="3" s="1"/>
  <c r="B61" i="1"/>
  <c r="B38" i="1"/>
  <c r="B62" i="1" s="1"/>
  <c r="B60" i="7" l="1"/>
  <c r="B47" i="7"/>
  <c r="C37" i="7"/>
  <c r="B37" i="5"/>
  <c r="B60" i="6"/>
  <c r="B47" i="6"/>
  <c r="C15" i="7" l="1"/>
  <c r="B15" i="7" s="1"/>
  <c r="D36" i="2" l="1"/>
  <c r="D38" i="2" s="1"/>
  <c r="D62" i="2" s="1"/>
  <c r="D49" i="2"/>
  <c r="D54" i="2"/>
  <c r="D21" i="6"/>
  <c r="D48" i="6" s="1"/>
  <c r="D49" i="6" s="1"/>
  <c r="D21" i="7"/>
  <c r="D48" i="7" s="1"/>
  <c r="D49" i="7" s="1"/>
  <c r="D21" i="5"/>
  <c r="C73" i="2"/>
  <c r="D23" i="2"/>
  <c r="C23" i="2" s="1"/>
  <c r="D66" i="5" l="1"/>
  <c r="D36" i="5"/>
  <c r="B21" i="2"/>
  <c r="D61" i="2"/>
  <c r="D67" i="2"/>
  <c r="C54" i="2"/>
  <c r="D69" i="5"/>
  <c r="D48" i="5"/>
  <c r="D49" i="5" s="1"/>
  <c r="D23" i="7"/>
  <c r="C57" i="2"/>
  <c r="B23" i="2"/>
  <c r="B57" i="2" s="1"/>
  <c r="C36" i="5"/>
  <c r="C36" i="2"/>
  <c r="D53" i="6"/>
  <c r="D54" i="6" s="1"/>
  <c r="B53" i="2"/>
  <c r="B54" i="2" s="1"/>
  <c r="D66" i="7"/>
  <c r="D67" i="7" s="1"/>
  <c r="D66" i="6"/>
  <c r="D67" i="6" s="1"/>
  <c r="D69" i="6"/>
  <c r="D53" i="7"/>
  <c r="D54" i="7" s="1"/>
  <c r="D36" i="6"/>
  <c r="C48" i="2"/>
  <c r="C49" i="2" s="1"/>
  <c r="D69" i="7"/>
  <c r="C23" i="7"/>
  <c r="D53" i="5"/>
  <c r="D54" i="5" s="1"/>
  <c r="D23" i="5"/>
  <c r="C23" i="5" s="1"/>
  <c r="D23" i="6"/>
  <c r="C23" i="6" s="1"/>
  <c r="D36" i="7"/>
  <c r="B69" i="6" l="1"/>
  <c r="B69" i="2"/>
  <c r="B36" i="2"/>
  <c r="B23" i="7"/>
  <c r="D67" i="5"/>
  <c r="B73" i="5"/>
  <c r="B73" i="2"/>
  <c r="B36" i="7"/>
  <c r="B66" i="2"/>
  <c r="B36" i="6"/>
  <c r="B61" i="6" s="1"/>
  <c r="B66" i="6"/>
  <c r="B53" i="6"/>
  <c r="B54" i="6" s="1"/>
  <c r="B73" i="6"/>
  <c r="C67" i="2"/>
  <c r="D61" i="7"/>
  <c r="D38" i="7"/>
  <c r="D62" i="7" s="1"/>
  <c r="D61" i="5"/>
  <c r="D38" i="5"/>
  <c r="D62" i="5" s="1"/>
  <c r="C57" i="6"/>
  <c r="B23" i="6"/>
  <c r="B57" i="6" s="1"/>
  <c r="B61" i="2"/>
  <c r="B38" i="2"/>
  <c r="B62" i="2" s="1"/>
  <c r="C48" i="5"/>
  <c r="C49" i="5" s="1"/>
  <c r="C73" i="5"/>
  <c r="C66" i="5"/>
  <c r="C53" i="5"/>
  <c r="C54" i="5" s="1"/>
  <c r="C69" i="5"/>
  <c r="C69" i="7"/>
  <c r="C73" i="7"/>
  <c r="C48" i="7"/>
  <c r="C49" i="7" s="1"/>
  <c r="C53" i="7"/>
  <c r="C54" i="7" s="1"/>
  <c r="C66" i="7"/>
  <c r="C36" i="7"/>
  <c r="C73" i="6"/>
  <c r="C69" i="6"/>
  <c r="C48" i="6"/>
  <c r="C49" i="6" s="1"/>
  <c r="C53" i="6"/>
  <c r="C54" i="6" s="1"/>
  <c r="C66" i="6"/>
  <c r="C36" i="6"/>
  <c r="C57" i="5"/>
  <c r="B23" i="5"/>
  <c r="C38" i="2"/>
  <c r="C62" i="2" s="1"/>
  <c r="C61" i="2"/>
  <c r="D38" i="6"/>
  <c r="D62" i="6" s="1"/>
  <c r="D61" i="6"/>
  <c r="C57" i="7"/>
  <c r="B57" i="5" l="1"/>
  <c r="B66" i="5"/>
  <c r="B53" i="5"/>
  <c r="B54" i="5" s="1"/>
  <c r="B36" i="5"/>
  <c r="B69" i="5"/>
  <c r="B73" i="7"/>
  <c r="B69" i="7"/>
  <c r="B53" i="7"/>
  <c r="B54" i="7" s="1"/>
  <c r="B66" i="7"/>
  <c r="B57" i="7"/>
  <c r="B38" i="6"/>
  <c r="B62" i="6" s="1"/>
  <c r="C67" i="7"/>
  <c r="C67" i="5"/>
  <c r="C38" i="7"/>
  <c r="C62" i="7" s="1"/>
  <c r="C61" i="7"/>
  <c r="B61" i="7"/>
  <c r="B38" i="7"/>
  <c r="B62" i="7" s="1"/>
  <c r="C38" i="6"/>
  <c r="C62" i="6" s="1"/>
  <c r="C61" i="6"/>
  <c r="C61" i="5"/>
  <c r="C38" i="5"/>
  <c r="C62" i="5" s="1"/>
  <c r="C67" i="6"/>
  <c r="F48" i="2"/>
  <c r="F68" i="7"/>
  <c r="F26" i="2"/>
  <c r="F72" i="2" s="1"/>
  <c r="F67" i="2"/>
  <c r="B20" i="2"/>
  <c r="B48" i="2" l="1"/>
  <c r="B49" i="2" s="1"/>
  <c r="B26" i="2"/>
  <c r="B72" i="2" s="1"/>
  <c r="B38" i="5"/>
  <c r="B62" i="5" s="1"/>
  <c r="B61" i="5"/>
  <c r="F48" i="7"/>
  <c r="F49" i="7" s="1"/>
  <c r="F26" i="7"/>
  <c r="F72" i="7" s="1"/>
  <c r="B68" i="2"/>
  <c r="F65" i="7"/>
  <c r="B65" i="2"/>
  <c r="B67" i="2" l="1"/>
  <c r="F67" i="7"/>
  <c r="B26" i="6"/>
  <c r="B72" i="6" s="1"/>
  <c r="B68" i="6"/>
  <c r="B65" i="6"/>
  <c r="B48" i="6"/>
  <c r="B49" i="6" s="1"/>
  <c r="B68" i="7"/>
  <c r="B48" i="7"/>
  <c r="B49" i="7" s="1"/>
  <c r="B65" i="7"/>
  <c r="B26" i="7"/>
  <c r="B72" i="7" s="1"/>
  <c r="B68" i="5"/>
  <c r="B26" i="5"/>
  <c r="B72" i="5" s="1"/>
  <c r="B48" i="5"/>
  <c r="B49" i="5" s="1"/>
  <c r="B65" i="5"/>
  <c r="B67" i="5" l="1"/>
  <c r="B67" i="7"/>
  <c r="B67" i="6"/>
</calcChain>
</file>

<file path=xl/sharedStrings.xml><?xml version="1.0" encoding="utf-8"?>
<sst xmlns="http://schemas.openxmlformats.org/spreadsheetml/2006/main" count="604" uniqueCount="144">
  <si>
    <t>Indicador</t>
  </si>
  <si>
    <t>Total IAFA</t>
  </si>
  <si>
    <t>Atención adicciones a menores de edad</t>
  </si>
  <si>
    <t>Prevención para el Consumo de Drogas</t>
  </si>
  <si>
    <t>Total</t>
  </si>
  <si>
    <t xml:space="preserve">Atención integral </t>
  </si>
  <si>
    <t>Capacitación socioeducativa</t>
  </si>
  <si>
    <t>Insumos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</si>
  <si>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</si>
  <si>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</si>
  <si>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</si>
  <si>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</si>
  <si>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</si>
  <si>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</si>
  <si>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</si>
  <si>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</si>
  <si>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</si>
  <si>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</si>
  <si>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</si>
  <si>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</si>
  <si>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</si>
  <si>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</si>
  <si>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</si>
  <si>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</si>
  <si>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</si>
  <si>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</si>
  <si>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</si>
  <si>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</si>
  <si>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</si>
  <si>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</si>
  <si>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</si>
  <si>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</si>
  <si>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</si>
  <si>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</si>
  <si>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</si>
  <si>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De Composición</t>
  </si>
  <si>
    <t>Fuentes:</t>
  </si>
  <si>
    <t>Notas:</t>
  </si>
  <si>
    <t xml:space="preserve">Gasto programado trimestral por beneficiario (GPB) </t>
  </si>
  <si>
    <t xml:space="preserve">Gasto efectivo trimestral por beneficiario (GEB) </t>
  </si>
  <si>
    <t xml:space="preserve">Gasto programado mensual por beneficiario (GPB) </t>
  </si>
  <si>
    <t xml:space="preserve">Gasto efectivo mensual por beneficiario (GEB) </t>
  </si>
  <si>
    <t xml:space="preserve">Gasto programado semestral por beneficiario (GPB) </t>
  </si>
  <si>
    <t xml:space="preserve">Gasto efectivo semestral por beneficiario (GEB) </t>
  </si>
  <si>
    <t xml:space="preserve">Gasto programado acumulado al 3°T por beneficiario (GPB) </t>
  </si>
  <si>
    <t xml:space="preserve">Gasto efectivo acumulado al 3°T por beneficiario (GEB) </t>
  </si>
  <si>
    <t xml:space="preserve">Gasto programado anual por beneficiario (GPB) </t>
  </si>
  <si>
    <t xml:space="preserve">Gasto efectivo anual por beneficiario (GEB) </t>
  </si>
  <si>
    <t xml:space="preserve">Beneficiarios </t>
  </si>
  <si>
    <t>Personas diferentes</t>
  </si>
  <si>
    <t>Beneficiarios</t>
  </si>
  <si>
    <t>na</t>
  </si>
  <si>
    <t>Los beneficiarios efectivos se refieren a la cantidad de personas en tratamiento al finalizar el trimestre.</t>
  </si>
  <si>
    <t>Los beneficiarios, personas distintas, se refiere a los ingresos nuevos de personas en el trimestre, continuen o no en el tratamiento, pero que fueron atendidas por el IAFA</t>
  </si>
  <si>
    <t>Efectivos 1T 2013</t>
  </si>
  <si>
    <t>IPC (1T 2013)</t>
  </si>
  <si>
    <t>Gasto efectivo real 1T 2013</t>
  </si>
  <si>
    <t>Gasto efectivo real por beneficiario 1T 2013</t>
  </si>
  <si>
    <t>Efectivos 2T 2013</t>
  </si>
  <si>
    <t>IPC (2T 2013)</t>
  </si>
  <si>
    <t>Gasto efectivo real 2T 2013</t>
  </si>
  <si>
    <t>Gasto efectivo real por beneficiario 2T 2013</t>
  </si>
  <si>
    <t>Efectivos 3T 2013</t>
  </si>
  <si>
    <t>Gasto efectivo real 3T 2013</t>
  </si>
  <si>
    <t>Gasto efectivo real por beneficiario 3T 2013</t>
  </si>
  <si>
    <t>Efectivos 4T 2013</t>
  </si>
  <si>
    <t>IPC (4T 2013)</t>
  </si>
  <si>
    <t>Gasto efectivo real 4T 2013</t>
  </si>
  <si>
    <t>Gasto efectivo real por beneficiario 4T 2013</t>
  </si>
  <si>
    <t>Efectivos 1S 2013</t>
  </si>
  <si>
    <t>IPC (1S 2013)</t>
  </si>
  <si>
    <t>Gasto efectivo real 1S 2013</t>
  </si>
  <si>
    <t>Gasto efectivo real por beneficiario 1S 2013</t>
  </si>
  <si>
    <t>Efectivos 3TA 2013</t>
  </si>
  <si>
    <t>IPC (3TA 2013)</t>
  </si>
  <si>
    <t>Gasto efectivo real 3TA 2013</t>
  </si>
  <si>
    <t>Gasto efectivo real por beneficiario 3TA 2013</t>
  </si>
  <si>
    <t>Efectivos  2013</t>
  </si>
  <si>
    <t>IPC ( 2013)</t>
  </si>
  <si>
    <t>Gasto efectivo real  2013</t>
  </si>
  <si>
    <t>Gasto efectivo real por beneficiario  2013</t>
  </si>
  <si>
    <t>Divulgación y Movilización</t>
  </si>
  <si>
    <t>Total Prevención Consumo drogas</t>
  </si>
  <si>
    <t>En el primer trimestre el IAFA suele utilizar los recursos del superávit del año anterior, que debe devolver a la DESAF, mientras le llega la primer transferencia de la DESAF.</t>
  </si>
  <si>
    <t>IPC, BCCR</t>
  </si>
  <si>
    <t>na.</t>
  </si>
  <si>
    <t xml:space="preserve"> </t>
  </si>
  <si>
    <t>Programados 2T 2014</t>
  </si>
  <si>
    <t>Efectivos 2T 2014</t>
  </si>
  <si>
    <t>Programados año 2014</t>
  </si>
  <si>
    <t>Indicadores propuestos aplicado a IAFA. Segundo Trimestre 2014</t>
  </si>
  <si>
    <t>Apoyo Economico</t>
  </si>
  <si>
    <t>Indicadores propuestos aplicado a IAFA. Primer Trimestre 2014</t>
  </si>
  <si>
    <t>Programados 1T 2014</t>
  </si>
  <si>
    <t>Efectivos 1T 2014</t>
  </si>
  <si>
    <t>En transferencias 1T 2014</t>
  </si>
  <si>
    <t>IPC (1T 2014)</t>
  </si>
  <si>
    <t>Gasto efectivo real 1T 2014</t>
  </si>
  <si>
    <t>En transferencias 2T 2014</t>
  </si>
  <si>
    <t>IPC (2T 2014)</t>
  </si>
  <si>
    <t>Informes trimestrales IAFA, 2013y 2014</t>
  </si>
  <si>
    <t>Metas y modificaciones, DESAF 2014</t>
  </si>
  <si>
    <t>Programados 3T 2014</t>
  </si>
  <si>
    <t>Efectivos 3T 2014</t>
  </si>
  <si>
    <t>En transferencias 3T 2014</t>
  </si>
  <si>
    <t>Gasto efectivo real 3T 2014</t>
  </si>
  <si>
    <t>Indicadores propuestos aplicado a IAFA. Tercer Trimestre 2014</t>
  </si>
  <si>
    <t>Gasto efectivo real por beneficiario 1T 2014</t>
  </si>
  <si>
    <t>Gasto efectivo real 2T 2014</t>
  </si>
  <si>
    <t>Gasto efectivo real por beneficiario 2T 2014</t>
  </si>
  <si>
    <t>Gasto efectivo real por beneficiario 3T 2014</t>
  </si>
  <si>
    <t>Informes trimestrales IAFA, 2013 y 2014</t>
  </si>
  <si>
    <t>IPC (3T 2013)</t>
  </si>
  <si>
    <t>IPC (3T 2014)</t>
  </si>
  <si>
    <t>Indicadores propuestos aplicado a IAFA. Cuarto Trimestre 2014</t>
  </si>
  <si>
    <t>Programados 4T 2014</t>
  </si>
  <si>
    <t>Efectivos 4T 2014</t>
  </si>
  <si>
    <t>En transferencias 4T 2014</t>
  </si>
  <si>
    <t>IPC (4T 2014)</t>
  </si>
  <si>
    <t>Gasto efectivo real 4T 2014</t>
  </si>
  <si>
    <t>Gasto efectivo real por beneficiario 4T 2014</t>
  </si>
  <si>
    <t>Indicadores propuestos aplicado a IAFA.Primer Semestre 2014</t>
  </si>
  <si>
    <t>Programados 1S 2014</t>
  </si>
  <si>
    <t>Efectivos 1S 2014</t>
  </si>
  <si>
    <t>En transferencias 1S 2014</t>
  </si>
  <si>
    <t>IPC (1S 2014)</t>
  </si>
  <si>
    <t>Gasto efectivo real 1S 2014</t>
  </si>
  <si>
    <t>Gasto efectivo real por beneficiario 1S 2014</t>
  </si>
  <si>
    <t>Programados 3TA 2014</t>
  </si>
  <si>
    <t>Efectivos 3TA 2014</t>
  </si>
  <si>
    <t>En transferencias 3TA 2014</t>
  </si>
  <si>
    <t>Indicadores propuestos aplicado a IAFA.Tercer Trimestre Acumulado 2014</t>
  </si>
  <si>
    <t>IPC (3TA 2014)</t>
  </si>
  <si>
    <t>Gasto efectivo real 3TA 2014</t>
  </si>
  <si>
    <t>Gasto efectivo real por beneficiario 3TA 2014</t>
  </si>
  <si>
    <t>Programados  2014</t>
  </si>
  <si>
    <t>Efectivos  2014</t>
  </si>
  <si>
    <t>En transferencias  2014</t>
  </si>
  <si>
    <t>IPC ( 2014)</t>
  </si>
  <si>
    <t>Gasto efectivo real  2014</t>
  </si>
  <si>
    <t>Gasto efectivo real por beneficiario  2014</t>
  </si>
  <si>
    <t>Indicadores propuestos aplicado a IAFA. Anual 2014</t>
  </si>
  <si>
    <t>Fecha de actualización: 10/12/2014</t>
  </si>
  <si>
    <t>Fecha de actualización: 19/02/2015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</si>
</sst>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#,##0.0____"/>
    <numFmt numFmtId="165" formatCode="#,##0.0"/>
    <numFmt numFmtId="166" formatCode="_(* #,##0_);_(* \(#,##0\);_(* &quot;-&quot;??_);_(@_)"/>
    <numFmt numFmtId="167" formatCode="#,##0____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3" fontId="0" fillId="0" borderId="0" xfId="0" applyNumberFormat="1"/>
    <xf numFmtId="3" fontId="0" fillId="0" borderId="0" xfId="0" applyNumberFormat="1" applyFill="1"/>
    <xf numFmtId="0" fontId="0" fillId="0" borderId="0" xfId="0" applyFill="1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3" fontId="0" fillId="2" borderId="0" xfId="0" applyNumberFormat="1" applyFill="1"/>
    <xf numFmtId="0" fontId="0" fillId="2" borderId="0" xfId="0" applyFill="1" applyAlignment="1">
      <alignment horizontal="left" indent="1"/>
    </xf>
    <xf numFmtId="0" fontId="0" fillId="3" borderId="0" xfId="0" applyFill="1" applyAlignment="1">
      <alignment horizontal="left" indent="1"/>
    </xf>
    <xf numFmtId="0" fontId="2" fillId="3" borderId="0" xfId="0" applyFont="1" applyFill="1"/>
    <xf numFmtId="0" fontId="0" fillId="3" borderId="0" xfId="0" applyFill="1"/>
    <xf numFmtId="3" fontId="0" fillId="3" borderId="0" xfId="0" applyNumberFormat="1" applyFill="1"/>
    <xf numFmtId="164" fontId="0" fillId="0" borderId="0" xfId="0" applyNumberFormat="1"/>
    <xf numFmtId="164" fontId="0" fillId="3" borderId="0" xfId="0" applyNumberFormat="1" applyFill="1"/>
    <xf numFmtId="164" fontId="0" fillId="0" borderId="0" xfId="0" applyNumberFormat="1" applyFill="1"/>
    <xf numFmtId="0" fontId="0" fillId="2" borderId="0" xfId="0" applyFill="1"/>
    <xf numFmtId="164" fontId="0" fillId="2" borderId="0" xfId="0" applyNumberFormat="1" applyFill="1"/>
    <xf numFmtId="0" fontId="0" fillId="0" borderId="10" xfId="0" applyBorder="1"/>
    <xf numFmtId="165" fontId="0" fillId="0" borderId="0" xfId="0" applyNumberFormat="1"/>
    <xf numFmtId="2" fontId="0" fillId="3" borderId="0" xfId="0" applyNumberFormat="1" applyFill="1"/>
    <xf numFmtId="0" fontId="0" fillId="0" borderId="0" xfId="0" applyFill="1" applyBorder="1"/>
    <xf numFmtId="166" fontId="0" fillId="0" borderId="0" xfId="1" applyNumberFormat="1" applyFont="1" applyFill="1"/>
    <xf numFmtId="166" fontId="0" fillId="0" borderId="0" xfId="1" applyNumberFormat="1" applyFont="1"/>
    <xf numFmtId="167" fontId="0" fillId="0" borderId="0" xfId="0" applyNumberFormat="1"/>
    <xf numFmtId="167" fontId="0" fillId="0" borderId="0" xfId="0" applyNumberFormat="1" applyFill="1"/>
    <xf numFmtId="0" fontId="0" fillId="0" borderId="0" xfId="0" applyAlignment="1">
      <alignment horizontal="left" indent="2"/>
    </xf>
    <xf numFmtId="2" fontId="0" fillId="0" borderId="0" xfId="0" applyNumberFormat="1" applyFill="1"/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4" fontId="0" fillId="0" borderId="0" xfId="0" applyNumberFormat="1"/>
    <xf numFmtId="4" fontId="0" fillId="0" borderId="0" xfId="0" applyNumberFormat="1" applyFill="1"/>
    <xf numFmtId="4" fontId="0" fillId="2" borderId="0" xfId="0" applyNumberFormat="1" applyFill="1"/>
    <xf numFmtId="43" fontId="0" fillId="0" borderId="0" xfId="1" applyNumberFormat="1" applyFont="1" applyFill="1"/>
    <xf numFmtId="0" fontId="1" fillId="0" borderId="0" xfId="0" applyFont="1"/>
    <xf numFmtId="0" fontId="0" fillId="0" borderId="0" xfId="0" applyFill="1" applyAlignment="1">
      <alignment horizontal="left" indent="1"/>
    </xf>
    <xf numFmtId="3" fontId="1" fillId="0" borderId="0" xfId="0" applyNumberFormat="1" applyFont="1" applyFill="1"/>
    <xf numFmtId="0" fontId="1" fillId="0" borderId="0" xfId="0" applyFont="1" applyFill="1"/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IAFA: Indicadores de resultado 2014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Anual!$A$47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(Anual!$B$4,Anual!$C$4,Anual!$F$4)</c:f>
              <c:strCache>
                <c:ptCount val="3"/>
                <c:pt idx="0">
                  <c:v>Total IAFA</c:v>
                </c:pt>
                <c:pt idx="1">
                  <c:v>Atención adicciones a menores de edad</c:v>
                </c:pt>
                <c:pt idx="2">
                  <c:v>Prevención para el Consumo de Drogas</c:v>
                </c:pt>
              </c:strCache>
            </c:strRef>
          </c:cat>
          <c:val>
            <c:numRef>
              <c:f>(Anual!$B$47:$C$47,Anual!$F$47)</c:f>
              <c:numCache>
                <c:formatCode>#,##0.0____</c:formatCode>
                <c:ptCount val="3"/>
                <c:pt idx="0">
                  <c:v>83.576642335766422</c:v>
                </c:pt>
                <c:pt idx="1">
                  <c:v>159.72222222222223</c:v>
                </c:pt>
                <c:pt idx="2">
                  <c:v>76.266666666666666</c:v>
                </c:pt>
              </c:numCache>
            </c:numRef>
          </c:val>
        </c:ser>
        <c:ser>
          <c:idx val="1"/>
          <c:order val="1"/>
          <c:tx>
            <c:strRef>
              <c:f>Anual!$A$48</c:f>
              <c:strCache>
                <c:ptCount val="1"/>
                <c:pt idx="0">
                  <c:v>Índice efectividad en gasto (IEG)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(Anual!$B$4,Anual!$C$4,Anual!$F$4)</c:f>
              <c:strCache>
                <c:ptCount val="3"/>
                <c:pt idx="0">
                  <c:v>Total IAFA</c:v>
                </c:pt>
                <c:pt idx="1">
                  <c:v>Atención adicciones a menores de edad</c:v>
                </c:pt>
                <c:pt idx="2">
                  <c:v>Prevención para el Consumo de Drogas</c:v>
                </c:pt>
              </c:strCache>
            </c:strRef>
          </c:cat>
          <c:val>
            <c:numRef>
              <c:f>(Anual!$B$48:$C$48,Anual!$F$48)</c:f>
              <c:numCache>
                <c:formatCode>#,##0.0____</c:formatCode>
                <c:ptCount val="3"/>
                <c:pt idx="0">
                  <c:v>57.594227223304564</c:v>
                </c:pt>
                <c:pt idx="1">
                  <c:v>51.632282573063584</c:v>
                </c:pt>
                <c:pt idx="2">
                  <c:v>95.331548276480987</c:v>
                </c:pt>
              </c:numCache>
            </c:numRef>
          </c:val>
        </c:ser>
        <c:ser>
          <c:idx val="2"/>
          <c:order val="2"/>
          <c:tx>
            <c:strRef>
              <c:f>Anual!$A$49</c:f>
              <c:strCache>
                <c:ptCount val="1"/>
                <c:pt idx="0">
                  <c:v>Índice efectividad total (IET)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(Anual!$B$4,Anual!$C$4,Anual!$F$4)</c:f>
              <c:strCache>
                <c:ptCount val="3"/>
                <c:pt idx="0">
                  <c:v>Total IAFA</c:v>
                </c:pt>
                <c:pt idx="1">
                  <c:v>Atención adicciones a menores de edad</c:v>
                </c:pt>
                <c:pt idx="2">
                  <c:v>Prevención para el Consumo de Drogas</c:v>
                </c:pt>
              </c:strCache>
            </c:strRef>
          </c:cat>
          <c:val>
            <c:numRef>
              <c:f>(Anual!$B$49:$C$49,Anual!$F$49)</c:f>
              <c:numCache>
                <c:formatCode>#,##0.0____</c:formatCode>
                <c:ptCount val="3"/>
                <c:pt idx="0">
                  <c:v>70.58543477953549</c:v>
                </c:pt>
                <c:pt idx="1">
                  <c:v>105.6772523976429</c:v>
                </c:pt>
                <c:pt idx="2">
                  <c:v>85.799107471573819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18371640"/>
        <c:axId val="418372032"/>
      </c:barChart>
      <c:catAx>
        <c:axId val="418371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18372032"/>
        <c:crosses val="autoZero"/>
        <c:auto val="1"/>
        <c:lblAlgn val="ctr"/>
        <c:lblOffset val="100"/>
        <c:noMultiLvlLbl val="0"/>
      </c:catAx>
      <c:valAx>
        <c:axId val="418372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18371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IAFA: Indicadores de avance 2014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Anual!$A$52</c:f>
              <c:strCache>
                <c:ptCount val="1"/>
                <c:pt idx="0">
                  <c:v>Índice avance beneficiarios (IAB)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(Anual!$B$4,Anual!$C$4,Anual!$F$4)</c:f>
              <c:strCache>
                <c:ptCount val="3"/>
                <c:pt idx="0">
                  <c:v>Total IAFA</c:v>
                </c:pt>
                <c:pt idx="1">
                  <c:v>Atención adicciones a menores de edad</c:v>
                </c:pt>
                <c:pt idx="2">
                  <c:v>Prevención para el Consumo de Drogas</c:v>
                </c:pt>
              </c:strCache>
            </c:strRef>
          </c:cat>
          <c:val>
            <c:numRef>
              <c:f>(Anual!$B$52:$C$52,Anual!$F$52)</c:f>
              <c:numCache>
                <c:formatCode>#,##0.0____</c:formatCode>
                <c:ptCount val="3"/>
                <c:pt idx="0">
                  <c:v>83.576642335766422</c:v>
                </c:pt>
                <c:pt idx="1">
                  <c:v>159.72222222222223</c:v>
                </c:pt>
                <c:pt idx="2">
                  <c:v>76.266666666666666</c:v>
                </c:pt>
              </c:numCache>
            </c:numRef>
          </c:val>
        </c:ser>
        <c:ser>
          <c:idx val="1"/>
          <c:order val="1"/>
          <c:tx>
            <c:strRef>
              <c:f>Anual!$A$53</c:f>
              <c:strCache>
                <c:ptCount val="1"/>
                <c:pt idx="0">
                  <c:v>Índice avance gasto (IAG)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(Anual!$B$4,Anual!$C$4,Anual!$F$4)</c:f>
              <c:strCache>
                <c:ptCount val="3"/>
                <c:pt idx="0">
                  <c:v>Total IAFA</c:v>
                </c:pt>
                <c:pt idx="1">
                  <c:v>Atención adicciones a menores de edad</c:v>
                </c:pt>
                <c:pt idx="2">
                  <c:v>Prevención para el Consumo de Drogas</c:v>
                </c:pt>
              </c:strCache>
            </c:strRef>
          </c:cat>
          <c:val>
            <c:numRef>
              <c:f>(Anual!$B$53:$C$53,Anual!$F$53)</c:f>
              <c:numCache>
                <c:formatCode>#,##0.0____</c:formatCode>
                <c:ptCount val="3"/>
                <c:pt idx="0">
                  <c:v>57.594227208025792</c:v>
                </c:pt>
                <c:pt idx="1">
                  <c:v>51.632282559468322</c:v>
                </c:pt>
                <c:pt idx="2">
                  <c:v>95.331548249999997</c:v>
                </c:pt>
              </c:numCache>
            </c:numRef>
          </c:val>
        </c:ser>
        <c:ser>
          <c:idx val="2"/>
          <c:order val="2"/>
          <c:tx>
            <c:strRef>
              <c:f>Anual!$A$54</c:f>
              <c:strCache>
                <c:ptCount val="1"/>
                <c:pt idx="0">
                  <c:v>Índice avance total (IAT)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(Anual!$B$4,Anual!$C$4,Anual!$F$4)</c:f>
              <c:strCache>
                <c:ptCount val="3"/>
                <c:pt idx="0">
                  <c:v>Total IAFA</c:v>
                </c:pt>
                <c:pt idx="1">
                  <c:v>Atención adicciones a menores de edad</c:v>
                </c:pt>
                <c:pt idx="2">
                  <c:v>Prevención para el Consumo de Drogas</c:v>
                </c:pt>
              </c:strCache>
            </c:strRef>
          </c:cat>
          <c:val>
            <c:numRef>
              <c:f>(Anual!$B$54:$C$54,Anual!$F$54)</c:f>
              <c:numCache>
                <c:formatCode>#,##0.0____</c:formatCode>
                <c:ptCount val="3"/>
                <c:pt idx="0">
                  <c:v>70.585434771896104</c:v>
                </c:pt>
                <c:pt idx="1">
                  <c:v>105.67725239084527</c:v>
                </c:pt>
                <c:pt idx="2">
                  <c:v>85.799107458333339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18372816"/>
        <c:axId val="418373208"/>
      </c:barChart>
      <c:catAx>
        <c:axId val="418372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18373208"/>
        <c:crosses val="autoZero"/>
        <c:auto val="1"/>
        <c:lblAlgn val="ctr"/>
        <c:lblOffset val="100"/>
        <c:noMultiLvlLbl val="0"/>
      </c:catAx>
      <c:valAx>
        <c:axId val="418373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18372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IAFA: Índice transferencia efectiva del gasto 2014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Anual!$A$57</c:f>
              <c:strCache>
                <c:ptCount val="1"/>
                <c:pt idx="0">
                  <c:v>Índice transferencia efectiva del gasto (ITG)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(Anual!$B$4,Anual!$C$4,Anual!$F$4)</c:f>
              <c:strCache>
                <c:ptCount val="3"/>
                <c:pt idx="0">
                  <c:v>Total IAFA</c:v>
                </c:pt>
                <c:pt idx="1">
                  <c:v>Atención adicciones a menores de edad</c:v>
                </c:pt>
                <c:pt idx="2">
                  <c:v>Prevención para el Consumo de Drogas</c:v>
                </c:pt>
              </c:strCache>
            </c:strRef>
          </c:cat>
          <c:val>
            <c:numRef>
              <c:f>(Anual!$B$57:$C$57,Anual!$F$57)</c:f>
              <c:numCache>
                <c:formatCode>#,##0.0____</c:formatCode>
                <c:ptCount val="3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8"/>
        <c:axId val="418373992"/>
        <c:axId val="418374384"/>
      </c:barChart>
      <c:catAx>
        <c:axId val="418373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18374384"/>
        <c:crosses val="autoZero"/>
        <c:auto val="1"/>
        <c:lblAlgn val="ctr"/>
        <c:lblOffset val="100"/>
        <c:noMultiLvlLbl val="0"/>
      </c:catAx>
      <c:valAx>
        <c:axId val="418374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18373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IAFA: Indicadores de expansión 2014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Anual!$A$60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(Anual!$B$4,Anual!$C$4,Anual!$F$4)</c:f>
              <c:strCache>
                <c:ptCount val="3"/>
                <c:pt idx="0">
                  <c:v>Total IAFA</c:v>
                </c:pt>
                <c:pt idx="1">
                  <c:v>Atención adicciones a menores de edad</c:v>
                </c:pt>
                <c:pt idx="2">
                  <c:v>Prevención para el Consumo de Drogas</c:v>
                </c:pt>
              </c:strCache>
            </c:strRef>
          </c:cat>
          <c:val>
            <c:numRef>
              <c:f>(Anual!$B$60:$C$60,Anual!$F$60)</c:f>
              <c:numCache>
                <c:formatCode>#,##0.0____</c:formatCode>
                <c:ptCount val="3"/>
                <c:pt idx="0">
                  <c:v>-87.75109948888624</c:v>
                </c:pt>
                <c:pt idx="1">
                  <c:v>50</c:v>
                </c:pt>
                <c:pt idx="2">
                  <c:v>-89.660159074475771</c:v>
                </c:pt>
              </c:numCache>
            </c:numRef>
          </c:val>
        </c:ser>
        <c:ser>
          <c:idx val="1"/>
          <c:order val="1"/>
          <c:tx>
            <c:strRef>
              <c:f>Anual!$A$61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(Anual!$B$4,Anual!$C$4,Anual!$F$4)</c:f>
              <c:strCache>
                <c:ptCount val="3"/>
                <c:pt idx="0">
                  <c:v>Total IAFA</c:v>
                </c:pt>
                <c:pt idx="1">
                  <c:v>Atención adicciones a menores de edad</c:v>
                </c:pt>
                <c:pt idx="2">
                  <c:v>Prevención para el Consumo de Drogas</c:v>
                </c:pt>
              </c:strCache>
            </c:strRef>
          </c:cat>
          <c:val>
            <c:numRef>
              <c:f>(Anual!$B$61:$C$61,Anual!$F$61)</c:f>
              <c:numCache>
                <c:formatCode>#,##0.0____</c:formatCode>
                <c:ptCount val="3"/>
                <c:pt idx="0">
                  <c:v>-29.724334952992514</c:v>
                </c:pt>
                <c:pt idx="1">
                  <c:v>-35.161788637089508</c:v>
                </c:pt>
                <c:pt idx="2">
                  <c:v>-1.3679915689645883</c:v>
                </c:pt>
              </c:numCache>
            </c:numRef>
          </c:val>
        </c:ser>
        <c:ser>
          <c:idx val="2"/>
          <c:order val="2"/>
          <c:tx>
            <c:strRef>
              <c:f>Anual!$A$62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(Anual!$B$4,Anual!$C$4,Anual!$F$4)</c:f>
              <c:strCache>
                <c:ptCount val="3"/>
                <c:pt idx="0">
                  <c:v>Total IAFA</c:v>
                </c:pt>
                <c:pt idx="1">
                  <c:v>Atención adicciones a menores de edad</c:v>
                </c:pt>
                <c:pt idx="2">
                  <c:v>Prevención para el Consumo de Drogas</c:v>
                </c:pt>
              </c:strCache>
            </c:strRef>
          </c:cat>
          <c:val>
            <c:numRef>
              <c:f>(Anual!$B$62:$C$62,Anual!$F$62)</c:f>
              <c:numCache>
                <c:formatCode>#,##0.0____</c:formatCode>
                <c:ptCount val="3"/>
                <c:pt idx="0">
                  <c:v>473.73039305237643</c:v>
                </c:pt>
                <c:pt idx="1">
                  <c:v>-56.774525758059681</c:v>
                </c:pt>
                <c:pt idx="2">
                  <c:v>853.90257104980401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18905440"/>
        <c:axId val="418905832"/>
      </c:barChart>
      <c:catAx>
        <c:axId val="418905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18905832"/>
        <c:crosses val="autoZero"/>
        <c:auto val="1"/>
        <c:lblAlgn val="ctr"/>
        <c:lblOffset val="100"/>
        <c:noMultiLvlLbl val="0"/>
      </c:catAx>
      <c:valAx>
        <c:axId val="418905832"/>
        <c:scaling>
          <c:orientation val="minMax"/>
          <c:max val="6900"/>
          <c:min val="-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18905440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IAFA: Indicadores de gasto medio 2014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Anual!$A$65</c:f>
              <c:strCache>
                <c:ptCount val="1"/>
                <c:pt idx="0">
                  <c:v>Gasto programado anual por beneficiario (GPB)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(Anual!$B$4,Anual!$C$4,Anual!$F$4)</c:f>
              <c:strCache>
                <c:ptCount val="3"/>
                <c:pt idx="0">
                  <c:v>Total IAFA</c:v>
                </c:pt>
                <c:pt idx="1">
                  <c:v>Atención adicciones a menores de edad</c:v>
                </c:pt>
                <c:pt idx="2">
                  <c:v>Prevención para el Consumo de Drogas</c:v>
                </c:pt>
              </c:strCache>
            </c:strRef>
          </c:cat>
          <c:val>
            <c:numRef>
              <c:f>(Anual!$B$65:$C$65,Anual!$F$65)</c:f>
              <c:numCache>
                <c:formatCode>#,##0</c:formatCode>
                <c:ptCount val="3"/>
                <c:pt idx="0">
                  <c:v>35667.639893214378</c:v>
                </c:pt>
                <c:pt idx="1">
                  <c:v>351649.99990740739</c:v>
                </c:pt>
                <c:pt idx="2">
                  <c:v>5333.3333318518517</c:v>
                </c:pt>
              </c:numCache>
            </c:numRef>
          </c:val>
        </c:ser>
        <c:ser>
          <c:idx val="1"/>
          <c:order val="1"/>
          <c:tx>
            <c:strRef>
              <c:f>Anual!$A$66</c:f>
              <c:strCache>
                <c:ptCount val="1"/>
                <c:pt idx="0">
                  <c:v>Gasto efectivo anual por beneficiario (GEB)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(Anual!$B$4,Anual!$C$4,Anual!$F$4)</c:f>
              <c:strCache>
                <c:ptCount val="3"/>
                <c:pt idx="0">
                  <c:v>Total IAFA</c:v>
                </c:pt>
                <c:pt idx="1">
                  <c:v>Atención adicciones a menores de edad</c:v>
                </c:pt>
                <c:pt idx="2">
                  <c:v>Prevención para el Consumo de Drogas</c:v>
                </c:pt>
              </c:strCache>
            </c:strRef>
          </c:cat>
          <c:val>
            <c:numRef>
              <c:f>(Anual!$B$66:$C$66,Anual!$F$66)</c:f>
              <c:numCache>
                <c:formatCode>#,##0</c:formatCode>
                <c:ptCount val="3"/>
                <c:pt idx="0">
                  <c:v>24579.237680737504</c:v>
                </c:pt>
                <c:pt idx="1">
                  <c:v>113675.4291884058</c:v>
                </c:pt>
                <c:pt idx="2">
                  <c:v>6666.5418356643349</c:v>
                </c:pt>
              </c:numCache>
            </c:numRef>
          </c:val>
        </c:ser>
        <c:ser>
          <c:idx val="2"/>
          <c:order val="2"/>
          <c:tx>
            <c:strRef>
              <c:f>Anual!$A$67</c:f>
              <c:strCache>
                <c:ptCount val="1"/>
                <c:pt idx="0">
                  <c:v>Índice de eficiencia (IE)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(Anual!$B$4,Anual!$C$4,Anual!$F$4)</c:f>
              <c:strCache>
                <c:ptCount val="3"/>
                <c:pt idx="0">
                  <c:v>Total IAFA</c:v>
                </c:pt>
                <c:pt idx="1">
                  <c:v>Atención adicciones a menores de edad</c:v>
                </c:pt>
                <c:pt idx="2">
                  <c:v>Prevención para el Consumo de Drogas</c:v>
                </c:pt>
              </c:strCache>
            </c:strRef>
          </c:cat>
          <c:val>
            <c:numRef>
              <c:f>(Anual!$B$67:$C$67,Anual!$F$67)</c:f>
              <c:numCache>
                <c:formatCode>#,##0.0____</c:formatCode>
                <c:ptCount val="3"/>
                <c:pt idx="0">
                  <c:v>102.42855787978613</c:v>
                </c:pt>
                <c:pt idx="1">
                  <c:v>326.90798760262282</c:v>
                </c:pt>
                <c:pt idx="2">
                  <c:v>68.640571228888646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18907008"/>
        <c:axId val="418907400"/>
      </c:barChart>
      <c:catAx>
        <c:axId val="41890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18907400"/>
        <c:crosses val="autoZero"/>
        <c:auto val="1"/>
        <c:lblAlgn val="ctr"/>
        <c:lblOffset val="100"/>
        <c:noMultiLvlLbl val="0"/>
      </c:catAx>
      <c:valAx>
        <c:axId val="418907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18907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IAFA:  Indicadores de giro de recursos 2014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Anual!$A$72</c:f>
              <c:strCache>
                <c:ptCount val="1"/>
                <c:pt idx="0">
                  <c:v>Índice de giro efectivo (IGE)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(Anual!$B$4,Anual!$C$4,Anual!$F$4)</c:f>
              <c:strCache>
                <c:ptCount val="3"/>
                <c:pt idx="0">
                  <c:v>Total IAFA</c:v>
                </c:pt>
                <c:pt idx="1">
                  <c:v>Atención adicciones a menores de edad</c:v>
                </c:pt>
                <c:pt idx="2">
                  <c:v>Prevención para el Consumo de Drogas</c:v>
                </c:pt>
              </c:strCache>
            </c:strRef>
          </c:cat>
          <c:val>
            <c:numRef>
              <c:f>(Anual!$B$72:$C$72,Anual!$F$72)</c:f>
              <c:numCache>
                <c:formatCode>#,##0.0____</c:formatCode>
                <c:ptCount val="3"/>
                <c:pt idx="0">
                  <c:v>99.92287090344233</c:v>
                </c:pt>
                <c:pt idx="1">
                  <c:v>99.910685630153807</c:v>
                </c:pt>
                <c:pt idx="2">
                  <c:v>100.00000002777779</c:v>
                </c:pt>
              </c:numCache>
            </c:numRef>
          </c:val>
        </c:ser>
        <c:ser>
          <c:idx val="1"/>
          <c:order val="1"/>
          <c:tx>
            <c:strRef>
              <c:f>Anual!$A$73</c:f>
              <c:strCache>
                <c:ptCount val="1"/>
                <c:pt idx="0">
                  <c:v>Índice de uso de recursos (IUR)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(Anual!$B$4,Anual!$C$4,Anual!$F$4)</c:f>
              <c:strCache>
                <c:ptCount val="3"/>
                <c:pt idx="0">
                  <c:v>Total IAFA</c:v>
                </c:pt>
                <c:pt idx="1">
                  <c:v>Atención adicciones a menores de edad</c:v>
                </c:pt>
                <c:pt idx="2">
                  <c:v>Prevención para el Consumo de Drogas</c:v>
                </c:pt>
              </c:strCache>
            </c:strRef>
          </c:cat>
          <c:val>
            <c:numRef>
              <c:f>(Anual!$B$73:$C$73,Anual!$F$73)</c:f>
              <c:numCache>
                <c:formatCode>#,##0.0____</c:formatCode>
                <c:ptCount val="3"/>
                <c:pt idx="0">
                  <c:v>57.638683419093454</c:v>
                </c:pt>
                <c:pt idx="1">
                  <c:v>51.678438845064392</c:v>
                </c:pt>
                <c:pt idx="2">
                  <c:v>95.331548249999997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19699168"/>
        <c:axId val="419699560"/>
      </c:barChart>
      <c:catAx>
        <c:axId val="419699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19699560"/>
        <c:crosses val="autoZero"/>
        <c:auto val="1"/>
        <c:lblAlgn val="ctr"/>
        <c:lblOffset val="100"/>
        <c:noMultiLvlLbl val="0"/>
      </c:catAx>
      <c:valAx>
        <c:axId val="419699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19699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11907</xdr:colOff>
      <xdr:row>35</xdr:row>
      <xdr:rowOff>188120</xdr:rowOff>
    </xdr:from>
    <xdr:to>
      <xdr:col>15</xdr:col>
      <xdr:colOff>11907</xdr:colOff>
      <xdr:row>50</xdr:row>
      <xdr:rowOff>73820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35718</xdr:colOff>
      <xdr:row>51</xdr:row>
      <xdr:rowOff>33338</xdr:rowOff>
    </xdr:from>
    <xdr:to>
      <xdr:col>15</xdr:col>
      <xdr:colOff>35718</xdr:colOff>
      <xdr:row>65</xdr:row>
      <xdr:rowOff>109538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83344</xdr:colOff>
      <xdr:row>66</xdr:row>
      <xdr:rowOff>33337</xdr:rowOff>
    </xdr:from>
    <xdr:to>
      <xdr:col>15</xdr:col>
      <xdr:colOff>83344</xdr:colOff>
      <xdr:row>80</xdr:row>
      <xdr:rowOff>85725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23812</xdr:colOff>
      <xdr:row>81</xdr:row>
      <xdr:rowOff>176212</xdr:rowOff>
    </xdr:from>
    <xdr:to>
      <xdr:col>18</xdr:col>
      <xdr:colOff>23813</xdr:colOff>
      <xdr:row>101</xdr:row>
      <xdr:rowOff>11905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35718</xdr:colOff>
      <xdr:row>87</xdr:row>
      <xdr:rowOff>9526</xdr:rowOff>
    </xdr:from>
    <xdr:to>
      <xdr:col>8</xdr:col>
      <xdr:colOff>35719</xdr:colOff>
      <xdr:row>104</xdr:row>
      <xdr:rowOff>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102</xdr:row>
      <xdr:rowOff>45243</xdr:rowOff>
    </xdr:from>
    <xdr:to>
      <xdr:col>15</xdr:col>
      <xdr:colOff>0</xdr:colOff>
      <xdr:row>116</xdr:row>
      <xdr:rowOff>121443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0"/>
  <sheetViews>
    <sheetView zoomScale="80" zoomScaleNormal="80" workbookViewId="0">
      <selection activeCell="A13" sqref="A13:XFD13"/>
    </sheetView>
  </sheetViews>
  <sheetFormatPr baseColWidth="10" defaultColWidth="11.42578125" defaultRowHeight="15" x14ac:dyDescent="0.25"/>
  <cols>
    <col min="1" max="1" width="50.85546875" customWidth="1"/>
    <col min="2" max="7" width="13.7109375" customWidth="1"/>
    <col min="8" max="8" width="14.85546875" customWidth="1"/>
  </cols>
  <sheetData>
    <row r="2" spans="1:9" ht="15.75" x14ac:dyDescent="0.25">
      <c r="A2" s="40" t="s">
        <v>92</v>
      </c>
      <c r="B2" s="40"/>
      <c r="C2" s="40"/>
      <c r="D2" s="40"/>
      <c r="E2" s="40"/>
      <c r="F2" s="40"/>
      <c r="G2" s="40"/>
      <c r="H2" s="40"/>
    </row>
    <row r="4" spans="1:9" ht="20.100000000000001" customHeight="1" x14ac:dyDescent="0.25">
      <c r="A4" s="41" t="s">
        <v>0</v>
      </c>
      <c r="B4" s="44" t="s">
        <v>1</v>
      </c>
      <c r="C4" s="29" t="s">
        <v>2</v>
      </c>
      <c r="D4" s="30"/>
      <c r="E4" s="31"/>
      <c r="F4" s="47" t="s">
        <v>3</v>
      </c>
      <c r="G4" s="48"/>
      <c r="H4" s="49"/>
    </row>
    <row r="5" spans="1:9" ht="20.100000000000001" customHeight="1" x14ac:dyDescent="0.25">
      <c r="A5" s="42"/>
      <c r="B5" s="45"/>
      <c r="C5" s="50" t="s">
        <v>4</v>
      </c>
      <c r="D5" s="56" t="s">
        <v>5</v>
      </c>
      <c r="E5" s="52" t="s">
        <v>91</v>
      </c>
      <c r="F5" s="54" t="s">
        <v>82</v>
      </c>
      <c r="G5" s="56" t="s">
        <v>81</v>
      </c>
      <c r="H5" s="57" t="s">
        <v>6</v>
      </c>
    </row>
    <row r="6" spans="1:9" ht="39" customHeight="1" thickBot="1" x14ac:dyDescent="0.3">
      <c r="A6" s="43"/>
      <c r="B6" s="46"/>
      <c r="C6" s="51"/>
      <c r="D6" s="53"/>
      <c r="E6" s="53"/>
      <c r="F6" s="55"/>
      <c r="G6" s="53"/>
      <c r="H6" s="58"/>
    </row>
    <row r="7" spans="1:9" ht="15.75" thickTop="1" x14ac:dyDescent="0.25"/>
    <row r="8" spans="1:9" x14ac:dyDescent="0.25">
      <c r="A8" s="1" t="s">
        <v>7</v>
      </c>
    </row>
    <row r="10" spans="1:9" x14ac:dyDescent="0.25">
      <c r="A10" t="s">
        <v>48</v>
      </c>
    </row>
    <row r="11" spans="1:9" x14ac:dyDescent="0.25">
      <c r="A11" s="2" t="s">
        <v>54</v>
      </c>
      <c r="B11" s="4">
        <f>C11+F11</f>
        <v>28</v>
      </c>
      <c r="C11" s="4">
        <f>D11+E11</f>
        <v>28</v>
      </c>
      <c r="D11" s="4">
        <v>21</v>
      </c>
      <c r="E11" s="4">
        <v>7</v>
      </c>
      <c r="F11" s="5">
        <f t="shared" ref="F11:F15" si="0">SUM(G11:H11)</f>
        <v>0</v>
      </c>
      <c r="G11" s="5">
        <v>0</v>
      </c>
      <c r="H11" s="5">
        <v>0</v>
      </c>
    </row>
    <row r="12" spans="1:9" x14ac:dyDescent="0.25">
      <c r="A12" s="27" t="s">
        <v>49</v>
      </c>
      <c r="B12" s="4">
        <f>C12+F12</f>
        <v>62</v>
      </c>
      <c r="C12" s="4">
        <f>D12+E12</f>
        <v>62</v>
      </c>
      <c r="D12" s="4">
        <v>55</v>
      </c>
      <c r="E12" s="4">
        <v>7</v>
      </c>
      <c r="F12" s="5">
        <f t="shared" si="0"/>
        <v>0</v>
      </c>
      <c r="G12" s="5">
        <v>0</v>
      </c>
      <c r="H12" s="5">
        <v>0</v>
      </c>
    </row>
    <row r="13" spans="1:9" x14ac:dyDescent="0.25">
      <c r="A13" s="2" t="s">
        <v>93</v>
      </c>
      <c r="B13" s="4">
        <f t="shared" ref="B13:B16" si="1">C13+F13</f>
        <v>54</v>
      </c>
      <c r="C13" s="4">
        <f t="shared" ref="C13:C16" si="2">D13+E13</f>
        <v>54</v>
      </c>
      <c r="D13" s="4">
        <v>24</v>
      </c>
      <c r="E13" s="5">
        <v>30</v>
      </c>
      <c r="F13" s="5">
        <f t="shared" si="0"/>
        <v>0</v>
      </c>
      <c r="G13" s="5">
        <v>0</v>
      </c>
      <c r="H13" s="5">
        <v>0</v>
      </c>
      <c r="I13" s="36"/>
    </row>
    <row r="14" spans="1:9" x14ac:dyDescent="0.25">
      <c r="A14" s="2" t="s">
        <v>94</v>
      </c>
      <c r="B14" s="4">
        <f>C14+F14</f>
        <v>79</v>
      </c>
      <c r="C14" s="4">
        <f>D14+E14</f>
        <v>79</v>
      </c>
      <c r="D14" s="4">
        <v>22</v>
      </c>
      <c r="E14" s="4">
        <v>57</v>
      </c>
      <c r="F14" s="5">
        <f t="shared" si="0"/>
        <v>0</v>
      </c>
      <c r="G14" s="4">
        <v>0</v>
      </c>
      <c r="H14" s="4">
        <v>0</v>
      </c>
    </row>
    <row r="15" spans="1:9" x14ac:dyDescent="0.25">
      <c r="A15" s="27" t="s">
        <v>49</v>
      </c>
      <c r="B15" s="4">
        <f>C15+F15</f>
        <v>113</v>
      </c>
      <c r="C15" s="4">
        <f>D15+E15</f>
        <v>113</v>
      </c>
      <c r="D15" s="4">
        <v>56</v>
      </c>
      <c r="E15" s="4">
        <v>57</v>
      </c>
      <c r="F15" s="5">
        <f t="shared" si="0"/>
        <v>0</v>
      </c>
      <c r="G15" s="4">
        <v>0</v>
      </c>
      <c r="H15" s="4">
        <v>0</v>
      </c>
    </row>
    <row r="16" spans="1:9" x14ac:dyDescent="0.25">
      <c r="A16" s="2" t="s">
        <v>89</v>
      </c>
      <c r="B16" s="4">
        <f t="shared" si="1"/>
        <v>2466</v>
      </c>
      <c r="C16" s="4">
        <f t="shared" si="2"/>
        <v>216</v>
      </c>
      <c r="D16" s="4">
        <v>96</v>
      </c>
      <c r="E16" s="4">
        <v>120</v>
      </c>
      <c r="F16" s="23">
        <f>SUM(G16:H16)</f>
        <v>2250</v>
      </c>
      <c r="G16" s="5">
        <v>2250</v>
      </c>
      <c r="H16" s="23">
        <v>0</v>
      </c>
    </row>
    <row r="17" spans="1:10" x14ac:dyDescent="0.25">
      <c r="F17" s="5"/>
    </row>
    <row r="18" spans="1:10" x14ac:dyDescent="0.25">
      <c r="A18" s="6" t="s">
        <v>8</v>
      </c>
      <c r="F18" s="5"/>
    </row>
    <row r="19" spans="1:10" x14ac:dyDescent="0.25">
      <c r="A19" s="2" t="s">
        <v>54</v>
      </c>
      <c r="B19" s="3">
        <f>C19+F19</f>
        <v>4077592.5</v>
      </c>
      <c r="C19" s="3">
        <f>D19+E19</f>
        <v>4077592.5</v>
      </c>
      <c r="D19" s="3">
        <v>3965162.5</v>
      </c>
      <c r="E19" s="4">
        <v>112430</v>
      </c>
      <c r="F19" s="4">
        <f>SUM(G19:H19)</f>
        <v>0</v>
      </c>
      <c r="G19" s="4">
        <v>0</v>
      </c>
      <c r="H19" s="4">
        <v>0</v>
      </c>
    </row>
    <row r="20" spans="1:10" x14ac:dyDescent="0.25">
      <c r="A20" s="2" t="s">
        <v>93</v>
      </c>
      <c r="B20" s="33">
        <f>C20+F20</f>
        <v>18989100</v>
      </c>
      <c r="C20" s="33">
        <f>D20+E20</f>
        <v>18989100</v>
      </c>
      <c r="D20" s="33">
        <v>17739099.989999998</v>
      </c>
      <c r="E20" s="33">
        <v>1250000.01</v>
      </c>
      <c r="F20" s="4">
        <f>SUM(G20:H20)</f>
        <v>0</v>
      </c>
      <c r="G20" s="5"/>
      <c r="H20" s="4">
        <v>0</v>
      </c>
      <c r="I20" s="36"/>
    </row>
    <row r="21" spans="1:10" x14ac:dyDescent="0.25">
      <c r="A21" s="2" t="s">
        <v>94</v>
      </c>
      <c r="B21" s="33">
        <f>C21+F21</f>
        <v>3178908.6</v>
      </c>
      <c r="C21" s="33">
        <f>D21+E21</f>
        <v>3178908.6</v>
      </c>
      <c r="D21" s="33">
        <v>2541938.6</v>
      </c>
      <c r="E21" s="33">
        <v>636970</v>
      </c>
      <c r="F21" s="4">
        <f>SUM(G21:H21)</f>
        <v>0</v>
      </c>
      <c r="G21" s="4">
        <v>0</v>
      </c>
      <c r="H21" s="4">
        <v>0</v>
      </c>
      <c r="J21" s="4"/>
    </row>
    <row r="22" spans="1:10" x14ac:dyDescent="0.25">
      <c r="A22" s="2" t="s">
        <v>89</v>
      </c>
      <c r="B22" s="33">
        <f>C22+F22</f>
        <v>87956400</v>
      </c>
      <c r="C22" s="33">
        <f>D22+E22</f>
        <v>75956400</v>
      </c>
      <c r="D22" s="33">
        <v>70956400</v>
      </c>
      <c r="E22" s="33">
        <v>5000000</v>
      </c>
      <c r="F22" s="23">
        <f t="shared" ref="F22" si="3">SUM(G22:H22)</f>
        <v>12000000</v>
      </c>
      <c r="G22" s="33">
        <v>12000000</v>
      </c>
      <c r="H22" s="4">
        <v>0</v>
      </c>
      <c r="I22" s="36"/>
    </row>
    <row r="23" spans="1:10" x14ac:dyDescent="0.25">
      <c r="A23" s="2" t="s">
        <v>95</v>
      </c>
      <c r="B23" s="32">
        <f>+C23+F23</f>
        <v>3178908.6</v>
      </c>
      <c r="C23" s="32">
        <f>+D23+E23</f>
        <v>3178908.6</v>
      </c>
      <c r="D23" s="32">
        <f>D21</f>
        <v>2541938.6</v>
      </c>
      <c r="E23" s="32">
        <f>+E21</f>
        <v>636970</v>
      </c>
      <c r="F23" s="32">
        <f>G23+H23</f>
        <v>0</v>
      </c>
      <c r="G23" s="32">
        <f>G21</f>
        <v>0</v>
      </c>
      <c r="H23" s="32">
        <f>H21</f>
        <v>0</v>
      </c>
    </row>
    <row r="24" spans="1:10" x14ac:dyDescent="0.25">
      <c r="B24" s="3"/>
      <c r="C24" s="3"/>
      <c r="D24" s="3"/>
    </row>
    <row r="25" spans="1:10" x14ac:dyDescent="0.25">
      <c r="A25" s="7" t="s">
        <v>9</v>
      </c>
      <c r="B25" s="8"/>
      <c r="C25" s="8"/>
      <c r="D25" s="8"/>
      <c r="E25" s="8"/>
      <c r="F25" s="8"/>
      <c r="G25" s="8"/>
      <c r="H25" s="8"/>
    </row>
    <row r="26" spans="1:10" x14ac:dyDescent="0.25">
      <c r="A26" s="9" t="s">
        <v>93</v>
      </c>
      <c r="B26" s="34">
        <f>B20</f>
        <v>18989100</v>
      </c>
      <c r="C26" s="34">
        <f>C20</f>
        <v>18989100</v>
      </c>
      <c r="D26" s="8"/>
      <c r="E26" s="8"/>
      <c r="F26" s="8">
        <f>F20</f>
        <v>0</v>
      </c>
      <c r="G26" s="8"/>
      <c r="H26" s="8"/>
    </row>
    <row r="27" spans="1:10" x14ac:dyDescent="0.25">
      <c r="A27" s="9" t="s">
        <v>94</v>
      </c>
      <c r="B27" s="34">
        <v>0</v>
      </c>
      <c r="C27" s="8">
        <v>0</v>
      </c>
      <c r="D27" s="8"/>
      <c r="E27" s="8"/>
      <c r="F27" s="8">
        <v>0</v>
      </c>
      <c r="G27" s="8"/>
      <c r="H27" s="8"/>
    </row>
    <row r="29" spans="1:10" x14ac:dyDescent="0.25">
      <c r="A29" t="s">
        <v>10</v>
      </c>
    </row>
    <row r="30" spans="1:10" x14ac:dyDescent="0.25">
      <c r="A30" s="10" t="s">
        <v>55</v>
      </c>
      <c r="B30" s="21">
        <v>1.598743668</v>
      </c>
      <c r="C30" s="21">
        <v>1.598743668</v>
      </c>
      <c r="D30" s="21">
        <v>1.598743668</v>
      </c>
      <c r="E30" s="21">
        <v>1.598743668</v>
      </c>
      <c r="F30" s="21">
        <v>1.598743668</v>
      </c>
      <c r="G30" s="21">
        <v>1.598743668</v>
      </c>
      <c r="H30" s="21">
        <v>1.598743668</v>
      </c>
    </row>
    <row r="31" spans="1:10" x14ac:dyDescent="0.25">
      <c r="A31" s="10" t="s">
        <v>96</v>
      </c>
      <c r="B31" s="21">
        <v>1.65</v>
      </c>
      <c r="C31" s="21">
        <v>1.65</v>
      </c>
      <c r="D31" s="21">
        <v>1.65</v>
      </c>
      <c r="E31" s="21">
        <v>1.65</v>
      </c>
      <c r="F31" s="21">
        <v>1.65</v>
      </c>
      <c r="G31" s="21">
        <v>1.65</v>
      </c>
      <c r="H31" s="21">
        <v>1.65</v>
      </c>
    </row>
    <row r="32" spans="1:10" x14ac:dyDescent="0.25">
      <c r="A32" s="37" t="s">
        <v>11</v>
      </c>
      <c r="B32" s="4"/>
      <c r="C32" s="38"/>
      <c r="D32" s="38"/>
      <c r="E32" s="38"/>
      <c r="F32" s="38"/>
      <c r="G32" s="38"/>
      <c r="H32" s="38"/>
      <c r="I32" s="36"/>
    </row>
    <row r="34" spans="1:9" x14ac:dyDescent="0.25">
      <c r="A34" s="11" t="s">
        <v>12</v>
      </c>
      <c r="B34" s="12"/>
      <c r="C34" s="12"/>
      <c r="D34" s="12"/>
      <c r="E34" s="12"/>
      <c r="F34" s="12"/>
      <c r="G34" s="12"/>
      <c r="H34" s="12"/>
    </row>
    <row r="35" spans="1:9" x14ac:dyDescent="0.25">
      <c r="A35" s="12" t="s">
        <v>56</v>
      </c>
      <c r="B35" s="13">
        <f>B19/B30</f>
        <v>2550497.9826447074</v>
      </c>
      <c r="C35" s="13">
        <f t="shared" ref="C35:H35" si="4">C19/C30</f>
        <v>2550497.9826447074</v>
      </c>
      <c r="D35" s="13">
        <f>D19/D30</f>
        <v>2480174.0137368911</v>
      </c>
      <c r="E35" s="13">
        <f t="shared" si="4"/>
        <v>70323.96890781619</v>
      </c>
      <c r="F35" s="13">
        <f t="shared" si="4"/>
        <v>0</v>
      </c>
      <c r="G35" s="13">
        <f t="shared" si="4"/>
        <v>0</v>
      </c>
      <c r="H35" s="13">
        <f t="shared" si="4"/>
        <v>0</v>
      </c>
    </row>
    <row r="36" spans="1:9" x14ac:dyDescent="0.25">
      <c r="A36" s="12" t="s">
        <v>97</v>
      </c>
      <c r="B36" s="13">
        <f t="shared" ref="B36:F36" si="5">B21/B31</f>
        <v>1926611.2727272729</v>
      </c>
      <c r="C36" s="13">
        <f t="shared" si="5"/>
        <v>1926611.2727272729</v>
      </c>
      <c r="D36" s="13">
        <f t="shared" si="5"/>
        <v>1540568.8484848486</v>
      </c>
      <c r="E36" s="13">
        <f>E21/E31</f>
        <v>386042.42424242425</v>
      </c>
      <c r="F36" s="13">
        <f t="shared" si="5"/>
        <v>0</v>
      </c>
      <c r="G36" s="13">
        <f>G21/G31</f>
        <v>0</v>
      </c>
      <c r="H36" s="13">
        <f>H21/H31</f>
        <v>0</v>
      </c>
      <c r="I36" s="36"/>
    </row>
    <row r="37" spans="1:9" x14ac:dyDescent="0.25">
      <c r="A37" s="12" t="s">
        <v>57</v>
      </c>
      <c r="B37" s="13">
        <f t="shared" ref="B37:C37" si="6">B35/B11</f>
        <v>91089.213665882402</v>
      </c>
      <c r="C37" s="13">
        <f t="shared" si="6"/>
        <v>91089.213665882402</v>
      </c>
      <c r="D37" s="13">
        <f>D35/D11</f>
        <v>118103.52446366148</v>
      </c>
      <c r="E37" s="13">
        <f>E35/E11</f>
        <v>10046.281272545169</v>
      </c>
      <c r="F37" s="13" t="e">
        <f>F35/F11</f>
        <v>#DIV/0!</v>
      </c>
      <c r="G37" s="13" t="e">
        <f>G35/G11</f>
        <v>#DIV/0!</v>
      </c>
      <c r="H37" s="13" t="e">
        <f>H35/H11</f>
        <v>#DIV/0!</v>
      </c>
    </row>
    <row r="38" spans="1:9" x14ac:dyDescent="0.25">
      <c r="A38" s="12" t="s">
        <v>107</v>
      </c>
      <c r="B38" s="13">
        <f t="shared" ref="B38:C38" si="7">B36/B14</f>
        <v>24387.484464902191</v>
      </c>
      <c r="C38" s="13">
        <f t="shared" si="7"/>
        <v>24387.484464902191</v>
      </c>
      <c r="D38" s="13">
        <f>D36/D14</f>
        <v>70025.856749311308</v>
      </c>
      <c r="E38" s="13">
        <f>E36/E14</f>
        <v>6772.6741095162151</v>
      </c>
      <c r="F38" s="13" t="e">
        <f>F36/F14</f>
        <v>#DIV/0!</v>
      </c>
      <c r="G38" s="13" t="e">
        <f>G36/G14</f>
        <v>#DIV/0!</v>
      </c>
      <c r="H38" s="13" t="e">
        <f>H36/H14</f>
        <v>#DIV/0!</v>
      </c>
    </row>
    <row r="40" spans="1:9" x14ac:dyDescent="0.25">
      <c r="A40" s="1" t="s">
        <v>13</v>
      </c>
    </row>
    <row r="42" spans="1:9" x14ac:dyDescent="0.25">
      <c r="A42" t="s">
        <v>14</v>
      </c>
    </row>
    <row r="43" spans="1:9" x14ac:dyDescent="0.25">
      <c r="A43" t="s">
        <v>15</v>
      </c>
      <c r="B43" s="14" t="s">
        <v>51</v>
      </c>
      <c r="C43" s="14" t="s">
        <v>51</v>
      </c>
      <c r="D43" s="14" t="s">
        <v>51</v>
      </c>
      <c r="E43" s="14" t="s">
        <v>51</v>
      </c>
      <c r="F43" s="14" t="s">
        <v>51</v>
      </c>
      <c r="G43" s="14" t="s">
        <v>51</v>
      </c>
      <c r="H43" s="14" t="s">
        <v>51</v>
      </c>
    </row>
    <row r="44" spans="1:9" x14ac:dyDescent="0.25">
      <c r="A44" t="s">
        <v>16</v>
      </c>
      <c r="B44" s="14" t="s">
        <v>51</v>
      </c>
      <c r="C44" s="14" t="s">
        <v>51</v>
      </c>
      <c r="D44" s="14" t="s">
        <v>51</v>
      </c>
      <c r="E44" s="14" t="s">
        <v>51</v>
      </c>
      <c r="F44" s="14" t="s">
        <v>51</v>
      </c>
      <c r="G44" s="14" t="s">
        <v>51</v>
      </c>
      <c r="H44" s="14" t="s">
        <v>51</v>
      </c>
    </row>
    <row r="46" spans="1:9" x14ac:dyDescent="0.25">
      <c r="A46" t="s">
        <v>17</v>
      </c>
    </row>
    <row r="47" spans="1:9" x14ac:dyDescent="0.25">
      <c r="A47" t="s">
        <v>18</v>
      </c>
      <c r="B47" s="16">
        <f>B14/B13*100</f>
        <v>146.2962962962963</v>
      </c>
      <c r="C47" s="16">
        <f t="shared" ref="C47" si="8">C14/C13*100</f>
        <v>146.2962962962963</v>
      </c>
      <c r="D47" s="16">
        <f>D14/D13*100</f>
        <v>91.666666666666657</v>
      </c>
      <c r="E47" s="16">
        <f>E14/E13*100</f>
        <v>190</v>
      </c>
      <c r="F47" s="16" t="e">
        <f>F14/F13*100</f>
        <v>#DIV/0!</v>
      </c>
      <c r="G47" s="16" t="e">
        <f>G14/G13*100</f>
        <v>#DIV/0!</v>
      </c>
      <c r="H47" s="16" t="e">
        <f>H14/H13*100</f>
        <v>#DIV/0!</v>
      </c>
    </row>
    <row r="48" spans="1:9" x14ac:dyDescent="0.25">
      <c r="A48" t="s">
        <v>19</v>
      </c>
      <c r="B48" s="14">
        <f>B21/B20*100</f>
        <v>16.740701771016003</v>
      </c>
      <c r="C48" s="14">
        <f t="shared" ref="C48:F48" si="9">C21/C20*100</f>
        <v>16.740701771016003</v>
      </c>
      <c r="D48" s="14">
        <f>D21/D20*100</f>
        <v>14.32958042647574</v>
      </c>
      <c r="E48" s="14">
        <f>E21/E20*100</f>
        <v>50.9575995923392</v>
      </c>
      <c r="F48" s="14" t="e">
        <f t="shared" si="9"/>
        <v>#DIV/0!</v>
      </c>
      <c r="G48" s="14" t="e">
        <f>G21/G20*100</f>
        <v>#DIV/0!</v>
      </c>
      <c r="H48" s="14" t="e">
        <f>H21/H20*100</f>
        <v>#DIV/0!</v>
      </c>
    </row>
    <row r="49" spans="1:9" x14ac:dyDescent="0.25">
      <c r="A49" s="12" t="s">
        <v>20</v>
      </c>
      <c r="B49" s="15">
        <f t="shared" ref="B49:H49" si="10">AVERAGE(B47:B48)</f>
        <v>81.518499033656155</v>
      </c>
      <c r="C49" s="15">
        <f t="shared" si="10"/>
        <v>81.518499033656155</v>
      </c>
      <c r="D49" s="15">
        <f>AVERAGE(D47:D48)</f>
        <v>52.9981235465712</v>
      </c>
      <c r="E49" s="15">
        <f t="shared" si="10"/>
        <v>120.4787997961696</v>
      </c>
      <c r="F49" s="15" t="e">
        <f t="shared" si="10"/>
        <v>#DIV/0!</v>
      </c>
      <c r="G49" s="15" t="e">
        <f t="shared" si="10"/>
        <v>#DIV/0!</v>
      </c>
      <c r="H49" s="15" t="e">
        <f t="shared" si="10"/>
        <v>#DIV/0!</v>
      </c>
    </row>
    <row r="50" spans="1:9" x14ac:dyDescent="0.25">
      <c r="B50" s="14"/>
      <c r="C50" s="14"/>
      <c r="D50" s="14"/>
      <c r="E50" s="14"/>
      <c r="F50" s="14"/>
      <c r="G50" s="14"/>
      <c r="H50" s="14"/>
    </row>
    <row r="51" spans="1:9" x14ac:dyDescent="0.25">
      <c r="A51" t="s">
        <v>21</v>
      </c>
    </row>
    <row r="52" spans="1:9" x14ac:dyDescent="0.25">
      <c r="A52" t="s">
        <v>22</v>
      </c>
      <c r="B52" s="14">
        <f>(B14/B16)*100</f>
        <v>3.2035685320356855</v>
      </c>
      <c r="C52" s="14">
        <f t="shared" ref="C52" si="11">(C14/C16)*100</f>
        <v>36.574074074074076</v>
      </c>
      <c r="D52" s="14">
        <f>(D14/D16)*100</f>
        <v>22.916666666666664</v>
      </c>
      <c r="E52" s="14">
        <f>(E14/E16)*100</f>
        <v>47.5</v>
      </c>
      <c r="F52" s="14">
        <f>(F14/F16)*100</f>
        <v>0</v>
      </c>
      <c r="G52" s="14">
        <f>(G14/G16)*100</f>
        <v>0</v>
      </c>
      <c r="H52" s="14" t="e">
        <f>(H14/H16)*100</f>
        <v>#DIV/0!</v>
      </c>
    </row>
    <row r="53" spans="1:9" x14ac:dyDescent="0.25">
      <c r="A53" t="s">
        <v>23</v>
      </c>
      <c r="B53" s="16">
        <f>B21/B22*100</f>
        <v>3.614186801642632</v>
      </c>
      <c r="C53" s="16">
        <f t="shared" ref="C53:H53" si="12">C21/C22*100</f>
        <v>4.1851754427540007</v>
      </c>
      <c r="D53" s="16">
        <f t="shared" si="12"/>
        <v>3.5823951045994442</v>
      </c>
      <c r="E53" s="16">
        <f t="shared" si="12"/>
        <v>12.7394</v>
      </c>
      <c r="F53" s="16">
        <f t="shared" si="12"/>
        <v>0</v>
      </c>
      <c r="G53" s="16">
        <f t="shared" si="12"/>
        <v>0</v>
      </c>
      <c r="H53" s="16" t="e">
        <f t="shared" si="12"/>
        <v>#DIV/0!</v>
      </c>
      <c r="I53" s="36"/>
    </row>
    <row r="54" spans="1:9" x14ac:dyDescent="0.25">
      <c r="A54" t="s">
        <v>24</v>
      </c>
      <c r="B54" s="14">
        <f t="shared" ref="B54:H54" si="13">(B52+B53)/2</f>
        <v>3.4088776668391585</v>
      </c>
      <c r="C54" s="14">
        <f t="shared" si="13"/>
        <v>20.379624758414039</v>
      </c>
      <c r="D54" s="14">
        <f t="shared" si="13"/>
        <v>13.249530885633055</v>
      </c>
      <c r="E54" s="14">
        <f t="shared" si="13"/>
        <v>30.119700000000002</v>
      </c>
      <c r="F54" s="14">
        <f t="shared" si="13"/>
        <v>0</v>
      </c>
      <c r="G54" s="14">
        <f t="shared" si="13"/>
        <v>0</v>
      </c>
      <c r="H54" s="14" t="e">
        <f t="shared" si="13"/>
        <v>#DIV/0!</v>
      </c>
    </row>
    <row r="56" spans="1:9" x14ac:dyDescent="0.25">
      <c r="A56" s="12" t="s">
        <v>35</v>
      </c>
      <c r="B56" s="15"/>
      <c r="C56" s="15"/>
      <c r="D56" s="15"/>
      <c r="E56" s="15"/>
      <c r="F56" s="15"/>
      <c r="G56" s="15"/>
      <c r="H56" s="15"/>
    </row>
    <row r="57" spans="1:9" x14ac:dyDescent="0.25">
      <c r="A57" t="s">
        <v>25</v>
      </c>
      <c r="B57" s="14">
        <f t="shared" ref="B57:F57" si="14">B23/B21*100</f>
        <v>100</v>
      </c>
      <c r="C57" s="14">
        <f t="shared" si="14"/>
        <v>100</v>
      </c>
      <c r="D57" s="14"/>
      <c r="E57" s="14"/>
      <c r="F57" s="14" t="e">
        <f t="shared" si="14"/>
        <v>#DIV/0!</v>
      </c>
      <c r="G57" s="14"/>
      <c r="H57" s="14"/>
    </row>
    <row r="59" spans="1:9" x14ac:dyDescent="0.25">
      <c r="A59" t="s">
        <v>26</v>
      </c>
    </row>
    <row r="60" spans="1:9" x14ac:dyDescent="0.25">
      <c r="A60" t="s">
        <v>27</v>
      </c>
      <c r="B60" s="14">
        <f t="shared" ref="B60:C60" si="15">((B14/B11)-1)*100</f>
        <v>182.14285714285717</v>
      </c>
      <c r="C60" s="14">
        <f t="shared" si="15"/>
        <v>182.14285714285717</v>
      </c>
      <c r="D60" s="14">
        <f>((D14/D11)-1)*100</f>
        <v>4.7619047619047672</v>
      </c>
      <c r="E60" s="14">
        <f>((E14/E11)-1)*100</f>
        <v>714.28571428571422</v>
      </c>
      <c r="F60" s="14" t="e">
        <f>((F14/F11)-1)*100</f>
        <v>#DIV/0!</v>
      </c>
      <c r="G60" s="14" t="e">
        <f>((G14/G11)-1)*100</f>
        <v>#DIV/0!</v>
      </c>
      <c r="H60" s="14" t="e">
        <f>((H14/H11)-1)*100</f>
        <v>#DIV/0!</v>
      </c>
    </row>
    <row r="61" spans="1:9" x14ac:dyDescent="0.25">
      <c r="A61" t="s">
        <v>28</v>
      </c>
      <c r="B61" s="14">
        <f>((B36/B35)-1)*100</f>
        <v>-24.461368492066114</v>
      </c>
      <c r="C61" s="14">
        <f>((C36/C35)-1)*100</f>
        <v>-24.461368492066114</v>
      </c>
      <c r="D61" s="14">
        <f>((D36/D35)-1)*100</f>
        <v>-37.884646804936665</v>
      </c>
      <c r="E61" s="14">
        <f t="shared" ref="E61:H61" si="16">((E36/E35)-1)*100</f>
        <v>448.94857363421278</v>
      </c>
      <c r="F61" s="14" t="e">
        <f t="shared" si="16"/>
        <v>#DIV/0!</v>
      </c>
      <c r="G61" s="14" t="e">
        <f t="shared" si="16"/>
        <v>#DIV/0!</v>
      </c>
      <c r="H61" s="14" t="e">
        <f t="shared" si="16"/>
        <v>#DIV/0!</v>
      </c>
    </row>
    <row r="62" spans="1:9" x14ac:dyDescent="0.25">
      <c r="A62" s="12" t="s">
        <v>29</v>
      </c>
      <c r="B62" s="15">
        <f t="shared" ref="B62:H62" si="17">((B38/B37)-1)*100</f>
        <v>-73.226814149086721</v>
      </c>
      <c r="C62" s="15">
        <f t="shared" si="17"/>
        <v>-73.226814149086721</v>
      </c>
      <c r="D62" s="15">
        <f t="shared" si="17"/>
        <v>-40.708071950166811</v>
      </c>
      <c r="E62" s="15">
        <f t="shared" si="17"/>
        <v>-32.585262887026502</v>
      </c>
      <c r="F62" s="15" t="e">
        <f t="shared" si="17"/>
        <v>#DIV/0!</v>
      </c>
      <c r="G62" s="15" t="e">
        <f t="shared" si="17"/>
        <v>#DIV/0!</v>
      </c>
      <c r="H62" s="15" t="e">
        <f t="shared" si="17"/>
        <v>#DIV/0!</v>
      </c>
    </row>
    <row r="63" spans="1:9" x14ac:dyDescent="0.25">
      <c r="B63" s="16"/>
      <c r="C63" s="16"/>
      <c r="D63" s="16"/>
      <c r="E63" s="16"/>
      <c r="F63" s="16"/>
      <c r="G63" s="16"/>
      <c r="H63" s="16"/>
    </row>
    <row r="64" spans="1:9" x14ac:dyDescent="0.25">
      <c r="A64" t="s">
        <v>30</v>
      </c>
    </row>
    <row r="65" spans="1:9" x14ac:dyDescent="0.25">
      <c r="A65" t="s">
        <v>38</v>
      </c>
      <c r="B65" s="4">
        <f t="shared" ref="B65:H65" si="18">B20/B13</f>
        <v>351650</v>
      </c>
      <c r="C65" s="4">
        <f t="shared" si="18"/>
        <v>351650</v>
      </c>
      <c r="D65" s="4">
        <f t="shared" si="18"/>
        <v>739129.16624999989</v>
      </c>
      <c r="E65" s="4">
        <f t="shared" si="18"/>
        <v>41666.667000000001</v>
      </c>
      <c r="F65" s="4" t="e">
        <f t="shared" si="18"/>
        <v>#DIV/0!</v>
      </c>
      <c r="G65" s="4" t="e">
        <f t="shared" si="18"/>
        <v>#DIV/0!</v>
      </c>
      <c r="H65" s="4" t="e">
        <f t="shared" si="18"/>
        <v>#DIV/0!</v>
      </c>
      <c r="I65" s="36"/>
    </row>
    <row r="66" spans="1:9" x14ac:dyDescent="0.25">
      <c r="A66" t="s">
        <v>39</v>
      </c>
      <c r="B66" s="4">
        <f t="shared" ref="B66:H66" si="19">B21/B14</f>
        <v>40239.349367088609</v>
      </c>
      <c r="C66" s="4">
        <f t="shared" si="19"/>
        <v>40239.349367088609</v>
      </c>
      <c r="D66" s="4">
        <f t="shared" si="19"/>
        <v>115542.66363636364</v>
      </c>
      <c r="E66" s="4">
        <f t="shared" si="19"/>
        <v>11174.912280701754</v>
      </c>
      <c r="F66" s="4" t="e">
        <f t="shared" si="19"/>
        <v>#DIV/0!</v>
      </c>
      <c r="G66" s="4" t="e">
        <f t="shared" si="19"/>
        <v>#DIV/0!</v>
      </c>
      <c r="H66" s="4" t="e">
        <f t="shared" si="19"/>
        <v>#DIV/0!</v>
      </c>
      <c r="I66" s="36"/>
    </row>
    <row r="67" spans="1:9" x14ac:dyDescent="0.25">
      <c r="A67" s="12" t="s">
        <v>31</v>
      </c>
      <c r="B67" s="15">
        <f>(B65/B66)*B49</f>
        <v>712.38677155726634</v>
      </c>
      <c r="C67" s="15">
        <f t="shared" ref="C67:G67" si="20">(C65/C66)*C49</f>
        <v>712.38677155726634</v>
      </c>
      <c r="D67" s="15">
        <f t="shared" si="20"/>
        <v>339.03025633090289</v>
      </c>
      <c r="E67" s="15">
        <f t="shared" si="20"/>
        <v>449.21605696500626</v>
      </c>
      <c r="F67" s="15" t="e">
        <f t="shared" si="20"/>
        <v>#DIV/0!</v>
      </c>
      <c r="G67" s="15" t="e">
        <f t="shared" si="20"/>
        <v>#DIV/0!</v>
      </c>
      <c r="H67" s="15" t="e">
        <f>(H65/H66)*H49</f>
        <v>#DIV/0!</v>
      </c>
    </row>
    <row r="68" spans="1:9" x14ac:dyDescent="0.25">
      <c r="A68" t="s">
        <v>40</v>
      </c>
      <c r="B68" s="24">
        <f t="shared" ref="B68:H68" si="21">B20/(B13*3)</f>
        <v>117216.66666666667</v>
      </c>
      <c r="C68" s="24">
        <f t="shared" si="21"/>
        <v>117216.66666666667</v>
      </c>
      <c r="D68" s="24">
        <f t="shared" si="21"/>
        <v>246376.38874999998</v>
      </c>
      <c r="E68" s="24">
        <f t="shared" si="21"/>
        <v>13888.888999999999</v>
      </c>
      <c r="F68" s="24" t="e">
        <f t="shared" si="21"/>
        <v>#DIV/0!</v>
      </c>
      <c r="G68" s="24" t="e">
        <f t="shared" si="21"/>
        <v>#DIV/0!</v>
      </c>
      <c r="H68" s="24" t="e">
        <f t="shared" si="21"/>
        <v>#DIV/0!</v>
      </c>
    </row>
    <row r="69" spans="1:9" x14ac:dyDescent="0.25">
      <c r="A69" t="s">
        <v>41</v>
      </c>
      <c r="B69" s="23">
        <f>B21/(B14*3)</f>
        <v>13413.116455696203</v>
      </c>
      <c r="C69" s="23">
        <f t="shared" ref="C69:H69" si="22">C21/(C14*3)</f>
        <v>13413.116455696203</v>
      </c>
      <c r="D69" s="23">
        <f t="shared" si="22"/>
        <v>38514.221212121214</v>
      </c>
      <c r="E69" s="23">
        <f t="shared" si="22"/>
        <v>3724.9707602339181</v>
      </c>
      <c r="F69" s="23" t="e">
        <f t="shared" si="22"/>
        <v>#DIV/0!</v>
      </c>
      <c r="G69" s="23" t="e">
        <f t="shared" si="22"/>
        <v>#DIV/0!</v>
      </c>
      <c r="H69" s="23" t="e">
        <f t="shared" si="22"/>
        <v>#DIV/0!</v>
      </c>
      <c r="I69" s="36"/>
    </row>
    <row r="70" spans="1:9" x14ac:dyDescent="0.25">
      <c r="B70" s="14"/>
      <c r="C70" s="14"/>
      <c r="D70" s="14"/>
    </row>
    <row r="71" spans="1:9" x14ac:dyDescent="0.25">
      <c r="A71" t="s">
        <v>32</v>
      </c>
      <c r="B71" s="14"/>
      <c r="C71" s="14"/>
      <c r="D71" s="14"/>
    </row>
    <row r="72" spans="1:9" x14ac:dyDescent="0.25">
      <c r="A72" s="17" t="s">
        <v>33</v>
      </c>
      <c r="B72" s="18">
        <f>(B27/B26)*100</f>
        <v>0</v>
      </c>
      <c r="C72" s="18">
        <f>(C27/C26)*100</f>
        <v>0</v>
      </c>
      <c r="D72" s="18"/>
      <c r="E72" s="18"/>
      <c r="F72" s="18" t="e">
        <f>(F27/F26)*100</f>
        <v>#DIV/0!</v>
      </c>
      <c r="G72" s="18"/>
      <c r="H72" s="18"/>
    </row>
    <row r="73" spans="1:9" x14ac:dyDescent="0.25">
      <c r="A73" s="17" t="s">
        <v>34</v>
      </c>
      <c r="B73" s="18" t="e">
        <f>(B21/B27)*100</f>
        <v>#DIV/0!</v>
      </c>
      <c r="C73" s="18" t="e">
        <f>(C21/C27)*100</f>
        <v>#DIV/0!</v>
      </c>
      <c r="D73" s="18"/>
      <c r="E73" s="18"/>
      <c r="F73" s="18" t="e">
        <f>(F21/F27)*100</f>
        <v>#DIV/0!</v>
      </c>
      <c r="G73" s="18"/>
      <c r="H73" s="18"/>
    </row>
    <row r="74" spans="1:9" ht="15.75" thickBot="1" x14ac:dyDescent="0.3">
      <c r="A74" s="19"/>
      <c r="B74" s="19"/>
      <c r="C74" s="19"/>
      <c r="D74" s="19"/>
      <c r="E74" s="19"/>
      <c r="F74" s="19"/>
      <c r="G74" s="19"/>
      <c r="H74" s="19"/>
    </row>
    <row r="75" spans="1:9" ht="15.75" thickTop="1" x14ac:dyDescent="0.25">
      <c r="A75" s="22" t="s">
        <v>36</v>
      </c>
    </row>
    <row r="76" spans="1:9" x14ac:dyDescent="0.25">
      <c r="A76" s="22" t="s">
        <v>111</v>
      </c>
    </row>
    <row r="77" spans="1:9" x14ac:dyDescent="0.25">
      <c r="A77" s="22" t="s">
        <v>101</v>
      </c>
    </row>
    <row r="78" spans="1:9" x14ac:dyDescent="0.25">
      <c r="A78" s="22" t="s">
        <v>84</v>
      </c>
      <c r="B78" s="20"/>
      <c r="C78" s="20"/>
      <c r="D78" s="20"/>
    </row>
    <row r="79" spans="1:9" x14ac:dyDescent="0.25">
      <c r="A79" s="22"/>
    </row>
    <row r="80" spans="1:9" x14ac:dyDescent="0.25">
      <c r="A80" s="22"/>
    </row>
    <row r="82" spans="1:1" x14ac:dyDescent="0.25">
      <c r="A82" t="s">
        <v>37</v>
      </c>
    </row>
    <row r="84" spans="1:1" x14ac:dyDescent="0.25">
      <c r="A84" t="s">
        <v>52</v>
      </c>
    </row>
    <row r="85" spans="1:1" x14ac:dyDescent="0.25">
      <c r="A85" t="s">
        <v>53</v>
      </c>
    </row>
    <row r="87" spans="1:1" x14ac:dyDescent="0.25">
      <c r="A87" t="s">
        <v>83</v>
      </c>
    </row>
    <row r="90" spans="1:1" x14ac:dyDescent="0.25">
      <c r="A90" t="s">
        <v>142</v>
      </c>
    </row>
  </sheetData>
  <mergeCells count="10">
    <mergeCell ref="A2:H2"/>
    <mergeCell ref="A4:A6"/>
    <mergeCell ref="B4:B6"/>
    <mergeCell ref="F4:H4"/>
    <mergeCell ref="C5:C6"/>
    <mergeCell ref="E5:E6"/>
    <mergeCell ref="F5:F6"/>
    <mergeCell ref="G5:G6"/>
    <mergeCell ref="H5:H6"/>
    <mergeCell ref="D5:D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88"/>
  <sheetViews>
    <sheetView zoomScale="80" zoomScaleNormal="80" workbookViewId="0">
      <selection activeCell="A11" sqref="A11:XFD12"/>
    </sheetView>
  </sheetViews>
  <sheetFormatPr baseColWidth="10" defaultColWidth="11.42578125" defaultRowHeight="15" x14ac:dyDescent="0.25"/>
  <cols>
    <col min="1" max="1" width="50.85546875" customWidth="1"/>
    <col min="2" max="2" width="15.28515625" customWidth="1"/>
    <col min="3" max="7" width="13.7109375" customWidth="1"/>
    <col min="8" max="8" width="15.140625" customWidth="1"/>
  </cols>
  <sheetData>
    <row r="2" spans="1:10" ht="15.75" x14ac:dyDescent="0.25">
      <c r="A2" s="40" t="s">
        <v>90</v>
      </c>
      <c r="B2" s="40"/>
      <c r="C2" s="40"/>
      <c r="D2" s="40"/>
      <c r="E2" s="40"/>
      <c r="F2" s="40"/>
      <c r="G2" s="40"/>
      <c r="H2" s="40"/>
    </row>
    <row r="4" spans="1:10" ht="20.100000000000001" customHeight="1" x14ac:dyDescent="0.25">
      <c r="A4" s="41" t="s">
        <v>0</v>
      </c>
      <c r="B4" s="44" t="s">
        <v>1</v>
      </c>
      <c r="C4" s="47" t="s">
        <v>2</v>
      </c>
      <c r="D4" s="48"/>
      <c r="E4" s="49"/>
      <c r="F4" s="47" t="s">
        <v>3</v>
      </c>
      <c r="G4" s="48"/>
      <c r="H4" s="49"/>
    </row>
    <row r="5" spans="1:10" ht="20.100000000000001" customHeight="1" x14ac:dyDescent="0.25">
      <c r="A5" s="42"/>
      <c r="B5" s="45"/>
      <c r="C5" s="50" t="s">
        <v>4</v>
      </c>
      <c r="D5" s="56" t="s">
        <v>5</v>
      </c>
      <c r="E5" s="52" t="s">
        <v>91</v>
      </c>
      <c r="F5" s="54" t="s">
        <v>4</v>
      </c>
      <c r="G5" s="56" t="s">
        <v>81</v>
      </c>
      <c r="H5" s="57" t="s">
        <v>6</v>
      </c>
    </row>
    <row r="6" spans="1:10" ht="15.75" thickBot="1" x14ac:dyDescent="0.3">
      <c r="A6" s="43"/>
      <c r="B6" s="46"/>
      <c r="C6" s="51"/>
      <c r="D6" s="53"/>
      <c r="E6" s="53"/>
      <c r="F6" s="55"/>
      <c r="G6" s="53"/>
      <c r="H6" s="58"/>
    </row>
    <row r="7" spans="1:10" ht="15.75" thickTop="1" x14ac:dyDescent="0.25"/>
    <row r="8" spans="1:10" x14ac:dyDescent="0.25">
      <c r="A8" s="1" t="s">
        <v>7</v>
      </c>
    </row>
    <row r="10" spans="1:10" x14ac:dyDescent="0.25">
      <c r="A10" t="s">
        <v>48</v>
      </c>
    </row>
    <row r="11" spans="1:10" x14ac:dyDescent="0.25">
      <c r="A11" s="2" t="s">
        <v>58</v>
      </c>
      <c r="B11" s="4">
        <f>C11+F11</f>
        <v>804</v>
      </c>
      <c r="C11" s="4">
        <f>D11+E11</f>
        <v>38</v>
      </c>
      <c r="D11" s="5">
        <v>21</v>
      </c>
      <c r="E11" s="5">
        <v>17</v>
      </c>
      <c r="F11" s="23">
        <f>G11+H11</f>
        <v>766</v>
      </c>
      <c r="G11" s="4">
        <v>95</v>
      </c>
      <c r="H11" s="5">
        <v>671</v>
      </c>
      <c r="I11" s="36"/>
      <c r="J11" s="36"/>
    </row>
    <row r="12" spans="1:10" x14ac:dyDescent="0.25">
      <c r="A12" s="27" t="s">
        <v>49</v>
      </c>
      <c r="B12" s="4">
        <f>C12+F12</f>
        <v>816</v>
      </c>
      <c r="C12" s="4">
        <f>D12+E12</f>
        <v>50</v>
      </c>
      <c r="D12" s="5">
        <v>33</v>
      </c>
      <c r="E12" s="5">
        <v>17</v>
      </c>
      <c r="F12" s="23">
        <f>G12+H12</f>
        <v>766</v>
      </c>
      <c r="G12" s="4">
        <v>95</v>
      </c>
      <c r="H12" s="5">
        <v>671</v>
      </c>
      <c r="I12" s="36"/>
    </row>
    <row r="13" spans="1:10" x14ac:dyDescent="0.25">
      <c r="A13" s="2" t="s">
        <v>87</v>
      </c>
      <c r="B13" s="4">
        <f t="shared" ref="B13:B15" si="0">C13+F13</f>
        <v>184</v>
      </c>
      <c r="C13" s="4">
        <f t="shared" ref="C13:C15" si="1">D13+E13</f>
        <v>54</v>
      </c>
      <c r="D13">
        <v>24</v>
      </c>
      <c r="E13" s="5">
        <v>30</v>
      </c>
      <c r="F13" s="23">
        <f>G13+H13</f>
        <v>130</v>
      </c>
      <c r="G13" s="5">
        <v>130</v>
      </c>
      <c r="H13" s="5">
        <v>0</v>
      </c>
      <c r="I13" s="36"/>
    </row>
    <row r="14" spans="1:10" ht="16.5" customHeight="1" x14ac:dyDescent="0.25">
      <c r="A14" s="2" t="s">
        <v>88</v>
      </c>
      <c r="B14" s="4">
        <f>C14+F14</f>
        <v>176</v>
      </c>
      <c r="C14" s="4">
        <f t="shared" si="1"/>
        <v>62</v>
      </c>
      <c r="D14">
        <v>26</v>
      </c>
      <c r="E14">
        <v>36</v>
      </c>
      <c r="F14" s="23">
        <f>G14+H14</f>
        <v>114</v>
      </c>
      <c r="G14" s="4">
        <v>114</v>
      </c>
      <c r="H14" s="5">
        <v>0</v>
      </c>
      <c r="I14" s="36"/>
      <c r="J14" s="36"/>
    </row>
    <row r="15" spans="1:10" x14ac:dyDescent="0.25">
      <c r="A15" s="27" t="s">
        <v>49</v>
      </c>
      <c r="B15" s="4">
        <f t="shared" si="0"/>
        <v>64</v>
      </c>
      <c r="C15" s="4">
        <f t="shared" si="1"/>
        <v>64</v>
      </c>
      <c r="D15">
        <v>28</v>
      </c>
      <c r="E15">
        <v>36</v>
      </c>
      <c r="F15" s="23">
        <f t="shared" ref="F15" si="2">SUM(G15:H15)</f>
        <v>0</v>
      </c>
      <c r="G15" s="4">
        <v>0</v>
      </c>
      <c r="H15" s="5">
        <v>0</v>
      </c>
    </row>
    <row r="16" spans="1:10" x14ac:dyDescent="0.25">
      <c r="A16" s="2" t="s">
        <v>89</v>
      </c>
      <c r="B16" s="4">
        <f>C16+F16</f>
        <v>2466</v>
      </c>
      <c r="C16" s="4">
        <f>D16+E16</f>
        <v>216</v>
      </c>
      <c r="D16" s="5">
        <v>96</v>
      </c>
      <c r="E16" s="5">
        <v>120</v>
      </c>
      <c r="F16" s="23">
        <f>G16+H16</f>
        <v>2250</v>
      </c>
      <c r="G16" s="5">
        <v>2250</v>
      </c>
      <c r="H16" s="5">
        <v>0</v>
      </c>
      <c r="I16" s="36"/>
    </row>
    <row r="17" spans="1:14" x14ac:dyDescent="0.25">
      <c r="F17" s="5"/>
    </row>
    <row r="18" spans="1:14" x14ac:dyDescent="0.25">
      <c r="A18" s="6" t="s">
        <v>8</v>
      </c>
      <c r="F18" s="5"/>
    </row>
    <row r="19" spans="1:14" x14ac:dyDescent="0.25">
      <c r="A19" s="2" t="s">
        <v>58</v>
      </c>
      <c r="B19" s="3">
        <f>C19+F19</f>
        <v>11207130.469999999</v>
      </c>
      <c r="C19" s="3">
        <f>D19+E19</f>
        <v>11207130.469999999</v>
      </c>
      <c r="D19" s="3">
        <v>10400015.469999999</v>
      </c>
      <c r="E19" s="4">
        <v>807115</v>
      </c>
      <c r="F19" s="4">
        <f>SUM(G19:H19)</f>
        <v>0</v>
      </c>
      <c r="G19" s="4">
        <v>0</v>
      </c>
      <c r="H19" s="4">
        <v>0</v>
      </c>
    </row>
    <row r="20" spans="1:14" x14ac:dyDescent="0.25">
      <c r="A20" s="2" t="s">
        <v>87</v>
      </c>
      <c r="B20" s="3">
        <f>C20+F20</f>
        <v>19682433.329999998</v>
      </c>
      <c r="C20" s="3">
        <f>D20+E20</f>
        <v>18989100</v>
      </c>
      <c r="D20" s="3">
        <v>17739099.989999998</v>
      </c>
      <c r="E20" s="3">
        <v>1250000.01</v>
      </c>
      <c r="F20" s="35">
        <f>SUM(G20:H20)</f>
        <v>693333.33</v>
      </c>
      <c r="G20" s="32">
        <v>693333.33</v>
      </c>
      <c r="H20" s="3">
        <v>0</v>
      </c>
    </row>
    <row r="21" spans="1:14" x14ac:dyDescent="0.25">
      <c r="A21" s="2" t="s">
        <v>88</v>
      </c>
      <c r="B21" s="3">
        <f>C21+F21</f>
        <v>8630401.8499999996</v>
      </c>
      <c r="C21" s="3">
        <f>D21+E21</f>
        <v>8136401.8499999996</v>
      </c>
      <c r="D21" s="3">
        <v>7091751.8499999996</v>
      </c>
      <c r="E21" s="4">
        <v>1044650</v>
      </c>
      <c r="F21" s="33">
        <f>SUM(G21:H21)</f>
        <v>494000</v>
      </c>
      <c r="G21" s="33">
        <v>494000</v>
      </c>
      <c r="H21" s="4">
        <v>0</v>
      </c>
      <c r="J21" s="4"/>
    </row>
    <row r="22" spans="1:14" x14ac:dyDescent="0.25">
      <c r="A22" s="2" t="s">
        <v>89</v>
      </c>
      <c r="B22" s="4">
        <f>C22+F22</f>
        <v>87956400</v>
      </c>
      <c r="C22" s="4">
        <f>D22+E22</f>
        <v>75956400</v>
      </c>
      <c r="D22" s="4">
        <v>70956400</v>
      </c>
      <c r="E22" s="4">
        <v>5000000</v>
      </c>
      <c r="F22" s="33">
        <f>SUM(G22:H22)</f>
        <v>12000000</v>
      </c>
      <c r="G22" s="4">
        <v>12000000</v>
      </c>
      <c r="H22" s="4">
        <v>0</v>
      </c>
      <c r="I22" s="36"/>
    </row>
    <row r="23" spans="1:14" x14ac:dyDescent="0.25">
      <c r="A23" s="2" t="s">
        <v>98</v>
      </c>
      <c r="B23" s="3">
        <f>+C23+F23</f>
        <v>8630401.8499999996</v>
      </c>
      <c r="C23" s="3">
        <f>+D23+E23</f>
        <v>8136401.8499999996</v>
      </c>
      <c r="D23" s="3">
        <f>D21</f>
        <v>7091751.8499999996</v>
      </c>
      <c r="E23" s="3">
        <f>+E21</f>
        <v>1044650</v>
      </c>
      <c r="F23" s="3">
        <f>H23+G23</f>
        <v>494000</v>
      </c>
      <c r="G23" s="3">
        <f>G21</f>
        <v>494000</v>
      </c>
      <c r="H23" s="3">
        <f>H21</f>
        <v>0</v>
      </c>
    </row>
    <row r="24" spans="1:14" x14ac:dyDescent="0.25">
      <c r="B24" s="3"/>
      <c r="C24" s="3"/>
      <c r="D24" s="3"/>
    </row>
    <row r="25" spans="1:14" x14ac:dyDescent="0.25">
      <c r="A25" s="7" t="s">
        <v>9</v>
      </c>
      <c r="B25" s="8"/>
      <c r="C25" s="8"/>
      <c r="D25" s="8"/>
      <c r="E25" s="8"/>
      <c r="F25" s="8"/>
      <c r="G25" s="8"/>
      <c r="H25" s="8"/>
    </row>
    <row r="26" spans="1:14" x14ac:dyDescent="0.25">
      <c r="A26" s="9" t="s">
        <v>87</v>
      </c>
      <c r="B26" s="8">
        <f>B20</f>
        <v>19682433.329999998</v>
      </c>
      <c r="C26" s="8">
        <f>C20</f>
        <v>18989100</v>
      </c>
      <c r="D26" s="8"/>
      <c r="E26" s="8"/>
      <c r="F26" s="8">
        <f>F20</f>
        <v>693333.33</v>
      </c>
      <c r="G26" s="8"/>
      <c r="H26" s="8"/>
      <c r="I26" s="36"/>
      <c r="J26" s="36"/>
      <c r="K26" s="36"/>
      <c r="L26" s="36"/>
      <c r="M26" s="36"/>
      <c r="N26" s="36"/>
    </row>
    <row r="27" spans="1:14" x14ac:dyDescent="0.25">
      <c r="A27" s="9" t="s">
        <v>88</v>
      </c>
      <c r="B27" s="8">
        <f>SUM(C27+ F27)</f>
        <v>31540947.200000003</v>
      </c>
      <c r="C27" s="8">
        <v>30807977.200000003</v>
      </c>
      <c r="D27" s="8">
        <v>30807977.200000003</v>
      </c>
      <c r="E27" s="8">
        <v>0</v>
      </c>
      <c r="F27" s="8">
        <v>732970</v>
      </c>
      <c r="G27" s="8">
        <v>732970</v>
      </c>
      <c r="H27" s="8"/>
    </row>
    <row r="29" spans="1:14" x14ac:dyDescent="0.25">
      <c r="A29" t="s">
        <v>10</v>
      </c>
    </row>
    <row r="30" spans="1:14" x14ac:dyDescent="0.25">
      <c r="A30" s="10" t="s">
        <v>59</v>
      </c>
      <c r="B30" s="21">
        <v>1.62</v>
      </c>
      <c r="C30" s="21">
        <v>1.62</v>
      </c>
      <c r="D30" s="21">
        <v>1.62</v>
      </c>
      <c r="E30" s="21">
        <v>1.62</v>
      </c>
      <c r="F30" s="21">
        <v>1.62</v>
      </c>
      <c r="G30" s="21">
        <v>1.62</v>
      </c>
      <c r="H30" s="21">
        <v>1.62</v>
      </c>
    </row>
    <row r="31" spans="1:14" x14ac:dyDescent="0.25">
      <c r="A31" s="10" t="s">
        <v>99</v>
      </c>
      <c r="B31" s="21">
        <v>1.68</v>
      </c>
      <c r="C31" s="21">
        <v>1.68</v>
      </c>
      <c r="D31" s="21">
        <v>1.68</v>
      </c>
      <c r="E31" s="21">
        <v>1.68</v>
      </c>
      <c r="F31" s="21">
        <v>1.68</v>
      </c>
      <c r="G31" s="21">
        <v>1.68</v>
      </c>
      <c r="H31" s="21">
        <v>1.68</v>
      </c>
    </row>
    <row r="32" spans="1:14" x14ac:dyDescent="0.25">
      <c r="A32" s="37" t="s">
        <v>11</v>
      </c>
      <c r="B32" s="4"/>
      <c r="C32" s="38"/>
      <c r="D32" s="38"/>
      <c r="E32" s="38"/>
      <c r="F32" s="38"/>
      <c r="G32" s="38"/>
      <c r="H32" s="38"/>
    </row>
    <row r="34" spans="1:8" x14ac:dyDescent="0.25">
      <c r="A34" s="11" t="s">
        <v>12</v>
      </c>
      <c r="B34" s="12"/>
      <c r="C34" s="12"/>
      <c r="D34" s="12"/>
      <c r="E34" s="12"/>
      <c r="F34" s="12"/>
      <c r="G34" s="12"/>
      <c r="H34" s="12"/>
    </row>
    <row r="35" spans="1:8" x14ac:dyDescent="0.25">
      <c r="A35" s="12" t="s">
        <v>60</v>
      </c>
      <c r="B35" s="13">
        <f>B19/B30</f>
        <v>6917981.7716049375</v>
      </c>
      <c r="C35" s="13">
        <f t="shared" ref="C35:H35" si="3">C19/C30</f>
        <v>6917981.7716049375</v>
      </c>
      <c r="D35" s="13">
        <f>D19/D30</f>
        <v>6419762.6358024683</v>
      </c>
      <c r="E35" s="13">
        <f t="shared" si="3"/>
        <v>498219.1358024691</v>
      </c>
      <c r="F35" s="13">
        <f t="shared" si="3"/>
        <v>0</v>
      </c>
      <c r="G35" s="13">
        <f t="shared" si="3"/>
        <v>0</v>
      </c>
      <c r="H35" s="13">
        <f t="shared" si="3"/>
        <v>0</v>
      </c>
    </row>
    <row r="36" spans="1:8" x14ac:dyDescent="0.25">
      <c r="A36" s="12" t="s">
        <v>108</v>
      </c>
      <c r="B36" s="13">
        <f t="shared" ref="B36:F36" si="4">B21/B31</f>
        <v>5137143.958333333</v>
      </c>
      <c r="C36" s="13">
        <f t="shared" si="4"/>
        <v>4843096.3392857146</v>
      </c>
      <c r="D36" s="13">
        <f t="shared" si="4"/>
        <v>4221280.8630952379</v>
      </c>
      <c r="E36" s="13">
        <f t="shared" si="4"/>
        <v>621815.47619047621</v>
      </c>
      <c r="F36" s="13">
        <f t="shared" si="4"/>
        <v>294047.61904761905</v>
      </c>
      <c r="G36" s="13">
        <f>G21/G31</f>
        <v>294047.61904761905</v>
      </c>
      <c r="H36" s="13">
        <f>H21/H31</f>
        <v>0</v>
      </c>
    </row>
    <row r="37" spans="1:8" x14ac:dyDescent="0.25">
      <c r="A37" s="12" t="s">
        <v>61</v>
      </c>
      <c r="B37" s="13">
        <f t="shared" ref="B37:H37" si="5">B35/B11</f>
        <v>8604.4549398071358</v>
      </c>
      <c r="C37" s="13">
        <f t="shared" si="5"/>
        <v>182052.15188434045</v>
      </c>
      <c r="D37" s="13">
        <f t="shared" si="5"/>
        <v>305702.98265726038</v>
      </c>
      <c r="E37" s="13">
        <f t="shared" si="5"/>
        <v>29307.007988380534</v>
      </c>
      <c r="F37" s="13">
        <f t="shared" si="5"/>
        <v>0</v>
      </c>
      <c r="G37" s="13">
        <f t="shared" si="5"/>
        <v>0</v>
      </c>
      <c r="H37" s="13">
        <f t="shared" si="5"/>
        <v>0</v>
      </c>
    </row>
    <row r="38" spans="1:8" x14ac:dyDescent="0.25">
      <c r="A38" s="12" t="s">
        <v>109</v>
      </c>
      <c r="B38" s="13">
        <f t="shared" ref="B38:H38" si="6">B36/B14</f>
        <v>29188.317945075756</v>
      </c>
      <c r="C38" s="13">
        <f t="shared" si="6"/>
        <v>78114.457085253467</v>
      </c>
      <c r="D38" s="13">
        <f t="shared" si="6"/>
        <v>162356.95627289376</v>
      </c>
      <c r="E38" s="13">
        <f t="shared" si="6"/>
        <v>17272.652116402118</v>
      </c>
      <c r="F38" s="13">
        <f t="shared" si="6"/>
        <v>2579.3650793650795</v>
      </c>
      <c r="G38" s="13">
        <f t="shared" si="6"/>
        <v>2579.3650793650795</v>
      </c>
      <c r="H38" s="13" t="e">
        <f t="shared" si="6"/>
        <v>#DIV/0!</v>
      </c>
    </row>
    <row r="40" spans="1:8" x14ac:dyDescent="0.25">
      <c r="A40" s="1" t="s">
        <v>13</v>
      </c>
    </row>
    <row r="42" spans="1:8" x14ac:dyDescent="0.25">
      <c r="A42" t="s">
        <v>14</v>
      </c>
    </row>
    <row r="43" spans="1:8" x14ac:dyDescent="0.25">
      <c r="A43" t="s">
        <v>15</v>
      </c>
      <c r="B43" s="14" t="s">
        <v>51</v>
      </c>
      <c r="C43" s="14" t="s">
        <v>51</v>
      </c>
      <c r="D43" s="14" t="s">
        <v>51</v>
      </c>
      <c r="E43" s="14" t="s">
        <v>51</v>
      </c>
      <c r="F43" s="14" t="s">
        <v>51</v>
      </c>
      <c r="G43" s="14" t="s">
        <v>51</v>
      </c>
      <c r="H43" s="14" t="s">
        <v>51</v>
      </c>
    </row>
    <row r="44" spans="1:8" x14ac:dyDescent="0.25">
      <c r="A44" t="s">
        <v>16</v>
      </c>
      <c r="B44" s="14" t="s">
        <v>51</v>
      </c>
      <c r="C44" s="14" t="s">
        <v>51</v>
      </c>
      <c r="D44" s="14" t="s">
        <v>51</v>
      </c>
      <c r="E44" s="14" t="s">
        <v>51</v>
      </c>
      <c r="F44" s="14" t="s">
        <v>51</v>
      </c>
      <c r="G44" s="14" t="s">
        <v>51</v>
      </c>
      <c r="H44" s="14" t="s">
        <v>51</v>
      </c>
    </row>
    <row r="46" spans="1:8" x14ac:dyDescent="0.25">
      <c r="A46" t="s">
        <v>17</v>
      </c>
    </row>
    <row r="47" spans="1:8" x14ac:dyDescent="0.25">
      <c r="A47" t="s">
        <v>18</v>
      </c>
      <c r="B47" s="16">
        <f>B14/B13*100</f>
        <v>95.652173913043484</v>
      </c>
      <c r="C47" s="16">
        <f t="shared" ref="C47:H47" si="7">C14/C13*100</f>
        <v>114.81481481481481</v>
      </c>
      <c r="D47" s="16">
        <f t="shared" si="7"/>
        <v>108.33333333333333</v>
      </c>
      <c r="E47" s="16">
        <f t="shared" si="7"/>
        <v>120</v>
      </c>
      <c r="F47" s="16">
        <f t="shared" si="7"/>
        <v>87.692307692307693</v>
      </c>
      <c r="G47" s="16">
        <f t="shared" si="7"/>
        <v>87.692307692307693</v>
      </c>
      <c r="H47" s="16" t="e">
        <f t="shared" si="7"/>
        <v>#DIV/0!</v>
      </c>
    </row>
    <row r="48" spans="1:8" x14ac:dyDescent="0.25">
      <c r="A48" t="s">
        <v>19</v>
      </c>
      <c r="B48" s="14">
        <f>B21/B20*100</f>
        <v>43.848246328595593</v>
      </c>
      <c r="C48" s="14">
        <f t="shared" ref="C48:F48" si="8">C21/C20*100</f>
        <v>42.847748708469595</v>
      </c>
      <c r="D48" s="14">
        <f t="shared" si="8"/>
        <v>39.978081492284325</v>
      </c>
      <c r="E48" s="14">
        <f t="shared" si="8"/>
        <v>83.57199933142401</v>
      </c>
      <c r="F48" s="14">
        <f t="shared" si="8"/>
        <v>71.250000342548077</v>
      </c>
      <c r="G48" s="14">
        <f>G21/G20*100</f>
        <v>71.250000342548077</v>
      </c>
      <c r="H48" s="14" t="e">
        <f>H21/H20*100</f>
        <v>#DIV/0!</v>
      </c>
    </row>
    <row r="49" spans="1:8" x14ac:dyDescent="0.25">
      <c r="A49" s="12" t="s">
        <v>20</v>
      </c>
      <c r="B49" s="15">
        <f t="shared" ref="B49:H49" si="9">AVERAGE(B47:B48)</f>
        <v>69.750210120819531</v>
      </c>
      <c r="C49" s="15">
        <f t="shared" si="9"/>
        <v>78.831281761642202</v>
      </c>
      <c r="D49" s="15">
        <f t="shared" si="9"/>
        <v>74.155707412808823</v>
      </c>
      <c r="E49" s="15">
        <f t="shared" si="9"/>
        <v>101.78599966571201</v>
      </c>
      <c r="F49" s="15">
        <f t="shared" si="9"/>
        <v>79.471154017427892</v>
      </c>
      <c r="G49" s="15">
        <f t="shared" si="9"/>
        <v>79.471154017427892</v>
      </c>
      <c r="H49" s="15" t="e">
        <f t="shared" si="9"/>
        <v>#DIV/0!</v>
      </c>
    </row>
    <row r="50" spans="1:8" x14ac:dyDescent="0.25">
      <c r="B50" s="14"/>
      <c r="C50" s="14"/>
      <c r="D50" s="14"/>
      <c r="E50" s="14"/>
      <c r="F50" s="14"/>
      <c r="G50" s="14"/>
      <c r="H50" s="14"/>
    </row>
    <row r="51" spans="1:8" x14ac:dyDescent="0.25">
      <c r="A51" t="s">
        <v>21</v>
      </c>
    </row>
    <row r="52" spans="1:8" x14ac:dyDescent="0.25">
      <c r="A52" t="s">
        <v>22</v>
      </c>
      <c r="B52" s="14">
        <f>(B14/B16)*100</f>
        <v>7.1370640713706415</v>
      </c>
      <c r="C52" s="14">
        <f t="shared" ref="C52:H52" si="10">(C14/C16)*100</f>
        <v>28.703703703703702</v>
      </c>
      <c r="D52" s="14">
        <f t="shared" si="10"/>
        <v>27.083333333333332</v>
      </c>
      <c r="E52" s="14">
        <f t="shared" si="10"/>
        <v>30</v>
      </c>
      <c r="F52" s="14">
        <f t="shared" si="10"/>
        <v>5.0666666666666664</v>
      </c>
      <c r="G52" s="14">
        <f t="shared" si="10"/>
        <v>5.0666666666666664</v>
      </c>
      <c r="H52" s="14" t="e">
        <f t="shared" si="10"/>
        <v>#DIV/0!</v>
      </c>
    </row>
    <row r="53" spans="1:8" x14ac:dyDescent="0.25">
      <c r="A53" t="s">
        <v>23</v>
      </c>
      <c r="B53" s="14">
        <f>B21/B22*100</f>
        <v>9.8121362970744581</v>
      </c>
      <c r="C53" s="14">
        <f t="shared" ref="C53:F53" si="11">C21/C22*100</f>
        <v>10.711937177117399</v>
      </c>
      <c r="D53" s="14">
        <f t="shared" si="11"/>
        <v>9.9945203674369036</v>
      </c>
      <c r="E53" s="14">
        <f t="shared" si="11"/>
        <v>20.893000000000001</v>
      </c>
      <c r="F53" s="14">
        <f t="shared" si="11"/>
        <v>4.1166666666666663</v>
      </c>
      <c r="G53" s="14">
        <f>G21/G22*100</f>
        <v>4.1166666666666663</v>
      </c>
      <c r="H53" s="14" t="e">
        <f>H21/H22*100</f>
        <v>#DIV/0!</v>
      </c>
    </row>
    <row r="54" spans="1:8" x14ac:dyDescent="0.25">
      <c r="A54" t="s">
        <v>24</v>
      </c>
      <c r="B54" s="14">
        <f t="shared" ref="B54:H54" si="12">(B52+B53)/2</f>
        <v>8.4746001842225489</v>
      </c>
      <c r="C54" s="14">
        <f t="shared" si="12"/>
        <v>19.707820440410551</v>
      </c>
      <c r="D54" s="14">
        <f t="shared" si="12"/>
        <v>18.538926850385117</v>
      </c>
      <c r="E54" s="14">
        <f t="shared" si="12"/>
        <v>25.4465</v>
      </c>
      <c r="F54" s="14">
        <f t="shared" si="12"/>
        <v>4.5916666666666668</v>
      </c>
      <c r="G54" s="14">
        <f t="shared" si="12"/>
        <v>4.5916666666666668</v>
      </c>
      <c r="H54" s="14" t="e">
        <f t="shared" si="12"/>
        <v>#DIV/0!</v>
      </c>
    </row>
    <row r="56" spans="1:8" x14ac:dyDescent="0.25">
      <c r="A56" s="12" t="s">
        <v>35</v>
      </c>
      <c r="B56" s="15"/>
      <c r="C56" s="15"/>
      <c r="D56" s="15"/>
      <c r="E56" s="15"/>
      <c r="F56" s="15"/>
      <c r="G56" s="15"/>
      <c r="H56" s="15"/>
    </row>
    <row r="57" spans="1:8" x14ac:dyDescent="0.25">
      <c r="A57" t="s">
        <v>25</v>
      </c>
      <c r="B57" s="14">
        <f t="shared" ref="B57:F57" si="13">B23/B21*100</f>
        <v>100</v>
      </c>
      <c r="C57" s="14">
        <f t="shared" si="13"/>
        <v>100</v>
      </c>
      <c r="D57" s="14"/>
      <c r="E57" s="14"/>
      <c r="F57" s="14">
        <f t="shared" si="13"/>
        <v>100</v>
      </c>
      <c r="G57" s="14"/>
      <c r="H57" s="14"/>
    </row>
    <row r="59" spans="1:8" x14ac:dyDescent="0.25">
      <c r="A59" t="s">
        <v>26</v>
      </c>
    </row>
    <row r="60" spans="1:8" x14ac:dyDescent="0.25">
      <c r="A60" t="s">
        <v>27</v>
      </c>
      <c r="B60" s="14">
        <f>((B14/B11)-1)*100</f>
        <v>-78.109452736318403</v>
      </c>
      <c r="C60" s="14">
        <f t="shared" ref="C60:H60" si="14">((C14/C11)-1)*100</f>
        <v>63.157894736842103</v>
      </c>
      <c r="D60" s="14">
        <f t="shared" si="14"/>
        <v>23.809523809523814</v>
      </c>
      <c r="E60" s="14">
        <f t="shared" si="14"/>
        <v>111.76470588235294</v>
      </c>
      <c r="F60" s="14">
        <f t="shared" si="14"/>
        <v>-85.117493472584854</v>
      </c>
      <c r="G60" s="14">
        <f t="shared" si="14"/>
        <v>19.999999999999996</v>
      </c>
      <c r="H60" s="14">
        <f t="shared" si="14"/>
        <v>-100</v>
      </c>
    </row>
    <row r="61" spans="1:8" x14ac:dyDescent="0.25">
      <c r="A61" t="s">
        <v>28</v>
      </c>
      <c r="B61" s="14">
        <f>((B36/B35)-1)*100</f>
        <v>-25.742158219917645</v>
      </c>
      <c r="C61" s="14">
        <f>((C36/C35)-1)*100</f>
        <v>-29.992640929405912</v>
      </c>
      <c r="D61" s="14">
        <f t="shared" ref="D61:H61" si="15">((D36/D35)-1)*100</f>
        <v>-34.245530519251368</v>
      </c>
      <c r="E61" s="14">
        <f t="shared" si="15"/>
        <v>24.807626103909787</v>
      </c>
      <c r="F61" s="14" t="e">
        <f t="shared" si="15"/>
        <v>#DIV/0!</v>
      </c>
      <c r="G61" s="14" t="e">
        <f t="shared" si="15"/>
        <v>#DIV/0!</v>
      </c>
      <c r="H61" s="14" t="e">
        <f t="shared" si="15"/>
        <v>#DIV/0!</v>
      </c>
    </row>
    <row r="62" spans="1:8" x14ac:dyDescent="0.25">
      <c r="A62" s="12" t="s">
        <v>29</v>
      </c>
      <c r="B62" s="15">
        <f t="shared" ref="B62:H62" si="16">((B38/B37)-1)*100</f>
        <v>239.22332267719443</v>
      </c>
      <c r="C62" s="15">
        <f t="shared" si="16"/>
        <v>-57.092263795442321</v>
      </c>
      <c r="D62" s="15">
        <f t="shared" si="16"/>
        <v>-46.890620804010716</v>
      </c>
      <c r="E62" s="15">
        <f t="shared" si="16"/>
        <v>-41.063065450931482</v>
      </c>
      <c r="F62" s="15" t="e">
        <f t="shared" si="16"/>
        <v>#DIV/0!</v>
      </c>
      <c r="G62" s="15" t="e">
        <f t="shared" si="16"/>
        <v>#DIV/0!</v>
      </c>
      <c r="H62" s="15" t="e">
        <f t="shared" si="16"/>
        <v>#DIV/0!</v>
      </c>
    </row>
    <row r="63" spans="1:8" x14ac:dyDescent="0.25">
      <c r="B63" s="16"/>
      <c r="C63" s="16"/>
      <c r="D63" s="16"/>
      <c r="E63" s="16"/>
      <c r="F63" s="16"/>
      <c r="G63" s="16"/>
      <c r="H63" s="16"/>
    </row>
    <row r="64" spans="1:8" x14ac:dyDescent="0.25">
      <c r="A64" t="s">
        <v>30</v>
      </c>
    </row>
    <row r="65" spans="1:9" x14ac:dyDescent="0.25">
      <c r="A65" t="s">
        <v>38</v>
      </c>
      <c r="B65" s="3">
        <f>B20/B13</f>
        <v>106969.74635869564</v>
      </c>
      <c r="C65" s="3">
        <f t="shared" ref="C65:H65" si="17">C20/C13</f>
        <v>351650</v>
      </c>
      <c r="D65" s="3">
        <f t="shared" si="17"/>
        <v>739129.16624999989</v>
      </c>
      <c r="E65" s="3">
        <f t="shared" si="17"/>
        <v>41666.667000000001</v>
      </c>
      <c r="F65" s="3">
        <f t="shared" si="17"/>
        <v>5333.3333076923072</v>
      </c>
      <c r="G65" s="3">
        <f t="shared" si="17"/>
        <v>5333.3333076923072</v>
      </c>
      <c r="H65" s="3" t="e">
        <f t="shared" si="17"/>
        <v>#DIV/0!</v>
      </c>
    </row>
    <row r="66" spans="1:9" x14ac:dyDescent="0.25">
      <c r="A66" t="s">
        <v>39</v>
      </c>
      <c r="B66" s="3">
        <f>B21/B14</f>
        <v>49036.374147727271</v>
      </c>
      <c r="C66" s="3">
        <f t="shared" ref="C66:H66" si="18">C21/C14</f>
        <v>131232.28790322581</v>
      </c>
      <c r="D66" s="3">
        <f t="shared" si="18"/>
        <v>272759.68653846154</v>
      </c>
      <c r="E66" s="3">
        <f t="shared" si="18"/>
        <v>29018.055555555555</v>
      </c>
      <c r="F66" s="3">
        <f t="shared" si="18"/>
        <v>4333.333333333333</v>
      </c>
      <c r="G66" s="3">
        <f t="shared" si="18"/>
        <v>4333.333333333333</v>
      </c>
      <c r="H66" s="3" t="e">
        <f t="shared" si="18"/>
        <v>#DIV/0!</v>
      </c>
    </row>
    <row r="67" spans="1:9" x14ac:dyDescent="0.25">
      <c r="A67" s="12" t="s">
        <v>31</v>
      </c>
      <c r="B67" s="15">
        <f>(B65/B66)*B49</f>
        <v>152.15566841488422</v>
      </c>
      <c r="C67" s="15">
        <f t="shared" ref="C67:H67" si="19">(C65/C66)*C49</f>
        <v>211.23627938212661</v>
      </c>
      <c r="D67" s="15">
        <f t="shared" si="19"/>
        <v>200.94848651682818</v>
      </c>
      <c r="E67" s="15">
        <f t="shared" si="19"/>
        <v>146.15325776097259</v>
      </c>
      <c r="F67" s="15">
        <f t="shared" si="19"/>
        <v>97.810650628129267</v>
      </c>
      <c r="G67" s="15">
        <f t="shared" si="19"/>
        <v>97.810650628129267</v>
      </c>
      <c r="H67" s="15" t="e">
        <f t="shared" si="19"/>
        <v>#DIV/0!</v>
      </c>
    </row>
    <row r="68" spans="1:9" x14ac:dyDescent="0.25">
      <c r="A68" t="s">
        <v>40</v>
      </c>
      <c r="B68" s="25">
        <f>B20/(B13*3)</f>
        <v>35656.582119565217</v>
      </c>
      <c r="C68" s="25">
        <f t="shared" ref="C68:H68" si="20">C20/(C13*3)</f>
        <v>117216.66666666667</v>
      </c>
      <c r="D68" s="25">
        <f t="shared" si="20"/>
        <v>246376.38874999998</v>
      </c>
      <c r="E68" s="25">
        <f t="shared" si="20"/>
        <v>13888.888999999999</v>
      </c>
      <c r="F68" s="25">
        <f t="shared" si="20"/>
        <v>1777.7777692307691</v>
      </c>
      <c r="G68" s="25">
        <f t="shared" si="20"/>
        <v>1777.7777692307691</v>
      </c>
      <c r="H68" s="25" t="e">
        <f t="shared" si="20"/>
        <v>#DIV/0!</v>
      </c>
    </row>
    <row r="69" spans="1:9" x14ac:dyDescent="0.25">
      <c r="A69" t="s">
        <v>41</v>
      </c>
      <c r="B69" s="25">
        <f>B21/(B14*3)</f>
        <v>16345.458049242423</v>
      </c>
      <c r="C69" s="25">
        <f t="shared" ref="C69:H69" si="21">C21/(C14*3)</f>
        <v>43744.095967741931</v>
      </c>
      <c r="D69" s="25">
        <f t="shared" si="21"/>
        <v>90919.895512820513</v>
      </c>
      <c r="E69" s="25">
        <f t="shared" si="21"/>
        <v>9672.6851851851843</v>
      </c>
      <c r="F69" s="25">
        <f t="shared" si="21"/>
        <v>1444.4444444444443</v>
      </c>
      <c r="G69" s="25">
        <f t="shared" si="21"/>
        <v>1444.4444444444443</v>
      </c>
      <c r="H69" s="25" t="e">
        <f t="shared" si="21"/>
        <v>#DIV/0!</v>
      </c>
    </row>
    <row r="70" spans="1:9" x14ac:dyDescent="0.25">
      <c r="B70" s="25"/>
      <c r="C70" s="25"/>
      <c r="D70" s="25"/>
      <c r="E70" s="25"/>
      <c r="F70" s="25"/>
      <c r="G70" s="25"/>
      <c r="H70" s="25"/>
    </row>
    <row r="71" spans="1:9" x14ac:dyDescent="0.25">
      <c r="A71" t="s">
        <v>32</v>
      </c>
      <c r="B71" s="14"/>
      <c r="C71" s="14"/>
      <c r="D71" s="14"/>
    </row>
    <row r="72" spans="1:9" x14ac:dyDescent="0.25">
      <c r="A72" s="17" t="s">
        <v>33</v>
      </c>
      <c r="B72" s="18">
        <f>(B27/B26)*100</f>
        <v>160.24922666408955</v>
      </c>
      <c r="C72" s="18">
        <f>(C27/C26)*100</f>
        <v>162.24032313274458</v>
      </c>
      <c r="D72" s="18"/>
      <c r="E72" s="18"/>
      <c r="F72" s="18">
        <f>(F27/F26)*100</f>
        <v>105.71682743133091</v>
      </c>
      <c r="G72" s="18"/>
      <c r="H72" s="18"/>
      <c r="I72" s="36"/>
    </row>
    <row r="73" spans="1:9" x14ac:dyDescent="0.25">
      <c r="A73" s="17" t="s">
        <v>34</v>
      </c>
      <c r="B73" s="18">
        <f>(B21/B27)*100</f>
        <v>27.362532251409366</v>
      </c>
      <c r="C73" s="18">
        <f>(C21/C27)*100</f>
        <v>26.41004892070616</v>
      </c>
      <c r="D73" s="18"/>
      <c r="E73" s="18"/>
      <c r="F73" s="18">
        <f>(F21/F27)*100</f>
        <v>67.397028527770573</v>
      </c>
      <c r="G73" s="18"/>
      <c r="H73" s="18"/>
      <c r="I73" s="36"/>
    </row>
    <row r="74" spans="1:9" ht="15.75" thickBot="1" x14ac:dyDescent="0.3">
      <c r="A74" s="19"/>
      <c r="B74" s="19"/>
      <c r="C74" s="19"/>
      <c r="D74" s="19"/>
      <c r="E74" s="19"/>
      <c r="F74" s="19"/>
      <c r="G74" s="19"/>
      <c r="H74" s="19"/>
    </row>
    <row r="75" spans="1:9" ht="15.75" thickTop="1" x14ac:dyDescent="0.25">
      <c r="A75" s="22" t="s">
        <v>36</v>
      </c>
    </row>
    <row r="76" spans="1:9" x14ac:dyDescent="0.25">
      <c r="A76" s="22" t="s">
        <v>100</v>
      </c>
    </row>
    <row r="77" spans="1:9" x14ac:dyDescent="0.25">
      <c r="A77" s="22" t="s">
        <v>101</v>
      </c>
    </row>
    <row r="78" spans="1:9" x14ac:dyDescent="0.25">
      <c r="A78" s="22" t="s">
        <v>84</v>
      </c>
      <c r="B78" s="20"/>
      <c r="C78" s="20"/>
      <c r="D78" s="20"/>
    </row>
    <row r="79" spans="1:9" x14ac:dyDescent="0.25">
      <c r="A79" s="22"/>
    </row>
    <row r="80" spans="1:9" x14ac:dyDescent="0.25">
      <c r="A80" s="22"/>
    </row>
    <row r="82" spans="1:1" x14ac:dyDescent="0.25">
      <c r="A82" t="s">
        <v>37</v>
      </c>
    </row>
    <row r="84" spans="1:1" x14ac:dyDescent="0.25">
      <c r="A84" t="s">
        <v>52</v>
      </c>
    </row>
    <row r="85" spans="1:1" x14ac:dyDescent="0.25">
      <c r="A85" t="s">
        <v>53</v>
      </c>
    </row>
    <row r="88" spans="1:1" x14ac:dyDescent="0.25">
      <c r="A88" t="s">
        <v>142</v>
      </c>
    </row>
  </sheetData>
  <mergeCells count="11">
    <mergeCell ref="A2:H2"/>
    <mergeCell ref="A4:A6"/>
    <mergeCell ref="B4:B6"/>
    <mergeCell ref="C4:E4"/>
    <mergeCell ref="F4:H4"/>
    <mergeCell ref="C5:C6"/>
    <mergeCell ref="E5:E6"/>
    <mergeCell ref="F5:F6"/>
    <mergeCell ref="G5:G6"/>
    <mergeCell ref="H5:H6"/>
    <mergeCell ref="D5:D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9"/>
  <sheetViews>
    <sheetView topLeftCell="A4" zoomScale="80" zoomScaleNormal="80" workbookViewId="0">
      <pane ySplit="3" topLeftCell="A7" activePane="bottomLeft" state="frozen"/>
      <selection activeCell="K37" sqref="K37"/>
      <selection pane="bottomLeft" activeCell="A11" sqref="A11:XFD12"/>
    </sheetView>
  </sheetViews>
  <sheetFormatPr baseColWidth="10" defaultColWidth="11.42578125" defaultRowHeight="15" x14ac:dyDescent="0.25"/>
  <cols>
    <col min="1" max="1" width="50.85546875" customWidth="1"/>
    <col min="2" max="7" width="13.7109375" customWidth="1"/>
    <col min="8" max="8" width="15.42578125" customWidth="1"/>
  </cols>
  <sheetData>
    <row r="2" spans="1:9" ht="15.75" x14ac:dyDescent="0.25">
      <c r="A2" s="40" t="s">
        <v>106</v>
      </c>
      <c r="B2" s="40"/>
      <c r="C2" s="40"/>
      <c r="D2" s="40"/>
      <c r="E2" s="40"/>
      <c r="F2" s="40"/>
      <c r="G2" s="40"/>
      <c r="H2" s="40"/>
    </row>
    <row r="4" spans="1:9" ht="20.100000000000001" customHeight="1" x14ac:dyDescent="0.25">
      <c r="A4" s="41" t="s">
        <v>0</v>
      </c>
      <c r="B4" s="44" t="s">
        <v>1</v>
      </c>
      <c r="C4" s="47" t="s">
        <v>2</v>
      </c>
      <c r="D4" s="48"/>
      <c r="E4" s="49"/>
      <c r="F4" s="47" t="s">
        <v>3</v>
      </c>
      <c r="G4" s="48"/>
      <c r="H4" s="49"/>
    </row>
    <row r="5" spans="1:9" ht="20.100000000000001" customHeight="1" x14ac:dyDescent="0.25">
      <c r="A5" s="42"/>
      <c r="B5" s="45"/>
      <c r="C5" s="50" t="s">
        <v>4</v>
      </c>
      <c r="D5" s="56" t="s">
        <v>5</v>
      </c>
      <c r="E5" s="52" t="s">
        <v>91</v>
      </c>
      <c r="F5" s="54" t="s">
        <v>4</v>
      </c>
      <c r="G5" s="56" t="s">
        <v>81</v>
      </c>
      <c r="H5" s="57" t="s">
        <v>6</v>
      </c>
    </row>
    <row r="6" spans="1:9" ht="15.75" thickBot="1" x14ac:dyDescent="0.3">
      <c r="A6" s="43"/>
      <c r="B6" s="46"/>
      <c r="C6" s="51"/>
      <c r="D6" s="53"/>
      <c r="E6" s="53"/>
      <c r="F6" s="55"/>
      <c r="G6" s="53"/>
      <c r="H6" s="58"/>
    </row>
    <row r="7" spans="1:9" ht="15.75" thickTop="1" x14ac:dyDescent="0.25"/>
    <row r="8" spans="1:9" x14ac:dyDescent="0.25">
      <c r="A8" s="1" t="s">
        <v>7</v>
      </c>
    </row>
    <row r="10" spans="1:9" x14ac:dyDescent="0.25">
      <c r="A10" t="s">
        <v>48</v>
      </c>
    </row>
    <row r="11" spans="1:9" x14ac:dyDescent="0.25">
      <c r="A11" s="2" t="s">
        <v>62</v>
      </c>
      <c r="B11" s="4">
        <f t="shared" ref="B11:B12" si="0">C11+F11</f>
        <v>10155</v>
      </c>
      <c r="C11" s="4">
        <f t="shared" ref="C11:C12" si="1">D11+E11</f>
        <v>96</v>
      </c>
      <c r="D11">
        <v>21</v>
      </c>
      <c r="E11">
        <v>75</v>
      </c>
      <c r="F11" s="4">
        <f t="shared" ref="F11:F12" si="2">SUM(G11:H11)</f>
        <v>10059</v>
      </c>
      <c r="G11" s="4">
        <v>942</v>
      </c>
      <c r="H11" s="5">
        <v>9117</v>
      </c>
    </row>
    <row r="12" spans="1:9" x14ac:dyDescent="0.25">
      <c r="A12" s="27" t="s">
        <v>49</v>
      </c>
      <c r="B12" s="4">
        <f t="shared" si="0"/>
        <v>10159</v>
      </c>
      <c r="C12" s="4">
        <f t="shared" si="1"/>
        <v>100</v>
      </c>
      <c r="D12">
        <v>25</v>
      </c>
      <c r="E12">
        <v>75</v>
      </c>
      <c r="F12" s="4">
        <f t="shared" si="2"/>
        <v>10059</v>
      </c>
      <c r="G12" s="4">
        <v>942</v>
      </c>
      <c r="H12" s="5">
        <v>9117</v>
      </c>
    </row>
    <row r="13" spans="1:9" x14ac:dyDescent="0.25">
      <c r="A13" s="2" t="s">
        <v>102</v>
      </c>
      <c r="B13" s="4">
        <f t="shared" ref="B13" si="3">C13+F13</f>
        <v>1554</v>
      </c>
      <c r="C13" s="4">
        <f t="shared" ref="C13:C16" si="4">D13+E13</f>
        <v>54</v>
      </c>
      <c r="D13">
        <v>24</v>
      </c>
      <c r="E13" s="5">
        <v>30</v>
      </c>
      <c r="F13" s="4">
        <f>SUM(G13:H13)</f>
        <v>1500</v>
      </c>
      <c r="G13" s="5">
        <v>1500</v>
      </c>
      <c r="H13" s="5">
        <v>0</v>
      </c>
      <c r="I13" s="36"/>
    </row>
    <row r="14" spans="1:9" x14ac:dyDescent="0.25">
      <c r="A14" s="2" t="s">
        <v>103</v>
      </c>
      <c r="B14" s="4">
        <f>C14+F14</f>
        <v>711</v>
      </c>
      <c r="C14" s="4">
        <f t="shared" si="4"/>
        <v>78</v>
      </c>
      <c r="D14">
        <v>22</v>
      </c>
      <c r="E14">
        <v>56</v>
      </c>
      <c r="F14" s="4">
        <f>SUM(G14:H14)</f>
        <v>633</v>
      </c>
      <c r="G14" s="4">
        <v>633</v>
      </c>
      <c r="H14" s="5">
        <v>0</v>
      </c>
    </row>
    <row r="15" spans="1:9" x14ac:dyDescent="0.25">
      <c r="A15" s="27" t="s">
        <v>49</v>
      </c>
      <c r="B15" s="4">
        <f>+C15+F15</f>
        <v>84</v>
      </c>
      <c r="C15" s="4">
        <f t="shared" si="4"/>
        <v>84</v>
      </c>
      <c r="D15">
        <v>28</v>
      </c>
      <c r="E15">
        <v>56</v>
      </c>
      <c r="F15" s="4">
        <f>SUM(G15:H15)</f>
        <v>0</v>
      </c>
      <c r="G15" s="4">
        <v>0</v>
      </c>
      <c r="H15" s="5">
        <v>0</v>
      </c>
    </row>
    <row r="16" spans="1:9" x14ac:dyDescent="0.25">
      <c r="A16" s="2" t="s">
        <v>89</v>
      </c>
      <c r="B16" s="4">
        <f>+C16+F16</f>
        <v>2466</v>
      </c>
      <c r="C16" s="4">
        <f t="shared" si="4"/>
        <v>216</v>
      </c>
      <c r="D16" s="5">
        <v>96</v>
      </c>
      <c r="E16" s="5">
        <v>120</v>
      </c>
      <c r="F16" s="4">
        <f>SUM(G16:H16)</f>
        <v>2250</v>
      </c>
      <c r="G16" s="5">
        <v>2250</v>
      </c>
      <c r="H16" s="5">
        <v>0</v>
      </c>
      <c r="I16" s="36"/>
    </row>
    <row r="17" spans="1:10" x14ac:dyDescent="0.25">
      <c r="F17" s="5"/>
    </row>
    <row r="18" spans="1:10" x14ac:dyDescent="0.25">
      <c r="A18" s="6" t="s">
        <v>8</v>
      </c>
      <c r="F18" s="5"/>
    </row>
    <row r="19" spans="1:10" x14ac:dyDescent="0.25">
      <c r="A19" s="2" t="s">
        <v>62</v>
      </c>
      <c r="B19" s="3">
        <f>C19+F19</f>
        <v>19018928</v>
      </c>
      <c r="C19" s="3">
        <f>D19+E19</f>
        <v>15264130.5</v>
      </c>
      <c r="D19" s="3">
        <v>13861945.5</v>
      </c>
      <c r="E19" s="4">
        <v>1402185</v>
      </c>
      <c r="F19" s="23">
        <f>SUM(G19:H19)</f>
        <v>3754797.5</v>
      </c>
      <c r="G19" s="4">
        <v>3754797.5</v>
      </c>
      <c r="H19" s="4">
        <v>0</v>
      </c>
    </row>
    <row r="20" spans="1:10" x14ac:dyDescent="0.25">
      <c r="A20" s="2" t="s">
        <v>102</v>
      </c>
      <c r="B20" s="3">
        <f>C20+F20</f>
        <v>26989099.989999998</v>
      </c>
      <c r="C20" s="3">
        <f>D20+E20</f>
        <v>18989099.989999998</v>
      </c>
      <c r="D20" s="3">
        <v>17739099.989999998</v>
      </c>
      <c r="E20" s="3">
        <v>1250000</v>
      </c>
      <c r="F20" s="23">
        <f t="shared" ref="F20" si="5">SUM(G20:H20)</f>
        <v>8000000</v>
      </c>
      <c r="G20" s="3">
        <v>8000000</v>
      </c>
      <c r="H20" s="3">
        <v>0</v>
      </c>
    </row>
    <row r="21" spans="1:10" x14ac:dyDescent="0.25">
      <c r="A21" s="2" t="s">
        <v>103</v>
      </c>
      <c r="B21" s="3">
        <f>C21+F21</f>
        <v>11978013.23</v>
      </c>
      <c r="C21" s="3">
        <f>D21+E21</f>
        <v>8342727.4400000004</v>
      </c>
      <c r="D21" s="3">
        <v>7427657.4400000004</v>
      </c>
      <c r="E21" s="4">
        <v>915070</v>
      </c>
      <c r="F21" s="23">
        <f>SUM(G21:H21)</f>
        <v>3635285.79</v>
      </c>
      <c r="G21" s="4">
        <v>3635285.79</v>
      </c>
      <c r="H21" s="4">
        <v>0</v>
      </c>
      <c r="J21" s="4"/>
    </row>
    <row r="22" spans="1:10" x14ac:dyDescent="0.25">
      <c r="A22" s="2" t="s">
        <v>89</v>
      </c>
      <c r="B22" s="4">
        <f>C22+F22</f>
        <v>87956400</v>
      </c>
      <c r="C22" s="4">
        <f>D22+E22</f>
        <v>75956400</v>
      </c>
      <c r="D22" s="4">
        <v>70956400</v>
      </c>
      <c r="E22" s="4">
        <v>5000000</v>
      </c>
      <c r="F22" s="23">
        <f>SUM(G22:H22)</f>
        <v>12000000</v>
      </c>
      <c r="G22" s="4">
        <v>12000000</v>
      </c>
      <c r="H22" s="4">
        <v>0</v>
      </c>
      <c r="I22" s="36"/>
    </row>
    <row r="23" spans="1:10" x14ac:dyDescent="0.25">
      <c r="A23" s="2" t="s">
        <v>104</v>
      </c>
      <c r="B23" s="3">
        <f>+C23+F23</f>
        <v>11978013.23</v>
      </c>
      <c r="C23" s="3">
        <f>+D23+E23</f>
        <v>8342727.4400000004</v>
      </c>
      <c r="D23" s="3">
        <f>D21</f>
        <v>7427657.4400000004</v>
      </c>
      <c r="E23" s="3">
        <f>+E21</f>
        <v>915070</v>
      </c>
      <c r="F23" s="3">
        <f>H23+G23</f>
        <v>3635285.79</v>
      </c>
      <c r="G23" s="3">
        <f>G21</f>
        <v>3635285.79</v>
      </c>
      <c r="H23" s="3">
        <f>H21</f>
        <v>0</v>
      </c>
    </row>
    <row r="24" spans="1:10" x14ac:dyDescent="0.25">
      <c r="B24" s="3"/>
      <c r="C24" s="3"/>
      <c r="D24" s="3"/>
    </row>
    <row r="25" spans="1:10" x14ac:dyDescent="0.25">
      <c r="A25" s="7" t="s">
        <v>9</v>
      </c>
      <c r="B25" s="8"/>
      <c r="C25" s="8"/>
      <c r="D25" s="8"/>
      <c r="E25" s="8"/>
      <c r="F25" s="8"/>
      <c r="G25" s="8"/>
      <c r="H25" s="8"/>
    </row>
    <row r="26" spans="1:10" x14ac:dyDescent="0.25">
      <c r="A26" s="9" t="s">
        <v>102</v>
      </c>
      <c r="B26" s="8">
        <f>B20</f>
        <v>26989099.989999998</v>
      </c>
      <c r="C26" s="8">
        <f>C20</f>
        <v>18989099.989999998</v>
      </c>
      <c r="D26" s="8"/>
      <c r="E26" s="8"/>
      <c r="F26" s="8">
        <f>F20</f>
        <v>8000000</v>
      </c>
      <c r="G26" s="8"/>
      <c r="H26" s="8"/>
      <c r="I26" s="36"/>
    </row>
    <row r="27" spans="1:10" x14ac:dyDescent="0.25">
      <c r="A27" s="9" t="s">
        <v>103</v>
      </c>
      <c r="B27" s="8">
        <f>+C27+F27</f>
        <v>0</v>
      </c>
      <c r="C27" s="8">
        <v>0</v>
      </c>
      <c r="D27" s="8">
        <v>0</v>
      </c>
      <c r="E27" s="8"/>
      <c r="F27" s="8">
        <v>0</v>
      </c>
      <c r="G27" s="8"/>
      <c r="H27" s="8"/>
    </row>
    <row r="29" spans="1:10" x14ac:dyDescent="0.25">
      <c r="A29" t="s">
        <v>10</v>
      </c>
    </row>
    <row r="30" spans="1:10" x14ac:dyDescent="0.25">
      <c r="A30" s="10" t="s">
        <v>112</v>
      </c>
      <c r="B30" s="28">
        <v>1.62</v>
      </c>
      <c r="C30" s="28">
        <v>1.62</v>
      </c>
      <c r="D30" s="28">
        <v>1.62</v>
      </c>
      <c r="E30" s="28">
        <v>1.62</v>
      </c>
      <c r="F30" s="28">
        <v>1.62</v>
      </c>
      <c r="G30" s="28">
        <v>1.62</v>
      </c>
      <c r="H30" s="28">
        <v>1.62</v>
      </c>
      <c r="I30" s="36"/>
      <c r="J30" s="36"/>
    </row>
    <row r="31" spans="1:10" x14ac:dyDescent="0.25">
      <c r="A31" s="10" t="s">
        <v>113</v>
      </c>
      <c r="B31" s="28">
        <v>1.71</v>
      </c>
      <c r="C31" s="28">
        <v>1.71</v>
      </c>
      <c r="D31" s="28">
        <v>1.71</v>
      </c>
      <c r="E31" s="28">
        <v>1.71</v>
      </c>
      <c r="F31" s="28">
        <v>1.71</v>
      </c>
      <c r="G31" s="28">
        <v>1.71</v>
      </c>
      <c r="H31" s="28">
        <v>1.71</v>
      </c>
    </row>
    <row r="32" spans="1:10" x14ac:dyDescent="0.25">
      <c r="A32" s="37" t="s">
        <v>11</v>
      </c>
      <c r="B32" s="4"/>
      <c r="C32" s="38"/>
      <c r="D32" s="38"/>
      <c r="E32" s="38"/>
      <c r="F32" s="38"/>
      <c r="G32" s="38"/>
      <c r="H32" s="38"/>
    </row>
    <row r="34" spans="1:9" x14ac:dyDescent="0.25">
      <c r="A34" s="11" t="s">
        <v>12</v>
      </c>
      <c r="B34" s="12"/>
      <c r="C34" s="12"/>
      <c r="D34" s="12"/>
      <c r="E34" s="12"/>
      <c r="F34" s="12"/>
      <c r="G34" s="12"/>
      <c r="H34" s="12"/>
    </row>
    <row r="35" spans="1:9" x14ac:dyDescent="0.25">
      <c r="A35" s="12" t="s">
        <v>63</v>
      </c>
      <c r="B35" s="13">
        <f>B19/B30</f>
        <v>11740079.012345679</v>
      </c>
      <c r="C35" s="13">
        <f t="shared" ref="C35:H35" si="6">C19/C30</f>
        <v>9422302.777777778</v>
      </c>
      <c r="D35" s="13">
        <f>D19/D30</f>
        <v>8556756.4814814813</v>
      </c>
      <c r="E35" s="13">
        <f t="shared" si="6"/>
        <v>865546.29629629629</v>
      </c>
      <c r="F35" s="13">
        <f t="shared" si="6"/>
        <v>2317776.2345679011</v>
      </c>
      <c r="G35" s="13">
        <f t="shared" si="6"/>
        <v>2317776.2345679011</v>
      </c>
      <c r="H35" s="13">
        <f t="shared" si="6"/>
        <v>0</v>
      </c>
    </row>
    <row r="36" spans="1:9" x14ac:dyDescent="0.25">
      <c r="A36" s="12" t="s">
        <v>105</v>
      </c>
      <c r="B36" s="13">
        <f t="shared" ref="B36:F36" si="7">B21/B31</f>
        <v>7004686.0994152054</v>
      </c>
      <c r="C36" s="13">
        <f t="shared" si="7"/>
        <v>4878787.9766081879</v>
      </c>
      <c r="D36" s="13">
        <f t="shared" si="7"/>
        <v>4343659.3216374274</v>
      </c>
      <c r="E36" s="13">
        <f>E21/E31</f>
        <v>535128.65497076022</v>
      </c>
      <c r="F36" s="13">
        <f t="shared" si="7"/>
        <v>2125898.1228070175</v>
      </c>
      <c r="G36" s="13">
        <f>G21/G31</f>
        <v>2125898.1228070175</v>
      </c>
      <c r="H36" s="13">
        <f>H21/H31</f>
        <v>0</v>
      </c>
    </row>
    <row r="37" spans="1:9" x14ac:dyDescent="0.25">
      <c r="A37" s="12" t="s">
        <v>64</v>
      </c>
      <c r="B37" s="13">
        <f t="shared" ref="B37:H37" si="8">B35/B11</f>
        <v>1156.0885290345327</v>
      </c>
      <c r="C37" s="13">
        <f t="shared" si="8"/>
        <v>98148.987268518526</v>
      </c>
      <c r="D37" s="13">
        <f t="shared" si="8"/>
        <v>407464.59435626102</v>
      </c>
      <c r="E37" s="13">
        <f t="shared" si="8"/>
        <v>11540.617283950618</v>
      </c>
      <c r="F37" s="13">
        <f t="shared" si="8"/>
        <v>230.41815633441706</v>
      </c>
      <c r="G37" s="13">
        <f t="shared" si="8"/>
        <v>2460.4843254436319</v>
      </c>
      <c r="H37" s="13">
        <f t="shared" si="8"/>
        <v>0</v>
      </c>
    </row>
    <row r="38" spans="1:9" x14ac:dyDescent="0.25">
      <c r="A38" s="12" t="s">
        <v>110</v>
      </c>
      <c r="B38" s="13">
        <f t="shared" ref="B38:H38" si="9">B36/B14</f>
        <v>9851.8791834250424</v>
      </c>
      <c r="C38" s="13">
        <f t="shared" si="9"/>
        <v>62548.563802669072</v>
      </c>
      <c r="D38" s="13">
        <f t="shared" si="9"/>
        <v>197439.06007442853</v>
      </c>
      <c r="E38" s="13">
        <f t="shared" si="9"/>
        <v>9555.8688387635757</v>
      </c>
      <c r="F38" s="13">
        <f>F36/F14</f>
        <v>3358.4488511959203</v>
      </c>
      <c r="G38" s="13">
        <f>G36/G14</f>
        <v>3358.4488511959203</v>
      </c>
      <c r="H38" s="13" t="e">
        <f t="shared" si="9"/>
        <v>#DIV/0!</v>
      </c>
    </row>
    <row r="40" spans="1:9" x14ac:dyDescent="0.25">
      <c r="A40" s="1" t="s">
        <v>13</v>
      </c>
    </row>
    <row r="42" spans="1:9" x14ac:dyDescent="0.25">
      <c r="A42" t="s">
        <v>14</v>
      </c>
    </row>
    <row r="43" spans="1:9" x14ac:dyDescent="0.25">
      <c r="A43" t="s">
        <v>15</v>
      </c>
      <c r="B43" s="14" t="s">
        <v>51</v>
      </c>
      <c r="C43" s="14" t="s">
        <v>51</v>
      </c>
      <c r="D43" s="14" t="s">
        <v>51</v>
      </c>
      <c r="E43" s="14" t="s">
        <v>51</v>
      </c>
      <c r="F43" s="14" t="s">
        <v>51</v>
      </c>
      <c r="G43" s="14" t="s">
        <v>51</v>
      </c>
      <c r="H43" s="14" t="s">
        <v>51</v>
      </c>
      <c r="I43" s="14"/>
    </row>
    <row r="44" spans="1:9" x14ac:dyDescent="0.25">
      <c r="A44" t="s">
        <v>16</v>
      </c>
      <c r="B44" s="14" t="s">
        <v>51</v>
      </c>
      <c r="C44" s="14" t="s">
        <v>51</v>
      </c>
      <c r="D44" s="14" t="s">
        <v>51</v>
      </c>
      <c r="E44" s="14" t="s">
        <v>51</v>
      </c>
      <c r="F44" s="14" t="s">
        <v>51</v>
      </c>
      <c r="G44" s="14" t="s">
        <v>51</v>
      </c>
      <c r="H44" s="14" t="s">
        <v>51</v>
      </c>
      <c r="I44" s="14"/>
    </row>
    <row r="46" spans="1:9" x14ac:dyDescent="0.25">
      <c r="A46" t="s">
        <v>17</v>
      </c>
    </row>
    <row r="47" spans="1:9" x14ac:dyDescent="0.25">
      <c r="A47" t="s">
        <v>18</v>
      </c>
      <c r="B47" s="16">
        <f>B14/B13*100</f>
        <v>45.752895752895753</v>
      </c>
      <c r="C47" s="16">
        <f t="shared" ref="C47:H47" si="10">C14/C13*100</f>
        <v>144.44444444444443</v>
      </c>
      <c r="D47" s="16">
        <f t="shared" si="10"/>
        <v>91.666666666666657</v>
      </c>
      <c r="E47" s="16">
        <f t="shared" si="10"/>
        <v>186.66666666666666</v>
      </c>
      <c r="F47" s="16">
        <f>F14/F13*100</f>
        <v>42.199999999999996</v>
      </c>
      <c r="G47" s="16">
        <f>G14/G13*100</f>
        <v>42.199999999999996</v>
      </c>
      <c r="H47" s="16" t="e">
        <f t="shared" si="10"/>
        <v>#DIV/0!</v>
      </c>
    </row>
    <row r="48" spans="1:9" x14ac:dyDescent="0.25">
      <c r="A48" t="s">
        <v>19</v>
      </c>
      <c r="B48" s="14">
        <f>B21/B20*100</f>
        <v>44.380928724700318</v>
      </c>
      <c r="C48" s="14">
        <f t="shared" ref="C48:F48" si="11">C21/C20*100</f>
        <v>43.93429622464167</v>
      </c>
      <c r="D48" s="14">
        <f t="shared" si="11"/>
        <v>41.871670175979439</v>
      </c>
      <c r="E48" s="14">
        <f>E21/E20*100</f>
        <v>73.205600000000004</v>
      </c>
      <c r="F48" s="14">
        <f t="shared" si="11"/>
        <v>45.441072375000005</v>
      </c>
      <c r="G48" s="14">
        <f>G21/G20*100</f>
        <v>45.441072375000005</v>
      </c>
      <c r="H48" s="14" t="e">
        <f>H21/H20*100</f>
        <v>#DIV/0!</v>
      </c>
    </row>
    <row r="49" spans="1:8" x14ac:dyDescent="0.25">
      <c r="A49" s="12" t="s">
        <v>20</v>
      </c>
      <c r="B49" s="15">
        <f t="shared" ref="B49:H49" si="12">AVERAGE(B47:B48)</f>
        <v>45.066912238798039</v>
      </c>
      <c r="C49" s="15">
        <f t="shared" si="12"/>
        <v>94.189370334543042</v>
      </c>
      <c r="D49" s="15">
        <f t="shared" si="12"/>
        <v>66.769168421323045</v>
      </c>
      <c r="E49" s="15">
        <f t="shared" si="12"/>
        <v>129.93613333333332</v>
      </c>
      <c r="F49" s="15">
        <f t="shared" si="12"/>
        <v>43.820536187499997</v>
      </c>
      <c r="G49" s="15">
        <f t="shared" si="12"/>
        <v>43.820536187499997</v>
      </c>
      <c r="H49" s="15" t="e">
        <f t="shared" si="12"/>
        <v>#DIV/0!</v>
      </c>
    </row>
    <row r="50" spans="1:8" x14ac:dyDescent="0.25">
      <c r="B50" s="14"/>
      <c r="C50" s="14"/>
      <c r="D50" s="14"/>
      <c r="E50" s="14"/>
      <c r="F50" s="14"/>
      <c r="G50" s="14"/>
      <c r="H50" s="14"/>
    </row>
    <row r="51" spans="1:8" x14ac:dyDescent="0.25">
      <c r="A51" t="s">
        <v>21</v>
      </c>
    </row>
    <row r="52" spans="1:8" x14ac:dyDescent="0.25">
      <c r="A52" t="s">
        <v>22</v>
      </c>
      <c r="B52" s="14">
        <f>(B14/B16)*100</f>
        <v>28.832116788321166</v>
      </c>
      <c r="C52" s="14">
        <f t="shared" ref="C52:H52" si="13">(C14/C16)*100</f>
        <v>36.111111111111107</v>
      </c>
      <c r="D52" s="14">
        <f t="shared" si="13"/>
        <v>22.916666666666664</v>
      </c>
      <c r="E52" s="14">
        <f t="shared" si="13"/>
        <v>46.666666666666664</v>
      </c>
      <c r="F52" s="14">
        <f>(F14/F16)*100</f>
        <v>28.133333333333333</v>
      </c>
      <c r="G52" s="14">
        <f>(G14/G16)*100</f>
        <v>28.133333333333333</v>
      </c>
      <c r="H52" s="14" t="e">
        <f t="shared" si="13"/>
        <v>#DIV/0!</v>
      </c>
    </row>
    <row r="53" spans="1:8" x14ac:dyDescent="0.25">
      <c r="A53" t="s">
        <v>23</v>
      </c>
      <c r="B53" s="14">
        <f>B21/B22*100</f>
        <v>13.618125832798977</v>
      </c>
      <c r="C53" s="14">
        <f t="shared" ref="C53:F53" si="14">C21/C22*100</f>
        <v>10.983574050376269</v>
      </c>
      <c r="D53" s="14">
        <f t="shared" si="14"/>
        <v>10.467917538093815</v>
      </c>
      <c r="E53" s="14">
        <f>E21/E22*100</f>
        <v>18.301400000000001</v>
      </c>
      <c r="F53" s="14">
        <f t="shared" si="14"/>
        <v>30.294048249999999</v>
      </c>
      <c r="G53" s="14">
        <f>G21/G22*100</f>
        <v>30.294048249999999</v>
      </c>
      <c r="H53" s="14" t="e">
        <f>H21/H22*100</f>
        <v>#DIV/0!</v>
      </c>
    </row>
    <row r="54" spans="1:8" x14ac:dyDescent="0.25">
      <c r="A54" t="s">
        <v>24</v>
      </c>
      <c r="B54" s="14">
        <f t="shared" ref="B54:H54" si="15">(B52+B53)/2</f>
        <v>21.22512131056007</v>
      </c>
      <c r="C54" s="14">
        <f t="shared" si="15"/>
        <v>23.547342580743688</v>
      </c>
      <c r="D54" s="14">
        <f t="shared" si="15"/>
        <v>16.69229210238024</v>
      </c>
      <c r="E54" s="14">
        <f t="shared" si="15"/>
        <v>32.484033333333329</v>
      </c>
      <c r="F54" s="14">
        <f t="shared" si="15"/>
        <v>29.213690791666664</v>
      </c>
      <c r="G54" s="14">
        <f t="shared" si="15"/>
        <v>29.213690791666664</v>
      </c>
      <c r="H54" s="14" t="e">
        <f t="shared" si="15"/>
        <v>#DIV/0!</v>
      </c>
    </row>
    <row r="56" spans="1:8" x14ac:dyDescent="0.25">
      <c r="A56" s="12" t="s">
        <v>35</v>
      </c>
      <c r="B56" s="15"/>
      <c r="C56" s="15"/>
      <c r="D56" s="15"/>
      <c r="E56" s="15"/>
      <c r="F56" s="15"/>
      <c r="G56" s="15"/>
      <c r="H56" s="15"/>
    </row>
    <row r="57" spans="1:8" x14ac:dyDescent="0.25">
      <c r="A57" t="s">
        <v>25</v>
      </c>
      <c r="B57" s="14">
        <f t="shared" ref="B57:F57" si="16">B23/B21*100</f>
        <v>100</v>
      </c>
      <c r="C57" s="14">
        <f t="shared" si="16"/>
        <v>100</v>
      </c>
      <c r="D57" s="14"/>
      <c r="E57" s="14"/>
      <c r="F57" s="14">
        <f t="shared" si="16"/>
        <v>100</v>
      </c>
      <c r="G57" s="14"/>
      <c r="H57" s="14"/>
    </row>
    <row r="59" spans="1:8" x14ac:dyDescent="0.25">
      <c r="A59" t="s">
        <v>26</v>
      </c>
    </row>
    <row r="60" spans="1:8" x14ac:dyDescent="0.25">
      <c r="A60" t="s">
        <v>27</v>
      </c>
      <c r="B60" s="14">
        <f>((B14/B11)-1)*100</f>
        <v>-92.998522895125561</v>
      </c>
      <c r="C60" s="14">
        <f t="shared" ref="C60:H60" si="17">((C14/C11)-1)*100</f>
        <v>-18.75</v>
      </c>
      <c r="D60" s="14">
        <f t="shared" si="17"/>
        <v>4.7619047619047672</v>
      </c>
      <c r="E60" s="14">
        <f t="shared" si="17"/>
        <v>-25.333333333333329</v>
      </c>
      <c r="F60" s="14">
        <f>((F14/F11)-1)*100</f>
        <v>-93.707127945123773</v>
      </c>
      <c r="G60" s="14">
        <f>((G14/G11)-1)*100</f>
        <v>-32.802547770700642</v>
      </c>
      <c r="H60" s="14">
        <f t="shared" si="17"/>
        <v>-100</v>
      </c>
    </row>
    <row r="61" spans="1:8" x14ac:dyDescent="0.25">
      <c r="A61" t="s">
        <v>28</v>
      </c>
      <c r="B61" s="14">
        <f>((B36/B35)-1)*100</f>
        <v>-40.335272939396837</v>
      </c>
      <c r="C61" s="14">
        <f>((C36/C35)-1)*100</f>
        <v>-48.220853312900701</v>
      </c>
      <c r="D61" s="14">
        <f t="shared" ref="D61:H61" si="18">((D36/D35)-1)*100</f>
        <v>-49.237081468451649</v>
      </c>
      <c r="E61" s="14">
        <f t="shared" si="18"/>
        <v>-38.174461925307178</v>
      </c>
      <c r="F61" s="14">
        <f t="shared" si="18"/>
        <v>-8.2785434115323469</v>
      </c>
      <c r="G61" s="14">
        <f t="shared" si="18"/>
        <v>-8.2785434115323469</v>
      </c>
      <c r="H61" s="14" t="e">
        <f t="shared" si="18"/>
        <v>#DIV/0!</v>
      </c>
    </row>
    <row r="62" spans="1:8" x14ac:dyDescent="0.25">
      <c r="A62" s="12" t="s">
        <v>29</v>
      </c>
      <c r="B62" s="15">
        <f t="shared" ref="B62:H62" si="19">((B38/B37)-1)*100</f>
        <v>752.17342236346701</v>
      </c>
      <c r="C62" s="15">
        <f t="shared" si="19"/>
        <v>-36.27181946203163</v>
      </c>
      <c r="D62" s="15">
        <f t="shared" si="19"/>
        <v>-51.544486856249307</v>
      </c>
      <c r="E62" s="15">
        <f t="shared" si="19"/>
        <v>-17.197940078536401</v>
      </c>
      <c r="F62" s="15">
        <f t="shared" si="19"/>
        <v>1357.545231948493</v>
      </c>
      <c r="G62" s="15">
        <f t="shared" si="19"/>
        <v>36.495437766724372</v>
      </c>
      <c r="H62" s="15" t="e">
        <f t="shared" si="19"/>
        <v>#DIV/0!</v>
      </c>
    </row>
    <row r="63" spans="1:8" x14ac:dyDescent="0.25">
      <c r="B63" s="16"/>
      <c r="C63" s="16"/>
      <c r="D63" s="16"/>
      <c r="E63" s="16"/>
      <c r="F63" s="16"/>
      <c r="G63" s="16"/>
      <c r="H63" s="16"/>
    </row>
    <row r="64" spans="1:8" x14ac:dyDescent="0.25">
      <c r="A64" t="s">
        <v>30</v>
      </c>
    </row>
    <row r="65" spans="1:8" x14ac:dyDescent="0.25">
      <c r="A65" t="s">
        <v>38</v>
      </c>
      <c r="B65" s="3">
        <f t="shared" ref="B65:H65" si="20">B20/B13</f>
        <v>17367.503211068211</v>
      </c>
      <c r="C65" s="3">
        <f t="shared" si="20"/>
        <v>351649.99981481477</v>
      </c>
      <c r="D65" s="3">
        <f t="shared" si="20"/>
        <v>739129.16624999989</v>
      </c>
      <c r="E65" s="3">
        <f t="shared" si="20"/>
        <v>41666.666666666664</v>
      </c>
      <c r="F65" s="3">
        <f t="shared" si="20"/>
        <v>5333.333333333333</v>
      </c>
      <c r="G65" s="3">
        <f t="shared" si="20"/>
        <v>5333.333333333333</v>
      </c>
      <c r="H65" s="3" t="e">
        <f t="shared" si="20"/>
        <v>#DIV/0!</v>
      </c>
    </row>
    <row r="66" spans="1:8" x14ac:dyDescent="0.25">
      <c r="A66" t="s">
        <v>39</v>
      </c>
      <c r="B66" s="3">
        <f t="shared" ref="B66:H66" si="21">B21/B14</f>
        <v>16846.71340365682</v>
      </c>
      <c r="C66" s="3">
        <f t="shared" si="21"/>
        <v>106958.0441025641</v>
      </c>
      <c r="D66" s="3">
        <f t="shared" si="21"/>
        <v>337620.79272727272</v>
      </c>
      <c r="E66" s="3">
        <f>E21/E14</f>
        <v>16340.535714285714</v>
      </c>
      <c r="F66" s="3">
        <f>F21/F14</f>
        <v>5742.947535545024</v>
      </c>
      <c r="G66" s="3">
        <f>G21/G14</f>
        <v>5742.947535545024</v>
      </c>
      <c r="H66" s="3" t="e">
        <f t="shared" si="21"/>
        <v>#DIV/0!</v>
      </c>
    </row>
    <row r="67" spans="1:8" x14ac:dyDescent="0.25">
      <c r="A67" s="12" t="s">
        <v>31</v>
      </c>
      <c r="B67" s="15">
        <f>(B65/B66)*B49</f>
        <v>46.460085374893247</v>
      </c>
      <c r="C67" s="15">
        <f t="shared" ref="C67:H67" si="22">(C65/C66)*C49</f>
        <v>309.66994898428169</v>
      </c>
      <c r="D67" s="15">
        <f t="shared" si="22"/>
        <v>146.1729871190833</v>
      </c>
      <c r="E67" s="15">
        <f t="shared" si="22"/>
        <v>331.32362672922409</v>
      </c>
      <c r="F67" s="15">
        <f t="shared" si="22"/>
        <v>40.695048124125606</v>
      </c>
      <c r="G67" s="15">
        <f t="shared" si="22"/>
        <v>40.695048124125606</v>
      </c>
      <c r="H67" s="15" t="e">
        <f t="shared" si="22"/>
        <v>#DIV/0!</v>
      </c>
    </row>
    <row r="68" spans="1:8" s="5" customFormat="1" x14ac:dyDescent="0.25">
      <c r="A68" t="s">
        <v>40</v>
      </c>
      <c r="B68" s="26">
        <f>B20/(B13*3)</f>
        <v>5789.1677370227362</v>
      </c>
      <c r="C68" s="26">
        <f t="shared" ref="C68:H68" si="23">C20/(C13*3)</f>
        <v>117216.66660493826</v>
      </c>
      <c r="D68" s="26">
        <f t="shared" si="23"/>
        <v>246376.38874999998</v>
      </c>
      <c r="E68" s="26">
        <f t="shared" si="23"/>
        <v>13888.888888888889</v>
      </c>
      <c r="F68" s="26">
        <f t="shared" si="23"/>
        <v>1777.7777777777778</v>
      </c>
      <c r="G68" s="26">
        <f t="shared" si="23"/>
        <v>1777.7777777777778</v>
      </c>
      <c r="H68" s="26" t="e">
        <f t="shared" si="23"/>
        <v>#DIV/0!</v>
      </c>
    </row>
    <row r="69" spans="1:8" s="5" customFormat="1" x14ac:dyDescent="0.25">
      <c r="A69" t="s">
        <v>41</v>
      </c>
      <c r="B69" s="26">
        <f>B21/(B14*3)</f>
        <v>5615.5711345522741</v>
      </c>
      <c r="C69" s="26">
        <f t="shared" ref="C69:H69" si="24">C21/(C14*3)</f>
        <v>35652.681367521371</v>
      </c>
      <c r="D69" s="26">
        <f t="shared" si="24"/>
        <v>112540.26424242425</v>
      </c>
      <c r="E69" s="26">
        <f>E21/(E14*3)</f>
        <v>5446.8452380952385</v>
      </c>
      <c r="F69" s="26">
        <f>F21/(F14*3)</f>
        <v>1914.3158451816746</v>
      </c>
      <c r="G69" s="26">
        <f>G21/(G14*3)</f>
        <v>1914.3158451816746</v>
      </c>
      <c r="H69" s="26" t="e">
        <f t="shared" si="24"/>
        <v>#DIV/0!</v>
      </c>
    </row>
    <row r="70" spans="1:8" x14ac:dyDescent="0.25">
      <c r="B70" s="14"/>
      <c r="C70" s="14"/>
      <c r="D70" s="14"/>
    </row>
    <row r="71" spans="1:8" x14ac:dyDescent="0.25">
      <c r="A71" t="s">
        <v>32</v>
      </c>
      <c r="B71" s="14"/>
      <c r="C71" s="14"/>
      <c r="D71" s="14"/>
    </row>
    <row r="72" spans="1:8" x14ac:dyDescent="0.25">
      <c r="A72" s="17" t="s">
        <v>33</v>
      </c>
      <c r="B72" s="18">
        <f>(B27/B26)*100</f>
        <v>0</v>
      </c>
      <c r="C72" s="18">
        <f>(C27/C26)*100</f>
        <v>0</v>
      </c>
      <c r="D72" s="18"/>
      <c r="E72" s="18"/>
      <c r="F72" s="18">
        <f>(F27/F26)*100</f>
        <v>0</v>
      </c>
      <c r="G72" s="18"/>
      <c r="H72" s="18"/>
    </row>
    <row r="73" spans="1:8" x14ac:dyDescent="0.25">
      <c r="A73" s="17" t="s">
        <v>34</v>
      </c>
      <c r="B73" s="18" t="e">
        <f>(B21/B27)*100</f>
        <v>#DIV/0!</v>
      </c>
      <c r="C73" s="18" t="e">
        <f>(C21/C27)*100</f>
        <v>#DIV/0!</v>
      </c>
      <c r="D73" s="18"/>
      <c r="E73" s="18"/>
      <c r="F73" s="18" t="e">
        <f>(F21/F27)*100</f>
        <v>#DIV/0!</v>
      </c>
      <c r="G73" s="18"/>
      <c r="H73" s="18"/>
    </row>
    <row r="74" spans="1:8" ht="15.75" thickBot="1" x14ac:dyDescent="0.3">
      <c r="A74" s="19"/>
      <c r="B74" s="19"/>
      <c r="C74" s="19"/>
      <c r="D74" s="19"/>
      <c r="E74" s="19"/>
      <c r="F74" s="19"/>
      <c r="G74" s="19"/>
      <c r="H74" s="19"/>
    </row>
    <row r="75" spans="1:8" ht="15.75" thickTop="1" x14ac:dyDescent="0.25">
      <c r="A75" s="22" t="s">
        <v>36</v>
      </c>
    </row>
    <row r="76" spans="1:8" x14ac:dyDescent="0.25">
      <c r="A76" s="22" t="s">
        <v>111</v>
      </c>
    </row>
    <row r="77" spans="1:8" x14ac:dyDescent="0.25">
      <c r="A77" s="22" t="s">
        <v>101</v>
      </c>
    </row>
    <row r="78" spans="1:8" x14ac:dyDescent="0.25">
      <c r="A78" s="22" t="s">
        <v>84</v>
      </c>
      <c r="B78" s="20"/>
      <c r="C78" s="20"/>
      <c r="D78" s="20"/>
    </row>
    <row r="79" spans="1:8" x14ac:dyDescent="0.25">
      <c r="A79" s="22"/>
    </row>
    <row r="80" spans="1:8" x14ac:dyDescent="0.25">
      <c r="A80" s="22"/>
    </row>
    <row r="82" spans="1:1" x14ac:dyDescent="0.25">
      <c r="A82" t="s">
        <v>37</v>
      </c>
    </row>
    <row r="85" spans="1:1" x14ac:dyDescent="0.25">
      <c r="A85" t="s">
        <v>52</v>
      </c>
    </row>
    <row r="86" spans="1:1" x14ac:dyDescent="0.25">
      <c r="A86" t="s">
        <v>53</v>
      </c>
    </row>
    <row r="89" spans="1:1" x14ac:dyDescent="0.25">
      <c r="A89" t="s">
        <v>142</v>
      </c>
    </row>
  </sheetData>
  <mergeCells count="11">
    <mergeCell ref="A2:H2"/>
    <mergeCell ref="A4:A6"/>
    <mergeCell ref="B4:B6"/>
    <mergeCell ref="C4:E4"/>
    <mergeCell ref="F4:H4"/>
    <mergeCell ref="C5:C6"/>
    <mergeCell ref="E5:E6"/>
    <mergeCell ref="F5:F6"/>
    <mergeCell ref="G5:G6"/>
    <mergeCell ref="H5:H6"/>
    <mergeCell ref="D5:D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8"/>
  <sheetViews>
    <sheetView topLeftCell="A4" zoomScale="80" zoomScaleNormal="80" workbookViewId="0">
      <pane ySplit="3" topLeftCell="A7" activePane="bottomLeft" state="frozen"/>
      <selection activeCell="A4" sqref="A4"/>
      <selection pane="bottomLeft" activeCell="G11" sqref="G11:H12"/>
    </sheetView>
  </sheetViews>
  <sheetFormatPr baseColWidth="10" defaultColWidth="11.42578125" defaultRowHeight="15" x14ac:dyDescent="0.25"/>
  <cols>
    <col min="1" max="1" width="50.85546875" customWidth="1"/>
    <col min="2" max="2" width="16.28515625" bestFit="1" customWidth="1"/>
    <col min="3" max="7" width="13.7109375" customWidth="1"/>
    <col min="8" max="8" width="15.42578125" customWidth="1"/>
  </cols>
  <sheetData>
    <row r="2" spans="1:9" ht="15.75" x14ac:dyDescent="0.25">
      <c r="A2" s="40" t="s">
        <v>114</v>
      </c>
      <c r="B2" s="40"/>
      <c r="C2" s="40"/>
      <c r="D2" s="40"/>
      <c r="E2" s="40"/>
      <c r="F2" s="40"/>
      <c r="G2" s="40"/>
      <c r="H2" s="40"/>
    </row>
    <row r="4" spans="1:9" ht="20.100000000000001" customHeight="1" x14ac:dyDescent="0.25">
      <c r="A4" s="41" t="s">
        <v>0</v>
      </c>
      <c r="B4" s="44" t="s">
        <v>1</v>
      </c>
      <c r="C4" s="47" t="s">
        <v>2</v>
      </c>
      <c r="D4" s="48"/>
      <c r="E4" s="49"/>
      <c r="F4" s="47" t="s">
        <v>3</v>
      </c>
      <c r="G4" s="48"/>
      <c r="H4" s="49"/>
    </row>
    <row r="5" spans="1:9" ht="20.100000000000001" customHeight="1" x14ac:dyDescent="0.25">
      <c r="A5" s="42"/>
      <c r="B5" s="45"/>
      <c r="C5" s="50" t="s">
        <v>4</v>
      </c>
      <c r="D5" s="56" t="s">
        <v>5</v>
      </c>
      <c r="E5" s="52" t="s">
        <v>91</v>
      </c>
      <c r="F5" s="54" t="s">
        <v>4</v>
      </c>
      <c r="G5" s="56" t="s">
        <v>81</v>
      </c>
      <c r="H5" s="57" t="s">
        <v>6</v>
      </c>
    </row>
    <row r="6" spans="1:9" ht="15.75" thickBot="1" x14ac:dyDescent="0.3">
      <c r="A6" s="43"/>
      <c r="B6" s="46"/>
      <c r="C6" s="51"/>
      <c r="D6" s="53"/>
      <c r="E6" s="53"/>
      <c r="F6" s="55"/>
      <c r="G6" s="53"/>
      <c r="H6" s="58"/>
    </row>
    <row r="7" spans="1:9" ht="15.75" thickTop="1" x14ac:dyDescent="0.25"/>
    <row r="8" spans="1:9" x14ac:dyDescent="0.25">
      <c r="A8" s="1" t="s">
        <v>7</v>
      </c>
    </row>
    <row r="10" spans="1:9" x14ac:dyDescent="0.25">
      <c r="A10" t="s">
        <v>48</v>
      </c>
    </row>
    <row r="11" spans="1:9" x14ac:dyDescent="0.25">
      <c r="A11" s="2" t="s">
        <v>65</v>
      </c>
      <c r="B11" s="4">
        <f t="shared" ref="B11:B16" si="0">C11+F11</f>
        <v>5839</v>
      </c>
      <c r="C11" s="4">
        <f t="shared" ref="C11:C16" si="1">D11+E11</f>
        <v>68</v>
      </c>
      <c r="D11">
        <v>23</v>
      </c>
      <c r="E11">
        <v>45</v>
      </c>
      <c r="F11" s="23">
        <f>SUM(G11:H11)</f>
        <v>5771</v>
      </c>
      <c r="G11" s="23">
        <v>425</v>
      </c>
      <c r="H11" s="23">
        <v>5346</v>
      </c>
    </row>
    <row r="12" spans="1:9" x14ac:dyDescent="0.25">
      <c r="A12" s="27" t="s">
        <v>49</v>
      </c>
      <c r="B12" s="4">
        <f t="shared" si="0"/>
        <v>5845</v>
      </c>
      <c r="C12" s="4">
        <f t="shared" si="1"/>
        <v>74</v>
      </c>
      <c r="D12">
        <v>29</v>
      </c>
      <c r="E12">
        <v>45</v>
      </c>
      <c r="F12" s="23">
        <f t="shared" ref="F12:F16" si="2">SUM(G12:H12)</f>
        <v>5771</v>
      </c>
      <c r="G12" s="23">
        <v>425</v>
      </c>
      <c r="H12" s="23">
        <v>5346</v>
      </c>
    </row>
    <row r="13" spans="1:9" x14ac:dyDescent="0.25">
      <c r="A13" s="2" t="s">
        <v>115</v>
      </c>
      <c r="B13" s="4">
        <f t="shared" si="0"/>
        <v>674</v>
      </c>
      <c r="C13" s="4">
        <f t="shared" si="1"/>
        <v>54</v>
      </c>
      <c r="D13">
        <v>24</v>
      </c>
      <c r="E13" s="5">
        <v>30</v>
      </c>
      <c r="F13" s="5">
        <f t="shared" si="2"/>
        <v>620</v>
      </c>
      <c r="G13" s="5">
        <v>620</v>
      </c>
      <c r="H13" s="5">
        <v>0</v>
      </c>
      <c r="I13" s="39"/>
    </row>
    <row r="14" spans="1:9" x14ac:dyDescent="0.25">
      <c r="A14" s="2" t="s">
        <v>116</v>
      </c>
      <c r="B14" s="4">
        <f t="shared" si="0"/>
        <v>1095</v>
      </c>
      <c r="C14" s="4">
        <f t="shared" si="1"/>
        <v>126</v>
      </c>
      <c r="D14">
        <v>17</v>
      </c>
      <c r="E14">
        <v>109</v>
      </c>
      <c r="F14" s="5">
        <f t="shared" si="2"/>
        <v>969</v>
      </c>
      <c r="G14" s="4">
        <v>969</v>
      </c>
      <c r="H14" s="5">
        <v>0</v>
      </c>
    </row>
    <row r="15" spans="1:9" x14ac:dyDescent="0.25">
      <c r="A15" s="27" t="s">
        <v>49</v>
      </c>
      <c r="B15" s="4">
        <f t="shared" si="0"/>
        <v>130</v>
      </c>
      <c r="C15" s="4">
        <f t="shared" si="1"/>
        <v>130</v>
      </c>
      <c r="D15">
        <v>21</v>
      </c>
      <c r="E15">
        <v>109</v>
      </c>
      <c r="F15" s="5">
        <f t="shared" si="2"/>
        <v>0</v>
      </c>
      <c r="G15" s="4">
        <v>0</v>
      </c>
      <c r="H15" s="5">
        <v>0</v>
      </c>
    </row>
    <row r="16" spans="1:9" x14ac:dyDescent="0.25">
      <c r="A16" s="2" t="s">
        <v>89</v>
      </c>
      <c r="B16" s="4">
        <f t="shared" si="0"/>
        <v>2466</v>
      </c>
      <c r="C16" s="4">
        <f t="shared" si="1"/>
        <v>216</v>
      </c>
      <c r="D16">
        <v>96</v>
      </c>
      <c r="E16">
        <v>120</v>
      </c>
      <c r="F16" s="5">
        <f t="shared" si="2"/>
        <v>2250</v>
      </c>
      <c r="G16" s="5">
        <v>2250</v>
      </c>
      <c r="H16" s="5">
        <v>0</v>
      </c>
    </row>
    <row r="17" spans="1:10" x14ac:dyDescent="0.25">
      <c r="F17" s="5"/>
    </row>
    <row r="18" spans="1:10" x14ac:dyDescent="0.25">
      <c r="A18" s="6" t="s">
        <v>8</v>
      </c>
      <c r="F18" s="5"/>
    </row>
    <row r="19" spans="1:10" x14ac:dyDescent="0.25">
      <c r="A19" s="2" t="s">
        <v>65</v>
      </c>
      <c r="B19" s="4">
        <f>C19+F19</f>
        <v>34368493.280000001</v>
      </c>
      <c r="C19" s="4">
        <f>D19+E19</f>
        <v>27073878.280000001</v>
      </c>
      <c r="D19" s="3">
        <v>25708998.280000001</v>
      </c>
      <c r="E19" s="4">
        <v>1364880</v>
      </c>
      <c r="F19" s="23">
        <f t="shared" ref="F19:F22" si="3">SUM(G19:H19)</f>
        <v>7294615</v>
      </c>
      <c r="G19" s="4">
        <v>3791615</v>
      </c>
      <c r="H19" s="4">
        <v>3503000</v>
      </c>
    </row>
    <row r="20" spans="1:10" x14ac:dyDescent="0.25">
      <c r="A20" s="2" t="s">
        <v>115</v>
      </c>
      <c r="B20" s="3">
        <f>C20+F20</f>
        <v>22295766.656666666</v>
      </c>
      <c r="C20" s="3">
        <f>D20+E20</f>
        <v>18989099.989999998</v>
      </c>
      <c r="D20" s="3">
        <v>17739099.989999998</v>
      </c>
      <c r="E20" s="3">
        <v>1250000</v>
      </c>
      <c r="F20" s="23">
        <f t="shared" si="3"/>
        <v>3306666.6666666665</v>
      </c>
      <c r="G20" s="3">
        <v>3306666.6666666665</v>
      </c>
      <c r="H20" s="3">
        <v>0</v>
      </c>
    </row>
    <row r="21" spans="1:10" x14ac:dyDescent="0.25">
      <c r="A21" s="2" t="s">
        <v>116</v>
      </c>
      <c r="B21" s="3">
        <f>C21+F21</f>
        <v>26870485.18</v>
      </c>
      <c r="C21" s="3">
        <f>D21+E21</f>
        <v>19559985.18</v>
      </c>
      <c r="D21" s="3">
        <v>18117655.18</v>
      </c>
      <c r="E21" s="4">
        <v>1442330</v>
      </c>
      <c r="F21" s="4">
        <f>SUM(G21:H21)</f>
        <v>7310500</v>
      </c>
      <c r="G21" s="4">
        <v>7310500</v>
      </c>
      <c r="H21" s="4">
        <v>0</v>
      </c>
      <c r="J21" s="4"/>
    </row>
    <row r="22" spans="1:10" x14ac:dyDescent="0.25">
      <c r="A22" s="2" t="s">
        <v>89</v>
      </c>
      <c r="B22" s="3">
        <f>C22+F22</f>
        <v>87956400</v>
      </c>
      <c r="C22" s="3">
        <f>D22+E22</f>
        <v>75956400</v>
      </c>
      <c r="D22" s="3">
        <v>70956400</v>
      </c>
      <c r="E22" s="3">
        <v>5000000</v>
      </c>
      <c r="F22" s="23">
        <f t="shared" si="3"/>
        <v>12000000</v>
      </c>
      <c r="G22" s="3">
        <v>12000000</v>
      </c>
      <c r="H22" s="3">
        <v>0</v>
      </c>
    </row>
    <row r="23" spans="1:10" x14ac:dyDescent="0.25">
      <c r="A23" s="2" t="s">
        <v>117</v>
      </c>
      <c r="B23" s="3">
        <f>+C23+F23</f>
        <v>26870485.18</v>
      </c>
      <c r="C23" s="3">
        <f>+D23+E23</f>
        <v>19559985.18</v>
      </c>
      <c r="D23" s="3">
        <f>D21</f>
        <v>18117655.18</v>
      </c>
      <c r="E23" s="3">
        <f>E21</f>
        <v>1442330</v>
      </c>
      <c r="F23" s="3">
        <f>H23+G23</f>
        <v>7310500</v>
      </c>
      <c r="G23" s="3">
        <f>G21</f>
        <v>7310500</v>
      </c>
      <c r="H23" s="3"/>
    </row>
    <row r="24" spans="1:10" x14ac:dyDescent="0.25">
      <c r="B24" s="3"/>
      <c r="C24" s="3"/>
      <c r="D24" s="3"/>
    </row>
    <row r="25" spans="1:10" x14ac:dyDescent="0.25">
      <c r="A25" s="7" t="s">
        <v>9</v>
      </c>
      <c r="B25" s="8"/>
      <c r="C25" s="8"/>
      <c r="D25" s="8"/>
      <c r="E25" s="8"/>
      <c r="F25" s="8"/>
      <c r="G25" s="8"/>
      <c r="H25" s="8"/>
    </row>
    <row r="26" spans="1:10" x14ac:dyDescent="0.25">
      <c r="A26" s="9" t="s">
        <v>115</v>
      </c>
      <c r="B26" s="8">
        <f>B20</f>
        <v>22295766.656666666</v>
      </c>
      <c r="C26" s="8">
        <f>C20</f>
        <v>18989099.989999998</v>
      </c>
      <c r="D26" s="8"/>
      <c r="E26" s="8"/>
      <c r="F26" s="8">
        <f>F20</f>
        <v>3306666.6666666665</v>
      </c>
      <c r="G26" s="8"/>
      <c r="H26" s="8"/>
    </row>
    <row r="27" spans="1:10" x14ac:dyDescent="0.25">
      <c r="A27" s="9" t="s">
        <v>116</v>
      </c>
      <c r="B27" s="8">
        <f>+C27+F27</f>
        <v>56347612.799999997</v>
      </c>
      <c r="C27" s="8">
        <v>45080582.799999997</v>
      </c>
      <c r="D27" s="8"/>
      <c r="E27" s="8"/>
      <c r="F27" s="8">
        <v>11267030</v>
      </c>
      <c r="G27" s="8"/>
      <c r="H27" s="8"/>
    </row>
    <row r="29" spans="1:10" x14ac:dyDescent="0.25">
      <c r="A29" t="s">
        <v>10</v>
      </c>
    </row>
    <row r="30" spans="1:10" x14ac:dyDescent="0.25">
      <c r="A30" s="10" t="s">
        <v>66</v>
      </c>
      <c r="B30" s="21">
        <v>1.62</v>
      </c>
      <c r="C30" s="21">
        <v>1.62</v>
      </c>
      <c r="D30" s="21">
        <v>1.62</v>
      </c>
      <c r="E30" s="21">
        <v>1.62</v>
      </c>
      <c r="F30" s="21">
        <v>1.62</v>
      </c>
      <c r="G30" s="21">
        <v>1.62</v>
      </c>
      <c r="H30" s="21">
        <v>1.62</v>
      </c>
    </row>
    <row r="31" spans="1:10" x14ac:dyDescent="0.25">
      <c r="A31" s="10" t="s">
        <v>118</v>
      </c>
      <c r="B31" s="21">
        <v>1.71</v>
      </c>
      <c r="C31" s="21">
        <v>1.71</v>
      </c>
      <c r="D31" s="21">
        <v>1.71</v>
      </c>
      <c r="E31" s="21">
        <v>1.71</v>
      </c>
      <c r="F31" s="21">
        <v>1.71</v>
      </c>
      <c r="G31" s="21">
        <v>1.71</v>
      </c>
      <c r="H31" s="21">
        <v>1.71</v>
      </c>
    </row>
    <row r="32" spans="1:10" x14ac:dyDescent="0.25">
      <c r="A32" s="37" t="s">
        <v>11</v>
      </c>
      <c r="B32" s="4"/>
      <c r="C32" s="38"/>
      <c r="D32" s="38"/>
      <c r="E32" s="38"/>
      <c r="F32" s="38"/>
      <c r="G32" s="38"/>
      <c r="H32" s="38"/>
    </row>
    <row r="34" spans="1:8" x14ac:dyDescent="0.25">
      <c r="A34" s="11" t="s">
        <v>12</v>
      </c>
      <c r="B34" s="12"/>
      <c r="C34" s="12"/>
      <c r="D34" s="12"/>
      <c r="E34" s="12"/>
      <c r="F34" s="12"/>
      <c r="G34" s="12"/>
      <c r="H34" s="12"/>
    </row>
    <row r="35" spans="1:8" x14ac:dyDescent="0.25">
      <c r="A35" s="12" t="s">
        <v>67</v>
      </c>
      <c r="B35" s="13">
        <f>B19/B30</f>
        <v>21215119.308641974</v>
      </c>
      <c r="C35" s="13">
        <f t="shared" ref="C35:H35" si="4">C19/C30</f>
        <v>16712270.543209877</v>
      </c>
      <c r="D35" s="13">
        <f>D19/D30</f>
        <v>15869752.024691358</v>
      </c>
      <c r="E35" s="13">
        <f t="shared" si="4"/>
        <v>842518.51851851842</v>
      </c>
      <c r="F35" s="13">
        <f t="shared" si="4"/>
        <v>4502848.7654320989</v>
      </c>
      <c r="G35" s="13">
        <f t="shared" si="4"/>
        <v>2340503.0864197528</v>
      </c>
      <c r="H35" s="13">
        <f t="shared" si="4"/>
        <v>2162345.6790123456</v>
      </c>
    </row>
    <row r="36" spans="1:8" x14ac:dyDescent="0.25">
      <c r="A36" s="12" t="s">
        <v>119</v>
      </c>
      <c r="B36" s="13">
        <f t="shared" ref="B36:F36" si="5">B21/B31</f>
        <v>15713734.023391813</v>
      </c>
      <c r="C36" s="13">
        <f t="shared" si="5"/>
        <v>11438587.824561404</v>
      </c>
      <c r="D36" s="13">
        <f t="shared" si="5"/>
        <v>10595119.988304093</v>
      </c>
      <c r="E36" s="13">
        <f t="shared" si="5"/>
        <v>843467.83625731</v>
      </c>
      <c r="F36" s="13">
        <f t="shared" si="5"/>
        <v>4275146.1988304099</v>
      </c>
      <c r="G36" s="13">
        <f>G21/G31</f>
        <v>4275146.1988304099</v>
      </c>
      <c r="H36" s="13">
        <f>H21/H31</f>
        <v>0</v>
      </c>
    </row>
    <row r="37" spans="1:8" x14ac:dyDescent="0.25">
      <c r="A37" s="12" t="s">
        <v>68</v>
      </c>
      <c r="B37" s="13">
        <f t="shared" ref="B37:H37" si="6">B35/B11</f>
        <v>3633.348057654046</v>
      </c>
      <c r="C37" s="13">
        <f t="shared" si="6"/>
        <v>245768.68445896878</v>
      </c>
      <c r="D37" s="13">
        <f t="shared" si="6"/>
        <v>689989.21846484172</v>
      </c>
      <c r="E37" s="13">
        <f t="shared" si="6"/>
        <v>18722.633744855964</v>
      </c>
      <c r="F37" s="13">
        <f t="shared" si="6"/>
        <v>780.25450795912298</v>
      </c>
      <c r="G37" s="13">
        <f t="shared" si="6"/>
        <v>5507.0660856935356</v>
      </c>
      <c r="H37" s="13">
        <f t="shared" si="6"/>
        <v>404.47917676998611</v>
      </c>
    </row>
    <row r="38" spans="1:8" x14ac:dyDescent="0.25">
      <c r="A38" s="12" t="s">
        <v>120</v>
      </c>
      <c r="B38" s="13">
        <f t="shared" ref="B38:H38" si="7">B36/B14</f>
        <v>14350.442030494807</v>
      </c>
      <c r="C38" s="13">
        <f t="shared" si="7"/>
        <v>90782.443052074639</v>
      </c>
      <c r="D38" s="13">
        <f t="shared" si="7"/>
        <v>623242.35225318198</v>
      </c>
      <c r="E38" s="13">
        <f t="shared" si="7"/>
        <v>7738.2370298835776</v>
      </c>
      <c r="F38" s="13">
        <f t="shared" si="7"/>
        <v>4411.9155818683284</v>
      </c>
      <c r="G38" s="13">
        <f t="shared" si="7"/>
        <v>4411.9155818683284</v>
      </c>
      <c r="H38" s="13" t="e">
        <f t="shared" si="7"/>
        <v>#DIV/0!</v>
      </c>
    </row>
    <row r="40" spans="1:8" x14ac:dyDescent="0.25">
      <c r="A40" s="1" t="s">
        <v>13</v>
      </c>
    </row>
    <row r="42" spans="1:8" x14ac:dyDescent="0.25">
      <c r="A42" t="s">
        <v>14</v>
      </c>
    </row>
    <row r="43" spans="1:8" x14ac:dyDescent="0.25">
      <c r="A43" t="s">
        <v>15</v>
      </c>
      <c r="B43" s="14" t="s">
        <v>51</v>
      </c>
      <c r="C43" s="14" t="s">
        <v>51</v>
      </c>
      <c r="D43" s="14" t="s">
        <v>51</v>
      </c>
      <c r="E43" s="14" t="s">
        <v>51</v>
      </c>
      <c r="F43" s="14" t="s">
        <v>51</v>
      </c>
      <c r="G43" s="14" t="s">
        <v>51</v>
      </c>
      <c r="H43" s="14" t="s">
        <v>51</v>
      </c>
    </row>
    <row r="44" spans="1:8" x14ac:dyDescent="0.25">
      <c r="A44" t="s">
        <v>16</v>
      </c>
      <c r="B44" s="14" t="s">
        <v>51</v>
      </c>
      <c r="C44" s="14" t="s">
        <v>51</v>
      </c>
      <c r="D44" s="14" t="s">
        <v>51</v>
      </c>
      <c r="E44" s="14" t="s">
        <v>51</v>
      </c>
      <c r="F44" s="14" t="s">
        <v>51</v>
      </c>
      <c r="G44" s="14" t="s">
        <v>51</v>
      </c>
      <c r="H44" s="14" t="s">
        <v>51</v>
      </c>
    </row>
    <row r="46" spans="1:8" x14ac:dyDescent="0.25">
      <c r="A46" t="s">
        <v>17</v>
      </c>
    </row>
    <row r="47" spans="1:8" x14ac:dyDescent="0.25">
      <c r="A47" t="s">
        <v>18</v>
      </c>
      <c r="B47" s="16">
        <f>B14/B13*100</f>
        <v>162.46290801186944</v>
      </c>
      <c r="C47" s="16">
        <f t="shared" ref="C47:H47" si="8">C14/C13*100</f>
        <v>233.33333333333334</v>
      </c>
      <c r="D47" s="16">
        <f t="shared" si="8"/>
        <v>70.833333333333343</v>
      </c>
      <c r="E47" s="16">
        <f t="shared" si="8"/>
        <v>363.33333333333331</v>
      </c>
      <c r="F47" s="16">
        <f t="shared" si="8"/>
        <v>156.29032258064518</v>
      </c>
      <c r="G47" s="16">
        <f t="shared" si="8"/>
        <v>156.29032258064518</v>
      </c>
      <c r="H47" s="16" t="e">
        <f t="shared" si="8"/>
        <v>#DIV/0!</v>
      </c>
    </row>
    <row r="48" spans="1:8" x14ac:dyDescent="0.25">
      <c r="A48" t="s">
        <v>19</v>
      </c>
      <c r="B48" s="14">
        <f>B21/B20*100</f>
        <v>120.51832795785673</v>
      </c>
      <c r="C48" s="14">
        <f t="shared" ref="C48:F48" si="9">C21/C20*100</f>
        <v>103.00638361112763</v>
      </c>
      <c r="D48" s="14">
        <f t="shared" si="9"/>
        <v>102.13401576299476</v>
      </c>
      <c r="E48" s="14">
        <f t="shared" si="9"/>
        <v>115.38639999999999</v>
      </c>
      <c r="F48" s="14">
        <f t="shared" si="9"/>
        <v>221.08366935483872</v>
      </c>
      <c r="G48" s="14">
        <f>G21/G20*100</f>
        <v>221.08366935483872</v>
      </c>
      <c r="H48" s="14" t="e">
        <f>H21/H20*100</f>
        <v>#DIV/0!</v>
      </c>
    </row>
    <row r="49" spans="1:8" x14ac:dyDescent="0.25">
      <c r="A49" s="12" t="s">
        <v>20</v>
      </c>
      <c r="B49" s="15">
        <f t="shared" ref="B49:H49" si="10">AVERAGE(B47:B48)</f>
        <v>141.49061798486309</v>
      </c>
      <c r="C49" s="15">
        <f t="shared" si="10"/>
        <v>168.16985847223049</v>
      </c>
      <c r="D49" s="15">
        <f t="shared" si="10"/>
        <v>86.483674548164061</v>
      </c>
      <c r="E49" s="15">
        <f t="shared" si="10"/>
        <v>239.35986666666665</v>
      </c>
      <c r="F49" s="15">
        <f t="shared" si="10"/>
        <v>188.68699596774195</v>
      </c>
      <c r="G49" s="15">
        <f t="shared" si="10"/>
        <v>188.68699596774195</v>
      </c>
      <c r="H49" s="15" t="e">
        <f t="shared" si="10"/>
        <v>#DIV/0!</v>
      </c>
    </row>
    <row r="50" spans="1:8" x14ac:dyDescent="0.25">
      <c r="B50" s="14"/>
      <c r="C50" s="14"/>
      <c r="D50" s="14"/>
      <c r="E50" s="14"/>
      <c r="F50" s="14"/>
      <c r="G50" s="14"/>
      <c r="H50" s="14"/>
    </row>
    <row r="51" spans="1:8" x14ac:dyDescent="0.25">
      <c r="A51" t="s">
        <v>21</v>
      </c>
    </row>
    <row r="52" spans="1:8" x14ac:dyDescent="0.25">
      <c r="A52" t="s">
        <v>22</v>
      </c>
      <c r="B52" s="14">
        <f>(B14/B16)*100</f>
        <v>44.40389294403893</v>
      </c>
      <c r="C52" s="14">
        <f t="shared" ref="C52:H52" si="11">(C14/C16)*100</f>
        <v>58.333333333333336</v>
      </c>
      <c r="D52" s="14">
        <f t="shared" si="11"/>
        <v>17.708333333333336</v>
      </c>
      <c r="E52" s="14">
        <f t="shared" si="11"/>
        <v>90.833333333333329</v>
      </c>
      <c r="F52" s="14">
        <f t="shared" si="11"/>
        <v>43.066666666666663</v>
      </c>
      <c r="G52" s="14">
        <f t="shared" si="11"/>
        <v>43.066666666666663</v>
      </c>
      <c r="H52" s="14" t="e">
        <f t="shared" si="11"/>
        <v>#DIV/0!</v>
      </c>
    </row>
    <row r="53" spans="1:8" x14ac:dyDescent="0.25">
      <c r="A53" t="s">
        <v>23</v>
      </c>
      <c r="B53" s="14">
        <f>B21/B22*100</f>
        <v>30.549778276509727</v>
      </c>
      <c r="C53" s="14">
        <f t="shared" ref="C53:F53" si="12">C21/C22*100</f>
        <v>25.751595889220656</v>
      </c>
      <c r="D53" s="14">
        <f t="shared" si="12"/>
        <v>25.533503926354772</v>
      </c>
      <c r="E53" s="14">
        <f t="shared" si="12"/>
        <v>28.846599999999999</v>
      </c>
      <c r="F53" s="14">
        <f t="shared" si="12"/>
        <v>60.920833333333334</v>
      </c>
      <c r="G53" s="14">
        <f>G21/G22*100</f>
        <v>60.920833333333334</v>
      </c>
      <c r="H53" s="14" t="e">
        <f>H21/H22*100</f>
        <v>#DIV/0!</v>
      </c>
    </row>
    <row r="54" spans="1:8" x14ac:dyDescent="0.25">
      <c r="A54" t="s">
        <v>24</v>
      </c>
      <c r="B54" s="14">
        <f t="shared" ref="B54:H54" si="13">(B52+B53)/2</f>
        <v>37.476835610274328</v>
      </c>
      <c r="C54" s="14">
        <f t="shared" si="13"/>
        <v>42.042464611276998</v>
      </c>
      <c r="D54" s="14">
        <f t="shared" si="13"/>
        <v>21.620918629844056</v>
      </c>
      <c r="E54" s="14">
        <f t="shared" si="13"/>
        <v>59.839966666666662</v>
      </c>
      <c r="F54" s="14">
        <f t="shared" si="13"/>
        <v>51.993749999999999</v>
      </c>
      <c r="G54" s="14">
        <f t="shared" si="13"/>
        <v>51.993749999999999</v>
      </c>
      <c r="H54" s="14" t="e">
        <f t="shared" si="13"/>
        <v>#DIV/0!</v>
      </c>
    </row>
    <row r="56" spans="1:8" x14ac:dyDescent="0.25">
      <c r="A56" s="12" t="s">
        <v>35</v>
      </c>
      <c r="B56" s="15"/>
      <c r="C56" s="15"/>
      <c r="D56" s="15"/>
      <c r="E56" s="15"/>
      <c r="F56" s="15"/>
      <c r="G56" s="15"/>
      <c r="H56" s="15"/>
    </row>
    <row r="57" spans="1:8" x14ac:dyDescent="0.25">
      <c r="A57" t="s">
        <v>25</v>
      </c>
      <c r="B57" s="14">
        <f t="shared" ref="B57:F57" si="14">B23/B21*100</f>
        <v>100</v>
      </c>
      <c r="C57" s="14">
        <f t="shared" si="14"/>
        <v>100</v>
      </c>
      <c r="D57" s="14"/>
      <c r="E57" s="14"/>
      <c r="F57" s="14">
        <f t="shared" si="14"/>
        <v>100</v>
      </c>
      <c r="G57" s="14"/>
      <c r="H57" s="14"/>
    </row>
    <row r="59" spans="1:8" x14ac:dyDescent="0.25">
      <c r="A59" t="s">
        <v>26</v>
      </c>
    </row>
    <row r="60" spans="1:8" x14ac:dyDescent="0.25">
      <c r="A60" t="s">
        <v>27</v>
      </c>
      <c r="B60" s="14">
        <f>((B14/B11)-1)*100</f>
        <v>-81.2467888337044</v>
      </c>
      <c r="C60" s="14">
        <f t="shared" ref="C60:H60" si="15">((C14/C11)-1)*100</f>
        <v>85.294117647058826</v>
      </c>
      <c r="D60" s="14">
        <f t="shared" si="15"/>
        <v>-26.086956521739136</v>
      </c>
      <c r="E60" s="14">
        <f t="shared" si="15"/>
        <v>142.2222222222222</v>
      </c>
      <c r="F60" s="14">
        <f t="shared" si="15"/>
        <v>-83.209149194247104</v>
      </c>
      <c r="G60" s="14">
        <f t="shared" si="15"/>
        <v>127.99999999999999</v>
      </c>
      <c r="H60" s="14">
        <f t="shared" si="15"/>
        <v>-100</v>
      </c>
    </row>
    <row r="61" spans="1:8" x14ac:dyDescent="0.25">
      <c r="A61" t="s">
        <v>28</v>
      </c>
      <c r="B61" s="14">
        <f>((B36/B35)-1)*100</f>
        <v>-25.931436939924126</v>
      </c>
      <c r="C61" s="14">
        <f>((C36/C35)-1)*100</f>
        <v>-31.55575243359824</v>
      </c>
      <c r="D61" s="14">
        <f t="shared" ref="D61:H61" si="16">((D36/D35)-1)*100</f>
        <v>-33.237016105737474</v>
      </c>
      <c r="E61" s="14">
        <f t="shared" si="16"/>
        <v>0.11267618668617807</v>
      </c>
      <c r="F61" s="14">
        <f t="shared" si="16"/>
        <v>-5.0568557476266545</v>
      </c>
      <c r="G61" s="14">
        <f t="shared" si="16"/>
        <v>82.659284819404519</v>
      </c>
      <c r="H61" s="14">
        <f t="shared" si="16"/>
        <v>-100</v>
      </c>
    </row>
    <row r="62" spans="1:8" x14ac:dyDescent="0.25">
      <c r="A62" s="12" t="s">
        <v>29</v>
      </c>
      <c r="B62" s="15">
        <f>((B38/B37)-1)*100</f>
        <v>294.96469379706213</v>
      </c>
      <c r="C62" s="15">
        <f t="shared" ref="C62:H62" si="17">((C38/C37)-1)*100</f>
        <v>-63.061834646703808</v>
      </c>
      <c r="D62" s="15">
        <f t="shared" si="17"/>
        <v>-9.6736100254095181</v>
      </c>
      <c r="E62" s="15">
        <f t="shared" si="17"/>
        <v>-58.669078638524056</v>
      </c>
      <c r="F62" s="15">
        <f t="shared" si="17"/>
        <v>465.44570225020294</v>
      </c>
      <c r="G62" s="15">
        <f t="shared" si="17"/>
        <v>-19.886278587980456</v>
      </c>
      <c r="H62" s="15" t="e">
        <f t="shared" si="17"/>
        <v>#DIV/0!</v>
      </c>
    </row>
    <row r="63" spans="1:8" x14ac:dyDescent="0.25">
      <c r="B63" s="16"/>
      <c r="C63" s="16"/>
      <c r="D63" s="16"/>
      <c r="E63" s="16"/>
      <c r="F63" s="16"/>
      <c r="G63" s="16"/>
      <c r="H63" s="16"/>
    </row>
    <row r="64" spans="1:8" x14ac:dyDescent="0.25">
      <c r="A64" t="s">
        <v>30</v>
      </c>
    </row>
    <row r="65" spans="1:8" x14ac:dyDescent="0.25">
      <c r="A65" t="s">
        <v>38</v>
      </c>
      <c r="B65" s="3">
        <f t="shared" ref="B65:H65" si="18">B20/B13</f>
        <v>33079.772487636001</v>
      </c>
      <c r="C65" s="3">
        <f t="shared" si="18"/>
        <v>351649.99981481477</v>
      </c>
      <c r="D65" s="3">
        <f t="shared" si="18"/>
        <v>739129.16624999989</v>
      </c>
      <c r="E65" s="3">
        <f t="shared" si="18"/>
        <v>41666.666666666664</v>
      </c>
      <c r="F65" s="3">
        <f t="shared" si="18"/>
        <v>5333.333333333333</v>
      </c>
      <c r="G65" s="3">
        <f t="shared" si="18"/>
        <v>5333.333333333333</v>
      </c>
      <c r="H65" s="3" t="e">
        <f t="shared" si="18"/>
        <v>#DIV/0!</v>
      </c>
    </row>
    <row r="66" spans="1:8" x14ac:dyDescent="0.25">
      <c r="A66" t="s">
        <v>39</v>
      </c>
      <c r="B66" s="3">
        <f t="shared" ref="B66:H66" si="19">B21/B14</f>
        <v>24539.255872146117</v>
      </c>
      <c r="C66" s="3">
        <f t="shared" si="19"/>
        <v>155237.97761904763</v>
      </c>
      <c r="D66" s="3">
        <f t="shared" si="19"/>
        <v>1065744.4223529412</v>
      </c>
      <c r="E66" s="3">
        <f t="shared" si="19"/>
        <v>13232.385321100917</v>
      </c>
      <c r="F66" s="3">
        <f t="shared" si="19"/>
        <v>7544.3756449948396</v>
      </c>
      <c r="G66" s="3">
        <f t="shared" si="19"/>
        <v>7544.3756449948396</v>
      </c>
      <c r="H66" s="3" t="e">
        <f t="shared" si="19"/>
        <v>#DIV/0!</v>
      </c>
    </row>
    <row r="67" spans="1:8" x14ac:dyDescent="0.25">
      <c r="A67" s="12" t="s">
        <v>31</v>
      </c>
      <c r="B67" s="15">
        <f>(B65/B66)*B49</f>
        <v>190.73428617641906</v>
      </c>
      <c r="C67" s="15">
        <f t="shared" ref="C67:H67" si="20">(C65/C66)*C49</f>
        <v>380.94370725273615</v>
      </c>
      <c r="D67" s="15">
        <f t="shared" si="20"/>
        <v>59.979301718411129</v>
      </c>
      <c r="E67" s="15">
        <f t="shared" si="20"/>
        <v>753.70596727363204</v>
      </c>
      <c r="F67" s="15">
        <f t="shared" si="20"/>
        <v>133.38819440001237</v>
      </c>
      <c r="G67" s="15">
        <f t="shared" si="20"/>
        <v>133.38819440001237</v>
      </c>
      <c r="H67" s="15" t="e">
        <f t="shared" si="20"/>
        <v>#DIV/0!</v>
      </c>
    </row>
    <row r="68" spans="1:8" s="5" customFormat="1" x14ac:dyDescent="0.25">
      <c r="A68" t="s">
        <v>40</v>
      </c>
      <c r="B68" s="26">
        <f>B20/(B13*3)</f>
        <v>11026.590829212</v>
      </c>
      <c r="C68" s="26">
        <f t="shared" ref="C68:H68" si="21">C20/(C13*3)</f>
        <v>117216.66660493826</v>
      </c>
      <c r="D68" s="26">
        <f t="shared" si="21"/>
        <v>246376.38874999998</v>
      </c>
      <c r="E68" s="26">
        <f t="shared" si="21"/>
        <v>13888.888888888889</v>
      </c>
      <c r="F68" s="26">
        <f t="shared" si="21"/>
        <v>1777.7777777777776</v>
      </c>
      <c r="G68" s="26">
        <f t="shared" si="21"/>
        <v>1777.7777777777776</v>
      </c>
      <c r="H68" s="26" t="e">
        <f t="shared" si="21"/>
        <v>#DIV/0!</v>
      </c>
    </row>
    <row r="69" spans="1:8" s="5" customFormat="1" x14ac:dyDescent="0.25">
      <c r="A69" t="s">
        <v>41</v>
      </c>
      <c r="B69" s="26">
        <f>B21/(B14*3)</f>
        <v>8179.7519573820391</v>
      </c>
      <c r="C69" s="26">
        <f t="shared" ref="C69:H69" si="22">C21/(C14*3)</f>
        <v>51745.992539682542</v>
      </c>
      <c r="D69" s="26">
        <f t="shared" si="22"/>
        <v>355248.14078431373</v>
      </c>
      <c r="E69" s="26">
        <f t="shared" si="22"/>
        <v>4410.7951070336394</v>
      </c>
      <c r="F69" s="26">
        <f t="shared" si="22"/>
        <v>2514.7918816649467</v>
      </c>
      <c r="G69" s="26">
        <f t="shared" si="22"/>
        <v>2514.7918816649467</v>
      </c>
      <c r="H69" s="26" t="e">
        <f t="shared" si="22"/>
        <v>#DIV/0!</v>
      </c>
    </row>
    <row r="70" spans="1:8" x14ac:dyDescent="0.25">
      <c r="B70" s="14"/>
      <c r="C70" s="14"/>
      <c r="D70" s="14"/>
    </row>
    <row r="71" spans="1:8" x14ac:dyDescent="0.25">
      <c r="A71" t="s">
        <v>32</v>
      </c>
      <c r="B71" s="14"/>
      <c r="C71" s="14"/>
      <c r="D71" s="14"/>
    </row>
    <row r="72" spans="1:8" x14ac:dyDescent="0.25">
      <c r="A72" s="17" t="s">
        <v>33</v>
      </c>
      <c r="B72" s="18">
        <f>(B27/B26)*100</f>
        <v>252.72785487800874</v>
      </c>
      <c r="C72" s="18">
        <f>(C27/C26)*100</f>
        <v>237.40241940766145</v>
      </c>
      <c r="D72" s="18"/>
      <c r="E72" s="18"/>
      <c r="F72" s="18">
        <f>(F27/F26)*100</f>
        <v>340.73679435483871</v>
      </c>
      <c r="G72" s="18"/>
      <c r="H72" s="18"/>
    </row>
    <row r="73" spans="1:8" x14ac:dyDescent="0.25">
      <c r="A73" s="17" t="s">
        <v>34</v>
      </c>
      <c r="B73" s="18">
        <f>(B21/B27)*100</f>
        <v>47.686998338996183</v>
      </c>
      <c r="C73" s="18">
        <f>(C21/C27)*100</f>
        <v>43.388935912336969</v>
      </c>
      <c r="D73" s="18"/>
      <c r="E73" s="18"/>
      <c r="F73" s="18">
        <f>(F21/F27)*100</f>
        <v>64.88400226146554</v>
      </c>
      <c r="G73" s="18"/>
      <c r="H73" s="18"/>
    </row>
    <row r="74" spans="1:8" ht="15.75" thickBot="1" x14ac:dyDescent="0.3">
      <c r="A74" s="19"/>
      <c r="B74" s="19"/>
      <c r="C74" s="19"/>
      <c r="D74" s="19"/>
      <c r="E74" s="19"/>
      <c r="F74" s="19"/>
      <c r="G74" s="19"/>
      <c r="H74" s="19"/>
    </row>
    <row r="75" spans="1:8" ht="15.75" thickTop="1" x14ac:dyDescent="0.25">
      <c r="A75" s="22" t="s">
        <v>36</v>
      </c>
    </row>
    <row r="76" spans="1:8" x14ac:dyDescent="0.25">
      <c r="A76" s="22" t="s">
        <v>111</v>
      </c>
    </row>
    <row r="77" spans="1:8" x14ac:dyDescent="0.25">
      <c r="A77" s="22" t="s">
        <v>101</v>
      </c>
    </row>
    <row r="78" spans="1:8" x14ac:dyDescent="0.25">
      <c r="A78" s="22" t="s">
        <v>84</v>
      </c>
      <c r="B78" s="20"/>
      <c r="C78" s="20"/>
      <c r="D78" s="20"/>
    </row>
    <row r="79" spans="1:8" x14ac:dyDescent="0.25">
      <c r="A79" s="22"/>
    </row>
    <row r="80" spans="1:8" x14ac:dyDescent="0.25">
      <c r="A80" s="22"/>
    </row>
    <row r="82" spans="1:1" x14ac:dyDescent="0.25">
      <c r="A82" t="s">
        <v>37</v>
      </c>
    </row>
    <row r="84" spans="1:1" x14ac:dyDescent="0.25">
      <c r="A84" t="s">
        <v>52</v>
      </c>
    </row>
    <row r="85" spans="1:1" x14ac:dyDescent="0.25">
      <c r="A85" t="s">
        <v>53</v>
      </c>
    </row>
    <row r="88" spans="1:1" x14ac:dyDescent="0.25">
      <c r="A88" t="s">
        <v>143</v>
      </c>
    </row>
  </sheetData>
  <mergeCells count="11">
    <mergeCell ref="A2:H2"/>
    <mergeCell ref="A4:A6"/>
    <mergeCell ref="B4:B6"/>
    <mergeCell ref="C4:E4"/>
    <mergeCell ref="F4:H4"/>
    <mergeCell ref="C5:C6"/>
    <mergeCell ref="E5:E6"/>
    <mergeCell ref="F5:F6"/>
    <mergeCell ref="G5:G6"/>
    <mergeCell ref="H5:H6"/>
    <mergeCell ref="D5:D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87"/>
  <sheetViews>
    <sheetView zoomScale="80" zoomScaleNormal="80" workbookViewId="0">
      <selection activeCell="F24" sqref="F24"/>
    </sheetView>
  </sheetViews>
  <sheetFormatPr baseColWidth="10" defaultColWidth="11.42578125" defaultRowHeight="15" x14ac:dyDescent="0.25"/>
  <cols>
    <col min="1" max="1" width="50.85546875" customWidth="1"/>
    <col min="2" max="2" width="15.5703125" bestFit="1" customWidth="1"/>
    <col min="3" max="7" width="13.7109375" customWidth="1"/>
    <col min="8" max="8" width="18.28515625" customWidth="1"/>
  </cols>
  <sheetData>
    <row r="2" spans="1:8" ht="15.75" x14ac:dyDescent="0.25">
      <c r="A2" s="40" t="s">
        <v>121</v>
      </c>
      <c r="B2" s="40"/>
      <c r="C2" s="40"/>
      <c r="D2" s="40"/>
      <c r="E2" s="40"/>
      <c r="F2" s="40"/>
      <c r="G2" s="40"/>
      <c r="H2" s="40"/>
    </row>
    <row r="4" spans="1:8" x14ac:dyDescent="0.25">
      <c r="A4" s="41" t="s">
        <v>0</v>
      </c>
      <c r="B4" s="44" t="s">
        <v>1</v>
      </c>
      <c r="C4" s="47" t="s">
        <v>2</v>
      </c>
      <c r="D4" s="48"/>
      <c r="E4" s="49"/>
      <c r="F4" s="47" t="s">
        <v>3</v>
      </c>
      <c r="G4" s="48"/>
      <c r="H4" s="49"/>
    </row>
    <row r="5" spans="1:8" ht="15" customHeight="1" x14ac:dyDescent="0.25">
      <c r="A5" s="42"/>
      <c r="B5" s="45"/>
      <c r="C5" s="50" t="s">
        <v>4</v>
      </c>
      <c r="D5" s="56" t="s">
        <v>5</v>
      </c>
      <c r="E5" s="52" t="s">
        <v>91</v>
      </c>
      <c r="F5" s="54" t="s">
        <v>4</v>
      </c>
      <c r="G5" s="56" t="s">
        <v>81</v>
      </c>
      <c r="H5" s="57" t="s">
        <v>6</v>
      </c>
    </row>
    <row r="6" spans="1:8" ht="15.75" thickBot="1" x14ac:dyDescent="0.3">
      <c r="A6" s="43"/>
      <c r="B6" s="46"/>
      <c r="C6" s="51"/>
      <c r="D6" s="53"/>
      <c r="E6" s="53"/>
      <c r="F6" s="55"/>
      <c r="G6" s="53"/>
      <c r="H6" s="58"/>
    </row>
    <row r="7" spans="1:8" ht="15.75" thickTop="1" x14ac:dyDescent="0.25"/>
    <row r="8" spans="1:8" x14ac:dyDescent="0.25">
      <c r="A8" s="1" t="s">
        <v>7</v>
      </c>
    </row>
    <row r="10" spans="1:8" x14ac:dyDescent="0.25">
      <c r="A10" t="s">
        <v>50</v>
      </c>
    </row>
    <row r="11" spans="1:8" x14ac:dyDescent="0.25">
      <c r="A11" s="2" t="s">
        <v>69</v>
      </c>
      <c r="B11" s="4">
        <f>C11+F11</f>
        <v>832</v>
      </c>
      <c r="C11" s="4">
        <f>D11+E11</f>
        <v>66</v>
      </c>
      <c r="D11" s="4">
        <f>+'I Trimestre'!D11+'II Trimestre'!D11</f>
        <v>42</v>
      </c>
      <c r="E11" s="4">
        <f>+'I Trimestre'!E11+'II Trimestre'!E11</f>
        <v>24</v>
      </c>
      <c r="F11" s="23">
        <f>SUM(G11:H11)</f>
        <v>766</v>
      </c>
      <c r="G11" s="23">
        <f>+'I Trimestre'!G11+'II Trimestre'!G11</f>
        <v>95</v>
      </c>
      <c r="H11" s="5">
        <f>+'I Trimestre'!H11+'II Trimestre'!H11</f>
        <v>671</v>
      </c>
    </row>
    <row r="12" spans="1:8" x14ac:dyDescent="0.25">
      <c r="A12" s="27" t="s">
        <v>49</v>
      </c>
      <c r="B12" s="4">
        <f>C12+F12</f>
        <v>878</v>
      </c>
      <c r="C12" s="4">
        <f>D12+E12</f>
        <v>112</v>
      </c>
      <c r="D12" s="4">
        <f>+'I Trimestre'!D12+'II Trimestre'!D12</f>
        <v>88</v>
      </c>
      <c r="E12" s="4">
        <f>+'I Trimestre'!E12+'II Trimestre'!E12</f>
        <v>24</v>
      </c>
      <c r="F12" s="23">
        <f t="shared" ref="F12:F15" si="0">SUM(G12:H12)</f>
        <v>766</v>
      </c>
      <c r="G12" s="23">
        <f>+'I Trimestre'!G12+'II Trimestre'!G12</f>
        <v>95</v>
      </c>
      <c r="H12" s="5">
        <f>+'I Trimestre'!H12+'II Trimestre'!H12</f>
        <v>671</v>
      </c>
    </row>
    <row r="13" spans="1:8" x14ac:dyDescent="0.25">
      <c r="A13" s="2" t="s">
        <v>122</v>
      </c>
      <c r="B13" s="4">
        <f>C13+F13</f>
        <v>238</v>
      </c>
      <c r="C13" s="4">
        <f>D13+E13</f>
        <v>108</v>
      </c>
      <c r="D13" s="4">
        <f>+'I Trimestre'!D13+'II Trimestre'!D13</f>
        <v>48</v>
      </c>
      <c r="E13" s="4">
        <f>+'I Trimestre'!E13+'II Trimestre'!E13</f>
        <v>60</v>
      </c>
      <c r="F13" s="23">
        <f t="shared" si="0"/>
        <v>130</v>
      </c>
      <c r="G13" s="5">
        <f>+'I Trimestre'!G13+'II Trimestre'!G13</f>
        <v>130</v>
      </c>
      <c r="H13" s="23">
        <f>+'I Trimestre'!H13+'II Trimestre'!H13</f>
        <v>0</v>
      </c>
    </row>
    <row r="14" spans="1:8" x14ac:dyDescent="0.25">
      <c r="A14" s="2" t="s">
        <v>123</v>
      </c>
      <c r="B14" s="4">
        <f>C14+F14</f>
        <v>255</v>
      </c>
      <c r="C14" s="4">
        <f>D14+E14</f>
        <v>141</v>
      </c>
      <c r="D14" s="4">
        <f>(+'I Trimestre'!D14+'II Trimestre'!D14)</f>
        <v>48</v>
      </c>
      <c r="E14" s="4">
        <f>+'I Trimestre'!E14+'II Trimestre'!E14</f>
        <v>93</v>
      </c>
      <c r="F14" s="23">
        <f t="shared" si="0"/>
        <v>114</v>
      </c>
      <c r="G14" s="5">
        <f>+'I Trimestre'!G14+'II Trimestre'!G14</f>
        <v>114</v>
      </c>
      <c r="H14" s="23">
        <f>+'I Trimestre'!H14+'II Trimestre'!H14</f>
        <v>0</v>
      </c>
    </row>
    <row r="15" spans="1:8" x14ac:dyDescent="0.25">
      <c r="A15" s="27" t="s">
        <v>49</v>
      </c>
      <c r="B15" s="4">
        <f>C15+F15</f>
        <v>177</v>
      </c>
      <c r="C15" s="4">
        <f>D15+E15</f>
        <v>177</v>
      </c>
      <c r="D15" s="4">
        <f>(+'I Trimestre'!D15+'II Trimestre'!D15)</f>
        <v>84</v>
      </c>
      <c r="E15" s="4">
        <f>+'I Trimestre'!E15+'II Trimestre'!E15</f>
        <v>93</v>
      </c>
      <c r="F15" s="23">
        <f t="shared" si="0"/>
        <v>0</v>
      </c>
      <c r="G15" s="5">
        <f>+'I Trimestre'!G15+'II Trimestre'!G15</f>
        <v>0</v>
      </c>
      <c r="H15" s="23">
        <f>+'I Trimestre'!H15+'II Trimestre'!H15</f>
        <v>0</v>
      </c>
    </row>
    <row r="16" spans="1:8" x14ac:dyDescent="0.25">
      <c r="A16" s="2" t="s">
        <v>89</v>
      </c>
      <c r="B16" s="4">
        <f>+'II Trimestre'!B16</f>
        <v>2466</v>
      </c>
      <c r="C16" s="4">
        <f>+'II Trimestre'!C16</f>
        <v>216</v>
      </c>
      <c r="D16" s="4">
        <f>+'II Trimestre'!D16</f>
        <v>96</v>
      </c>
      <c r="E16" s="4">
        <f>+'II Trimestre'!E16</f>
        <v>120</v>
      </c>
      <c r="F16" s="23">
        <f>+'II Trimestre'!F16</f>
        <v>2250</v>
      </c>
      <c r="G16" s="4">
        <f>+'II Trimestre'!G16</f>
        <v>2250</v>
      </c>
      <c r="H16" s="23">
        <f>+'II Trimestre'!H16</f>
        <v>0</v>
      </c>
    </row>
    <row r="17" spans="1:14" x14ac:dyDescent="0.25">
      <c r="F17" s="5"/>
    </row>
    <row r="18" spans="1:14" x14ac:dyDescent="0.25">
      <c r="A18" s="6" t="s">
        <v>8</v>
      </c>
      <c r="F18" s="5"/>
    </row>
    <row r="19" spans="1:14" x14ac:dyDescent="0.25">
      <c r="A19" s="2" t="s">
        <v>69</v>
      </c>
      <c r="B19" s="4">
        <f>C19+F19</f>
        <v>15284722.969999999</v>
      </c>
      <c r="C19" s="4">
        <f>D19+E19</f>
        <v>15284722.969999999</v>
      </c>
      <c r="D19" s="4">
        <f>+'I Trimestre'!D19+'II Trimestre'!D19</f>
        <v>14365177.969999999</v>
      </c>
      <c r="E19" s="4">
        <f>+'I Trimestre'!E19+'II Trimestre'!E19</f>
        <v>919545</v>
      </c>
      <c r="F19" s="23">
        <f>SUM(G19:H19)</f>
        <v>0</v>
      </c>
      <c r="G19" s="4">
        <f>+'I Trimestre'!G19+'II Trimestre'!G19</f>
        <v>0</v>
      </c>
      <c r="H19" s="4">
        <f>+'I Trimestre'!H19+'II Trimestre'!H19</f>
        <v>0</v>
      </c>
      <c r="I19" s="36"/>
    </row>
    <row r="20" spans="1:14" x14ac:dyDescent="0.25">
      <c r="A20" s="2" t="s">
        <v>122</v>
      </c>
      <c r="B20" s="4">
        <f t="shared" ref="B20:B21" si="1">C20+F20</f>
        <v>38671533.329999998</v>
      </c>
      <c r="C20" s="4">
        <f t="shared" ref="C20:C21" si="2">D20+E20</f>
        <v>37978200</v>
      </c>
      <c r="D20" s="4">
        <f>'I Trimestre'!D20+'II Trimestre'!D20</f>
        <v>35478199.979999997</v>
      </c>
      <c r="E20" s="4">
        <f>'I Trimestre'!E20+'II Trimestre'!E20</f>
        <v>2500000.02</v>
      </c>
      <c r="F20" s="23">
        <f t="shared" ref="F20" si="3">SUM(G20:H20)</f>
        <v>693333.33</v>
      </c>
      <c r="G20" s="4">
        <f>'I Trimestre'!G20+'II Trimestre'!G20</f>
        <v>693333.33</v>
      </c>
      <c r="H20" s="4">
        <f>+'I Trimestre'!H20+'II Trimestre'!H20</f>
        <v>0</v>
      </c>
    </row>
    <row r="21" spans="1:14" x14ac:dyDescent="0.25">
      <c r="A21" s="2" t="s">
        <v>123</v>
      </c>
      <c r="B21" s="4">
        <f t="shared" si="1"/>
        <v>11809310.449999999</v>
      </c>
      <c r="C21" s="4">
        <f t="shared" si="2"/>
        <v>11315310.449999999</v>
      </c>
      <c r="D21" s="4">
        <f>+'I Trimestre'!D21+'II Trimestre'!D21</f>
        <v>9633690.4499999993</v>
      </c>
      <c r="E21" s="4">
        <f>+'I Trimestre'!E21+'II Trimestre'!E21</f>
        <v>1681620</v>
      </c>
      <c r="F21" s="4">
        <f>SUM(G21:H21)</f>
        <v>494000</v>
      </c>
      <c r="G21" s="4">
        <f>+'I Trimestre'!G21+'II Trimestre'!G21</f>
        <v>494000</v>
      </c>
      <c r="H21" s="4">
        <f>+'I Trimestre'!H21+'II Trimestre'!H21</f>
        <v>0</v>
      </c>
      <c r="I21" s="36"/>
      <c r="J21" s="4"/>
    </row>
    <row r="22" spans="1:14" x14ac:dyDescent="0.25">
      <c r="A22" s="2" t="s">
        <v>89</v>
      </c>
      <c r="B22" s="3">
        <f>+'II Trimestre'!B22</f>
        <v>87956400</v>
      </c>
      <c r="C22" s="3">
        <f>+'II Trimestre'!C22</f>
        <v>75956400</v>
      </c>
      <c r="D22" s="3">
        <f>+'II Trimestre'!D22</f>
        <v>70956400</v>
      </c>
      <c r="E22" s="3">
        <f>+'II Trimestre'!E22</f>
        <v>5000000</v>
      </c>
      <c r="F22" s="3">
        <f>+'II Trimestre'!F22</f>
        <v>12000000</v>
      </c>
      <c r="G22" s="3">
        <f>+'II Trimestre'!G22</f>
        <v>12000000</v>
      </c>
      <c r="H22" s="3">
        <f>+'II Trimestre'!H22</f>
        <v>0</v>
      </c>
    </row>
    <row r="23" spans="1:14" x14ac:dyDescent="0.25">
      <c r="A23" s="2" t="s">
        <v>124</v>
      </c>
      <c r="B23" s="3">
        <f>+C23+F23</f>
        <v>11809310.449999999</v>
      </c>
      <c r="C23" s="3">
        <f>+D23+E23</f>
        <v>11315310.449999999</v>
      </c>
      <c r="D23" s="3">
        <f>D21</f>
        <v>9633690.4499999993</v>
      </c>
      <c r="E23" s="3">
        <f>+E21</f>
        <v>1681620</v>
      </c>
      <c r="F23" s="3">
        <f>H23+G23</f>
        <v>494000</v>
      </c>
      <c r="G23" s="3">
        <f>G21</f>
        <v>494000</v>
      </c>
      <c r="H23" s="3">
        <f>H21</f>
        <v>0</v>
      </c>
    </row>
    <row r="24" spans="1:14" x14ac:dyDescent="0.25">
      <c r="B24" s="3"/>
      <c r="C24" s="3"/>
      <c r="D24" s="3"/>
    </row>
    <row r="25" spans="1:14" x14ac:dyDescent="0.25">
      <c r="A25" s="7" t="s">
        <v>9</v>
      </c>
      <c r="B25" s="8"/>
      <c r="C25" s="8"/>
      <c r="D25" s="8"/>
      <c r="E25" s="8"/>
      <c r="F25" s="8"/>
      <c r="G25" s="8"/>
      <c r="H25" s="8"/>
    </row>
    <row r="26" spans="1:14" x14ac:dyDescent="0.25">
      <c r="A26" s="9" t="s">
        <v>122</v>
      </c>
      <c r="B26" s="8">
        <f>+B20</f>
        <v>38671533.329999998</v>
      </c>
      <c r="C26" s="8">
        <f>+C20</f>
        <v>37978200</v>
      </c>
      <c r="D26" s="8"/>
      <c r="E26" s="8"/>
      <c r="F26" s="8">
        <f>F20</f>
        <v>693333.33</v>
      </c>
      <c r="G26" s="8"/>
      <c r="H26" s="8"/>
    </row>
    <row r="27" spans="1:14" x14ac:dyDescent="0.25">
      <c r="A27" s="9" t="s">
        <v>123</v>
      </c>
      <c r="B27" s="8">
        <f>'I Trimestre'!B27+'II Trimestre'!B27</f>
        <v>31540947.200000003</v>
      </c>
      <c r="C27" s="8">
        <f>+'I Trimestre'!C27+'II Trimestre'!C27</f>
        <v>30807977.200000003</v>
      </c>
      <c r="D27" s="8"/>
      <c r="E27" s="8"/>
      <c r="F27" s="8">
        <f>+'I Trimestre'!F27+'II Trimestre'!F27</f>
        <v>732970</v>
      </c>
      <c r="G27" s="8"/>
      <c r="H27" s="8"/>
    </row>
    <row r="29" spans="1:14" x14ac:dyDescent="0.25">
      <c r="A29" t="s">
        <v>10</v>
      </c>
    </row>
    <row r="30" spans="1:14" x14ac:dyDescent="0.25">
      <c r="A30" s="10" t="s">
        <v>70</v>
      </c>
      <c r="B30" s="21">
        <v>1.61</v>
      </c>
      <c r="C30" s="21">
        <v>1.61</v>
      </c>
      <c r="D30" s="21">
        <v>1.61</v>
      </c>
      <c r="E30" s="21">
        <v>1.61</v>
      </c>
      <c r="F30" s="21">
        <v>1.61</v>
      </c>
      <c r="G30" s="21">
        <v>1.61</v>
      </c>
      <c r="H30" s="21">
        <v>1.61</v>
      </c>
      <c r="I30" s="36"/>
      <c r="J30" s="36"/>
      <c r="N30" t="s">
        <v>86</v>
      </c>
    </row>
    <row r="31" spans="1:14" x14ac:dyDescent="0.25">
      <c r="A31" s="10" t="s">
        <v>125</v>
      </c>
      <c r="B31" s="21">
        <v>1.67</v>
      </c>
      <c r="C31" s="21">
        <v>1.67</v>
      </c>
      <c r="D31" s="21">
        <v>1.67</v>
      </c>
      <c r="E31" s="21">
        <v>1.67</v>
      </c>
      <c r="F31" s="21">
        <v>1.67</v>
      </c>
      <c r="G31" s="21">
        <v>1.67</v>
      </c>
      <c r="H31" s="21">
        <v>1.67</v>
      </c>
      <c r="I31" s="36"/>
      <c r="J31" s="36"/>
    </row>
    <row r="32" spans="1:14" x14ac:dyDescent="0.25">
      <c r="A32" s="37" t="s">
        <v>11</v>
      </c>
      <c r="B32" s="4"/>
      <c r="C32" s="38"/>
      <c r="D32" s="38"/>
      <c r="E32" s="38"/>
      <c r="F32" s="38"/>
      <c r="G32" s="38"/>
      <c r="H32" s="38"/>
    </row>
    <row r="34" spans="1:9" x14ac:dyDescent="0.25">
      <c r="A34" s="11" t="s">
        <v>12</v>
      </c>
      <c r="B34" s="12"/>
      <c r="C34" s="12"/>
      <c r="D34" s="12"/>
      <c r="E34" s="12"/>
      <c r="F34" s="12"/>
      <c r="G34" s="12"/>
      <c r="H34" s="12"/>
    </row>
    <row r="35" spans="1:9" x14ac:dyDescent="0.25">
      <c r="A35" s="12" t="s">
        <v>71</v>
      </c>
      <c r="B35" s="13">
        <f>B19/B30</f>
        <v>9493616.7515527941</v>
      </c>
      <c r="C35" s="13">
        <f t="shared" ref="C35:H35" si="4">C19/C30</f>
        <v>9493616.7515527941</v>
      </c>
      <c r="D35" s="13">
        <f>D19/D30</f>
        <v>8922470.7888198737</v>
      </c>
      <c r="E35" s="13">
        <f t="shared" si="4"/>
        <v>571145.96273291926</v>
      </c>
      <c r="F35" s="13">
        <f t="shared" si="4"/>
        <v>0</v>
      </c>
      <c r="G35" s="13">
        <f t="shared" si="4"/>
        <v>0</v>
      </c>
      <c r="H35" s="13">
        <f t="shared" si="4"/>
        <v>0</v>
      </c>
    </row>
    <row r="36" spans="1:9" x14ac:dyDescent="0.25">
      <c r="A36" s="12" t="s">
        <v>126</v>
      </c>
      <c r="B36" s="13">
        <f t="shared" ref="B36:H36" si="5">B21/B31</f>
        <v>7071443.3832335332</v>
      </c>
      <c r="C36" s="13">
        <f t="shared" si="5"/>
        <v>6775635</v>
      </c>
      <c r="D36" s="13">
        <f t="shared" si="5"/>
        <v>5768676.9161676643</v>
      </c>
      <c r="E36" s="13">
        <f t="shared" si="5"/>
        <v>1006958.0838323354</v>
      </c>
      <c r="F36" s="13">
        <f t="shared" si="5"/>
        <v>295808.38323353295</v>
      </c>
      <c r="G36" s="13">
        <f t="shared" si="5"/>
        <v>295808.38323353295</v>
      </c>
      <c r="H36" s="12">
        <f t="shared" si="5"/>
        <v>0</v>
      </c>
      <c r="I36" s="36"/>
    </row>
    <row r="37" spans="1:9" x14ac:dyDescent="0.25">
      <c r="A37" s="12" t="s">
        <v>72</v>
      </c>
      <c r="B37" s="13">
        <f t="shared" ref="B37:H37" si="6">B35/B11</f>
        <v>11410.5970571548</v>
      </c>
      <c r="C37" s="13">
        <f t="shared" si="6"/>
        <v>143842.67805383023</v>
      </c>
      <c r="D37" s="13">
        <f t="shared" si="6"/>
        <v>212439.78068618747</v>
      </c>
      <c r="E37" s="13">
        <f t="shared" si="6"/>
        <v>23797.748447204969</v>
      </c>
      <c r="F37" s="13">
        <f t="shared" si="6"/>
        <v>0</v>
      </c>
      <c r="G37" s="13">
        <f t="shared" si="6"/>
        <v>0</v>
      </c>
      <c r="H37" s="13">
        <f t="shared" si="6"/>
        <v>0</v>
      </c>
    </row>
    <row r="38" spans="1:9" x14ac:dyDescent="0.25">
      <c r="A38" s="12" t="s">
        <v>127</v>
      </c>
      <c r="B38" s="13">
        <f t="shared" ref="B38:H38" si="7">B36/B14</f>
        <v>27731.150522484444</v>
      </c>
      <c r="C38" s="13">
        <f t="shared" si="7"/>
        <v>48054.148936170212</v>
      </c>
      <c r="D38" s="13">
        <f t="shared" si="7"/>
        <v>120180.76908682635</v>
      </c>
      <c r="E38" s="13">
        <f t="shared" si="7"/>
        <v>10827.506277767048</v>
      </c>
      <c r="F38" s="13">
        <f t="shared" si="7"/>
        <v>2594.8103792415172</v>
      </c>
      <c r="G38" s="13">
        <f t="shared" si="7"/>
        <v>2594.8103792415172</v>
      </c>
      <c r="H38" s="13" t="e">
        <f t="shared" si="7"/>
        <v>#DIV/0!</v>
      </c>
    </row>
    <row r="40" spans="1:9" x14ac:dyDescent="0.25">
      <c r="A40" s="1" t="s">
        <v>13</v>
      </c>
    </row>
    <row r="42" spans="1:9" x14ac:dyDescent="0.25">
      <c r="A42" t="s">
        <v>14</v>
      </c>
    </row>
    <row r="43" spans="1:9" x14ac:dyDescent="0.25">
      <c r="A43" t="s">
        <v>15</v>
      </c>
      <c r="B43" s="14" t="s">
        <v>51</v>
      </c>
      <c r="C43" s="14" t="s">
        <v>51</v>
      </c>
      <c r="D43" s="14" t="s">
        <v>51</v>
      </c>
      <c r="E43" s="14" t="s">
        <v>51</v>
      </c>
      <c r="F43" s="14" t="s">
        <v>51</v>
      </c>
      <c r="G43" s="14" t="s">
        <v>51</v>
      </c>
      <c r="H43" s="14" t="s">
        <v>51</v>
      </c>
    </row>
    <row r="44" spans="1:9" x14ac:dyDescent="0.25">
      <c r="A44" t="s">
        <v>16</v>
      </c>
      <c r="B44" s="14" t="s">
        <v>51</v>
      </c>
      <c r="C44" s="14" t="s">
        <v>51</v>
      </c>
      <c r="D44" s="14" t="s">
        <v>51</v>
      </c>
      <c r="E44" s="14" t="s">
        <v>51</v>
      </c>
      <c r="F44" s="14" t="s">
        <v>51</v>
      </c>
      <c r="G44" s="14" t="s">
        <v>51</v>
      </c>
      <c r="H44" s="14" t="s">
        <v>51</v>
      </c>
    </row>
    <row r="46" spans="1:9" x14ac:dyDescent="0.25">
      <c r="A46" t="s">
        <v>17</v>
      </c>
    </row>
    <row r="47" spans="1:9" x14ac:dyDescent="0.25">
      <c r="A47" t="s">
        <v>18</v>
      </c>
      <c r="B47" s="14">
        <f>B14/B13*100</f>
        <v>107.14285714285714</v>
      </c>
      <c r="C47" s="14">
        <f t="shared" ref="C47:H47" si="8">C14/C13*100</f>
        <v>130.55555555555557</v>
      </c>
      <c r="D47" s="14">
        <f t="shared" si="8"/>
        <v>100</v>
      </c>
      <c r="E47" s="14">
        <f t="shared" si="8"/>
        <v>155</v>
      </c>
      <c r="F47" s="14">
        <f t="shared" si="8"/>
        <v>87.692307692307693</v>
      </c>
      <c r="G47" s="14">
        <f t="shared" si="8"/>
        <v>87.692307692307693</v>
      </c>
      <c r="H47" s="14" t="e">
        <f t="shared" si="8"/>
        <v>#DIV/0!</v>
      </c>
    </row>
    <row r="48" spans="1:9" x14ac:dyDescent="0.25">
      <c r="A48" t="s">
        <v>19</v>
      </c>
      <c r="B48" s="14">
        <f>B21/B20*100</f>
        <v>30.537476621954262</v>
      </c>
      <c r="C48" s="14">
        <f t="shared" ref="C48:F48" si="9">C21/C20*100</f>
        <v>29.794225239742801</v>
      </c>
      <c r="D48" s="14">
        <f t="shared" si="9"/>
        <v>27.153830959380031</v>
      </c>
      <c r="E48" s="14">
        <f t="shared" si="9"/>
        <v>67.264799461881609</v>
      </c>
      <c r="F48" s="14">
        <f t="shared" si="9"/>
        <v>71.250000342548077</v>
      </c>
      <c r="G48" s="14">
        <f>G21/G20*100</f>
        <v>71.250000342548077</v>
      </c>
      <c r="H48" s="14" t="e">
        <f>H21/H20*100</f>
        <v>#DIV/0!</v>
      </c>
    </row>
    <row r="49" spans="1:8" x14ac:dyDescent="0.25">
      <c r="A49" s="12" t="s">
        <v>20</v>
      </c>
      <c r="B49" s="15">
        <f t="shared" ref="B49:H49" si="10">AVERAGE(B47:B48)</f>
        <v>68.840166882405697</v>
      </c>
      <c r="C49" s="15">
        <f t="shared" si="10"/>
        <v>80.174890397649193</v>
      </c>
      <c r="D49" s="15">
        <f t="shared" si="10"/>
        <v>63.576915479690015</v>
      </c>
      <c r="E49" s="15">
        <f t="shared" si="10"/>
        <v>111.1323997309408</v>
      </c>
      <c r="F49" s="15">
        <f t="shared" si="10"/>
        <v>79.471154017427892</v>
      </c>
      <c r="G49" s="15">
        <f t="shared" si="10"/>
        <v>79.471154017427892</v>
      </c>
      <c r="H49" s="15" t="e">
        <f t="shared" si="10"/>
        <v>#DIV/0!</v>
      </c>
    </row>
    <row r="50" spans="1:8" x14ac:dyDescent="0.25">
      <c r="B50" s="14"/>
      <c r="C50" s="14"/>
      <c r="D50" s="14"/>
      <c r="E50" s="14"/>
      <c r="F50" s="14"/>
      <c r="G50" s="14"/>
      <c r="H50" s="14"/>
    </row>
    <row r="51" spans="1:8" x14ac:dyDescent="0.25">
      <c r="A51" t="s">
        <v>21</v>
      </c>
    </row>
    <row r="52" spans="1:8" x14ac:dyDescent="0.25">
      <c r="A52" t="s">
        <v>22</v>
      </c>
      <c r="B52" s="14">
        <f>(B14/B16)*100</f>
        <v>10.340632603406325</v>
      </c>
      <c r="C52" s="14">
        <f t="shared" ref="C52:H52" si="11">(C14/C16)*100</f>
        <v>65.277777777777786</v>
      </c>
      <c r="D52" s="14">
        <f t="shared" si="11"/>
        <v>50</v>
      </c>
      <c r="E52" s="14">
        <f t="shared" si="11"/>
        <v>77.5</v>
      </c>
      <c r="F52" s="14">
        <f t="shared" si="11"/>
        <v>5.0666666666666664</v>
      </c>
      <c r="G52" s="14">
        <f t="shared" si="11"/>
        <v>5.0666666666666664</v>
      </c>
      <c r="H52" s="14" t="e">
        <f t="shared" si="11"/>
        <v>#DIV/0!</v>
      </c>
    </row>
    <row r="53" spans="1:8" x14ac:dyDescent="0.25">
      <c r="A53" t="s">
        <v>23</v>
      </c>
      <c r="B53" s="14">
        <f>B21/B22*100</f>
        <v>13.426323098717091</v>
      </c>
      <c r="C53" s="14">
        <f t="shared" ref="C53:F53" si="12">C21/C22*100</f>
        <v>14.8971126198714</v>
      </c>
      <c r="D53" s="14">
        <f t="shared" si="12"/>
        <v>13.576915472036349</v>
      </c>
      <c r="E53" s="14">
        <f t="shared" si="12"/>
        <v>33.632400000000004</v>
      </c>
      <c r="F53" s="14">
        <f t="shared" si="12"/>
        <v>4.1166666666666663</v>
      </c>
      <c r="G53" s="14">
        <f>G21/G22*100</f>
        <v>4.1166666666666663</v>
      </c>
      <c r="H53" s="14" t="e">
        <f>H21/H22*100</f>
        <v>#DIV/0!</v>
      </c>
    </row>
    <row r="54" spans="1:8" x14ac:dyDescent="0.25">
      <c r="A54" t="s">
        <v>24</v>
      </c>
      <c r="B54" s="14">
        <f t="shared" ref="B54:H54" si="13">(B52+B53)/2</f>
        <v>11.883477851061709</v>
      </c>
      <c r="C54" s="14">
        <f t="shared" si="13"/>
        <v>40.087445198824597</v>
      </c>
      <c r="D54" s="14">
        <f t="shared" si="13"/>
        <v>31.788457736018174</v>
      </c>
      <c r="E54" s="14">
        <f t="shared" si="13"/>
        <v>55.566200000000002</v>
      </c>
      <c r="F54" s="14">
        <f t="shared" si="13"/>
        <v>4.5916666666666668</v>
      </c>
      <c r="G54" s="14">
        <f t="shared" si="13"/>
        <v>4.5916666666666668</v>
      </c>
      <c r="H54" s="14" t="e">
        <f t="shared" si="13"/>
        <v>#DIV/0!</v>
      </c>
    </row>
    <row r="56" spans="1:8" x14ac:dyDescent="0.25">
      <c r="A56" s="12" t="s">
        <v>35</v>
      </c>
      <c r="B56" s="15"/>
      <c r="C56" s="15"/>
      <c r="D56" s="15"/>
      <c r="E56" s="15"/>
      <c r="F56" s="15"/>
      <c r="G56" s="15"/>
      <c r="H56" s="15"/>
    </row>
    <row r="57" spans="1:8" x14ac:dyDescent="0.25">
      <c r="A57" t="s">
        <v>25</v>
      </c>
      <c r="B57" s="14">
        <f t="shared" ref="B57:F57" si="14">B23/B21*100</f>
        <v>100</v>
      </c>
      <c r="C57" s="14">
        <f t="shared" si="14"/>
        <v>100</v>
      </c>
      <c r="D57" s="14"/>
      <c r="E57" s="14"/>
      <c r="F57" s="14">
        <f t="shared" si="14"/>
        <v>100</v>
      </c>
      <c r="G57" s="14"/>
      <c r="H57" s="14"/>
    </row>
    <row r="59" spans="1:8" x14ac:dyDescent="0.25">
      <c r="A59" t="s">
        <v>26</v>
      </c>
    </row>
    <row r="60" spans="1:8" x14ac:dyDescent="0.25">
      <c r="A60" t="s">
        <v>27</v>
      </c>
      <c r="B60" s="14">
        <f>((B14/B11)-1)*100</f>
        <v>-69.350961538461547</v>
      </c>
      <c r="C60" s="14">
        <f t="shared" ref="C60:H60" si="15">((C14/C11)-1)*100</f>
        <v>113.63636363636363</v>
      </c>
      <c r="D60" s="14">
        <f t="shared" si="15"/>
        <v>14.285714285714279</v>
      </c>
      <c r="E60" s="14">
        <f t="shared" si="15"/>
        <v>287.5</v>
      </c>
      <c r="F60" s="14">
        <f t="shared" si="15"/>
        <v>-85.117493472584854</v>
      </c>
      <c r="G60" s="14">
        <f t="shared" si="15"/>
        <v>19.999999999999996</v>
      </c>
      <c r="H60" s="14">
        <f t="shared" si="15"/>
        <v>-100</v>
      </c>
    </row>
    <row r="61" spans="1:8" x14ac:dyDescent="0.25">
      <c r="A61" t="s">
        <v>28</v>
      </c>
      <c r="B61" s="14">
        <f>((B36/B35)-1)*100</f>
        <v>-25.513704963106765</v>
      </c>
      <c r="C61" s="14">
        <f>((C36/C35)-1)*100</f>
        <v>-28.62957103369731</v>
      </c>
      <c r="D61" s="14">
        <f t="shared" ref="D61:H61" si="16">((D36/D35)-1)*100</f>
        <v>-35.34664273268352</v>
      </c>
      <c r="E61" s="14">
        <f t="shared" si="16"/>
        <v>76.304858921538383</v>
      </c>
      <c r="F61" s="14" t="e">
        <f t="shared" si="16"/>
        <v>#DIV/0!</v>
      </c>
      <c r="G61" s="14" t="e">
        <f t="shared" si="16"/>
        <v>#DIV/0!</v>
      </c>
      <c r="H61" s="14" t="e">
        <f t="shared" si="16"/>
        <v>#DIV/0!</v>
      </c>
    </row>
    <row r="62" spans="1:8" x14ac:dyDescent="0.25">
      <c r="A62" s="12" t="s">
        <v>29</v>
      </c>
      <c r="B62" s="15">
        <f t="shared" ref="B62:H62" si="17">((B38/B37)-1)*100</f>
        <v>143.02979400272613</v>
      </c>
      <c r="C62" s="15">
        <f t="shared" si="17"/>
        <v>-66.592565164709384</v>
      </c>
      <c r="D62" s="15">
        <f t="shared" si="17"/>
        <v>-43.428312391098075</v>
      </c>
      <c r="E62" s="15">
        <f t="shared" si="17"/>
        <v>-54.501971891215902</v>
      </c>
      <c r="F62" s="15" t="e">
        <f t="shared" si="17"/>
        <v>#DIV/0!</v>
      </c>
      <c r="G62" s="15" t="e">
        <f t="shared" si="17"/>
        <v>#DIV/0!</v>
      </c>
      <c r="H62" s="15" t="e">
        <f t="shared" si="17"/>
        <v>#DIV/0!</v>
      </c>
    </row>
    <row r="63" spans="1:8" x14ac:dyDescent="0.25">
      <c r="B63" s="16"/>
      <c r="C63" s="16"/>
      <c r="D63" s="16"/>
      <c r="E63" s="16"/>
      <c r="F63" s="16"/>
      <c r="G63" s="16"/>
      <c r="H63" s="16"/>
    </row>
    <row r="64" spans="1:8" x14ac:dyDescent="0.25">
      <c r="A64" t="s">
        <v>30</v>
      </c>
    </row>
    <row r="65" spans="1:8" x14ac:dyDescent="0.25">
      <c r="A65" t="s">
        <v>42</v>
      </c>
      <c r="B65" s="3">
        <f t="shared" ref="B65:H65" si="18">B20/B13</f>
        <v>162485.43415966386</v>
      </c>
      <c r="C65" s="3">
        <f t="shared" si="18"/>
        <v>351650</v>
      </c>
      <c r="D65" s="3">
        <f t="shared" si="18"/>
        <v>739129.16624999989</v>
      </c>
      <c r="E65" s="3">
        <f t="shared" si="18"/>
        <v>41666.667000000001</v>
      </c>
      <c r="F65" s="3">
        <f t="shared" si="18"/>
        <v>5333.3333076923072</v>
      </c>
      <c r="G65" s="3">
        <f t="shared" si="18"/>
        <v>5333.3333076923072</v>
      </c>
      <c r="H65" s="3" t="e">
        <f t="shared" si="18"/>
        <v>#DIV/0!</v>
      </c>
    </row>
    <row r="66" spans="1:8" x14ac:dyDescent="0.25">
      <c r="A66" t="s">
        <v>43</v>
      </c>
      <c r="B66" s="3">
        <f t="shared" ref="B66:H66" si="19">B21/B14</f>
        <v>46311.021372549018</v>
      </c>
      <c r="C66" s="3">
        <f t="shared" si="19"/>
        <v>80250.428723404257</v>
      </c>
      <c r="D66" s="3">
        <f t="shared" si="19"/>
        <v>200701.88437499999</v>
      </c>
      <c r="E66" s="3">
        <f t="shared" si="19"/>
        <v>18081.935483870966</v>
      </c>
      <c r="F66" s="3">
        <f t="shared" si="19"/>
        <v>4333.333333333333</v>
      </c>
      <c r="G66" s="3">
        <f t="shared" si="19"/>
        <v>4333.333333333333</v>
      </c>
      <c r="H66" s="3" t="e">
        <f t="shared" si="19"/>
        <v>#DIV/0!</v>
      </c>
    </row>
    <row r="67" spans="1:8" x14ac:dyDescent="0.25">
      <c r="A67" s="12" t="s">
        <v>31</v>
      </c>
      <c r="B67" s="15">
        <f>(B65/B66)*B49</f>
        <v>241.53050552544394</v>
      </c>
      <c r="C67" s="15">
        <f t="shared" ref="C67:H67" si="20">(C65/C66)*C49</f>
        <v>351.3189980019506</v>
      </c>
      <c r="D67" s="15">
        <f t="shared" si="20"/>
        <v>234.13608037405851</v>
      </c>
      <c r="E67" s="15">
        <f t="shared" si="20"/>
        <v>256.08523471563143</v>
      </c>
      <c r="F67" s="15">
        <f t="shared" si="20"/>
        <v>97.810650628129267</v>
      </c>
      <c r="G67" s="15">
        <f t="shared" si="20"/>
        <v>97.810650628129267</v>
      </c>
      <c r="H67" s="15" t="e">
        <f t="shared" si="20"/>
        <v>#DIV/0!</v>
      </c>
    </row>
    <row r="68" spans="1:8" s="5" customFormat="1" x14ac:dyDescent="0.25">
      <c r="A68" t="s">
        <v>40</v>
      </c>
      <c r="B68" s="26">
        <f>B20/(B13*6)</f>
        <v>27080.905693277309</v>
      </c>
      <c r="C68" s="26">
        <f t="shared" ref="C68:H68" si="21">C20/(C13*6)</f>
        <v>58608.333333333336</v>
      </c>
      <c r="D68" s="26">
        <f t="shared" si="21"/>
        <v>123188.19437499999</v>
      </c>
      <c r="E68" s="26">
        <f t="shared" si="21"/>
        <v>6944.4444999999996</v>
      </c>
      <c r="F68" s="26">
        <f t="shared" si="21"/>
        <v>888.88888461538454</v>
      </c>
      <c r="G68" s="26">
        <f t="shared" si="21"/>
        <v>888.88888461538454</v>
      </c>
      <c r="H68" s="26" t="e">
        <f t="shared" si="21"/>
        <v>#DIV/0!</v>
      </c>
    </row>
    <row r="69" spans="1:8" s="5" customFormat="1" x14ac:dyDescent="0.25">
      <c r="A69" t="s">
        <v>41</v>
      </c>
      <c r="B69" s="26">
        <f>B21/(B14*6)</f>
        <v>7718.5035620915032</v>
      </c>
      <c r="C69" s="26">
        <f t="shared" ref="C69:H69" si="22">C21/(C14*6)</f>
        <v>13375.071453900708</v>
      </c>
      <c r="D69" s="26">
        <f t="shared" si="22"/>
        <v>33450.314062499994</v>
      </c>
      <c r="E69" s="26">
        <f t="shared" si="22"/>
        <v>3013.6559139784945</v>
      </c>
      <c r="F69" s="26">
        <f t="shared" si="22"/>
        <v>722.22222222222217</v>
      </c>
      <c r="G69" s="26">
        <f t="shared" si="22"/>
        <v>722.22222222222217</v>
      </c>
      <c r="H69" s="26" t="e">
        <f t="shared" si="22"/>
        <v>#DIV/0!</v>
      </c>
    </row>
    <row r="70" spans="1:8" x14ac:dyDescent="0.25">
      <c r="B70" s="14"/>
      <c r="C70" s="14"/>
      <c r="D70" s="14"/>
    </row>
    <row r="71" spans="1:8" x14ac:dyDescent="0.25">
      <c r="A71" t="s">
        <v>32</v>
      </c>
      <c r="B71" s="14"/>
      <c r="C71" s="14"/>
      <c r="D71" s="14"/>
    </row>
    <row r="72" spans="1:8" x14ac:dyDescent="0.25">
      <c r="A72" s="17" t="s">
        <v>33</v>
      </c>
      <c r="B72" s="18">
        <f>(B27/B26)*100</f>
        <v>81.561149724393417</v>
      </c>
      <c r="C72" s="18">
        <f>(C27/C26)*100</f>
        <v>81.120161566372289</v>
      </c>
      <c r="D72" s="18"/>
      <c r="E72" s="18"/>
      <c r="F72" s="18">
        <f>(F27/F26)*100</f>
        <v>105.71682743133091</v>
      </c>
      <c r="G72" s="18"/>
      <c r="H72" s="18"/>
    </row>
    <row r="73" spans="1:8" x14ac:dyDescent="0.25">
      <c r="A73" s="17" t="s">
        <v>34</v>
      </c>
      <c r="B73" s="18">
        <f>(B21/B27)*100</f>
        <v>37.441204207082272</v>
      </c>
      <c r="C73" s="18">
        <f>(C21/C27)*100</f>
        <v>36.728508257919636</v>
      </c>
      <c r="D73" s="18"/>
      <c r="E73" s="18"/>
      <c r="F73" s="18">
        <f>(F21/F27)*100</f>
        <v>67.397028527770573</v>
      </c>
      <c r="G73" s="18"/>
      <c r="H73" s="18"/>
    </row>
    <row r="74" spans="1:8" ht="15.75" thickBot="1" x14ac:dyDescent="0.3">
      <c r="A74" s="19"/>
      <c r="B74" s="19"/>
      <c r="C74" s="19"/>
      <c r="D74" s="19"/>
      <c r="E74" s="19"/>
      <c r="F74" s="19"/>
      <c r="G74" s="19"/>
      <c r="H74" s="19"/>
    </row>
    <row r="75" spans="1:8" ht="15.75" thickTop="1" x14ac:dyDescent="0.25">
      <c r="A75" s="22" t="s">
        <v>36</v>
      </c>
    </row>
    <row r="76" spans="1:8" x14ac:dyDescent="0.25">
      <c r="A76" s="22" t="s">
        <v>111</v>
      </c>
    </row>
    <row r="77" spans="1:8" x14ac:dyDescent="0.25">
      <c r="A77" s="22" t="s">
        <v>101</v>
      </c>
    </row>
    <row r="78" spans="1:8" x14ac:dyDescent="0.25">
      <c r="A78" s="22" t="s">
        <v>84</v>
      </c>
      <c r="B78" s="20"/>
      <c r="C78" s="20"/>
      <c r="D78" s="20"/>
    </row>
    <row r="79" spans="1:8" x14ac:dyDescent="0.25">
      <c r="A79" s="22"/>
    </row>
    <row r="80" spans="1:8" x14ac:dyDescent="0.25">
      <c r="A80" s="22"/>
    </row>
    <row r="82" spans="1:1" x14ac:dyDescent="0.25">
      <c r="A82" t="s">
        <v>37</v>
      </c>
    </row>
    <row r="84" spans="1:1" x14ac:dyDescent="0.25">
      <c r="A84" t="s">
        <v>52</v>
      </c>
    </row>
    <row r="85" spans="1:1" x14ac:dyDescent="0.25">
      <c r="A85" t="s">
        <v>53</v>
      </c>
    </row>
    <row r="87" spans="1:1" x14ac:dyDescent="0.25">
      <c r="A87" t="s">
        <v>142</v>
      </c>
    </row>
  </sheetData>
  <mergeCells count="11">
    <mergeCell ref="A2:H2"/>
    <mergeCell ref="A4:A6"/>
    <mergeCell ref="B4:B6"/>
    <mergeCell ref="C4:E4"/>
    <mergeCell ref="F4:H4"/>
    <mergeCell ref="C5:C6"/>
    <mergeCell ref="E5:E6"/>
    <mergeCell ref="F5:F6"/>
    <mergeCell ref="G5:G6"/>
    <mergeCell ref="H5:H6"/>
    <mergeCell ref="D5:D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8"/>
  <sheetViews>
    <sheetView zoomScale="80" zoomScaleNormal="80" workbookViewId="0">
      <selection activeCell="G13" sqref="G13"/>
    </sheetView>
  </sheetViews>
  <sheetFormatPr baseColWidth="10" defaultColWidth="11.42578125" defaultRowHeight="15" x14ac:dyDescent="0.25"/>
  <cols>
    <col min="1" max="1" width="50.85546875" customWidth="1"/>
    <col min="2" max="7" width="13.7109375" customWidth="1"/>
    <col min="8" max="8" width="15.140625" customWidth="1"/>
  </cols>
  <sheetData>
    <row r="2" spans="1:8" ht="15.75" x14ac:dyDescent="0.25">
      <c r="A2" s="40" t="s">
        <v>131</v>
      </c>
      <c r="B2" s="40"/>
      <c r="C2" s="40"/>
      <c r="D2" s="40"/>
      <c r="E2" s="40"/>
      <c r="F2" s="40"/>
      <c r="G2" s="40"/>
      <c r="H2" s="40"/>
    </row>
    <row r="4" spans="1:8" x14ac:dyDescent="0.25">
      <c r="A4" s="41" t="s">
        <v>0</v>
      </c>
      <c r="B4" s="44" t="s">
        <v>1</v>
      </c>
      <c r="C4" s="47" t="s">
        <v>2</v>
      </c>
      <c r="D4" s="48"/>
      <c r="E4" s="49"/>
      <c r="F4" s="47" t="s">
        <v>3</v>
      </c>
      <c r="G4" s="48"/>
      <c r="H4" s="49"/>
    </row>
    <row r="5" spans="1:8" ht="15" customHeight="1" x14ac:dyDescent="0.25">
      <c r="A5" s="42"/>
      <c r="B5" s="45"/>
      <c r="C5" s="50" t="s">
        <v>4</v>
      </c>
      <c r="D5" s="56" t="s">
        <v>5</v>
      </c>
      <c r="E5" s="52" t="s">
        <v>91</v>
      </c>
      <c r="F5" s="54" t="s">
        <v>4</v>
      </c>
      <c r="G5" s="56" t="s">
        <v>81</v>
      </c>
      <c r="H5" s="57" t="s">
        <v>6</v>
      </c>
    </row>
    <row r="6" spans="1:8" ht="15.75" thickBot="1" x14ac:dyDescent="0.3">
      <c r="A6" s="43"/>
      <c r="B6" s="46"/>
      <c r="C6" s="51"/>
      <c r="D6" s="53"/>
      <c r="E6" s="53"/>
      <c r="F6" s="55"/>
      <c r="G6" s="53"/>
      <c r="H6" s="58"/>
    </row>
    <row r="7" spans="1:8" ht="15.75" thickTop="1" x14ac:dyDescent="0.25"/>
    <row r="8" spans="1:8" x14ac:dyDescent="0.25">
      <c r="A8" s="1" t="s">
        <v>7</v>
      </c>
    </row>
    <row r="10" spans="1:8" x14ac:dyDescent="0.25">
      <c r="A10" t="s">
        <v>48</v>
      </c>
    </row>
    <row r="11" spans="1:8" x14ac:dyDescent="0.25">
      <c r="A11" s="2" t="s">
        <v>73</v>
      </c>
      <c r="B11" s="4">
        <f>C11+F11</f>
        <v>10987</v>
      </c>
      <c r="C11" s="4">
        <f>D11+E11</f>
        <v>162</v>
      </c>
      <c r="D11" s="4">
        <f>+'I Trimestre'!D11+'II Trimestre'!D11+'III Trimestre'!D11</f>
        <v>63</v>
      </c>
      <c r="E11" s="4">
        <f>+'I Trimestre'!E11+'II Trimestre'!E11+'III Trimestre'!E11</f>
        <v>99</v>
      </c>
      <c r="F11" s="23">
        <f>SUM(G11:H11)</f>
        <v>10825</v>
      </c>
      <c r="G11" s="23">
        <f>+'I Trimestre'!G11+'II Trimestre'!G11+'III Trimestre'!G11</f>
        <v>1037</v>
      </c>
      <c r="H11" s="5">
        <f>+'I Trimestre'!H11+'II Trimestre'!H11+'III Trimestre'!H11</f>
        <v>9788</v>
      </c>
    </row>
    <row r="12" spans="1:8" x14ac:dyDescent="0.25">
      <c r="A12" s="27" t="s">
        <v>49</v>
      </c>
      <c r="B12" s="4">
        <f>C12+F12</f>
        <v>11037</v>
      </c>
      <c r="C12" s="4">
        <f>D12+E12</f>
        <v>212</v>
      </c>
      <c r="D12" s="4">
        <f>+'I Trimestre'!D12+'II Trimestre'!D12+'III Trimestre'!D12</f>
        <v>113</v>
      </c>
      <c r="E12" s="4">
        <f>+'I Trimestre'!E12+'II Trimestre'!E12+'III Trimestre'!E12</f>
        <v>99</v>
      </c>
      <c r="F12" s="23">
        <f t="shared" ref="F12:F15" si="0">SUM(G12:H12)</f>
        <v>10825</v>
      </c>
      <c r="G12" s="23">
        <f>+'I Trimestre'!G12+'II Trimestre'!G12+'III Trimestre'!G12</f>
        <v>1037</v>
      </c>
      <c r="H12" s="5">
        <f>+'I Trimestre'!H12+'II Trimestre'!H12+'III Trimestre'!H12</f>
        <v>9788</v>
      </c>
    </row>
    <row r="13" spans="1:8" x14ac:dyDescent="0.25">
      <c r="A13" s="2" t="s">
        <v>128</v>
      </c>
      <c r="B13" s="4">
        <f>C13+F13</f>
        <v>1792</v>
      </c>
      <c r="C13" s="4">
        <f>D13+E13</f>
        <v>162</v>
      </c>
      <c r="D13" s="4">
        <f>+'I Trimestre'!D13+'II Trimestre'!D13+'III Trimestre'!D13</f>
        <v>72</v>
      </c>
      <c r="E13" s="4">
        <f>+'I Trimestre'!E13+'II Trimestre'!E13+'III Trimestre'!E13</f>
        <v>90</v>
      </c>
      <c r="F13" s="23">
        <f t="shared" si="0"/>
        <v>1630</v>
      </c>
      <c r="G13" s="5">
        <f>+'I Trimestre'!G13+'II Trimestre'!G13+'III Trimestre'!G13</f>
        <v>1630</v>
      </c>
      <c r="H13" s="23">
        <f>+'I Trimestre'!H13+'II Trimestre'!H13+'III Trimestre'!H13</f>
        <v>0</v>
      </c>
    </row>
    <row r="14" spans="1:8" x14ac:dyDescent="0.25">
      <c r="A14" s="2" t="s">
        <v>129</v>
      </c>
      <c r="B14" s="4">
        <f>C14+F14</f>
        <v>966</v>
      </c>
      <c r="C14" s="4">
        <f>D14+E14</f>
        <v>219</v>
      </c>
      <c r="D14" s="4">
        <f>(+'I Trimestre'!D14+'II Trimestre'!D14+'III Trimestre'!D14)</f>
        <v>70</v>
      </c>
      <c r="E14" s="4">
        <f>+'I Trimestre'!E14+'II Trimestre'!E14+'III Trimestre'!E14</f>
        <v>149</v>
      </c>
      <c r="F14" s="23">
        <f t="shared" si="0"/>
        <v>747</v>
      </c>
      <c r="G14" s="4">
        <f>+'I Trimestre'!G14+'II Trimestre'!G14+'III Trimestre'!G14</f>
        <v>747</v>
      </c>
      <c r="H14" s="23">
        <f>+'I Trimestre'!H14+'II Trimestre'!H14+'III Trimestre'!H14</f>
        <v>0</v>
      </c>
    </row>
    <row r="15" spans="1:8" x14ac:dyDescent="0.25">
      <c r="A15" s="27" t="s">
        <v>49</v>
      </c>
      <c r="B15" s="4">
        <f>C15+F15</f>
        <v>261</v>
      </c>
      <c r="C15" s="4">
        <f>D15+E15</f>
        <v>261</v>
      </c>
      <c r="D15" s="4">
        <f>(+'I Trimestre'!D15+'II Trimestre'!D15+'III Trimestre'!D15)</f>
        <v>112</v>
      </c>
      <c r="E15" s="4">
        <f>+'I Trimestre'!E15+'II Trimestre'!E15+'III Trimestre'!E15</f>
        <v>149</v>
      </c>
      <c r="F15" s="23">
        <f t="shared" si="0"/>
        <v>0</v>
      </c>
      <c r="G15" s="4">
        <f>+'I Trimestre'!G15+'II Trimestre'!G15+'III Trimestre'!G15</f>
        <v>0</v>
      </c>
      <c r="H15" s="23">
        <f>+'I Trimestre'!H15+'II Trimestre'!H15+'III Trimestre'!H15</f>
        <v>0</v>
      </c>
    </row>
    <row r="16" spans="1:8" x14ac:dyDescent="0.25">
      <c r="A16" s="2" t="s">
        <v>89</v>
      </c>
      <c r="B16" s="4">
        <f>+'III Trimestre'!B16</f>
        <v>2466</v>
      </c>
      <c r="C16" s="4">
        <f>+'III Trimestre'!C16</f>
        <v>216</v>
      </c>
      <c r="D16" s="4">
        <f>+'III Trimestre'!D16</f>
        <v>96</v>
      </c>
      <c r="E16" s="4">
        <f>+'III Trimestre'!E16</f>
        <v>120</v>
      </c>
      <c r="F16" s="23">
        <f>+'III Trimestre'!F16</f>
        <v>2250</v>
      </c>
      <c r="G16" s="4">
        <f>+'III Trimestre'!G16</f>
        <v>2250</v>
      </c>
      <c r="H16" s="23">
        <f>+'III Trimestre'!H16</f>
        <v>0</v>
      </c>
    </row>
    <row r="17" spans="1:10" x14ac:dyDescent="0.25">
      <c r="F17" s="5"/>
    </row>
    <row r="18" spans="1:10" x14ac:dyDescent="0.25">
      <c r="A18" s="6" t="s">
        <v>8</v>
      </c>
      <c r="F18" s="5"/>
    </row>
    <row r="19" spans="1:10" x14ac:dyDescent="0.25">
      <c r="A19" s="2" t="s">
        <v>73</v>
      </c>
      <c r="B19" s="4">
        <f>C19+F19</f>
        <v>34303650.969999999</v>
      </c>
      <c r="C19" s="4">
        <f>D19+E19</f>
        <v>30548853.469999999</v>
      </c>
      <c r="D19" s="4">
        <f>+'I Trimestre'!D19+'II Trimestre'!D19+'III Trimestre'!D19</f>
        <v>28227123.469999999</v>
      </c>
      <c r="E19" s="4">
        <f>+'I Trimestre'!E19+'II Trimestre'!E19+'III Trimestre'!E19</f>
        <v>2321730</v>
      </c>
      <c r="F19" s="23">
        <f>SUM(G19:H19)</f>
        <v>3754797.5</v>
      </c>
      <c r="G19" s="4">
        <f>+'I Trimestre'!G19+'II Trimestre'!G19+'III Trimestre'!G19</f>
        <v>3754797.5</v>
      </c>
      <c r="H19" s="4">
        <f>+'I Trimestre'!H19+'II Trimestre'!H19+'III Trimestre'!H19</f>
        <v>0</v>
      </c>
    </row>
    <row r="20" spans="1:10" x14ac:dyDescent="0.25">
      <c r="A20" s="2" t="s">
        <v>128</v>
      </c>
      <c r="B20" s="4">
        <f t="shared" ref="B20:B21" si="1">C20+F20</f>
        <v>65660633.32</v>
      </c>
      <c r="C20" s="4">
        <f t="shared" ref="C20:C21" si="2">D20+E20</f>
        <v>56967299.990000002</v>
      </c>
      <c r="D20" s="4">
        <f>'I Trimestre'!D20+'II Trimestre'!D20+'III Trimestre'!D20</f>
        <v>53217299.969999999</v>
      </c>
      <c r="E20" s="4">
        <f>'I Trimestre'!E20+'II Trimestre'!E20+'III Trimestre'!E20</f>
        <v>3750000.02</v>
      </c>
      <c r="F20" s="23">
        <f>SUM(G20:H20)</f>
        <v>8693333.3300000001</v>
      </c>
      <c r="G20" s="4">
        <f>'I Trimestre'!G20+'II Trimestre'!G20+'III Trimestre'!G20</f>
        <v>8693333.3300000001</v>
      </c>
      <c r="H20" s="4">
        <f>+'I Trimestre'!H20+'II Trimestre'!H20+'III Trimestre'!H20</f>
        <v>0</v>
      </c>
      <c r="I20" s="36"/>
    </row>
    <row r="21" spans="1:10" x14ac:dyDescent="0.25">
      <c r="A21" s="2" t="s">
        <v>129</v>
      </c>
      <c r="B21" s="4">
        <f t="shared" si="1"/>
        <v>23787323.68</v>
      </c>
      <c r="C21" s="4">
        <f t="shared" si="2"/>
        <v>19658037.890000001</v>
      </c>
      <c r="D21" s="4">
        <f>+'I Trimestre'!D21+'II Trimestre'!D21+'III Trimestre'!D21</f>
        <v>17061347.890000001</v>
      </c>
      <c r="E21" s="4">
        <f>+'I Trimestre'!E21+'II Trimestre'!E21+'III Trimestre'!E21</f>
        <v>2596690</v>
      </c>
      <c r="F21" s="4">
        <f>SUM(G21:H21)</f>
        <v>4129285.79</v>
      </c>
      <c r="G21" s="4">
        <f>+'I Trimestre'!G21+'II Trimestre'!G21+'III Trimestre'!G21</f>
        <v>4129285.79</v>
      </c>
      <c r="H21" s="4">
        <f>+'I Trimestre'!H21+'II Trimestre'!H21+'III Trimestre'!H21</f>
        <v>0</v>
      </c>
      <c r="I21" s="36"/>
      <c r="J21" s="4"/>
    </row>
    <row r="22" spans="1:10" x14ac:dyDescent="0.25">
      <c r="A22" s="2" t="s">
        <v>89</v>
      </c>
      <c r="B22" s="4">
        <f>+'III Trimestre'!B22</f>
        <v>87956400</v>
      </c>
      <c r="C22" s="4">
        <f>+'III Trimestre'!C22</f>
        <v>75956400</v>
      </c>
      <c r="D22" s="4">
        <f>+'III Trimestre'!D22</f>
        <v>70956400</v>
      </c>
      <c r="E22" s="4">
        <f>+'III Trimestre'!E22</f>
        <v>5000000</v>
      </c>
      <c r="F22" s="4">
        <f>+'III Trimestre'!F22</f>
        <v>12000000</v>
      </c>
      <c r="G22" s="4">
        <f>+'III Trimestre'!G22</f>
        <v>12000000</v>
      </c>
      <c r="H22" s="4">
        <f>+'III Trimestre'!H22</f>
        <v>0</v>
      </c>
    </row>
    <row r="23" spans="1:10" x14ac:dyDescent="0.25">
      <c r="A23" s="2" t="s">
        <v>130</v>
      </c>
      <c r="B23" s="3">
        <f>+C23+F23</f>
        <v>23787323.68</v>
      </c>
      <c r="C23" s="3">
        <f>+D23+E23</f>
        <v>19658037.890000001</v>
      </c>
      <c r="D23" s="3">
        <f>D21</f>
        <v>17061347.890000001</v>
      </c>
      <c r="E23" s="3">
        <f>+E21</f>
        <v>2596690</v>
      </c>
      <c r="F23" s="3">
        <f>H23+G23</f>
        <v>4129285.79</v>
      </c>
      <c r="G23" s="3">
        <f>G21</f>
        <v>4129285.79</v>
      </c>
      <c r="H23" s="3">
        <f>H21</f>
        <v>0</v>
      </c>
    </row>
    <row r="24" spans="1:10" x14ac:dyDescent="0.25">
      <c r="B24" s="3"/>
      <c r="C24" s="3"/>
      <c r="D24" s="3"/>
    </row>
    <row r="25" spans="1:10" x14ac:dyDescent="0.25">
      <c r="A25" s="7" t="s">
        <v>9</v>
      </c>
      <c r="B25" s="8"/>
      <c r="C25" s="8"/>
      <c r="D25" s="8"/>
      <c r="E25" s="8"/>
      <c r="F25" s="8"/>
      <c r="G25" s="8"/>
      <c r="H25" s="8"/>
    </row>
    <row r="26" spans="1:10" x14ac:dyDescent="0.25">
      <c r="A26" s="9" t="s">
        <v>128</v>
      </c>
      <c r="B26" s="8">
        <f>+B20</f>
        <v>65660633.32</v>
      </c>
      <c r="C26" s="8">
        <f>+C20</f>
        <v>56967299.990000002</v>
      </c>
      <c r="D26" s="8"/>
      <c r="E26" s="8"/>
      <c r="F26" s="8">
        <f>F20</f>
        <v>8693333.3300000001</v>
      </c>
      <c r="G26" s="8"/>
      <c r="H26" s="8"/>
    </row>
    <row r="27" spans="1:10" x14ac:dyDescent="0.25">
      <c r="A27" s="9" t="s">
        <v>129</v>
      </c>
      <c r="B27" s="8">
        <f>'I Trimestre'!B27+'II Trimestre'!B27+'III Trimestre'!B27</f>
        <v>31540947.200000003</v>
      </c>
      <c r="C27" s="8">
        <f>+'I Trimestre'!C27+'II Trimestre'!C27+'III Trimestre'!C27</f>
        <v>30807977.200000003</v>
      </c>
      <c r="D27" s="8"/>
      <c r="E27" s="8"/>
      <c r="F27" s="8">
        <f>+'I Trimestre'!F27+'II Trimestre'!F27+'III Trimestre'!F27</f>
        <v>732970</v>
      </c>
      <c r="G27" s="8"/>
      <c r="H27" s="8"/>
    </row>
    <row r="29" spans="1:10" x14ac:dyDescent="0.25">
      <c r="A29" t="s">
        <v>10</v>
      </c>
    </row>
    <row r="30" spans="1:10" x14ac:dyDescent="0.25">
      <c r="A30" s="10" t="s">
        <v>74</v>
      </c>
      <c r="B30" s="21">
        <v>1.61</v>
      </c>
      <c r="C30" s="21">
        <v>1.61</v>
      </c>
      <c r="D30" s="21">
        <v>1.61</v>
      </c>
      <c r="E30" s="21">
        <v>1.61</v>
      </c>
      <c r="F30" s="21">
        <v>1.61</v>
      </c>
      <c r="G30" s="21">
        <v>1.61</v>
      </c>
      <c r="H30" s="21">
        <v>1.61</v>
      </c>
      <c r="I30" s="36"/>
      <c r="J30" s="36"/>
    </row>
    <row r="31" spans="1:10" x14ac:dyDescent="0.25">
      <c r="A31" s="10" t="s">
        <v>132</v>
      </c>
      <c r="B31" s="21">
        <v>1.68</v>
      </c>
      <c r="C31" s="21">
        <v>1.68</v>
      </c>
      <c r="D31" s="21">
        <v>1.68</v>
      </c>
      <c r="E31" s="21">
        <v>1.68</v>
      </c>
      <c r="F31" s="21">
        <v>1.68</v>
      </c>
      <c r="G31" s="21">
        <v>1.68</v>
      </c>
      <c r="H31" s="21">
        <v>1.68</v>
      </c>
      <c r="I31" s="36"/>
      <c r="J31" s="36"/>
    </row>
    <row r="32" spans="1:10" x14ac:dyDescent="0.25">
      <c r="A32" s="37" t="s">
        <v>11</v>
      </c>
      <c r="B32" s="4"/>
      <c r="C32" s="38"/>
      <c r="D32" s="38"/>
      <c r="E32" s="38"/>
      <c r="F32" s="38"/>
      <c r="G32" s="38"/>
      <c r="H32" s="38"/>
    </row>
    <row r="34" spans="1:8" x14ac:dyDescent="0.25">
      <c r="A34" s="11" t="s">
        <v>12</v>
      </c>
      <c r="B34" s="12"/>
      <c r="C34" s="12"/>
      <c r="D34" s="12"/>
      <c r="E34" s="12"/>
      <c r="F34" s="12"/>
      <c r="G34" s="12"/>
      <c r="H34" s="12"/>
    </row>
    <row r="35" spans="1:8" x14ac:dyDescent="0.25">
      <c r="A35" s="12" t="s">
        <v>75</v>
      </c>
      <c r="B35" s="13">
        <f>B19/B30</f>
        <v>21306615.509316768</v>
      </c>
      <c r="C35" s="13">
        <f t="shared" ref="C35:H35" si="3">C19/C30</f>
        <v>18974443.149068322</v>
      </c>
      <c r="D35" s="13">
        <f>D19/D30</f>
        <v>17532374.826086953</v>
      </c>
      <c r="E35" s="13">
        <f t="shared" si="3"/>
        <v>1442068.3229813664</v>
      </c>
      <c r="F35" s="13">
        <f t="shared" si="3"/>
        <v>2332172.3602484469</v>
      </c>
      <c r="G35" s="13">
        <f t="shared" si="3"/>
        <v>2332172.3602484469</v>
      </c>
      <c r="H35" s="13">
        <f t="shared" si="3"/>
        <v>0</v>
      </c>
    </row>
    <row r="36" spans="1:8" x14ac:dyDescent="0.25">
      <c r="A36" s="12" t="s">
        <v>133</v>
      </c>
      <c r="B36" s="13">
        <f t="shared" ref="B36:F36" si="4">B21/B31</f>
        <v>14159121.238095239</v>
      </c>
      <c r="C36" s="13">
        <f t="shared" si="4"/>
        <v>11701213.029761905</v>
      </c>
      <c r="D36" s="13">
        <f t="shared" si="4"/>
        <v>10155564.220238095</v>
      </c>
      <c r="E36" s="13">
        <f t="shared" si="4"/>
        <v>1545648.8095238095</v>
      </c>
      <c r="F36" s="13">
        <f t="shared" si="4"/>
        <v>2457908.2083333335</v>
      </c>
      <c r="G36" s="13">
        <f>G21/G31</f>
        <v>2457908.2083333335</v>
      </c>
      <c r="H36" s="13">
        <f>H21/H31</f>
        <v>0</v>
      </c>
    </row>
    <row r="37" spans="1:8" x14ac:dyDescent="0.25">
      <c r="A37" s="12" t="s">
        <v>76</v>
      </c>
      <c r="B37" s="13">
        <f t="shared" ref="B37:H37" si="5">B35/B11</f>
        <v>1939.2568953596767</v>
      </c>
      <c r="C37" s="13">
        <f t="shared" si="5"/>
        <v>117126.19227819952</v>
      </c>
      <c r="D37" s="13">
        <f t="shared" si="5"/>
        <v>278291.66390614212</v>
      </c>
      <c r="E37" s="13">
        <f t="shared" si="5"/>
        <v>14566.346696781478</v>
      </c>
      <c r="F37" s="13">
        <f t="shared" si="5"/>
        <v>215.4431741569004</v>
      </c>
      <c r="G37" s="13">
        <f t="shared" si="5"/>
        <v>2248.960810268512</v>
      </c>
      <c r="H37" s="13">
        <f t="shared" si="5"/>
        <v>0</v>
      </c>
    </row>
    <row r="38" spans="1:8" x14ac:dyDescent="0.25">
      <c r="A38" s="12" t="s">
        <v>134</v>
      </c>
      <c r="B38" s="13">
        <f t="shared" ref="B38:H38" si="6">B36/B14</f>
        <v>14657.475401754906</v>
      </c>
      <c r="C38" s="13">
        <f t="shared" si="6"/>
        <v>53430.196482931075</v>
      </c>
      <c r="D38" s="13">
        <f t="shared" si="6"/>
        <v>145079.48886054422</v>
      </c>
      <c r="E38" s="13">
        <f t="shared" si="6"/>
        <v>10373.481943112814</v>
      </c>
      <c r="F38" s="13">
        <f t="shared" si="6"/>
        <v>3290.3724341811694</v>
      </c>
      <c r="G38" s="13">
        <f t="shared" si="6"/>
        <v>3290.3724341811694</v>
      </c>
      <c r="H38" s="13" t="e">
        <f t="shared" si="6"/>
        <v>#DIV/0!</v>
      </c>
    </row>
    <row r="40" spans="1:8" x14ac:dyDescent="0.25">
      <c r="A40" s="1" t="s">
        <v>13</v>
      </c>
    </row>
    <row r="42" spans="1:8" x14ac:dyDescent="0.25">
      <c r="A42" t="s">
        <v>14</v>
      </c>
    </row>
    <row r="43" spans="1:8" x14ac:dyDescent="0.25">
      <c r="A43" t="s">
        <v>15</v>
      </c>
      <c r="B43" s="14" t="s">
        <v>51</v>
      </c>
      <c r="C43" s="14" t="s">
        <v>51</v>
      </c>
      <c r="D43" s="14" t="s">
        <v>51</v>
      </c>
      <c r="E43" s="14" t="s">
        <v>51</v>
      </c>
      <c r="F43" s="14" t="s">
        <v>51</v>
      </c>
      <c r="G43" s="14" t="s">
        <v>51</v>
      </c>
      <c r="H43" s="14" t="s">
        <v>51</v>
      </c>
    </row>
    <row r="44" spans="1:8" x14ac:dyDescent="0.25">
      <c r="A44" t="s">
        <v>16</v>
      </c>
      <c r="B44" s="14" t="s">
        <v>51</v>
      </c>
      <c r="C44" s="14" t="s">
        <v>51</v>
      </c>
      <c r="D44" s="14" t="s">
        <v>51</v>
      </c>
      <c r="E44" s="14" t="s">
        <v>51</v>
      </c>
      <c r="F44" s="14" t="s">
        <v>51</v>
      </c>
      <c r="G44" s="14" t="s">
        <v>51</v>
      </c>
      <c r="H44" s="14" t="s">
        <v>51</v>
      </c>
    </row>
    <row r="46" spans="1:8" x14ac:dyDescent="0.25">
      <c r="A46" t="s">
        <v>17</v>
      </c>
    </row>
    <row r="47" spans="1:8" x14ac:dyDescent="0.25">
      <c r="A47" t="s">
        <v>18</v>
      </c>
      <c r="B47" s="14">
        <f>B14/B13*100</f>
        <v>53.90625</v>
      </c>
      <c r="C47" s="14">
        <f t="shared" ref="C47:H47" si="7">C14/C13*100</f>
        <v>135.18518518518519</v>
      </c>
      <c r="D47" s="14">
        <f t="shared" si="7"/>
        <v>97.222222222222214</v>
      </c>
      <c r="E47" s="14">
        <f t="shared" si="7"/>
        <v>165.55555555555554</v>
      </c>
      <c r="F47" s="14">
        <f t="shared" si="7"/>
        <v>45.828220858895705</v>
      </c>
      <c r="G47" s="14">
        <f t="shared" si="7"/>
        <v>45.828220858895705</v>
      </c>
      <c r="H47" s="14" t="e">
        <f t="shared" si="7"/>
        <v>#DIV/0!</v>
      </c>
    </row>
    <row r="48" spans="1:8" x14ac:dyDescent="0.25">
      <c r="A48" t="s">
        <v>19</v>
      </c>
      <c r="B48" s="14">
        <f>B21/B20*100</f>
        <v>36.227679322055003</v>
      </c>
      <c r="C48" s="14">
        <f t="shared" ref="C48:F48" si="8">C21/C20*100</f>
        <v>34.507582233054329</v>
      </c>
      <c r="D48" s="14">
        <f t="shared" si="8"/>
        <v>32.059777364913167</v>
      </c>
      <c r="E48" s="14">
        <f t="shared" si="8"/>
        <v>69.245066297359642</v>
      </c>
      <c r="F48" s="14">
        <f t="shared" si="8"/>
        <v>47.499453124041203</v>
      </c>
      <c r="G48" s="14">
        <f>G21/G20*100</f>
        <v>47.499453124041203</v>
      </c>
      <c r="H48" s="14" t="e">
        <f>H21/H20*100</f>
        <v>#DIV/0!</v>
      </c>
    </row>
    <row r="49" spans="1:8" x14ac:dyDescent="0.25">
      <c r="A49" s="12" t="s">
        <v>20</v>
      </c>
      <c r="B49" s="15">
        <f t="shared" ref="B49:H49" si="9">AVERAGE(B47:B48)</f>
        <v>45.066964661027498</v>
      </c>
      <c r="C49" s="15">
        <f t="shared" si="9"/>
        <v>84.846383709119763</v>
      </c>
      <c r="D49" s="15">
        <f t="shared" si="9"/>
        <v>64.640999793567687</v>
      </c>
      <c r="E49" s="15">
        <f t="shared" si="9"/>
        <v>117.40031092645759</v>
      </c>
      <c r="F49" s="15">
        <f t="shared" si="9"/>
        <v>46.663836991468457</v>
      </c>
      <c r="G49" s="15">
        <f t="shared" si="9"/>
        <v>46.663836991468457</v>
      </c>
      <c r="H49" s="15" t="e">
        <f t="shared" si="9"/>
        <v>#DIV/0!</v>
      </c>
    </row>
    <row r="50" spans="1:8" x14ac:dyDescent="0.25">
      <c r="B50" s="14"/>
      <c r="C50" s="14"/>
      <c r="D50" s="14"/>
      <c r="E50" s="14"/>
      <c r="F50" s="14"/>
      <c r="G50" s="14"/>
      <c r="H50" s="14"/>
    </row>
    <row r="51" spans="1:8" x14ac:dyDescent="0.25">
      <c r="A51" t="s">
        <v>21</v>
      </c>
    </row>
    <row r="52" spans="1:8" x14ac:dyDescent="0.25">
      <c r="A52" t="s">
        <v>22</v>
      </c>
      <c r="B52" s="14">
        <f>(B14/B16)*100</f>
        <v>39.172749391727493</v>
      </c>
      <c r="C52" s="14">
        <f t="shared" ref="C52:H52" si="10">(C14/C16)*100</f>
        <v>101.38888888888889</v>
      </c>
      <c r="D52" s="14">
        <f t="shared" si="10"/>
        <v>72.916666666666657</v>
      </c>
      <c r="E52" s="14">
        <f t="shared" si="10"/>
        <v>124.16666666666667</v>
      </c>
      <c r="F52" s="14">
        <f t="shared" si="10"/>
        <v>33.200000000000003</v>
      </c>
      <c r="G52" s="14">
        <f t="shared" si="10"/>
        <v>33.200000000000003</v>
      </c>
      <c r="H52" s="14" t="e">
        <f t="shared" si="10"/>
        <v>#DIV/0!</v>
      </c>
    </row>
    <row r="53" spans="1:8" x14ac:dyDescent="0.25">
      <c r="A53" t="s">
        <v>23</v>
      </c>
      <c r="B53" s="14">
        <f>B21/B22*100</f>
        <v>27.044448931516069</v>
      </c>
      <c r="C53" s="14">
        <f t="shared" ref="C53:F53" si="11">C21/C22*100</f>
        <v>25.88068667024767</v>
      </c>
      <c r="D53" s="14">
        <f t="shared" si="11"/>
        <v>24.044833010130166</v>
      </c>
      <c r="E53" s="14">
        <f t="shared" si="11"/>
        <v>51.933799999999998</v>
      </c>
      <c r="F53" s="14">
        <f t="shared" si="11"/>
        <v>34.41071491666667</v>
      </c>
      <c r="G53" s="14">
        <f>G21/G22*100</f>
        <v>34.41071491666667</v>
      </c>
      <c r="H53" s="14" t="e">
        <f>H21/H22*100</f>
        <v>#DIV/0!</v>
      </c>
    </row>
    <row r="54" spans="1:8" x14ac:dyDescent="0.25">
      <c r="A54" t="s">
        <v>24</v>
      </c>
      <c r="B54" s="14">
        <f t="shared" ref="B54:H54" si="12">(B52+B53)/2</f>
        <v>33.108599161621783</v>
      </c>
      <c r="C54" s="14">
        <f t="shared" si="12"/>
        <v>63.634787779568278</v>
      </c>
      <c r="D54" s="14">
        <f t="shared" si="12"/>
        <v>48.48074983839841</v>
      </c>
      <c r="E54" s="14">
        <f t="shared" si="12"/>
        <v>88.050233333333338</v>
      </c>
      <c r="F54" s="14">
        <f t="shared" si="12"/>
        <v>33.805357458333333</v>
      </c>
      <c r="G54" s="14">
        <f t="shared" si="12"/>
        <v>33.805357458333333</v>
      </c>
      <c r="H54" s="14" t="e">
        <f t="shared" si="12"/>
        <v>#DIV/0!</v>
      </c>
    </row>
    <row r="56" spans="1:8" x14ac:dyDescent="0.25">
      <c r="A56" s="12" t="s">
        <v>35</v>
      </c>
      <c r="B56" s="15"/>
      <c r="C56" s="15"/>
      <c r="D56" s="15"/>
      <c r="E56" s="15"/>
      <c r="F56" s="15"/>
      <c r="G56" s="15"/>
      <c r="H56" s="15"/>
    </row>
    <row r="57" spans="1:8" x14ac:dyDescent="0.25">
      <c r="A57" t="s">
        <v>25</v>
      </c>
      <c r="B57" s="14">
        <f t="shared" ref="B57:F57" si="13">B23/B21*100</f>
        <v>100</v>
      </c>
      <c r="C57" s="14">
        <f t="shared" si="13"/>
        <v>100</v>
      </c>
      <c r="D57" s="14"/>
      <c r="E57" s="14"/>
      <c r="F57" s="14">
        <f t="shared" si="13"/>
        <v>100</v>
      </c>
      <c r="G57" s="14"/>
      <c r="H57" s="14"/>
    </row>
    <row r="59" spans="1:8" x14ac:dyDescent="0.25">
      <c r="A59" t="s">
        <v>26</v>
      </c>
    </row>
    <row r="60" spans="1:8" x14ac:dyDescent="0.25">
      <c r="A60" t="s">
        <v>27</v>
      </c>
      <c r="B60" s="14">
        <f>((B14/B11)-1)*100</f>
        <v>-91.207791025757714</v>
      </c>
      <c r="C60" s="14">
        <f t="shared" ref="C60:H60" si="14">((C14/C11)-1)*100</f>
        <v>35.185185185185183</v>
      </c>
      <c r="D60" s="14">
        <f t="shared" si="14"/>
        <v>11.111111111111116</v>
      </c>
      <c r="E60" s="14">
        <f t="shared" si="14"/>
        <v>50.505050505050498</v>
      </c>
      <c r="F60" s="14">
        <f t="shared" si="14"/>
        <v>-93.099307159353344</v>
      </c>
      <c r="G60" s="14">
        <f t="shared" si="14"/>
        <v>-27.965284474445518</v>
      </c>
      <c r="H60" s="14">
        <f t="shared" si="14"/>
        <v>-100</v>
      </c>
    </row>
    <row r="61" spans="1:8" x14ac:dyDescent="0.25">
      <c r="A61" t="s">
        <v>28</v>
      </c>
      <c r="B61" s="14">
        <f>((B36/B35)-1)*100</f>
        <v>-33.545892204682325</v>
      </c>
      <c r="C61" s="14">
        <f>((C36/C35)-1)*100</f>
        <v>-38.331718418116246</v>
      </c>
      <c r="D61" s="14">
        <f t="shared" ref="D61:H61" si="15">((D36/D35)-1)*100</f>
        <v>-42.075364455890352</v>
      </c>
      <c r="E61" s="14">
        <f t="shared" si="15"/>
        <v>7.1827724728255715</v>
      </c>
      <c r="F61" s="14">
        <f t="shared" si="15"/>
        <v>5.391361729005828</v>
      </c>
      <c r="G61" s="14">
        <f t="shared" si="15"/>
        <v>5.391361729005828</v>
      </c>
      <c r="H61" s="14" t="e">
        <f t="shared" si="15"/>
        <v>#DIV/0!</v>
      </c>
    </row>
    <row r="62" spans="1:8" x14ac:dyDescent="0.25">
      <c r="A62" s="12" t="s">
        <v>29</v>
      </c>
      <c r="B62" s="15">
        <f t="shared" ref="B62:H62" si="16">((B38/B37)-1)*100</f>
        <v>655.82948483142366</v>
      </c>
      <c r="C62" s="15">
        <f t="shared" si="16"/>
        <v>-54.382367049017489</v>
      </c>
      <c r="D62" s="15">
        <f t="shared" si="16"/>
        <v>-47.867828010301317</v>
      </c>
      <c r="E62" s="15">
        <f t="shared" si="16"/>
        <v>-28.784600840203144</v>
      </c>
      <c r="F62" s="15">
        <f t="shared" si="16"/>
        <v>1427.2576850287658</v>
      </c>
      <c r="G62" s="15">
        <f t="shared" si="16"/>
        <v>46.306348210145963</v>
      </c>
      <c r="H62" s="15" t="e">
        <f t="shared" si="16"/>
        <v>#DIV/0!</v>
      </c>
    </row>
    <row r="63" spans="1:8" x14ac:dyDescent="0.25">
      <c r="B63" s="16"/>
      <c r="C63" s="16"/>
      <c r="D63" s="16"/>
      <c r="E63" s="16"/>
      <c r="F63" s="16"/>
      <c r="G63" s="16"/>
      <c r="H63" s="16"/>
    </row>
    <row r="64" spans="1:8" x14ac:dyDescent="0.25">
      <c r="A64" t="s">
        <v>30</v>
      </c>
    </row>
    <row r="65" spans="1:8" x14ac:dyDescent="0.25">
      <c r="A65" t="s">
        <v>44</v>
      </c>
      <c r="B65" s="3">
        <f t="shared" ref="B65:H65" si="17">B20/B13</f>
        <v>36640.978415178572</v>
      </c>
      <c r="C65" s="3">
        <f t="shared" si="17"/>
        <v>351649.99993827159</v>
      </c>
      <c r="D65" s="3">
        <f t="shared" si="17"/>
        <v>739129.16625000001</v>
      </c>
      <c r="E65" s="3">
        <f t="shared" si="17"/>
        <v>41666.666888888889</v>
      </c>
      <c r="F65" s="3">
        <f t="shared" si="17"/>
        <v>5333.3333312883433</v>
      </c>
      <c r="G65" s="3">
        <f t="shared" si="17"/>
        <v>5333.3333312883433</v>
      </c>
      <c r="H65" s="3" t="e">
        <f t="shared" si="17"/>
        <v>#DIV/0!</v>
      </c>
    </row>
    <row r="66" spans="1:8" x14ac:dyDescent="0.25">
      <c r="A66" t="s">
        <v>45</v>
      </c>
      <c r="B66" s="3">
        <f t="shared" ref="B66:H66" si="18">B21/B14</f>
        <v>24624.558674948239</v>
      </c>
      <c r="C66" s="3">
        <f t="shared" si="18"/>
        <v>89762.730091324207</v>
      </c>
      <c r="D66" s="3">
        <f t="shared" si="18"/>
        <v>243733.54128571428</v>
      </c>
      <c r="E66" s="3">
        <f t="shared" si="18"/>
        <v>17427.449664429529</v>
      </c>
      <c r="F66" s="3">
        <f t="shared" si="18"/>
        <v>5527.8256894243641</v>
      </c>
      <c r="G66" s="3">
        <f t="shared" si="18"/>
        <v>5527.8256894243641</v>
      </c>
      <c r="H66" s="3" t="e">
        <f t="shared" si="18"/>
        <v>#DIV/0!</v>
      </c>
    </row>
    <row r="67" spans="1:8" x14ac:dyDescent="0.25">
      <c r="A67" s="12" t="s">
        <v>31</v>
      </c>
      <c r="B67" s="15">
        <f>(B65/B66)*B49</f>
        <v>67.058975601551367</v>
      </c>
      <c r="C67" s="15">
        <f t="shared" ref="C67:H67" si="19">(C65/C66)*C49</f>
        <v>332.38996625569746</v>
      </c>
      <c r="D67" s="15">
        <f t="shared" si="19"/>
        <v>196.0257420088881</v>
      </c>
      <c r="E67" s="15">
        <f t="shared" si="19"/>
        <v>280.68820981930031</v>
      </c>
      <c r="F67" s="15">
        <f t="shared" si="19"/>
        <v>45.022005246753892</v>
      </c>
      <c r="G67" s="15">
        <f t="shared" si="19"/>
        <v>45.022005246753892</v>
      </c>
      <c r="H67" s="15" t="e">
        <f t="shared" si="19"/>
        <v>#DIV/0!</v>
      </c>
    </row>
    <row r="68" spans="1:8" s="5" customFormat="1" x14ac:dyDescent="0.25">
      <c r="A68" t="s">
        <v>40</v>
      </c>
      <c r="B68" s="26">
        <f>B20/(B13*9)</f>
        <v>4071.2198239087302</v>
      </c>
      <c r="C68" s="26">
        <f t="shared" ref="C68:H68" si="20">C20/(C13*9)</f>
        <v>39072.222215363516</v>
      </c>
      <c r="D68" s="26">
        <f t="shared" si="20"/>
        <v>82125.462916666671</v>
      </c>
      <c r="E68" s="26">
        <f t="shared" si="20"/>
        <v>4629.6296543209874</v>
      </c>
      <c r="F68" s="26">
        <f t="shared" si="20"/>
        <v>592.5925923653715</v>
      </c>
      <c r="G68" s="26">
        <f t="shared" si="20"/>
        <v>592.5925923653715</v>
      </c>
      <c r="H68" s="26" t="e">
        <f t="shared" si="20"/>
        <v>#DIV/0!</v>
      </c>
    </row>
    <row r="69" spans="1:8" s="5" customFormat="1" x14ac:dyDescent="0.25">
      <c r="A69" t="s">
        <v>41</v>
      </c>
      <c r="B69" s="26">
        <f>B21/(B14*9)</f>
        <v>2736.0620749942491</v>
      </c>
      <c r="C69" s="26">
        <f t="shared" ref="C69:H69" si="21">C21/(C14*9)</f>
        <v>9973.6366768137996</v>
      </c>
      <c r="D69" s="26">
        <f t="shared" si="21"/>
        <v>27081.504587301588</v>
      </c>
      <c r="E69" s="26">
        <f t="shared" si="21"/>
        <v>1936.3832960477255</v>
      </c>
      <c r="F69" s="26">
        <f t="shared" si="21"/>
        <v>614.20285438048495</v>
      </c>
      <c r="G69" s="26">
        <f t="shared" si="21"/>
        <v>614.20285438048495</v>
      </c>
      <c r="H69" s="26" t="e">
        <f t="shared" si="21"/>
        <v>#DIV/0!</v>
      </c>
    </row>
    <row r="70" spans="1:8" x14ac:dyDescent="0.25">
      <c r="B70" s="14"/>
      <c r="C70" s="14"/>
      <c r="D70" s="14"/>
    </row>
    <row r="71" spans="1:8" x14ac:dyDescent="0.25">
      <c r="A71" t="s">
        <v>32</v>
      </c>
      <c r="B71" s="14"/>
      <c r="C71" s="14"/>
      <c r="D71" s="14"/>
    </row>
    <row r="72" spans="1:8" x14ac:dyDescent="0.25">
      <c r="A72" s="17" t="s">
        <v>33</v>
      </c>
      <c r="B72" s="18">
        <f>(B27/B26)*100</f>
        <v>48.036312787730509</v>
      </c>
      <c r="C72" s="18">
        <f>(C27/C26)*100</f>
        <v>54.080107720408044</v>
      </c>
      <c r="D72" s="18"/>
      <c r="E72" s="18"/>
      <c r="F72" s="18">
        <f>(F27/F26)*100</f>
        <v>8.4314033774660295</v>
      </c>
      <c r="G72" s="18"/>
      <c r="H72" s="18"/>
    </row>
    <row r="73" spans="1:8" x14ac:dyDescent="0.25">
      <c r="A73" s="17" t="s">
        <v>34</v>
      </c>
      <c r="B73" s="18">
        <f>(B21/B27)*100</f>
        <v>75.417277512832584</v>
      </c>
      <c r="C73" s="18">
        <f>(C21/C27)*100</f>
        <v>63.808272001707401</v>
      </c>
      <c r="D73" s="18"/>
      <c r="E73" s="18"/>
      <c r="F73" s="18">
        <f>(F21/F27)*100</f>
        <v>563.3635469391653</v>
      </c>
      <c r="G73" s="18"/>
      <c r="H73" s="18"/>
    </row>
    <row r="74" spans="1:8" ht="15.75" thickBot="1" x14ac:dyDescent="0.3">
      <c r="A74" s="19"/>
      <c r="B74" s="19"/>
      <c r="C74" s="19"/>
      <c r="D74" s="19"/>
      <c r="E74" s="19"/>
      <c r="F74" s="19"/>
      <c r="G74" s="19"/>
      <c r="H74" s="19"/>
    </row>
    <row r="75" spans="1:8" ht="15.75" thickTop="1" x14ac:dyDescent="0.25">
      <c r="A75" s="22" t="s">
        <v>36</v>
      </c>
    </row>
    <row r="76" spans="1:8" x14ac:dyDescent="0.25">
      <c r="A76" s="22" t="s">
        <v>111</v>
      </c>
    </row>
    <row r="77" spans="1:8" x14ac:dyDescent="0.25">
      <c r="A77" s="22" t="s">
        <v>101</v>
      </c>
    </row>
    <row r="78" spans="1:8" x14ac:dyDescent="0.25">
      <c r="A78" s="22" t="s">
        <v>84</v>
      </c>
      <c r="B78" s="20"/>
      <c r="C78" s="20"/>
      <c r="D78" s="20"/>
    </row>
    <row r="79" spans="1:8" x14ac:dyDescent="0.25">
      <c r="A79" s="22"/>
    </row>
    <row r="80" spans="1:8" x14ac:dyDescent="0.25">
      <c r="A80" s="22"/>
    </row>
    <row r="82" spans="1:1" x14ac:dyDescent="0.25">
      <c r="A82" t="s">
        <v>37</v>
      </c>
    </row>
    <row r="84" spans="1:1" x14ac:dyDescent="0.25">
      <c r="A84" t="s">
        <v>52</v>
      </c>
    </row>
    <row r="85" spans="1:1" x14ac:dyDescent="0.25">
      <c r="A85" t="s">
        <v>53</v>
      </c>
    </row>
    <row r="88" spans="1:1" x14ac:dyDescent="0.25">
      <c r="A88" t="s">
        <v>142</v>
      </c>
    </row>
  </sheetData>
  <mergeCells count="11">
    <mergeCell ref="A2:H2"/>
    <mergeCell ref="A4:A6"/>
    <mergeCell ref="B4:B6"/>
    <mergeCell ref="C4:E4"/>
    <mergeCell ref="F4:H4"/>
    <mergeCell ref="C5:C6"/>
    <mergeCell ref="E5:E6"/>
    <mergeCell ref="F5:F6"/>
    <mergeCell ref="G5:G6"/>
    <mergeCell ref="H5:H6"/>
    <mergeCell ref="D5:D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8"/>
  <sheetViews>
    <sheetView tabSelected="1" zoomScale="80" zoomScaleNormal="80" workbookViewId="0">
      <pane ySplit="7" topLeftCell="A38" activePane="bottomLeft" state="frozen"/>
      <selection activeCell="K37" sqref="K37"/>
      <selection pane="bottomLeft" activeCell="A62" sqref="A62"/>
    </sheetView>
  </sheetViews>
  <sheetFormatPr baseColWidth="10" defaultColWidth="11.42578125" defaultRowHeight="15" x14ac:dyDescent="0.25"/>
  <cols>
    <col min="1" max="1" width="50.85546875" customWidth="1"/>
    <col min="2" max="7" width="13.7109375" customWidth="1"/>
    <col min="8" max="8" width="15.28515625" customWidth="1"/>
  </cols>
  <sheetData>
    <row r="2" spans="1:9" ht="15.75" x14ac:dyDescent="0.25">
      <c r="A2" s="40" t="s">
        <v>141</v>
      </c>
      <c r="B2" s="40"/>
      <c r="C2" s="40"/>
      <c r="D2" s="40"/>
      <c r="E2" s="40"/>
      <c r="F2" s="40"/>
      <c r="G2" s="40"/>
      <c r="H2" s="40"/>
    </row>
    <row r="4" spans="1:9" x14ac:dyDescent="0.25">
      <c r="A4" s="41" t="s">
        <v>0</v>
      </c>
      <c r="B4" s="44" t="s">
        <v>1</v>
      </c>
      <c r="C4" s="47" t="s">
        <v>2</v>
      </c>
      <c r="D4" s="48"/>
      <c r="E4" s="49"/>
      <c r="F4" s="47" t="s">
        <v>3</v>
      </c>
      <c r="G4" s="48"/>
      <c r="H4" s="49"/>
    </row>
    <row r="5" spans="1:9" ht="15" customHeight="1" x14ac:dyDescent="0.25">
      <c r="A5" s="42"/>
      <c r="B5" s="45"/>
      <c r="C5" s="50" t="s">
        <v>4</v>
      </c>
      <c r="D5" s="56" t="s">
        <v>5</v>
      </c>
      <c r="E5" s="52" t="s">
        <v>91</v>
      </c>
      <c r="F5" s="54" t="s">
        <v>4</v>
      </c>
      <c r="G5" s="56" t="s">
        <v>81</v>
      </c>
      <c r="H5" s="57" t="s">
        <v>6</v>
      </c>
    </row>
    <row r="6" spans="1:9" ht="15.75" thickBot="1" x14ac:dyDescent="0.3">
      <c r="A6" s="43"/>
      <c r="B6" s="46"/>
      <c r="C6" s="51"/>
      <c r="D6" s="53"/>
      <c r="E6" s="53"/>
      <c r="F6" s="55"/>
      <c r="G6" s="53"/>
      <c r="H6" s="58"/>
    </row>
    <row r="7" spans="1:9" ht="15.75" thickTop="1" x14ac:dyDescent="0.25"/>
    <row r="8" spans="1:9" x14ac:dyDescent="0.25">
      <c r="A8" s="1" t="s">
        <v>7</v>
      </c>
    </row>
    <row r="10" spans="1:9" x14ac:dyDescent="0.25">
      <c r="A10" t="s">
        <v>48</v>
      </c>
    </row>
    <row r="11" spans="1:9" x14ac:dyDescent="0.25">
      <c r="A11" s="2" t="s">
        <v>77</v>
      </c>
      <c r="B11" s="4">
        <f>C11+F11</f>
        <v>16826</v>
      </c>
      <c r="C11" s="4">
        <f>D11+E11</f>
        <v>230</v>
      </c>
      <c r="D11" s="4">
        <f>+'I Trimestre'!D11+'II Trimestre'!D11+'III Trimestre'!D11+'IV Trimestre'!D11</f>
        <v>86</v>
      </c>
      <c r="E11" s="4">
        <f>+'I Trimestre'!E11+'II Trimestre'!E11+'III Trimestre'!E11+'IV Trimestre'!E11</f>
        <v>144</v>
      </c>
      <c r="F11" s="4">
        <f>G11+H11</f>
        <v>16596</v>
      </c>
      <c r="G11" s="4">
        <f>+'I Trimestre'!G11+'II Trimestre'!G11+'III Trimestre'!G11+'IV Trimestre'!G11</f>
        <v>1462</v>
      </c>
      <c r="H11" s="4">
        <f>+'I Trimestre'!H11+'II Trimestre'!H11+'III Trimestre'!H11+'IV Trimestre'!H11</f>
        <v>15134</v>
      </c>
    </row>
    <row r="12" spans="1:9" x14ac:dyDescent="0.25">
      <c r="A12" s="27" t="s">
        <v>49</v>
      </c>
      <c r="B12" s="4">
        <f>C12+F12</f>
        <v>16882</v>
      </c>
      <c r="C12" s="4">
        <f>D12+E12</f>
        <v>286</v>
      </c>
      <c r="D12" s="4">
        <f>+'I Trimestre'!D12+'II Trimestre'!D12+'III Trimestre'!D12+'IV Trimestre'!D12</f>
        <v>142</v>
      </c>
      <c r="E12" s="4">
        <f>+'I Trimestre'!E12+'II Trimestre'!E12+'III Trimestre'!E12+'IV Trimestre'!E12</f>
        <v>144</v>
      </c>
      <c r="F12" s="4">
        <f t="shared" ref="F12:F15" si="0">G12+H12</f>
        <v>16596</v>
      </c>
      <c r="G12" s="4">
        <f>+'I Trimestre'!G12+'II Trimestre'!G12+'III Trimestre'!G12+'IV Trimestre'!G12</f>
        <v>1462</v>
      </c>
      <c r="H12" s="4">
        <f>+'I Trimestre'!H12+'II Trimestre'!H12+'III Trimestre'!H12+'IV Trimestre'!H12</f>
        <v>15134</v>
      </c>
    </row>
    <row r="13" spans="1:9" x14ac:dyDescent="0.25">
      <c r="A13" s="2" t="s">
        <v>135</v>
      </c>
      <c r="B13" s="4">
        <f>C13+F13</f>
        <v>2466</v>
      </c>
      <c r="C13" s="4">
        <f>D13+E13</f>
        <v>216</v>
      </c>
      <c r="D13" s="4">
        <f>+'I Trimestre'!D13+'II Trimestre'!D13+'III Trimestre'!D13+'IV Trimestre'!D13</f>
        <v>96</v>
      </c>
      <c r="E13" s="4">
        <f>+'I Trimestre'!E13+'II Trimestre'!E13+'III Trimestre'!E13+'IV Trimestre'!E13</f>
        <v>120</v>
      </c>
      <c r="F13" s="4">
        <f t="shared" si="0"/>
        <v>2250</v>
      </c>
      <c r="G13" s="4">
        <f>+'I Trimestre'!G13+'II Trimestre'!G13+'III Trimestre'!G13+'IV Trimestre'!G13</f>
        <v>2250</v>
      </c>
      <c r="H13" s="4">
        <f>+'I Trimestre'!H13+'II Trimestre'!H13+'III Trimestre'!H13+'IV Trimestre'!H13</f>
        <v>0</v>
      </c>
    </row>
    <row r="14" spans="1:9" x14ac:dyDescent="0.25">
      <c r="A14" s="2" t="s">
        <v>136</v>
      </c>
      <c r="B14" s="4">
        <f>C14+F14</f>
        <v>2061</v>
      </c>
      <c r="C14" s="4">
        <f>D14+E14</f>
        <v>345</v>
      </c>
      <c r="D14" s="4">
        <f>(+'I Trimestre'!D14+'II Trimestre'!D14+'III Trimestre'!D14+'IV Trimestre'!D14)</f>
        <v>87</v>
      </c>
      <c r="E14" s="4">
        <f>+'I Trimestre'!E14+'II Trimestre'!E14+'III Trimestre'!E14+'IV Trimestre'!E14</f>
        <v>258</v>
      </c>
      <c r="F14" s="4">
        <f t="shared" si="0"/>
        <v>1716</v>
      </c>
      <c r="G14" s="4">
        <f>+'I Trimestre'!G14+'II Trimestre'!G14+'III Trimestre'!G14+'IV Trimestre'!G14</f>
        <v>1716</v>
      </c>
      <c r="H14" s="4">
        <f>+'I Trimestre'!H14+'II Trimestre'!H14+'III Trimestre'!H14+'IV Trimestre'!H14</f>
        <v>0</v>
      </c>
      <c r="I14" s="36"/>
    </row>
    <row r="15" spans="1:9" x14ac:dyDescent="0.25">
      <c r="A15" s="27" t="s">
        <v>49</v>
      </c>
      <c r="B15" s="4">
        <f>C15+F15</f>
        <v>391</v>
      </c>
      <c r="C15" s="4">
        <f>D15+E15</f>
        <v>391</v>
      </c>
      <c r="D15" s="4">
        <f>+'I Trimestre'!D15+'II Trimestre'!D15+'III Trimestre'!D15+'IV Trimestre'!D15</f>
        <v>133</v>
      </c>
      <c r="E15" s="4">
        <f>+'I Trimestre'!E15+'II Trimestre'!E15+'III Trimestre'!E15+'IV Trimestre'!E15</f>
        <v>258</v>
      </c>
      <c r="F15" s="4">
        <f t="shared" si="0"/>
        <v>0</v>
      </c>
      <c r="G15" s="4">
        <f>+'I Trimestre'!G15+'II Trimestre'!G15+'II Trimestre'!G15+'IV Trimestre'!G15</f>
        <v>0</v>
      </c>
      <c r="H15" s="4">
        <f>+'I Trimestre'!H15+'II Trimestre'!H15+'III Trimestre'!H15+'IV Trimestre'!H15</f>
        <v>0</v>
      </c>
    </row>
    <row r="16" spans="1:9" x14ac:dyDescent="0.25">
      <c r="A16" s="2" t="s">
        <v>89</v>
      </c>
      <c r="B16" s="4">
        <f>+'IV Trimestre'!B16</f>
        <v>2466</v>
      </c>
      <c r="C16" s="4">
        <f>+'IV Trimestre'!C16</f>
        <v>216</v>
      </c>
      <c r="D16" s="4">
        <f>+'IV Trimestre'!D16</f>
        <v>96</v>
      </c>
      <c r="E16" s="4">
        <f>+'IV Trimestre'!E16</f>
        <v>120</v>
      </c>
      <c r="F16" s="4">
        <f>+'IV Trimestre'!F16</f>
        <v>2250</v>
      </c>
      <c r="G16" s="4">
        <f>+'IV Trimestre'!G16</f>
        <v>2250</v>
      </c>
      <c r="H16" s="4">
        <f>+'IV Trimestre'!H16</f>
        <v>0</v>
      </c>
    </row>
    <row r="17" spans="1:10" x14ac:dyDescent="0.25">
      <c r="F17" s="5"/>
    </row>
    <row r="18" spans="1:10" x14ac:dyDescent="0.25">
      <c r="A18" s="6" t="s">
        <v>8</v>
      </c>
      <c r="F18" s="5"/>
    </row>
    <row r="19" spans="1:10" x14ac:dyDescent="0.25">
      <c r="A19" s="2" t="s">
        <v>77</v>
      </c>
      <c r="B19" s="4">
        <f>C19+F19</f>
        <v>68672144.25</v>
      </c>
      <c r="C19" s="4">
        <f>D19+E19</f>
        <v>57622731.75</v>
      </c>
      <c r="D19" s="4">
        <f>+'I Trimestre'!D19+'II Trimestre'!D19+'III Trimestre'!D19+'IV Trimestre'!D19</f>
        <v>53936121.75</v>
      </c>
      <c r="E19" s="4">
        <f>+'I Trimestre'!E19+'II Trimestre'!E19+'III Trimestre'!E19+'IV Trimestre'!E19</f>
        <v>3686610</v>
      </c>
      <c r="F19" s="4">
        <f>G19+H19</f>
        <v>11049412.5</v>
      </c>
      <c r="G19" s="4">
        <f>+'I Trimestre'!G19+'II Trimestre'!G19+'III Trimestre'!G19+'IV Trimestre'!G19</f>
        <v>7546412.5</v>
      </c>
      <c r="H19" s="4">
        <f>+'I Trimestre'!H19+'II Trimestre'!H19+'III Trimestre'!H19+'IV Trimestre'!H19</f>
        <v>3503000</v>
      </c>
      <c r="I19" s="36"/>
    </row>
    <row r="20" spans="1:10" x14ac:dyDescent="0.25">
      <c r="A20" s="2" t="s">
        <v>135</v>
      </c>
      <c r="B20" s="4">
        <f t="shared" ref="B20:B21" si="1">C20+F20</f>
        <v>87956399.976666659</v>
      </c>
      <c r="C20" s="4">
        <f t="shared" ref="C20:C21" si="2">D20+E20</f>
        <v>75956399.979999989</v>
      </c>
      <c r="D20" s="4">
        <f>'I Trimestre'!D20+'II Trimestre'!D20+'III Trimestre'!D20+'IV Trimestre'!D20</f>
        <v>70956399.959999993</v>
      </c>
      <c r="E20" s="4">
        <f>'I Trimestre'!E20+'II Trimestre'!E20+'III Trimestre'!E20+'IV Trimestre'!E20</f>
        <v>5000000.0199999996</v>
      </c>
      <c r="F20" s="4">
        <f t="shared" ref="F20:F21" si="3">G20+H20</f>
        <v>11999999.996666666</v>
      </c>
      <c r="G20" s="4">
        <f>'I Trimestre'!G20+'II Trimestre'!G20+'III Trimestre'!G20+'IV Trimestre'!G20</f>
        <v>11999999.996666666</v>
      </c>
      <c r="H20" s="4">
        <f>+'I Trimestre'!H20+'II Trimestre'!H20+'III Trimestre'!H20+'IV Trimestre'!H20</f>
        <v>0</v>
      </c>
    </row>
    <row r="21" spans="1:10" x14ac:dyDescent="0.25">
      <c r="A21" s="2" t="s">
        <v>136</v>
      </c>
      <c r="B21" s="4">
        <f t="shared" si="1"/>
        <v>50657808.859999999</v>
      </c>
      <c r="C21" s="4">
        <f t="shared" si="2"/>
        <v>39218023.07</v>
      </c>
      <c r="D21" s="4">
        <f>+'I Trimestre'!D21+'II Trimestre'!D21+'III Trimestre'!D21+'IV Trimestre'!D21</f>
        <v>35179003.07</v>
      </c>
      <c r="E21" s="4">
        <f>+'I Trimestre'!E21+'II Trimestre'!E21+'III Trimestre'!E21+'IV Trimestre'!E21</f>
        <v>4039020</v>
      </c>
      <c r="F21" s="4">
        <f t="shared" si="3"/>
        <v>11439785.789999999</v>
      </c>
      <c r="G21" s="4">
        <f>+'I Trimestre'!G21+'II Trimestre'!G21+'III Trimestre'!G21+'IV Trimestre'!G21</f>
        <v>11439785.789999999</v>
      </c>
      <c r="H21" s="4">
        <f>+'I Trimestre'!H21+'II Trimestre'!H21+'III Trimestre'!H21+'IV Trimestre'!H21</f>
        <v>0</v>
      </c>
      <c r="I21" s="36"/>
      <c r="J21" s="4"/>
    </row>
    <row r="22" spans="1:10" x14ac:dyDescent="0.25">
      <c r="A22" s="2" t="s">
        <v>89</v>
      </c>
      <c r="B22" s="4">
        <f>+'IV Trimestre'!B22</f>
        <v>87956400</v>
      </c>
      <c r="C22" s="4">
        <f>+'IV Trimestre'!C22</f>
        <v>75956400</v>
      </c>
      <c r="D22" s="4">
        <f>+'IV Trimestre'!D22</f>
        <v>70956400</v>
      </c>
      <c r="E22" s="4">
        <f>+'IV Trimestre'!E22</f>
        <v>5000000</v>
      </c>
      <c r="F22" s="4">
        <f>+'IV Trimestre'!F22</f>
        <v>12000000</v>
      </c>
      <c r="G22" s="4">
        <f>+'IV Trimestre'!G22</f>
        <v>12000000</v>
      </c>
      <c r="H22" s="4">
        <f>+'IV Trimestre'!H22</f>
        <v>0</v>
      </c>
    </row>
    <row r="23" spans="1:10" x14ac:dyDescent="0.25">
      <c r="A23" s="2" t="s">
        <v>137</v>
      </c>
      <c r="B23" s="3">
        <f>+C23+F23</f>
        <v>50657808.859999999</v>
      </c>
      <c r="C23" s="3">
        <f>C21</f>
        <v>39218023.07</v>
      </c>
      <c r="D23" s="3">
        <f>D21</f>
        <v>35179003.07</v>
      </c>
      <c r="E23" s="3">
        <f>+E21</f>
        <v>4039020</v>
      </c>
      <c r="F23" s="3">
        <f>H23+G23</f>
        <v>11439785.789999999</v>
      </c>
      <c r="G23" s="3">
        <f>G21</f>
        <v>11439785.789999999</v>
      </c>
      <c r="H23" s="3">
        <f>H21</f>
        <v>0</v>
      </c>
    </row>
    <row r="24" spans="1:10" x14ac:dyDescent="0.25">
      <c r="B24" s="3"/>
      <c r="C24" s="3"/>
      <c r="D24" s="3"/>
    </row>
    <row r="25" spans="1:10" x14ac:dyDescent="0.25">
      <c r="A25" s="7" t="s">
        <v>9</v>
      </c>
      <c r="B25" s="8"/>
      <c r="C25" s="8"/>
      <c r="D25" s="8"/>
      <c r="E25" s="8"/>
      <c r="F25" s="8"/>
      <c r="G25" s="8"/>
      <c r="H25" s="8"/>
    </row>
    <row r="26" spans="1:10" x14ac:dyDescent="0.25">
      <c r="A26" s="9" t="s">
        <v>135</v>
      </c>
      <c r="B26" s="8">
        <f>+B20</f>
        <v>87956399.976666659</v>
      </c>
      <c r="C26" s="8">
        <f>+C20</f>
        <v>75956399.979999989</v>
      </c>
      <c r="D26" s="8"/>
      <c r="E26" s="8"/>
      <c r="F26" s="8">
        <f>F20</f>
        <v>11999999.996666666</v>
      </c>
      <c r="G26" s="8"/>
      <c r="H26" s="8"/>
    </row>
    <row r="27" spans="1:10" x14ac:dyDescent="0.25">
      <c r="A27" s="9" t="s">
        <v>136</v>
      </c>
      <c r="B27" s="8">
        <f>+'I Trimestre'!B27+'II Trimestre'!B27+'III Trimestre'!B27+'IV Trimestre'!B27</f>
        <v>87888560</v>
      </c>
      <c r="C27" s="8">
        <f>+'I Trimestre'!C27+'II Trimestre'!C27+'III Trimestre'!C27+'IV Trimestre'!C27</f>
        <v>75888560</v>
      </c>
      <c r="D27" s="8"/>
      <c r="E27" s="8"/>
      <c r="F27" s="8">
        <f>+'I Trimestre'!F27+'II Trimestre'!F27+'III Trimestre'!F27+'IV Trimestre'!F27</f>
        <v>12000000</v>
      </c>
      <c r="G27" s="8"/>
      <c r="H27" s="8"/>
    </row>
    <row r="28" spans="1:10" x14ac:dyDescent="0.25">
      <c r="C28" s="3"/>
    </row>
    <row r="29" spans="1:10" x14ac:dyDescent="0.25">
      <c r="A29" t="s">
        <v>10</v>
      </c>
    </row>
    <row r="30" spans="1:10" x14ac:dyDescent="0.25">
      <c r="A30" s="10" t="s">
        <v>78</v>
      </c>
      <c r="B30" s="21">
        <v>1.61</v>
      </c>
      <c r="C30" s="21">
        <v>1.61</v>
      </c>
      <c r="D30" s="21">
        <v>1.61</v>
      </c>
      <c r="E30" s="21">
        <v>1.61</v>
      </c>
      <c r="F30" s="21">
        <v>1.61</v>
      </c>
      <c r="G30" s="21">
        <v>1.61</v>
      </c>
      <c r="H30" s="21">
        <v>1.61</v>
      </c>
    </row>
    <row r="31" spans="1:10" x14ac:dyDescent="0.25">
      <c r="A31" s="10" t="s">
        <v>138</v>
      </c>
      <c r="B31" s="21">
        <v>1.69</v>
      </c>
      <c r="C31" s="21">
        <v>1.69</v>
      </c>
      <c r="D31" s="21">
        <v>1.69</v>
      </c>
      <c r="E31" s="21">
        <v>1.69</v>
      </c>
      <c r="F31" s="21">
        <v>1.69</v>
      </c>
      <c r="G31" s="21">
        <v>1.69</v>
      </c>
      <c r="H31" s="21">
        <v>1.69</v>
      </c>
    </row>
    <row r="32" spans="1:10" x14ac:dyDescent="0.25">
      <c r="A32" s="37" t="s">
        <v>11</v>
      </c>
      <c r="B32" s="4"/>
      <c r="C32" s="38"/>
      <c r="D32" s="38"/>
      <c r="E32" s="38"/>
      <c r="F32" s="38"/>
      <c r="G32" s="38"/>
      <c r="H32" s="38"/>
    </row>
    <row r="34" spans="1:8" x14ac:dyDescent="0.25">
      <c r="A34" s="11" t="s">
        <v>12</v>
      </c>
      <c r="B34" s="12"/>
      <c r="C34" s="12"/>
      <c r="D34" s="12"/>
      <c r="E34" s="12"/>
      <c r="F34" s="12"/>
      <c r="G34" s="12"/>
      <c r="H34" s="12"/>
    </row>
    <row r="35" spans="1:8" x14ac:dyDescent="0.25">
      <c r="A35" s="12" t="s">
        <v>79</v>
      </c>
      <c r="B35" s="13">
        <f>B19/B30</f>
        <v>42653505.745341614</v>
      </c>
      <c r="C35" s="13">
        <f t="shared" ref="C35:H35" si="4">C19/C30</f>
        <v>35790516.614906833</v>
      </c>
      <c r="D35" s="13">
        <f>D19/D30</f>
        <v>33500696.739130434</v>
      </c>
      <c r="E35" s="13">
        <f t="shared" si="4"/>
        <v>2289819.8757763975</v>
      </c>
      <c r="F35" s="13">
        <f t="shared" si="4"/>
        <v>6862989.1304347822</v>
      </c>
      <c r="G35" s="13">
        <f t="shared" si="4"/>
        <v>4687212.7329192543</v>
      </c>
      <c r="H35" s="13">
        <f t="shared" si="4"/>
        <v>2175776.3975155279</v>
      </c>
    </row>
    <row r="36" spans="1:8" x14ac:dyDescent="0.25">
      <c r="A36" s="12" t="s">
        <v>139</v>
      </c>
      <c r="B36" s="13">
        <f t="shared" ref="B36:F36" si="5">B21/B31</f>
        <v>29975034.828402366</v>
      </c>
      <c r="C36" s="13">
        <f t="shared" si="5"/>
        <v>23205930.810650889</v>
      </c>
      <c r="D36" s="13">
        <f t="shared" si="5"/>
        <v>20815978.147928994</v>
      </c>
      <c r="E36" s="13">
        <f t="shared" si="5"/>
        <v>2389952.6627218938</v>
      </c>
      <c r="F36" s="13">
        <f t="shared" si="5"/>
        <v>6769104.0177514786</v>
      </c>
      <c r="G36" s="13">
        <f>G21/G31</f>
        <v>6769104.0177514786</v>
      </c>
      <c r="H36" s="13">
        <f>H21/H31</f>
        <v>0</v>
      </c>
    </row>
    <row r="37" spans="1:8" x14ac:dyDescent="0.25">
      <c r="A37" s="12" t="s">
        <v>80</v>
      </c>
      <c r="B37" s="13">
        <f t="shared" ref="B37:H37" si="6">B35/B11</f>
        <v>2534.9759744051835</v>
      </c>
      <c r="C37" s="13">
        <f t="shared" si="6"/>
        <v>155610.94180394275</v>
      </c>
      <c r="D37" s="13">
        <f t="shared" si="6"/>
        <v>389542.98533872596</v>
      </c>
      <c r="E37" s="13">
        <f t="shared" si="6"/>
        <v>15901.526915113871</v>
      </c>
      <c r="F37" s="13">
        <f t="shared" si="6"/>
        <v>413.53272658681504</v>
      </c>
      <c r="G37" s="13">
        <f t="shared" si="6"/>
        <v>3206.0278610938813</v>
      </c>
      <c r="H37" s="13">
        <f t="shared" si="6"/>
        <v>143.7674373936519</v>
      </c>
    </row>
    <row r="38" spans="1:8" x14ac:dyDescent="0.25">
      <c r="A38" s="12" t="s">
        <v>140</v>
      </c>
      <c r="B38" s="13">
        <f t="shared" ref="B38:H38" si="7">B36/B14</f>
        <v>14543.927621738168</v>
      </c>
      <c r="C38" s="13">
        <f t="shared" si="7"/>
        <v>67263.567567104023</v>
      </c>
      <c r="D38" s="13">
        <f t="shared" si="7"/>
        <v>239264.11664286201</v>
      </c>
      <c r="E38" s="13">
        <f t="shared" si="7"/>
        <v>9263.3824136507501</v>
      </c>
      <c r="F38" s="13">
        <f t="shared" si="7"/>
        <v>3944.6993110439853</v>
      </c>
      <c r="G38" s="13">
        <f t="shared" si="7"/>
        <v>3944.6993110439853</v>
      </c>
      <c r="H38" s="13" t="e">
        <f t="shared" si="7"/>
        <v>#DIV/0!</v>
      </c>
    </row>
    <row r="40" spans="1:8" x14ac:dyDescent="0.25">
      <c r="A40" s="1" t="s">
        <v>13</v>
      </c>
    </row>
    <row r="42" spans="1:8" x14ac:dyDescent="0.25">
      <c r="A42" t="s">
        <v>14</v>
      </c>
    </row>
    <row r="43" spans="1:8" x14ac:dyDescent="0.25">
      <c r="A43" t="s">
        <v>15</v>
      </c>
      <c r="B43" s="14" t="s">
        <v>85</v>
      </c>
      <c r="C43" s="14" t="s">
        <v>51</v>
      </c>
      <c r="D43" s="14" t="s">
        <v>51</v>
      </c>
      <c r="E43" s="14" t="s">
        <v>51</v>
      </c>
      <c r="F43" s="14" t="s">
        <v>51</v>
      </c>
      <c r="G43" s="14" t="s">
        <v>51</v>
      </c>
      <c r="H43" s="14" t="s">
        <v>51</v>
      </c>
    </row>
    <row r="44" spans="1:8" x14ac:dyDescent="0.25">
      <c r="A44" t="s">
        <v>16</v>
      </c>
      <c r="B44" s="14" t="s">
        <v>51</v>
      </c>
      <c r="C44" s="14" t="s">
        <v>51</v>
      </c>
      <c r="D44" s="14" t="s">
        <v>51</v>
      </c>
      <c r="E44" s="14" t="s">
        <v>51</v>
      </c>
      <c r="F44" s="14" t="s">
        <v>51</v>
      </c>
      <c r="G44" s="14" t="s">
        <v>51</v>
      </c>
      <c r="H44" s="14" t="s">
        <v>51</v>
      </c>
    </row>
    <row r="46" spans="1:8" x14ac:dyDescent="0.25">
      <c r="A46" t="s">
        <v>17</v>
      </c>
    </row>
    <row r="47" spans="1:8" x14ac:dyDescent="0.25">
      <c r="A47" t="s">
        <v>18</v>
      </c>
      <c r="B47" s="14">
        <f>B14/B13*100</f>
        <v>83.576642335766422</v>
      </c>
      <c r="C47" s="14">
        <f t="shared" ref="C47:H47" si="8">C14/C13*100</f>
        <v>159.72222222222223</v>
      </c>
      <c r="D47" s="14">
        <f t="shared" si="8"/>
        <v>90.625</v>
      </c>
      <c r="E47" s="14">
        <f t="shared" si="8"/>
        <v>215</v>
      </c>
      <c r="F47" s="14">
        <f t="shared" si="8"/>
        <v>76.266666666666666</v>
      </c>
      <c r="G47" s="14">
        <f t="shared" si="8"/>
        <v>76.266666666666666</v>
      </c>
      <c r="H47" s="14" t="e">
        <f t="shared" si="8"/>
        <v>#DIV/0!</v>
      </c>
    </row>
    <row r="48" spans="1:8" x14ac:dyDescent="0.25">
      <c r="A48" t="s">
        <v>19</v>
      </c>
      <c r="B48" s="14">
        <f>B21/B20*100</f>
        <v>57.594227223304564</v>
      </c>
      <c r="C48" s="14">
        <f t="shared" ref="C48:F48" si="9">C21/C20*100</f>
        <v>51.632282573063584</v>
      </c>
      <c r="D48" s="14">
        <f t="shared" si="9"/>
        <v>49.578336964433568</v>
      </c>
      <c r="E48" s="14">
        <f t="shared" si="9"/>
        <v>80.780399676878417</v>
      </c>
      <c r="F48" s="14">
        <f t="shared" si="9"/>
        <v>95.331548276480987</v>
      </c>
      <c r="G48" s="14">
        <f>G21/G20*100</f>
        <v>95.331548276480987</v>
      </c>
      <c r="H48" s="14" t="e">
        <f>H21/H20*100</f>
        <v>#DIV/0!</v>
      </c>
    </row>
    <row r="49" spans="1:8" x14ac:dyDescent="0.25">
      <c r="A49" s="12" t="s">
        <v>20</v>
      </c>
      <c r="B49" s="15">
        <f t="shared" ref="B49:H49" si="10">AVERAGE(B47:B48)</f>
        <v>70.58543477953549</v>
      </c>
      <c r="C49" s="15">
        <f t="shared" si="10"/>
        <v>105.6772523976429</v>
      </c>
      <c r="D49" s="15">
        <f t="shared" si="10"/>
        <v>70.10166848221678</v>
      </c>
      <c r="E49" s="15">
        <f t="shared" si="10"/>
        <v>147.8901998384392</v>
      </c>
      <c r="F49" s="15">
        <f t="shared" si="10"/>
        <v>85.799107471573819</v>
      </c>
      <c r="G49" s="15">
        <f t="shared" si="10"/>
        <v>85.799107471573819</v>
      </c>
      <c r="H49" s="15" t="e">
        <f t="shared" si="10"/>
        <v>#DIV/0!</v>
      </c>
    </row>
    <row r="50" spans="1:8" x14ac:dyDescent="0.25">
      <c r="B50" s="14"/>
      <c r="C50" s="14"/>
      <c r="D50" s="14"/>
      <c r="E50" s="14"/>
      <c r="F50" s="14"/>
      <c r="G50" s="14"/>
      <c r="H50" s="14"/>
    </row>
    <row r="51" spans="1:8" x14ac:dyDescent="0.25">
      <c r="A51" t="s">
        <v>21</v>
      </c>
    </row>
    <row r="52" spans="1:8" x14ac:dyDescent="0.25">
      <c r="A52" t="s">
        <v>22</v>
      </c>
      <c r="B52" s="14">
        <f>(B14/B16)*100</f>
        <v>83.576642335766422</v>
      </c>
      <c r="C52" s="14">
        <f t="shared" ref="C52:H52" si="11">(C14/C16)*100</f>
        <v>159.72222222222223</v>
      </c>
      <c r="D52" s="14">
        <f t="shared" si="11"/>
        <v>90.625</v>
      </c>
      <c r="E52" s="14">
        <f t="shared" si="11"/>
        <v>215</v>
      </c>
      <c r="F52" s="14">
        <f t="shared" si="11"/>
        <v>76.266666666666666</v>
      </c>
      <c r="G52" s="14">
        <f t="shared" si="11"/>
        <v>76.266666666666666</v>
      </c>
      <c r="H52" s="14" t="e">
        <f t="shared" si="11"/>
        <v>#DIV/0!</v>
      </c>
    </row>
    <row r="53" spans="1:8" x14ac:dyDescent="0.25">
      <c r="A53" t="s">
        <v>23</v>
      </c>
      <c r="B53" s="14">
        <f>B21/B22*100</f>
        <v>57.594227208025792</v>
      </c>
      <c r="C53" s="14">
        <f t="shared" ref="C53:F53" si="12">C21/C22*100</f>
        <v>51.632282559468322</v>
      </c>
      <c r="D53" s="14">
        <f t="shared" si="12"/>
        <v>49.578336936484938</v>
      </c>
      <c r="E53" s="14">
        <f t="shared" si="12"/>
        <v>80.7804</v>
      </c>
      <c r="F53" s="14">
        <f t="shared" si="12"/>
        <v>95.331548249999997</v>
      </c>
      <c r="G53" s="14">
        <f>G21/G22*100</f>
        <v>95.331548249999997</v>
      </c>
      <c r="H53" s="14" t="e">
        <f>H21/H22*100</f>
        <v>#DIV/0!</v>
      </c>
    </row>
    <row r="54" spans="1:8" x14ac:dyDescent="0.25">
      <c r="A54" t="s">
        <v>24</v>
      </c>
      <c r="B54" s="14">
        <f t="shared" ref="B54:H54" si="13">(B52+B53)/2</f>
        <v>70.585434771896104</v>
      </c>
      <c r="C54" s="14">
        <f t="shared" si="13"/>
        <v>105.67725239084527</v>
      </c>
      <c r="D54" s="14">
        <f t="shared" si="13"/>
        <v>70.101668468242465</v>
      </c>
      <c r="E54" s="14">
        <f t="shared" si="13"/>
        <v>147.89019999999999</v>
      </c>
      <c r="F54" s="14">
        <f t="shared" si="13"/>
        <v>85.799107458333339</v>
      </c>
      <c r="G54" s="14">
        <f t="shared" si="13"/>
        <v>85.799107458333339</v>
      </c>
      <c r="H54" s="14" t="e">
        <f t="shared" si="13"/>
        <v>#DIV/0!</v>
      </c>
    </row>
    <row r="56" spans="1:8" x14ac:dyDescent="0.25">
      <c r="A56" s="12" t="s">
        <v>35</v>
      </c>
      <c r="B56" s="15"/>
      <c r="C56" s="15"/>
      <c r="D56" s="15"/>
      <c r="E56" s="15"/>
      <c r="F56" s="15"/>
      <c r="G56" s="15"/>
      <c r="H56" s="15"/>
    </row>
    <row r="57" spans="1:8" x14ac:dyDescent="0.25">
      <c r="A57" t="s">
        <v>25</v>
      </c>
      <c r="B57" s="14">
        <f t="shared" ref="B57:F57" si="14">B23/B21*100</f>
        <v>100</v>
      </c>
      <c r="C57" s="14">
        <f t="shared" si="14"/>
        <v>100</v>
      </c>
      <c r="D57" s="14"/>
      <c r="E57" s="14"/>
      <c r="F57" s="14">
        <f t="shared" si="14"/>
        <v>100</v>
      </c>
      <c r="G57" s="14"/>
      <c r="H57" s="14"/>
    </row>
    <row r="59" spans="1:8" x14ac:dyDescent="0.25">
      <c r="A59" t="s">
        <v>26</v>
      </c>
    </row>
    <row r="60" spans="1:8" x14ac:dyDescent="0.25">
      <c r="A60" t="s">
        <v>27</v>
      </c>
      <c r="B60" s="14">
        <f>((B14/B11)-1)*100</f>
        <v>-87.75109948888624</v>
      </c>
      <c r="C60" s="14">
        <f t="shared" ref="C60:H60" si="15">((C14/C11)-1)*100</f>
        <v>50</v>
      </c>
      <c r="D60" s="14">
        <f t="shared" si="15"/>
        <v>1.1627906976744207</v>
      </c>
      <c r="E60" s="14">
        <f t="shared" si="15"/>
        <v>79.166666666666671</v>
      </c>
      <c r="F60" s="14">
        <f t="shared" si="15"/>
        <v>-89.660159074475771</v>
      </c>
      <c r="G60" s="14">
        <f t="shared" si="15"/>
        <v>17.373461012311896</v>
      </c>
      <c r="H60" s="14">
        <f t="shared" si="15"/>
        <v>-100</v>
      </c>
    </row>
    <row r="61" spans="1:8" x14ac:dyDescent="0.25">
      <c r="A61" t="s">
        <v>28</v>
      </c>
      <c r="B61" s="14">
        <f>((B36/B35)-1)*100</f>
        <v>-29.724334952992514</v>
      </c>
      <c r="C61" s="14">
        <f>((C36/C35)-1)*100</f>
        <v>-35.161788637089508</v>
      </c>
      <c r="D61" s="14">
        <f t="shared" ref="D61:H61" si="16">((D36/D35)-1)*100</f>
        <v>-37.864044112208198</v>
      </c>
      <c r="E61" s="14">
        <f t="shared" si="16"/>
        <v>4.3729547465625407</v>
      </c>
      <c r="F61" s="14">
        <f t="shared" si="16"/>
        <v>-1.3679915689645883</v>
      </c>
      <c r="G61" s="14">
        <f t="shared" si="16"/>
        <v>44.416402742096082</v>
      </c>
      <c r="H61" s="14">
        <f t="shared" si="16"/>
        <v>-100</v>
      </c>
    </row>
    <row r="62" spans="1:8" x14ac:dyDescent="0.25">
      <c r="A62" s="12" t="s">
        <v>29</v>
      </c>
      <c r="B62" s="15">
        <f t="shared" ref="B62:H62" si="17">((B38/B37)-1)*100</f>
        <v>473.73039305237643</v>
      </c>
      <c r="C62" s="15">
        <f t="shared" si="17"/>
        <v>-56.774525758059681</v>
      </c>
      <c r="D62" s="15">
        <f t="shared" si="17"/>
        <v>-38.578250501723041</v>
      </c>
      <c r="E62" s="15">
        <f t="shared" si="17"/>
        <v>-41.745327583313937</v>
      </c>
      <c r="F62" s="15">
        <f t="shared" si="17"/>
        <v>853.90257104980401</v>
      </c>
      <c r="G62" s="15">
        <f t="shared" si="17"/>
        <v>23.040082056494438</v>
      </c>
      <c r="H62" s="15" t="e">
        <f t="shared" si="17"/>
        <v>#DIV/0!</v>
      </c>
    </row>
    <row r="63" spans="1:8" x14ac:dyDescent="0.25">
      <c r="B63" s="16"/>
      <c r="C63" s="16"/>
      <c r="D63" s="16"/>
      <c r="E63" s="16"/>
      <c r="F63" s="16"/>
      <c r="G63" s="16"/>
      <c r="H63" s="16"/>
    </row>
    <row r="64" spans="1:8" x14ac:dyDescent="0.25">
      <c r="A64" t="s">
        <v>30</v>
      </c>
    </row>
    <row r="65" spans="1:8" x14ac:dyDescent="0.25">
      <c r="A65" t="s">
        <v>46</v>
      </c>
      <c r="B65" s="3">
        <f t="shared" ref="B65:H65" si="18">B20/B13</f>
        <v>35667.639893214378</v>
      </c>
      <c r="C65" s="3">
        <f t="shared" si="18"/>
        <v>351649.99990740739</v>
      </c>
      <c r="D65" s="3">
        <f t="shared" si="18"/>
        <v>739129.16624999989</v>
      </c>
      <c r="E65" s="3">
        <f t="shared" si="18"/>
        <v>41666.666833333329</v>
      </c>
      <c r="F65" s="3">
        <f t="shared" si="18"/>
        <v>5333.3333318518517</v>
      </c>
      <c r="G65" s="3">
        <f t="shared" si="18"/>
        <v>5333.3333318518517</v>
      </c>
      <c r="H65" s="3" t="e">
        <f t="shared" si="18"/>
        <v>#DIV/0!</v>
      </c>
    </row>
    <row r="66" spans="1:8" x14ac:dyDescent="0.25">
      <c r="A66" t="s">
        <v>47</v>
      </c>
      <c r="B66" s="3">
        <f t="shared" ref="B66:H66" si="19">B21/B14</f>
        <v>24579.237680737504</v>
      </c>
      <c r="C66" s="3">
        <f t="shared" si="19"/>
        <v>113675.4291884058</v>
      </c>
      <c r="D66" s="3">
        <f t="shared" si="19"/>
        <v>404356.35712643678</v>
      </c>
      <c r="E66" s="3">
        <f t="shared" si="19"/>
        <v>15655.116279069767</v>
      </c>
      <c r="F66" s="3">
        <f t="shared" si="19"/>
        <v>6666.5418356643349</v>
      </c>
      <c r="G66" s="3">
        <f t="shared" si="19"/>
        <v>6666.5418356643349</v>
      </c>
      <c r="H66" s="3" t="e">
        <f t="shared" si="19"/>
        <v>#DIV/0!</v>
      </c>
    </row>
    <row r="67" spans="1:8" x14ac:dyDescent="0.25">
      <c r="A67" s="12" t="s">
        <v>31</v>
      </c>
      <c r="B67" s="15">
        <f>(B65/B66)*B49</f>
        <v>102.42855787978613</v>
      </c>
      <c r="C67" s="15">
        <f t="shared" ref="C67:H67" si="20">(C65/C66)*C49</f>
        <v>326.90798760262282</v>
      </c>
      <c r="D67" s="15">
        <f t="shared" si="20"/>
        <v>128.13991140441792</v>
      </c>
      <c r="E67" s="15">
        <f t="shared" si="20"/>
        <v>393.61519740493981</v>
      </c>
      <c r="F67" s="15">
        <f t="shared" si="20"/>
        <v>68.640571228888646</v>
      </c>
      <c r="G67" s="15">
        <f t="shared" si="20"/>
        <v>68.640571228888646</v>
      </c>
      <c r="H67" s="15" t="e">
        <f t="shared" si="20"/>
        <v>#DIV/0!</v>
      </c>
    </row>
    <row r="68" spans="1:8" s="5" customFormat="1" x14ac:dyDescent="0.25">
      <c r="A68" t="s">
        <v>40</v>
      </c>
      <c r="B68" s="26">
        <f>B20/(B13*12)</f>
        <v>2972.3033244345315</v>
      </c>
      <c r="C68" s="26">
        <f t="shared" ref="C68:H68" si="21">C20/(C13*12)</f>
        <v>29304.166658950613</v>
      </c>
      <c r="D68" s="26">
        <f t="shared" si="21"/>
        <v>61594.097187499996</v>
      </c>
      <c r="E68" s="26">
        <f t="shared" si="21"/>
        <v>3472.2222361111108</v>
      </c>
      <c r="F68" s="26">
        <f t="shared" si="21"/>
        <v>444.44444432098766</v>
      </c>
      <c r="G68" s="26">
        <f t="shared" si="21"/>
        <v>444.44444432098766</v>
      </c>
      <c r="H68" s="26" t="e">
        <f t="shared" si="21"/>
        <v>#DIV/0!</v>
      </c>
    </row>
    <row r="69" spans="1:8" s="5" customFormat="1" x14ac:dyDescent="0.25">
      <c r="A69" t="s">
        <v>41</v>
      </c>
      <c r="B69" s="26">
        <f>B21/(B14*12)</f>
        <v>2048.2698067281253</v>
      </c>
      <c r="C69" s="26">
        <f t="shared" ref="C69:H69" si="22">C21/(C14*12)</f>
        <v>9472.9524323671503</v>
      </c>
      <c r="D69" s="26">
        <f t="shared" si="22"/>
        <v>33696.363093869732</v>
      </c>
      <c r="E69" s="26">
        <f t="shared" si="22"/>
        <v>1304.5930232558139</v>
      </c>
      <c r="F69" s="26">
        <f t="shared" si="22"/>
        <v>555.54515297202795</v>
      </c>
      <c r="G69" s="26">
        <f t="shared" si="22"/>
        <v>555.54515297202795</v>
      </c>
      <c r="H69" s="26" t="e">
        <f t="shared" si="22"/>
        <v>#DIV/0!</v>
      </c>
    </row>
    <row r="70" spans="1:8" x14ac:dyDescent="0.25">
      <c r="B70" s="14"/>
      <c r="C70" s="14"/>
      <c r="D70" s="14"/>
    </row>
    <row r="71" spans="1:8" x14ac:dyDescent="0.25">
      <c r="A71" t="s">
        <v>32</v>
      </c>
      <c r="B71" s="14"/>
      <c r="C71" s="14"/>
      <c r="D71" s="14"/>
    </row>
    <row r="72" spans="1:8" x14ac:dyDescent="0.25">
      <c r="A72" s="17" t="s">
        <v>33</v>
      </c>
      <c r="B72" s="18">
        <f>(B27/B26)*100</f>
        <v>99.92287090344233</v>
      </c>
      <c r="C72" s="18">
        <f>(C27/C26)*100</f>
        <v>99.910685630153807</v>
      </c>
      <c r="D72" s="18"/>
      <c r="E72" s="18"/>
      <c r="F72" s="18">
        <f>(F27/F26)*100</f>
        <v>100.00000002777779</v>
      </c>
      <c r="G72" s="18"/>
      <c r="H72" s="18"/>
    </row>
    <row r="73" spans="1:8" x14ac:dyDescent="0.25">
      <c r="A73" s="17" t="s">
        <v>34</v>
      </c>
      <c r="B73" s="18">
        <f>(B21/B27)*100</f>
        <v>57.638683419093454</v>
      </c>
      <c r="C73" s="18">
        <f>(C21/C27)*100</f>
        <v>51.678438845064392</v>
      </c>
      <c r="D73" s="18"/>
      <c r="E73" s="18"/>
      <c r="F73" s="18">
        <f>(F21/F27)*100</f>
        <v>95.331548249999997</v>
      </c>
      <c r="G73" s="18"/>
      <c r="H73" s="18"/>
    </row>
    <row r="74" spans="1:8" ht="15.75" thickBot="1" x14ac:dyDescent="0.3">
      <c r="A74" s="19"/>
      <c r="B74" s="19"/>
      <c r="C74" s="19"/>
      <c r="D74" s="19"/>
      <c r="E74" s="19"/>
      <c r="F74" s="19"/>
      <c r="G74" s="19"/>
      <c r="H74" s="19"/>
    </row>
    <row r="75" spans="1:8" ht="15.75" thickTop="1" x14ac:dyDescent="0.25">
      <c r="A75" s="22" t="s">
        <v>36</v>
      </c>
    </row>
    <row r="76" spans="1:8" x14ac:dyDescent="0.25">
      <c r="A76" s="22" t="s">
        <v>111</v>
      </c>
    </row>
    <row r="77" spans="1:8" x14ac:dyDescent="0.25">
      <c r="A77" s="22" t="s">
        <v>101</v>
      </c>
    </row>
    <row r="78" spans="1:8" x14ac:dyDescent="0.25">
      <c r="A78" s="22" t="s">
        <v>84</v>
      </c>
      <c r="B78" s="20"/>
      <c r="C78" s="20"/>
      <c r="D78" s="20"/>
    </row>
    <row r="79" spans="1:8" x14ac:dyDescent="0.25">
      <c r="A79" s="22"/>
    </row>
    <row r="80" spans="1:8" x14ac:dyDescent="0.25">
      <c r="A80" s="22"/>
    </row>
    <row r="82" spans="1:1" x14ac:dyDescent="0.25">
      <c r="A82" t="s">
        <v>37</v>
      </c>
    </row>
    <row r="84" spans="1:1" x14ac:dyDescent="0.25">
      <c r="A84" t="s">
        <v>52</v>
      </c>
    </row>
    <row r="85" spans="1:1" x14ac:dyDescent="0.25">
      <c r="A85" t="s">
        <v>53</v>
      </c>
    </row>
    <row r="88" spans="1:1" x14ac:dyDescent="0.25">
      <c r="A88" t="s">
        <v>143</v>
      </c>
    </row>
  </sheetData>
  <mergeCells count="11">
    <mergeCell ref="A2:H2"/>
    <mergeCell ref="A4:A6"/>
    <mergeCell ref="B4:B6"/>
    <mergeCell ref="C4:E4"/>
    <mergeCell ref="F4:H4"/>
    <mergeCell ref="C5:C6"/>
    <mergeCell ref="E5:E6"/>
    <mergeCell ref="F5:F6"/>
    <mergeCell ref="G5:G6"/>
    <mergeCell ref="H5:H6"/>
    <mergeCell ref="D5:D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 Trimestre</vt:lpstr>
      <vt:lpstr>II Trimestre</vt:lpstr>
      <vt:lpstr>III Trimestre</vt:lpstr>
      <vt:lpstr>IV Trimestre</vt:lpstr>
      <vt:lpstr>I Semestre</vt:lpstr>
      <vt:lpstr>III Trimestre Acumulado</vt:lpstr>
      <vt:lpstr>Anual</vt:lpstr>
      <vt:lpstr>Hoja1</vt:lpstr>
    </vt:vector>
  </TitlesOfParts>
  <Company>FAM ASTORGA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NASTORGA</dc:creator>
  <cp:lastModifiedBy>Horacio Rodriguez</cp:lastModifiedBy>
  <dcterms:created xsi:type="dcterms:W3CDTF">2012-04-23T15:28:09Z</dcterms:created>
  <dcterms:modified xsi:type="dcterms:W3CDTF">2015-08-25T20:48:46Z</dcterms:modified>
</cp:coreProperties>
</file>