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Indicadores 2014-Horacio\Ciudad de los Niños\Indicadores\"/>
    </mc:Choice>
  </mc:AlternateContent>
  <bookViews>
    <workbookView xWindow="0" yWindow="0" windowWidth="21600" windowHeight="9735" tabRatio="721" activeTab="6"/>
  </bookViews>
  <sheets>
    <sheet name="I Trimestre" sheetId="8" r:id="rId1"/>
    <sheet name="II Trimestre" sheetId="2" r:id="rId2"/>
    <sheet name="III Trimestre" sheetId="3" r:id="rId3"/>
    <sheet name="IV Trimestre" sheetId="4" r:id="rId4"/>
    <sheet name="I Semestre" sheetId="5" r:id="rId5"/>
    <sheet name="III Trimestre acumulado" sheetId="6" r:id="rId6"/>
    <sheet name="Anual" sheetId="7" r:id="rId7"/>
    <sheet name="Hoja1" sheetId="9" r:id="rId8"/>
  </sheets>
  <calcPr calcId="152511"/>
</workbook>
</file>

<file path=xl/calcChain.xml><?xml version="1.0" encoding="utf-8"?>
<calcChain xmlns="http://schemas.openxmlformats.org/spreadsheetml/2006/main">
  <c r="F66" i="7" l="1"/>
  <c r="E66" i="7"/>
  <c r="D66" i="7"/>
  <c r="C66" i="7"/>
  <c r="B66" i="7"/>
  <c r="D65" i="7"/>
  <c r="F63" i="7"/>
  <c r="E63" i="7"/>
  <c r="D63" i="7"/>
  <c r="C63" i="7"/>
  <c r="B63" i="7"/>
  <c r="D62" i="7"/>
  <c r="F66" i="6"/>
  <c r="E66" i="6"/>
  <c r="D66" i="6"/>
  <c r="C66" i="6"/>
  <c r="B66" i="6"/>
  <c r="E65" i="6"/>
  <c r="D65" i="6"/>
  <c r="F63" i="6"/>
  <c r="E63" i="6"/>
  <c r="D63" i="6"/>
  <c r="C63" i="6"/>
  <c r="B63" i="6"/>
  <c r="E62" i="6"/>
  <c r="D62" i="6"/>
  <c r="F66" i="5"/>
  <c r="E66" i="5"/>
  <c r="D66" i="5"/>
  <c r="C66" i="5"/>
  <c r="B66" i="5"/>
  <c r="F65" i="5"/>
  <c r="E65" i="5"/>
  <c r="D65" i="5"/>
  <c r="C65" i="5"/>
  <c r="B65" i="5"/>
  <c r="F63" i="5"/>
  <c r="E63" i="5"/>
  <c r="D63" i="5"/>
  <c r="C63" i="5"/>
  <c r="B63" i="5"/>
  <c r="B64" i="5" s="1"/>
  <c r="F62" i="5"/>
  <c r="E62" i="5"/>
  <c r="D62" i="5"/>
  <c r="C62" i="5"/>
  <c r="C64" i="5" s="1"/>
  <c r="B62" i="5"/>
  <c r="F16" i="5"/>
  <c r="E16" i="5"/>
  <c r="D16" i="5"/>
  <c r="F66" i="4"/>
  <c r="E66" i="4"/>
  <c r="D66" i="4"/>
  <c r="C66" i="4"/>
  <c r="B66" i="4"/>
  <c r="F65" i="4"/>
  <c r="E65" i="4"/>
  <c r="D65" i="4"/>
  <c r="F63" i="4"/>
  <c r="E63" i="4"/>
  <c r="D63" i="4"/>
  <c r="C63" i="4"/>
  <c r="B63" i="4"/>
  <c r="F62" i="4"/>
  <c r="E62" i="4"/>
  <c r="D62" i="4"/>
  <c r="B70" i="4"/>
  <c r="F66" i="3"/>
  <c r="E66" i="3"/>
  <c r="D66" i="3"/>
  <c r="C66" i="3"/>
  <c r="B66" i="3"/>
  <c r="F65" i="3"/>
  <c r="E65" i="3"/>
  <c r="D65" i="3"/>
  <c r="F63" i="3"/>
  <c r="E63" i="3"/>
  <c r="D63" i="3"/>
  <c r="C63" i="3"/>
  <c r="B63" i="3"/>
  <c r="F62" i="3"/>
  <c r="E62" i="3"/>
  <c r="D62" i="3"/>
  <c r="B70" i="3"/>
  <c r="F66" i="2"/>
  <c r="E66" i="2"/>
  <c r="D66" i="2"/>
  <c r="C66" i="2"/>
  <c r="B66" i="2"/>
  <c r="F65" i="2"/>
  <c r="E65" i="2"/>
  <c r="D65" i="2"/>
  <c r="C65" i="2"/>
  <c r="B65" i="2"/>
  <c r="F63" i="2"/>
  <c r="E63" i="2"/>
  <c r="D63" i="2"/>
  <c r="C63" i="2"/>
  <c r="B63" i="2"/>
  <c r="B64" i="2" s="1"/>
  <c r="F62" i="2"/>
  <c r="E62" i="2"/>
  <c r="D62" i="2"/>
  <c r="C62" i="2"/>
  <c r="C64" i="2" s="1"/>
  <c r="B62" i="2"/>
  <c r="B70" i="2" l="1"/>
  <c r="F66" i="8"/>
  <c r="E66" i="8"/>
  <c r="D66" i="8"/>
  <c r="C66" i="8"/>
  <c r="F65" i="8"/>
  <c r="E65" i="8"/>
  <c r="D65" i="8"/>
  <c r="C65" i="8"/>
  <c r="C64" i="8"/>
  <c r="F63" i="8"/>
  <c r="E63" i="8"/>
  <c r="D63" i="8"/>
  <c r="C63" i="8"/>
  <c r="F62" i="8"/>
  <c r="E62" i="8"/>
  <c r="D62" i="8"/>
  <c r="C62" i="8"/>
  <c r="F50" i="4" l="1"/>
  <c r="F51" i="4" s="1"/>
  <c r="E50" i="4"/>
  <c r="E51" i="4" s="1"/>
  <c r="D50" i="4"/>
  <c r="D51" i="4" s="1"/>
  <c r="C49" i="4"/>
  <c r="C51" i="4" s="1"/>
  <c r="B49" i="4"/>
  <c r="F50" i="3"/>
  <c r="F51" i="3" s="1"/>
  <c r="E50" i="3"/>
  <c r="E51" i="3" s="1"/>
  <c r="D50" i="3"/>
  <c r="D51" i="3" s="1"/>
  <c r="C49" i="3"/>
  <c r="C51" i="3" s="1"/>
  <c r="B49" i="3"/>
  <c r="F50" i="2"/>
  <c r="F51" i="2" s="1"/>
  <c r="E50" i="2"/>
  <c r="E51" i="2" s="1"/>
  <c r="D50" i="2"/>
  <c r="D51" i="2" s="1"/>
  <c r="C49" i="2"/>
  <c r="C51" i="2" s="1"/>
  <c r="B49" i="2"/>
  <c r="F50" i="8"/>
  <c r="F51" i="8" s="1"/>
  <c r="E50" i="8"/>
  <c r="E51" i="8" s="1"/>
  <c r="D50" i="8"/>
  <c r="D51" i="8" s="1"/>
  <c r="C49" i="8"/>
  <c r="C51" i="8" s="1"/>
  <c r="B49" i="8"/>
  <c r="D57" i="7" l="1"/>
  <c r="E57" i="7"/>
  <c r="F57" i="7"/>
  <c r="C54" i="7"/>
  <c r="C33" i="7"/>
  <c r="C58" i="7" s="1"/>
  <c r="C32" i="7"/>
  <c r="B24" i="6" l="1"/>
  <c r="D57" i="6"/>
  <c r="E57" i="6"/>
  <c r="F57" i="6"/>
  <c r="C54" i="6"/>
  <c r="C33" i="6" l="1"/>
  <c r="C32" i="6"/>
  <c r="E16" i="6"/>
  <c r="E32" i="6" s="1"/>
  <c r="F16" i="6"/>
  <c r="F32" i="6" s="1"/>
  <c r="D16" i="6"/>
  <c r="D32" i="6" s="1"/>
  <c r="C58" i="6" l="1"/>
  <c r="C57" i="4"/>
  <c r="D57" i="4"/>
  <c r="E57" i="4"/>
  <c r="F57" i="4"/>
  <c r="C54" i="4"/>
  <c r="E54" i="4"/>
  <c r="F54" i="4"/>
  <c r="C46" i="4"/>
  <c r="D46" i="4"/>
  <c r="E46" i="4"/>
  <c r="D45" i="4"/>
  <c r="E45" i="4"/>
  <c r="F45" i="4"/>
  <c r="F46" i="4" s="1"/>
  <c r="C44" i="4"/>
  <c r="C33" i="4"/>
  <c r="C58" i="4" s="1"/>
  <c r="D33" i="4"/>
  <c r="D58" i="4" s="1"/>
  <c r="E33" i="4"/>
  <c r="E58" i="4" s="1"/>
  <c r="F33" i="4"/>
  <c r="F58" i="4" s="1"/>
  <c r="C32" i="4"/>
  <c r="C34" i="4" s="1"/>
  <c r="D32" i="4"/>
  <c r="D34" i="4" s="1"/>
  <c r="E32" i="4"/>
  <c r="E34" i="4" s="1"/>
  <c r="F32" i="4"/>
  <c r="F34" i="4" s="1"/>
  <c r="E35" i="4" l="1"/>
  <c r="E59" i="4" s="1"/>
  <c r="D35" i="4"/>
  <c r="D59" i="4" s="1"/>
  <c r="C35" i="4"/>
  <c r="C59" i="4" s="1"/>
  <c r="F35" i="4"/>
  <c r="F59" i="4" s="1"/>
  <c r="C57" i="3"/>
  <c r="D57" i="3"/>
  <c r="E57" i="3"/>
  <c r="F57" i="3"/>
  <c r="C54" i="3"/>
  <c r="E54" i="3"/>
  <c r="F54" i="3"/>
  <c r="C44" i="3"/>
  <c r="C46" i="3"/>
  <c r="E46" i="3"/>
  <c r="D45" i="3"/>
  <c r="D46" i="3" s="1"/>
  <c r="E45" i="3"/>
  <c r="F45" i="3"/>
  <c r="F46" i="3" s="1"/>
  <c r="C33" i="3"/>
  <c r="C35" i="3" s="1"/>
  <c r="C59" i="3" s="1"/>
  <c r="D33" i="3"/>
  <c r="D35" i="3" s="1"/>
  <c r="D59" i="3" s="1"/>
  <c r="E33" i="3"/>
  <c r="E35" i="3" s="1"/>
  <c r="E59" i="3" s="1"/>
  <c r="F33" i="3"/>
  <c r="F35" i="3" s="1"/>
  <c r="F59" i="3" s="1"/>
  <c r="C32" i="3"/>
  <c r="C34" i="3" s="1"/>
  <c r="D32" i="3"/>
  <c r="D34" i="3" s="1"/>
  <c r="E32" i="3"/>
  <c r="E34" i="3" s="1"/>
  <c r="F32" i="3"/>
  <c r="F34" i="3" s="1"/>
  <c r="F58" i="3" l="1"/>
  <c r="E58" i="3"/>
  <c r="D58" i="3"/>
  <c r="C58" i="3"/>
  <c r="D57" i="5"/>
  <c r="E57" i="5"/>
  <c r="F57" i="5"/>
  <c r="C54" i="5"/>
  <c r="C33" i="5"/>
  <c r="D32" i="5"/>
  <c r="E32" i="5"/>
  <c r="F32" i="5"/>
  <c r="C32" i="5"/>
  <c r="C58" i="5" l="1"/>
  <c r="E18" i="5"/>
  <c r="F18" i="5"/>
  <c r="D18" i="5"/>
  <c r="E17" i="5"/>
  <c r="F17" i="5"/>
  <c r="D17" i="5"/>
  <c r="E54" i="5" l="1"/>
  <c r="E33" i="5"/>
  <c r="E58" i="5" s="1"/>
  <c r="D33" i="5"/>
  <c r="D58" i="5" s="1"/>
  <c r="F54" i="5"/>
  <c r="F33" i="5"/>
  <c r="F58" i="5" s="1"/>
  <c r="C57" i="2" l="1"/>
  <c r="D57" i="2"/>
  <c r="E57" i="2"/>
  <c r="F57" i="2"/>
  <c r="C54" i="2"/>
  <c r="E54" i="2"/>
  <c r="F54" i="2"/>
  <c r="D46" i="2"/>
  <c r="F46" i="2"/>
  <c r="D45" i="2"/>
  <c r="E45" i="2"/>
  <c r="E46" i="2" s="1"/>
  <c r="F45" i="2"/>
  <c r="C33" i="2"/>
  <c r="C32" i="2"/>
  <c r="D57" i="8" l="1"/>
  <c r="E57" i="8"/>
  <c r="F57" i="8"/>
  <c r="C54" i="8"/>
  <c r="E54" i="8"/>
  <c r="F54" i="8"/>
  <c r="C33" i="8"/>
  <c r="C32" i="8"/>
  <c r="F32" i="2" l="1"/>
  <c r="F34" i="2" s="1"/>
  <c r="E32" i="2"/>
  <c r="E34" i="2" s="1"/>
  <c r="D32" i="2"/>
  <c r="D34" i="2" s="1"/>
  <c r="E32" i="8"/>
  <c r="E34" i="8" s="1"/>
  <c r="F32" i="8"/>
  <c r="F34" i="8" s="1"/>
  <c r="D32" i="8"/>
  <c r="D34" i="8" s="1"/>
  <c r="F33" i="2"/>
  <c r="E33" i="2"/>
  <c r="E35" i="2" s="1"/>
  <c r="D33" i="2"/>
  <c r="D35" i="2" s="1"/>
  <c r="C13" i="7"/>
  <c r="C11" i="7"/>
  <c r="C12" i="7"/>
  <c r="C10" i="7"/>
  <c r="C13" i="6"/>
  <c r="C10" i="6"/>
  <c r="C11" i="6"/>
  <c r="C12" i="6"/>
  <c r="C49" i="6" s="1"/>
  <c r="C51" i="6" s="1"/>
  <c r="C13" i="5"/>
  <c r="C11" i="5"/>
  <c r="C12" i="5"/>
  <c r="C49" i="5" s="1"/>
  <c r="C51" i="5" s="1"/>
  <c r="C10" i="5"/>
  <c r="C44" i="2"/>
  <c r="C46" i="2" s="1"/>
  <c r="C57" i="8"/>
  <c r="F58" i="2" l="1"/>
  <c r="C57" i="5"/>
  <c r="C57" i="7"/>
  <c r="C49" i="7"/>
  <c r="C51" i="7" s="1"/>
  <c r="C44" i="7"/>
  <c r="C46" i="7" s="1"/>
  <c r="C44" i="6"/>
  <c r="C46" i="6" s="1"/>
  <c r="C57" i="6"/>
  <c r="D34" i="6"/>
  <c r="F34" i="5"/>
  <c r="F35" i="2"/>
  <c r="E58" i="2"/>
  <c r="E59" i="2"/>
  <c r="D59" i="2"/>
  <c r="F59" i="2"/>
  <c r="D58" i="2"/>
  <c r="D34" i="5"/>
  <c r="E34" i="5"/>
  <c r="F34" i="6"/>
  <c r="E34" i="6"/>
  <c r="C44" i="5"/>
  <c r="C34" i="6"/>
  <c r="C44" i="8"/>
  <c r="D20" i="3" l="1"/>
  <c r="D54" i="3" s="1"/>
  <c r="B20" i="3"/>
  <c r="D20" i="2"/>
  <c r="D20" i="8"/>
  <c r="B16" i="8"/>
  <c r="D20" i="4"/>
  <c r="B17" i="4"/>
  <c r="B18" i="4"/>
  <c r="B19" i="4"/>
  <c r="C65" i="4" l="1"/>
  <c r="B62" i="4"/>
  <c r="B65" i="4"/>
  <c r="C62" i="4"/>
  <c r="C64" i="4" s="1"/>
  <c r="B50" i="4"/>
  <c r="B51" i="4" s="1"/>
  <c r="B20" i="8"/>
  <c r="D54" i="8"/>
  <c r="B20" i="2"/>
  <c r="D54" i="2"/>
  <c r="B20" i="4"/>
  <c r="D54" i="4"/>
  <c r="C34" i="8"/>
  <c r="D16" i="7"/>
  <c r="E16" i="7"/>
  <c r="F16" i="7"/>
  <c r="E32" i="7" l="1"/>
  <c r="E34" i="7" s="1"/>
  <c r="F32" i="7"/>
  <c r="F34" i="7" s="1"/>
  <c r="D32" i="7"/>
  <c r="D34" i="7" s="1"/>
  <c r="B16" i="4" l="1"/>
  <c r="B16" i="3" l="1"/>
  <c r="B16" i="2"/>
  <c r="C34" i="2" l="1"/>
  <c r="B16" i="6"/>
  <c r="B16" i="5"/>
  <c r="C34" i="5" s="1"/>
  <c r="E19" i="5"/>
  <c r="E50" i="5" s="1"/>
  <c r="E51" i="5" s="1"/>
  <c r="F19" i="5"/>
  <c r="F50" i="5" s="1"/>
  <c r="F51" i="5" s="1"/>
  <c r="D19" i="5"/>
  <c r="D50" i="5" s="1"/>
  <c r="D51" i="5" s="1"/>
  <c r="E19" i="6"/>
  <c r="F19" i="6"/>
  <c r="D19" i="6"/>
  <c r="D18" i="6"/>
  <c r="E18" i="6"/>
  <c r="E50" i="6" s="1"/>
  <c r="E51" i="6" s="1"/>
  <c r="F18" i="6"/>
  <c r="F50" i="6" s="1"/>
  <c r="F51" i="6" s="1"/>
  <c r="E17" i="6"/>
  <c r="F17" i="6"/>
  <c r="D17" i="6"/>
  <c r="B13" i="5"/>
  <c r="B12" i="5"/>
  <c r="B49" i="5" s="1"/>
  <c r="B11" i="5"/>
  <c r="B10" i="5"/>
  <c r="B13" i="6"/>
  <c r="B12" i="6"/>
  <c r="B49" i="6" s="1"/>
  <c r="B11" i="6"/>
  <c r="B10" i="6"/>
  <c r="E19" i="7"/>
  <c r="F19" i="7"/>
  <c r="D19" i="7"/>
  <c r="F65" i="6" l="1"/>
  <c r="F62" i="6"/>
  <c r="D50" i="6"/>
  <c r="D51" i="6" s="1"/>
  <c r="E54" i="6"/>
  <c r="E33" i="6"/>
  <c r="E58" i="6" s="1"/>
  <c r="F54" i="6"/>
  <c r="F33" i="6"/>
  <c r="F58" i="6" s="1"/>
  <c r="D45" i="6"/>
  <c r="D46" i="6" s="1"/>
  <c r="D33" i="6"/>
  <c r="D58" i="6" s="1"/>
  <c r="F45" i="6"/>
  <c r="F46" i="6" s="1"/>
  <c r="E45" i="6"/>
  <c r="E46" i="6" s="1"/>
  <c r="E35" i="5"/>
  <c r="E59" i="5" s="1"/>
  <c r="F35" i="5"/>
  <c r="F59" i="5" s="1"/>
  <c r="D20" i="5"/>
  <c r="D35" i="5"/>
  <c r="D59" i="5" s="1"/>
  <c r="D20" i="6"/>
  <c r="B19" i="6"/>
  <c r="B19" i="5"/>
  <c r="B19" i="3"/>
  <c r="B18" i="3"/>
  <c r="B17" i="3"/>
  <c r="B19" i="2"/>
  <c r="B18" i="2"/>
  <c r="B17" i="2"/>
  <c r="B19" i="8"/>
  <c r="B18" i="8"/>
  <c r="B17" i="8"/>
  <c r="B62" i="8" s="1"/>
  <c r="C62" i="3" l="1"/>
  <c r="C64" i="3" s="1"/>
  <c r="C65" i="3"/>
  <c r="B65" i="3"/>
  <c r="B62" i="3"/>
  <c r="B50" i="2"/>
  <c r="B51" i="2" s="1"/>
  <c r="B50" i="8"/>
  <c r="B51" i="8" s="1"/>
  <c r="B70" i="8"/>
  <c r="B63" i="8"/>
  <c r="E35" i="6"/>
  <c r="E59" i="6" s="1"/>
  <c r="B50" i="3"/>
  <c r="B51" i="3" s="1"/>
  <c r="D35" i="6"/>
  <c r="D59" i="6" s="1"/>
  <c r="F35" i="6"/>
  <c r="F59" i="6" s="1"/>
  <c r="B20" i="6"/>
  <c r="D54" i="6"/>
  <c r="B20" i="5"/>
  <c r="D54" i="5"/>
  <c r="C46" i="8"/>
  <c r="B66" i="8"/>
  <c r="B65" i="8"/>
  <c r="B17" i="5"/>
  <c r="B17" i="6"/>
  <c r="B18" i="5"/>
  <c r="B50" i="5" s="1"/>
  <c r="B51" i="5" s="1"/>
  <c r="B18" i="6"/>
  <c r="C62" i="6" l="1"/>
  <c r="C64" i="6" s="1"/>
  <c r="C65" i="6"/>
  <c r="B62" i="6"/>
  <c r="B65" i="6"/>
  <c r="B70" i="6"/>
  <c r="B50" i="6"/>
  <c r="B51" i="6" s="1"/>
  <c r="C58" i="2"/>
  <c r="C35" i="2"/>
  <c r="C59" i="2" s="1"/>
  <c r="C46" i="5"/>
  <c r="C58" i="8"/>
  <c r="C35" i="8"/>
  <c r="C59" i="8" s="1"/>
  <c r="B11" i="7"/>
  <c r="B12" i="7"/>
  <c r="B13" i="7"/>
  <c r="B10" i="7"/>
  <c r="B57" i="6"/>
  <c r="B44" i="6"/>
  <c r="B57" i="5"/>
  <c r="B44" i="5"/>
  <c r="B54" i="5"/>
  <c r="B57" i="4"/>
  <c r="B54" i="4"/>
  <c r="B45" i="4"/>
  <c r="B44" i="4"/>
  <c r="B44" i="3"/>
  <c r="B57" i="3"/>
  <c r="B54" i="3"/>
  <c r="B44" i="2"/>
  <c r="B57" i="2"/>
  <c r="B54" i="2"/>
  <c r="B49" i="7" l="1"/>
  <c r="C35" i="6"/>
  <c r="C59" i="6" s="1"/>
  <c r="C35" i="5"/>
  <c r="C59" i="5" s="1"/>
  <c r="B57" i="7"/>
  <c r="B46" i="4"/>
  <c r="B64" i="4" s="1"/>
  <c r="B44" i="7"/>
  <c r="B44" i="8" l="1"/>
  <c r="B24" i="7" l="1"/>
  <c r="E18" i="7"/>
  <c r="F18" i="7"/>
  <c r="D18" i="7"/>
  <c r="B19" i="7"/>
  <c r="B24" i="5"/>
  <c r="B70" i="5" s="1"/>
  <c r="F33" i="8"/>
  <c r="F35" i="8" s="1"/>
  <c r="E33" i="8"/>
  <c r="E35" i="8" s="1"/>
  <c r="D33" i="8"/>
  <c r="D35" i="8" s="1"/>
  <c r="F45" i="8"/>
  <c r="F46" i="8" s="1"/>
  <c r="E45" i="8"/>
  <c r="E46" i="8" s="1"/>
  <c r="B32" i="8"/>
  <c r="B34" i="8" s="1"/>
  <c r="B32" i="4"/>
  <c r="B32" i="3"/>
  <c r="F33" i="7" l="1"/>
  <c r="F58" i="7" s="1"/>
  <c r="F54" i="7"/>
  <c r="F50" i="7"/>
  <c r="F51" i="7" s="1"/>
  <c r="E33" i="7"/>
  <c r="E58" i="7" s="1"/>
  <c r="E54" i="7"/>
  <c r="E50" i="7"/>
  <c r="E51" i="7" s="1"/>
  <c r="D33" i="7"/>
  <c r="D58" i="7" s="1"/>
  <c r="D50" i="7"/>
  <c r="D51" i="7" s="1"/>
  <c r="F35" i="7"/>
  <c r="F59" i="7" s="1"/>
  <c r="E35" i="7"/>
  <c r="E59" i="7" s="1"/>
  <c r="F58" i="8"/>
  <c r="F59" i="8"/>
  <c r="E58" i="8"/>
  <c r="E59" i="8"/>
  <c r="D59" i="8"/>
  <c r="D58" i="8"/>
  <c r="D20" i="7"/>
  <c r="D35" i="7"/>
  <c r="D59" i="7" s="1"/>
  <c r="B45" i="8"/>
  <c r="B46" i="8" s="1"/>
  <c r="B33" i="8"/>
  <c r="B35" i="8" s="1"/>
  <c r="E45" i="5"/>
  <c r="E46" i="5" s="1"/>
  <c r="D45" i="8"/>
  <c r="D46" i="8" s="1"/>
  <c r="E17" i="7"/>
  <c r="B18" i="7"/>
  <c r="B70" i="7" s="1"/>
  <c r="B23" i="8"/>
  <c r="B69" i="8" s="1"/>
  <c r="B57" i="8"/>
  <c r="B54" i="8"/>
  <c r="B34" i="4"/>
  <c r="B33" i="4"/>
  <c r="B58" i="4" s="1"/>
  <c r="B34" i="3"/>
  <c r="B33" i="3"/>
  <c r="B58" i="3" s="1"/>
  <c r="E45" i="7" l="1"/>
  <c r="E46" i="7" s="1"/>
  <c r="E62" i="7"/>
  <c r="E65" i="7"/>
  <c r="B20" i="7"/>
  <c r="D54" i="7"/>
  <c r="B64" i="8"/>
  <c r="B50" i="7"/>
  <c r="B51" i="7" s="1"/>
  <c r="B54" i="7"/>
  <c r="B45" i="3"/>
  <c r="B46" i="3" s="1"/>
  <c r="B64" i="3" s="1"/>
  <c r="B33" i="5"/>
  <c r="B23" i="4"/>
  <c r="B69" i="4" s="1"/>
  <c r="B54" i="6"/>
  <c r="B33" i="7"/>
  <c r="B35" i="7" s="1"/>
  <c r="B33" i="6"/>
  <c r="B58" i="8"/>
  <c r="B59" i="8"/>
  <c r="B35" i="4"/>
  <c r="B59" i="4" s="1"/>
  <c r="B35" i="3"/>
  <c r="B59" i="3" s="1"/>
  <c r="B23" i="3"/>
  <c r="B69" i="3" s="1"/>
  <c r="C35" i="7" l="1"/>
  <c r="B35" i="5"/>
  <c r="B45" i="2"/>
  <c r="B46" i="2" s="1"/>
  <c r="B35" i="6"/>
  <c r="D45" i="5"/>
  <c r="D46" i="5" s="1"/>
  <c r="D17" i="7"/>
  <c r="D45" i="7" s="1"/>
  <c r="D46" i="7" s="1"/>
  <c r="B32" i="2"/>
  <c r="B34" i="2" s="1"/>
  <c r="B16" i="7"/>
  <c r="B32" i="5"/>
  <c r="B58" i="5" s="1"/>
  <c r="B32" i="6"/>
  <c r="B58" i="6" s="1"/>
  <c r="F17" i="7"/>
  <c r="F45" i="5"/>
  <c r="F46" i="5" s="1"/>
  <c r="B23" i="2"/>
  <c r="B69" i="2" s="1"/>
  <c r="B33" i="2"/>
  <c r="F45" i="7" l="1"/>
  <c r="F46" i="7" s="1"/>
  <c r="F65" i="7"/>
  <c r="F62" i="7"/>
  <c r="B32" i="7"/>
  <c r="B58" i="7" s="1"/>
  <c r="B58" i="2"/>
  <c r="B45" i="6"/>
  <c r="B46" i="6" s="1"/>
  <c r="B64" i="6" s="1"/>
  <c r="B45" i="5"/>
  <c r="B46" i="5" s="1"/>
  <c r="B34" i="5"/>
  <c r="B59" i="5" s="1"/>
  <c r="B17" i="7"/>
  <c r="B23" i="6"/>
  <c r="B69" i="6" s="1"/>
  <c r="B34" i="6"/>
  <c r="B59" i="6" s="1"/>
  <c r="B23" i="5"/>
  <c r="B69" i="5" s="1"/>
  <c r="B35" i="2"/>
  <c r="B59" i="2" s="1"/>
  <c r="B65" i="7" l="1"/>
  <c r="C62" i="7"/>
  <c r="C64" i="7" s="1"/>
  <c r="C65" i="7"/>
  <c r="B62" i="7"/>
  <c r="B64" i="7" s="1"/>
  <c r="B34" i="7"/>
  <c r="B59" i="7" s="1"/>
  <c r="C34" i="7"/>
  <c r="C59" i="7" s="1"/>
  <c r="B45" i="7"/>
  <c r="B46" i="7" s="1"/>
  <c r="B23" i="7"/>
  <c r="B69" i="7" s="1"/>
</calcChain>
</file>

<file path=xl/comments1.xml><?xml version="1.0" encoding="utf-8"?>
<comments xmlns="http://schemas.openxmlformats.org/spreadsheetml/2006/main">
  <authors>
    <author>Catherine Mata</author>
  </authors>
  <commentList>
    <comment ref="D24" authorId="0" shape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El superávit que poseían eran recursos no comprometidos por devolver al FODESAF.</t>
        </r>
      </text>
    </comment>
  </commentList>
</comments>
</file>

<file path=xl/sharedStrings.xml><?xml version="1.0" encoding="utf-8"?>
<sst xmlns="http://schemas.openxmlformats.org/spreadsheetml/2006/main" count="584" uniqueCount="136">
  <si>
    <t>Indicador</t>
  </si>
  <si>
    <t>Total programa</t>
  </si>
  <si>
    <t>Producto</t>
  </si>
  <si>
    <t>Subs. Atención Directa</t>
  </si>
  <si>
    <t>Equipamiento</t>
  </si>
  <si>
    <t>Construcción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</si>
  <si>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</si>
  <si>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</si>
  <si>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</si>
  <si>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</si>
  <si>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</si>
  <si>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</si>
  <si>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</si>
  <si>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</si>
  <si>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</si>
  <si>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</si>
  <si>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</si>
  <si>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</si>
  <si>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</si>
  <si>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</si>
  <si>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</si>
  <si>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</si>
  <si>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</si>
  <si>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</si>
  <si>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</si>
  <si>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</si>
  <si>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</si>
  <si>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</si>
  <si>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</si>
  <si>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</si>
  <si>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</si>
  <si>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</si>
  <si>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</si>
  <si>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</si>
  <si>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</si>
  <si>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</si>
  <si>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</si>
  <si>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</si>
  <si>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</si>
  <si>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</si>
  <si>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</si>
  <si>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</si>
  <si>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</si>
  <si>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</si>
  <si>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</si>
  <si>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El Total de beneficiarios del programa contabiliza los beneficiarios distintos atendidos en el período al menos una vez</t>
  </si>
  <si>
    <t>Los índices del gasto medio se calculan tomando los beneficiarios promedio del programa</t>
  </si>
  <si>
    <t>na</t>
  </si>
  <si>
    <t>Efectivos 1T 2013</t>
  </si>
  <si>
    <t>IPC (1T 2013)</t>
  </si>
  <si>
    <t>Gasto efectivo real 1T 2013</t>
  </si>
  <si>
    <t>Gasto efectivo real por beneficiario 1T 2013</t>
  </si>
  <si>
    <t>Efectivos 2T 2013</t>
  </si>
  <si>
    <t>IPC (2T 2013)</t>
  </si>
  <si>
    <t>Gasto efectivo real 2T 2013</t>
  </si>
  <si>
    <t>Gasto efectivo real por beneficiario 2T 2013</t>
  </si>
  <si>
    <t>Efectivos 3T 2013</t>
  </si>
  <si>
    <t>IPC (3T 2013)</t>
  </si>
  <si>
    <t>Gasto efectivo real 3T 2013</t>
  </si>
  <si>
    <t>Gasto efectivo real por beneficiario 3T 2013</t>
  </si>
  <si>
    <t>Efectivos 4T 2013</t>
  </si>
  <si>
    <t>IPC (4T 2013)</t>
  </si>
  <si>
    <t>Gasto efectivo real 4T 2013</t>
  </si>
  <si>
    <t>Gasto efectivo real por beneficiario 4T 2013</t>
  </si>
  <si>
    <t>Efectivos 1S 2013</t>
  </si>
  <si>
    <t>IPC (1S 2013)</t>
  </si>
  <si>
    <t>Gasto efectivo real 1S 2013</t>
  </si>
  <si>
    <t>Gasto efectivo real por beneficiario 1S 2013</t>
  </si>
  <si>
    <t>Efectivos 3T. Ac. 2013</t>
  </si>
  <si>
    <t>IPC (3T. Ac. 2013)</t>
  </si>
  <si>
    <t>Gasto efectivo real 3T. Ac. 2013</t>
  </si>
  <si>
    <t>Gasto efectivo real por beneficiario 3T. Ac. 2013</t>
  </si>
  <si>
    <t>Efectivos  2013</t>
  </si>
  <si>
    <t>IPC ( 2013)</t>
  </si>
  <si>
    <t>Gasto efectivo real  2013</t>
  </si>
  <si>
    <t>Gasto efectivo real por beneficiario  2013</t>
  </si>
  <si>
    <t>n.d.</t>
  </si>
  <si>
    <t>Superávit</t>
  </si>
  <si>
    <t>IPC, BCCR</t>
  </si>
  <si>
    <t>Notas:</t>
  </si>
  <si>
    <t>Promedio Mensual</t>
  </si>
  <si>
    <t>Indicadores propuestos aplicado a Ciudad de los niños. Primer trimestre 2014</t>
  </si>
  <si>
    <t>Programados 1T 2014</t>
  </si>
  <si>
    <t>Efectivos 1T 2014</t>
  </si>
  <si>
    <t>Programados año 2014</t>
  </si>
  <si>
    <t>En transferencias 1T 2014</t>
  </si>
  <si>
    <t>IPC (1T 2014)</t>
  </si>
  <si>
    <t>Gasto efectivo real 1T 2014</t>
  </si>
  <si>
    <t>Gasto efectivo real por beneficiario 1T 2014</t>
  </si>
  <si>
    <t>Informes Trimestrales 2013 y 2014 de la Ciudad de los Niños</t>
  </si>
  <si>
    <t>Metas y Modificaciones CDN, DESAF 2014</t>
  </si>
  <si>
    <t>ENAHO 2013</t>
  </si>
  <si>
    <t>Indicadores propuestos aplicado a Ciudad de los niños. Segundo trimestre 2014</t>
  </si>
  <si>
    <t>Programados 2T 2014</t>
  </si>
  <si>
    <t>Efectivos 2T 2014</t>
  </si>
  <si>
    <t>En transferencias 2T 2014</t>
  </si>
  <si>
    <t>IPC (2T 2014)</t>
  </si>
  <si>
    <t>Gasto efectivo real 2T 2014</t>
  </si>
  <si>
    <t>Gasto efectivo real por beneficiario 2T 2014</t>
  </si>
  <si>
    <t>Indicadores propuestos aplicado a Ciudad de los niños. Tercer trimestre 2014</t>
  </si>
  <si>
    <t>Programados 3T 2014</t>
  </si>
  <si>
    <t>Efectivos 3T 2014</t>
  </si>
  <si>
    <t>En transferencias 3T 2014</t>
  </si>
  <si>
    <t>IPC (3T 2014)</t>
  </si>
  <si>
    <t>Gasto efectivo real 3T 2014</t>
  </si>
  <si>
    <t>Gasto efectivo real por beneficiario 3T 2014</t>
  </si>
  <si>
    <t>Indicadores propuestos aplicado a Ciudad de los niños. Cuarto trimestre 2014</t>
  </si>
  <si>
    <t>Programados 4T 2014</t>
  </si>
  <si>
    <t>Efectivos 4T 2014</t>
  </si>
  <si>
    <t>En transferencias 4T 2014</t>
  </si>
  <si>
    <t>IPC (4T 2014)</t>
  </si>
  <si>
    <t>Gasto efectivo real 4T 2014</t>
  </si>
  <si>
    <t>Gasto efectivo real por beneficiario 4T 2014</t>
  </si>
  <si>
    <t>Indicadores propuestos aplicado a Ciudad de los niños. Primer Semestre 2014</t>
  </si>
  <si>
    <t>Programados 1S 2014</t>
  </si>
  <si>
    <t>Efectivos 1S 2014</t>
  </si>
  <si>
    <t>En transferencias 1S 2014</t>
  </si>
  <si>
    <t>IPC (1S 2014)</t>
  </si>
  <si>
    <t>Gasto efectivo real 1S 2014</t>
  </si>
  <si>
    <t>Gasto efectivo real por beneficiario 1S 2014</t>
  </si>
  <si>
    <t>Programados 3T. Ac. 2014</t>
  </si>
  <si>
    <t>Efectivos 3T. Ac. 2014</t>
  </si>
  <si>
    <t>En transferencias 3T. Ac. 2014</t>
  </si>
  <si>
    <t>IPC (3T. Ac. 2014)</t>
  </si>
  <si>
    <t>Gasto efectivo real 3T. Ac. 2014</t>
  </si>
  <si>
    <t>Gasto efectivo real por beneficiario 3T. Ac. 2014</t>
  </si>
  <si>
    <t>Indicadores propuestos aplicado a Ciudad de los niños. Tercer Trimestre Acumulado 2014</t>
  </si>
  <si>
    <t>Indicadores propuestos aplicado a Ciudad de los niños.  Año 2014</t>
  </si>
  <si>
    <t>Programados  2014</t>
  </si>
  <si>
    <t>Efectivos  2014</t>
  </si>
  <si>
    <t>En transferencias  2014</t>
  </si>
  <si>
    <t>IPC ( 2014)</t>
  </si>
  <si>
    <t>Gasto efectivo real  2014</t>
  </si>
  <si>
    <t>Gasto efectivo real por beneficiario  2014</t>
  </si>
  <si>
    <t>Fecha de actualización: 11/03/2015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</si>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</sst>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#,##0.0____"/>
    <numFmt numFmtId="166" formatCode="_(* #,##0_);_(* \(#,##0\);_(* &quot;-&quot;??_);_(@_)"/>
    <numFmt numFmtId="167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left" indent="1"/>
    </xf>
    <xf numFmtId="4" fontId="0" fillId="0" borderId="0" xfId="0" applyNumberFormat="1" applyFill="1"/>
    <xf numFmtId="0" fontId="0" fillId="0" borderId="0" xfId="0" applyAlignment="1">
      <alignment horizontal="left"/>
    </xf>
    <xf numFmtId="0" fontId="2" fillId="0" borderId="0" xfId="0" applyFont="1"/>
    <xf numFmtId="0" fontId="0" fillId="0" borderId="3" xfId="0" applyBorder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3" fontId="0" fillId="0" borderId="0" xfId="0" applyNumberFormat="1" applyFill="1"/>
    <xf numFmtId="165" fontId="0" fillId="0" borderId="0" xfId="0" applyNumberFormat="1" applyFill="1"/>
    <xf numFmtId="0" fontId="0" fillId="0" borderId="0" xfId="0" applyAlignment="1"/>
    <xf numFmtId="0" fontId="0" fillId="0" borderId="0" xfId="0" applyFill="1"/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3" fillId="0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3" xfId="0" applyFill="1" applyBorder="1"/>
    <xf numFmtId="164" fontId="0" fillId="0" borderId="0" xfId="0" applyNumberFormat="1" applyFill="1"/>
    <xf numFmtId="166" fontId="0" fillId="0" borderId="0" xfId="1" applyNumberFormat="1" applyFont="1" applyFill="1"/>
    <xf numFmtId="166" fontId="0" fillId="0" borderId="0" xfId="1" applyNumberFormat="1" applyFont="1" applyFill="1" applyAlignment="1">
      <alignment horizontal="right"/>
    </xf>
    <xf numFmtId="166" fontId="0" fillId="0" borderId="0" xfId="1" applyNumberFormat="1" applyFont="1"/>
    <xf numFmtId="3" fontId="5" fillId="2" borderId="0" xfId="0" applyNumberFormat="1" applyFont="1" applyFill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7" fontId="0" fillId="0" borderId="0" xfId="1" applyNumberFormat="1" applyFont="1"/>
    <xf numFmtId="4" fontId="7" fillId="0" borderId="0" xfId="0" applyNumberFormat="1" applyFont="1" applyFill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166" fontId="2" fillId="0" borderId="0" xfId="1" applyNumberFormat="1" applyFont="1" applyFill="1"/>
    <xf numFmtId="4" fontId="2" fillId="0" borderId="0" xfId="0" applyNumberFormat="1" applyFont="1"/>
    <xf numFmtId="4" fontId="2" fillId="0" borderId="0" xfId="0" applyNumberFormat="1" applyFont="1" applyFill="1"/>
    <xf numFmtId="3" fontId="2" fillId="0" borderId="0" xfId="0" applyNumberFormat="1" applyFont="1" applyFill="1"/>
    <xf numFmtId="4" fontId="10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4" fontId="11" fillId="0" borderId="0" xfId="0" applyNumberFormat="1" applyFont="1" applyFill="1" applyAlignment="1">
      <alignment horizontal="center"/>
    </xf>
    <xf numFmtId="166" fontId="5" fillId="0" borderId="0" xfId="1" applyNumberFormat="1" applyFont="1" applyFill="1"/>
    <xf numFmtId="10" fontId="2" fillId="0" borderId="0" xfId="2" applyNumberFormat="1" applyFont="1" applyFill="1"/>
    <xf numFmtId="43" fontId="0" fillId="0" borderId="0" xfId="1" applyFont="1" applyFill="1"/>
    <xf numFmtId="3" fontId="5" fillId="0" borderId="0" xfId="0" applyNumberFormat="1" applyFont="1" applyFill="1"/>
    <xf numFmtId="166" fontId="5" fillId="0" borderId="0" xfId="1" applyNumberFormat="1" applyFont="1" applyFill="1" applyAlignment="1">
      <alignment horizontal="right"/>
    </xf>
    <xf numFmtId="166" fontId="5" fillId="0" borderId="0" xfId="0" applyNumberFormat="1" applyFont="1" applyFill="1"/>
    <xf numFmtId="3" fontId="5" fillId="0" borderId="0" xfId="1" applyNumberFormat="1" applyFont="1" applyFill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resultado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Anual!$B$44:$F$44</c:f>
              <c:numCache>
                <c:formatCode>#,##0.00</c:formatCode>
                <c:ptCount val="5"/>
                <c:pt idx="0">
                  <c:v>119.7560975609756</c:v>
                </c:pt>
                <c:pt idx="1">
                  <c:v>112.91666666666667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5"/>
                <c:pt idx="0">
                  <c:v>52.451240377141836</c:v>
                </c:pt>
                <c:pt idx="2">
                  <c:v>99.630469369953872</c:v>
                </c:pt>
                <c:pt idx="3">
                  <c:v>96.396822551171567</c:v>
                </c:pt>
                <c:pt idx="4">
                  <c:v>4.5527234015636715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Anual!$B$46:$F$46</c:f>
              <c:numCache>
                <c:formatCode>#,##0.00</c:formatCode>
                <c:ptCount val="5"/>
                <c:pt idx="0">
                  <c:v>86.103668969058717</c:v>
                </c:pt>
                <c:pt idx="1">
                  <c:v>112.91666666666667</c:v>
                </c:pt>
                <c:pt idx="2">
                  <c:v>99.630469369953872</c:v>
                </c:pt>
                <c:pt idx="3">
                  <c:v>96.396822551171567</c:v>
                </c:pt>
                <c:pt idx="4">
                  <c:v>4.5527234015636715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18991608"/>
        <c:axId val="418991216"/>
      </c:barChart>
      <c:catAx>
        <c:axId val="41899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991216"/>
        <c:crosses val="autoZero"/>
        <c:auto val="1"/>
        <c:lblAlgn val="ctr"/>
        <c:lblOffset val="100"/>
        <c:noMultiLvlLbl val="0"/>
      </c:catAx>
      <c:valAx>
        <c:axId val="41899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99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avance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119.7560975609756</c:v>
                </c:pt>
                <c:pt idx="1">
                  <c:v>112.91666666666667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52.451240377141836</c:v>
                </c:pt>
                <c:pt idx="2">
                  <c:v>99.630469369953872</c:v>
                </c:pt>
                <c:pt idx="3">
                  <c:v>96.396822551171567</c:v>
                </c:pt>
                <c:pt idx="4">
                  <c:v>4.5527234015636715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86.103668969058717</c:v>
                </c:pt>
                <c:pt idx="1">
                  <c:v>112.91666666666667</c:v>
                </c:pt>
                <c:pt idx="2">
                  <c:v>99.630469369953872</c:v>
                </c:pt>
                <c:pt idx="3">
                  <c:v>96.396822551171567</c:v>
                </c:pt>
                <c:pt idx="4">
                  <c:v>4.5527234015636715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18990040"/>
        <c:axId val="418989256"/>
      </c:barChart>
      <c:catAx>
        <c:axId val="41899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989256"/>
        <c:crosses val="autoZero"/>
        <c:auto val="1"/>
        <c:lblAlgn val="ctr"/>
        <c:lblOffset val="100"/>
        <c:noMultiLvlLbl val="0"/>
      </c:catAx>
      <c:valAx>
        <c:axId val="418989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99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Ciudad de los niños: Índice transferencia efectiva del gasto (ITG)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(Anual!$B$4,Anual!$D$5)</c:f>
              <c:strCache>
                <c:ptCount val="2"/>
                <c:pt idx="0">
                  <c:v>Total programa</c:v>
                </c:pt>
                <c:pt idx="1">
                  <c:v>Subs. Atención Directa</c:v>
                </c:pt>
              </c:strCache>
            </c:strRef>
          </c:cat>
          <c:val>
            <c:numRef>
              <c:f>(Anual!$B$54,Anual!$D$54)</c:f>
              <c:numCache>
                <c:formatCode>#,##0.00</c:formatCode>
                <c:ptCount val="2"/>
                <c:pt idx="0">
                  <c:v>78.871482024965701</c:v>
                </c:pt>
                <c:pt idx="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20212000"/>
        <c:axId val="420212392"/>
      </c:barChart>
      <c:catAx>
        <c:axId val="42021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20212392"/>
        <c:crosses val="autoZero"/>
        <c:auto val="1"/>
        <c:lblAlgn val="ctr"/>
        <c:lblOffset val="100"/>
        <c:noMultiLvlLbl val="0"/>
      </c:catAx>
      <c:valAx>
        <c:axId val="420212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2021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expansión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Anual!$B$57:$F$57</c:f>
              <c:numCache>
                <c:formatCode>#,##0.00</c:formatCode>
                <c:ptCount val="5"/>
                <c:pt idx="0">
                  <c:v>1.0288065843621297</c:v>
                </c:pt>
                <c:pt idx="1">
                  <c:v>9.9010880316518382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Anual!$B$58:$F$58</c:f>
              <c:numCache>
                <c:formatCode>#,##0.00</c:formatCode>
                <c:ptCount val="5"/>
                <c:pt idx="0">
                  <c:v>-66.076822716229742</c:v>
                </c:pt>
                <c:pt idx="1">
                  <c:v>0</c:v>
                </c:pt>
                <c:pt idx="2">
                  <c:v>9.6095604309280667</c:v>
                </c:pt>
                <c:pt idx="3">
                  <c:v>-61.616070738036541</c:v>
                </c:pt>
                <c:pt idx="4">
                  <c:v>-97.608000783230892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Anual!$B$59:$F$59</c:f>
              <c:numCache>
                <c:formatCode>#,##0.00</c:formatCode>
                <c:ptCount val="5"/>
                <c:pt idx="0">
                  <c:v>-66.422272586736568</c:v>
                </c:pt>
                <c:pt idx="1">
                  <c:v>0</c:v>
                </c:pt>
                <c:pt idx="2">
                  <c:v>-0.26526361653473884</c:v>
                </c:pt>
                <c:pt idx="3">
                  <c:v>-65.074113505674518</c:v>
                </c:pt>
                <c:pt idx="4">
                  <c:v>-97.823498147643278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17681224"/>
        <c:axId val="417680832"/>
      </c:barChart>
      <c:catAx>
        <c:axId val="417681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7680832"/>
        <c:crosses val="autoZero"/>
        <c:auto val="1"/>
        <c:lblAlgn val="ctr"/>
        <c:lblOffset val="100"/>
        <c:noMultiLvlLbl val="0"/>
      </c:catAx>
      <c:valAx>
        <c:axId val="41768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768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gasto medio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1629677.3554390245</c:v>
                </c:pt>
                <c:pt idx="1">
                  <c:v>1629677.3554390245</c:v>
                </c:pt>
                <c:pt idx="2">
                  <c:v>676682.92682926834</c:v>
                </c:pt>
                <c:pt idx="3">
                  <c:v>149401.4442195122</c:v>
                </c:pt>
                <c:pt idx="4">
                  <c:v>803592.984390244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Anual!$B$66:$F$66</c:f>
              <c:numCache>
                <c:formatCode>#,##0</c:formatCode>
                <c:ptCount val="5"/>
                <c:pt idx="0">
                  <c:v>713772.41283095733</c:v>
                </c:pt>
                <c:pt idx="1">
                  <c:v>757006.04021240212</c:v>
                </c:pt>
                <c:pt idx="2">
                  <c:v>597061.88293402933</c:v>
                </c:pt>
                <c:pt idx="3">
                  <c:v>127543.83327513275</c:v>
                </c:pt>
                <c:pt idx="4">
                  <c:v>32400.324003240028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20213568"/>
        <c:axId val="420214352"/>
      </c:barChart>
      <c:catAx>
        <c:axId val="42021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20214352"/>
        <c:crosses val="autoZero"/>
        <c:auto val="1"/>
        <c:lblAlgn val="ctr"/>
        <c:lblOffset val="100"/>
        <c:noMultiLvlLbl val="0"/>
      </c:catAx>
      <c:valAx>
        <c:axId val="420214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2021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índice de eficiencia e indicadores de giro de recursos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Anual!$B$4:$C$5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Anual!$B$64:$C$64</c:f>
              <c:numCache>
                <c:formatCode>#,##0.00</c:formatCode>
                <c:ptCount val="2"/>
                <c:pt idx="0">
                  <c:v>196.59095394644379</c:v>
                </c:pt>
                <c:pt idx="1">
                  <c:v>243.08621720731733</c:v>
                </c:pt>
              </c:numCache>
            </c:numRef>
          </c:val>
        </c:ser>
        <c:ser>
          <c:idx val="1"/>
          <c:order val="1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Anual!$B$4:$C$5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Anual!$B$69</c:f>
              <c:numCache>
                <c:formatCode>#,##0.00</c:formatCode>
                <c:ptCount val="1"/>
                <c:pt idx="0">
                  <c:v>99.582334336978391</c:v>
                </c:pt>
              </c:numCache>
            </c:numRef>
          </c:val>
        </c:ser>
        <c:ser>
          <c:idx val="2"/>
          <c:order val="2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Anual!$B$4:$C$5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Anual!$B$70</c:f>
              <c:numCache>
                <c:formatCode>#,##0.00</c:formatCode>
                <c:ptCount val="1"/>
                <c:pt idx="0">
                  <c:v>52.671230019223259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20213960"/>
        <c:axId val="417681616"/>
      </c:barChart>
      <c:catAx>
        <c:axId val="42021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7681616"/>
        <c:crosses val="autoZero"/>
        <c:auto val="1"/>
        <c:lblAlgn val="ctr"/>
        <c:lblOffset val="100"/>
        <c:noMultiLvlLbl val="0"/>
      </c:catAx>
      <c:valAx>
        <c:axId val="41768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20213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899582</xdr:colOff>
      <xdr:row>32</xdr:row>
      <xdr:rowOff>104773</xdr:rowOff>
    </xdr:from>
    <xdr:to>
      <xdr:col>12</xdr:col>
      <xdr:colOff>592666</xdr:colOff>
      <xdr:row>46</xdr:row>
      <xdr:rowOff>180973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10584</xdr:colOff>
      <xdr:row>48</xdr:row>
      <xdr:rowOff>20108</xdr:rowOff>
    </xdr:from>
    <xdr:to>
      <xdr:col>12</xdr:col>
      <xdr:colOff>613834</xdr:colOff>
      <xdr:row>62</xdr:row>
      <xdr:rowOff>96308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21167</xdr:colOff>
      <xdr:row>63</xdr:row>
      <xdr:rowOff>189440</xdr:rowOff>
    </xdr:from>
    <xdr:to>
      <xdr:col>12</xdr:col>
      <xdr:colOff>624417</xdr:colOff>
      <xdr:row>78</xdr:row>
      <xdr:rowOff>53973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80</xdr:row>
      <xdr:rowOff>9524</xdr:rowOff>
    </xdr:from>
    <xdr:to>
      <xdr:col>12</xdr:col>
      <xdr:colOff>603250</xdr:colOff>
      <xdr:row>94</xdr:row>
      <xdr:rowOff>85724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275166</xdr:colOff>
      <xdr:row>85</xdr:row>
      <xdr:rowOff>189440</xdr:rowOff>
    </xdr:from>
    <xdr:to>
      <xdr:col>1</xdr:col>
      <xdr:colOff>1174749</xdr:colOff>
      <xdr:row>100</xdr:row>
      <xdr:rowOff>75140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550334</xdr:colOff>
      <xdr:row>86</xdr:row>
      <xdr:rowOff>20107</xdr:rowOff>
    </xdr:from>
    <xdr:to>
      <xdr:col>6</xdr:col>
      <xdr:colOff>603250</xdr:colOff>
      <xdr:row>100</xdr:row>
      <xdr:rowOff>96307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167"/>
  <sheetViews>
    <sheetView topLeftCell="A64" zoomScale="80" zoomScaleNormal="80" workbookViewId="0">
      <selection activeCell="C62" sqref="C62"/>
    </sheetView>
  </sheetViews>
  <sheetFormatPr baseColWidth="10" defaultColWidth="11.42578125" defaultRowHeight="15" x14ac:dyDescent="0.25"/>
  <cols>
    <col min="1" max="1" width="55.140625" customWidth="1"/>
    <col min="2" max="2" width="15.140625" bestFit="1" customWidth="1"/>
    <col min="3" max="3" width="15.140625" customWidth="1"/>
    <col min="4" max="4" width="41.85546875" customWidth="1"/>
    <col min="5" max="5" width="18.42578125" customWidth="1"/>
    <col min="6" max="6" width="15.140625" bestFit="1" customWidth="1"/>
    <col min="7" max="7" width="13.7109375" bestFit="1" customWidth="1"/>
  </cols>
  <sheetData>
    <row r="2" spans="1:8" ht="15.75" x14ac:dyDescent="0.25">
      <c r="A2" s="51" t="s">
        <v>81</v>
      </c>
      <c r="B2" s="51"/>
      <c r="C2" s="51"/>
      <c r="D2" s="51"/>
      <c r="E2" s="51"/>
      <c r="F2" s="51"/>
    </row>
    <row r="4" spans="1:8" ht="15" customHeight="1" x14ac:dyDescent="0.25">
      <c r="A4" s="52" t="s">
        <v>0</v>
      </c>
      <c r="B4" s="54" t="s">
        <v>1</v>
      </c>
      <c r="C4" s="57" t="s">
        <v>80</v>
      </c>
      <c r="D4" s="56" t="s">
        <v>2</v>
      </c>
      <c r="E4" s="56"/>
      <c r="F4" s="56"/>
    </row>
    <row r="5" spans="1:8" ht="15.75" thickBot="1" x14ac:dyDescent="0.3">
      <c r="A5" s="53"/>
      <c r="B5" s="55"/>
      <c r="C5" s="58"/>
      <c r="D5" s="1" t="s">
        <v>3</v>
      </c>
      <c r="E5" s="2" t="s">
        <v>4</v>
      </c>
      <c r="F5" s="2" t="s">
        <v>5</v>
      </c>
    </row>
    <row r="6" spans="1:8" ht="15.75" thickTop="1" x14ac:dyDescent="0.25"/>
    <row r="7" spans="1:8" x14ac:dyDescent="0.25">
      <c r="A7" s="3" t="s">
        <v>6</v>
      </c>
    </row>
    <row r="8" spans="1:8" x14ac:dyDescent="0.25">
      <c r="B8" s="4"/>
      <c r="C8" s="4"/>
      <c r="D8" s="4"/>
      <c r="E8" s="4"/>
      <c r="F8" s="4"/>
      <c r="G8" s="4"/>
    </row>
    <row r="9" spans="1:8" x14ac:dyDescent="0.25">
      <c r="A9" t="s">
        <v>7</v>
      </c>
      <c r="B9" s="4"/>
      <c r="C9" s="4"/>
      <c r="D9" s="4"/>
      <c r="E9" s="4"/>
      <c r="F9" s="4"/>
      <c r="G9" s="4"/>
    </row>
    <row r="10" spans="1:8" x14ac:dyDescent="0.25">
      <c r="A10" s="5" t="s">
        <v>48</v>
      </c>
      <c r="B10" s="13">
        <v>486</v>
      </c>
      <c r="C10" s="13">
        <v>464</v>
      </c>
      <c r="D10" s="6"/>
      <c r="E10" s="6"/>
      <c r="F10" s="6"/>
      <c r="G10" s="4"/>
    </row>
    <row r="11" spans="1:8" x14ac:dyDescent="0.25">
      <c r="A11" s="5" t="s">
        <v>82</v>
      </c>
      <c r="B11" s="13">
        <v>410</v>
      </c>
      <c r="C11" s="13">
        <v>410</v>
      </c>
      <c r="D11" s="6"/>
      <c r="E11" s="6"/>
      <c r="F11" s="6"/>
      <c r="G11" s="4"/>
      <c r="H11" t="s">
        <v>135</v>
      </c>
    </row>
    <row r="12" spans="1:8" x14ac:dyDescent="0.25">
      <c r="A12" s="5" t="s">
        <v>83</v>
      </c>
      <c r="B12" s="13">
        <v>491</v>
      </c>
      <c r="C12" s="13">
        <v>482.5</v>
      </c>
      <c r="D12" s="4"/>
    </row>
    <row r="13" spans="1:8" x14ac:dyDescent="0.25">
      <c r="A13" s="5" t="s">
        <v>84</v>
      </c>
      <c r="B13" s="13">
        <v>410</v>
      </c>
      <c r="C13" s="13">
        <v>410</v>
      </c>
      <c r="D13" s="6"/>
      <c r="E13" s="6"/>
      <c r="F13" s="6"/>
      <c r="G13" s="4"/>
    </row>
    <row r="14" spans="1:8" x14ac:dyDescent="0.25">
      <c r="B14" s="6"/>
      <c r="C14" s="6"/>
      <c r="D14" s="6"/>
      <c r="E14" s="6"/>
      <c r="F14" s="6"/>
      <c r="G14" s="4"/>
    </row>
    <row r="15" spans="1:8" x14ac:dyDescent="0.25">
      <c r="A15" s="7" t="s">
        <v>8</v>
      </c>
      <c r="B15" s="6"/>
      <c r="C15" s="6"/>
      <c r="D15" s="6"/>
      <c r="E15" s="6"/>
      <c r="F15" s="6"/>
      <c r="G15" s="4"/>
    </row>
    <row r="16" spans="1:8" x14ac:dyDescent="0.25">
      <c r="A16" s="5" t="s">
        <v>48</v>
      </c>
      <c r="B16" s="44">
        <f>SUM(D16:F16)</f>
        <v>71628282.609999999</v>
      </c>
      <c r="C16" s="37"/>
      <c r="D16" s="44">
        <v>27972702.07</v>
      </c>
      <c r="E16" s="48">
        <v>19118120.539999999</v>
      </c>
      <c r="F16" s="44">
        <v>24537460</v>
      </c>
      <c r="G16" s="38"/>
    </row>
    <row r="17" spans="1:8" x14ac:dyDescent="0.25">
      <c r="A17" s="5" t="s">
        <v>82</v>
      </c>
      <c r="B17" s="25">
        <f>SUM(D17:F17)</f>
        <v>157193000</v>
      </c>
      <c r="C17" s="25"/>
      <c r="D17" s="25">
        <v>68228000</v>
      </c>
      <c r="E17" s="25">
        <v>16965000</v>
      </c>
      <c r="F17" s="25">
        <v>72000000</v>
      </c>
      <c r="G17" s="4"/>
    </row>
    <row r="18" spans="1:8" x14ac:dyDescent="0.25">
      <c r="A18" s="5" t="s">
        <v>83</v>
      </c>
      <c r="B18" s="25">
        <f>SUM(D18:F18)</f>
        <v>14147130.550000001</v>
      </c>
      <c r="C18" s="25"/>
      <c r="D18" s="25">
        <v>2947130.55</v>
      </c>
      <c r="E18" s="26">
        <v>7000000</v>
      </c>
      <c r="F18" s="25">
        <v>4200000</v>
      </c>
      <c r="G18" s="4"/>
    </row>
    <row r="19" spans="1:8" x14ac:dyDescent="0.25">
      <c r="A19" s="5" t="s">
        <v>84</v>
      </c>
      <c r="B19" s="25">
        <f>SUM(D19:F19)</f>
        <v>642130151</v>
      </c>
      <c r="C19" s="25"/>
      <c r="D19" s="25">
        <v>277440000</v>
      </c>
      <c r="E19" s="25">
        <v>42690151</v>
      </c>
      <c r="F19" s="25">
        <v>322000000</v>
      </c>
      <c r="G19" s="4"/>
    </row>
    <row r="20" spans="1:8" x14ac:dyDescent="0.25">
      <c r="A20" s="5" t="s">
        <v>85</v>
      </c>
      <c r="B20" s="6">
        <f>D20</f>
        <v>2947130.55</v>
      </c>
      <c r="C20" s="6"/>
      <c r="D20" s="6">
        <f>D18</f>
        <v>2947130.55</v>
      </c>
      <c r="E20" s="6"/>
      <c r="F20" s="6"/>
      <c r="G20" s="4"/>
    </row>
    <row r="21" spans="1:8" x14ac:dyDescent="0.25">
      <c r="B21" s="6"/>
      <c r="C21" s="6"/>
      <c r="D21" s="6"/>
      <c r="E21" s="6"/>
      <c r="F21" s="6"/>
      <c r="G21" s="4"/>
    </row>
    <row r="22" spans="1:8" x14ac:dyDescent="0.25">
      <c r="A22" s="5" t="s">
        <v>9</v>
      </c>
      <c r="B22" s="6"/>
      <c r="C22" s="6"/>
      <c r="D22" s="6"/>
      <c r="E22" s="6"/>
      <c r="F22" s="6"/>
      <c r="G22" s="4"/>
    </row>
    <row r="23" spans="1:8" x14ac:dyDescent="0.25">
      <c r="A23" s="5" t="s">
        <v>82</v>
      </c>
      <c r="B23" s="13">
        <f>B17</f>
        <v>157193000</v>
      </c>
      <c r="C23" s="13"/>
      <c r="D23" s="32" t="s">
        <v>77</v>
      </c>
      <c r="E23" s="6"/>
      <c r="F23" s="6"/>
      <c r="G23" s="4"/>
      <c r="H23" s="8"/>
    </row>
    <row r="24" spans="1:8" x14ac:dyDescent="0.25">
      <c r="A24" s="5" t="s">
        <v>83</v>
      </c>
      <c r="B24" s="13">
        <v>0</v>
      </c>
      <c r="C24" s="13"/>
      <c r="D24" s="47">
        <v>0</v>
      </c>
      <c r="E24" s="6"/>
      <c r="F24" s="6"/>
      <c r="G24" s="38"/>
      <c r="H24" s="8"/>
    </row>
    <row r="25" spans="1:8" x14ac:dyDescent="0.25">
      <c r="B25" s="6"/>
      <c r="C25" s="6"/>
      <c r="D25" s="6"/>
      <c r="E25" s="6"/>
      <c r="F25" s="6"/>
      <c r="G25" s="4"/>
    </row>
    <row r="26" spans="1:8" x14ac:dyDescent="0.25">
      <c r="A26" t="s">
        <v>10</v>
      </c>
      <c r="B26" s="6"/>
      <c r="C26" s="6"/>
      <c r="D26" s="6"/>
      <c r="E26" s="6"/>
      <c r="F26" s="6"/>
      <c r="G26" s="4"/>
    </row>
    <row r="27" spans="1:8" x14ac:dyDescent="0.25">
      <c r="A27" t="s">
        <v>49</v>
      </c>
      <c r="B27" s="6">
        <v>1.6</v>
      </c>
      <c r="C27" s="6">
        <v>1.6</v>
      </c>
      <c r="D27" s="6">
        <v>1.6</v>
      </c>
      <c r="E27" s="6">
        <v>1.6</v>
      </c>
      <c r="F27" s="6">
        <v>1.6</v>
      </c>
      <c r="G27" s="4"/>
    </row>
    <row r="28" spans="1:8" x14ac:dyDescent="0.25">
      <c r="A28" t="s">
        <v>86</v>
      </c>
      <c r="B28" s="6">
        <v>1.65</v>
      </c>
      <c r="C28" s="6">
        <v>1.65</v>
      </c>
      <c r="D28" s="6">
        <v>1.65</v>
      </c>
      <c r="E28" s="6">
        <v>1.65</v>
      </c>
      <c r="F28" s="6">
        <v>1.65</v>
      </c>
      <c r="G28" s="4"/>
    </row>
    <row r="29" spans="1:8" x14ac:dyDescent="0.25">
      <c r="A29" t="s">
        <v>11</v>
      </c>
      <c r="B29" s="28" t="s">
        <v>76</v>
      </c>
      <c r="C29" s="28" t="s">
        <v>76</v>
      </c>
      <c r="D29" s="28" t="s">
        <v>76</v>
      </c>
      <c r="E29" s="28" t="s">
        <v>76</v>
      </c>
      <c r="F29" s="28" t="s">
        <v>76</v>
      </c>
      <c r="G29" s="4"/>
    </row>
    <row r="30" spans="1:8" x14ac:dyDescent="0.25">
      <c r="B30" s="6"/>
      <c r="C30" s="6"/>
      <c r="D30" s="6"/>
      <c r="E30" s="6"/>
      <c r="F30" s="6"/>
      <c r="G30" s="4"/>
    </row>
    <row r="31" spans="1:8" x14ac:dyDescent="0.25">
      <c r="A31" t="s">
        <v>12</v>
      </c>
      <c r="B31" s="6"/>
      <c r="C31" s="6"/>
      <c r="D31" s="6"/>
      <c r="E31" s="6"/>
      <c r="F31" s="6"/>
      <c r="G31" s="4"/>
    </row>
    <row r="32" spans="1:8" x14ac:dyDescent="0.25">
      <c r="A32" t="s">
        <v>50</v>
      </c>
      <c r="B32" s="25">
        <f>B16/B27</f>
        <v>44767676.631249994</v>
      </c>
      <c r="C32" s="25">
        <f>C16/C27</f>
        <v>0</v>
      </c>
      <c r="D32" s="25">
        <f>D16/D27</f>
        <v>17482938.793749999</v>
      </c>
      <c r="E32" s="25">
        <f t="shared" ref="E32:F32" si="0">E16/E27</f>
        <v>11948825.337499999</v>
      </c>
      <c r="F32" s="25">
        <f t="shared" si="0"/>
        <v>15335912.5</v>
      </c>
      <c r="G32" s="6"/>
    </row>
    <row r="33" spans="1:7" x14ac:dyDescent="0.25">
      <c r="A33" t="s">
        <v>87</v>
      </c>
      <c r="B33" s="25">
        <f>B18/B28</f>
        <v>8574018.5151515156</v>
      </c>
      <c r="C33" s="25">
        <f>C18/C28</f>
        <v>0</v>
      </c>
      <c r="D33" s="25">
        <f>D18/D28</f>
        <v>1786139.7272727273</v>
      </c>
      <c r="E33" s="25">
        <f>E18/E28</f>
        <v>4242424.2424242422</v>
      </c>
      <c r="F33" s="25">
        <f t="shared" ref="F33" si="1">F18/F28</f>
        <v>2545454.5454545454</v>
      </c>
      <c r="G33" s="4"/>
    </row>
    <row r="34" spans="1:7" x14ac:dyDescent="0.25">
      <c r="A34" t="s">
        <v>51</v>
      </c>
      <c r="B34" s="25">
        <f>B32/$B$10</f>
        <v>92114.560969650192</v>
      </c>
      <c r="C34" s="25">
        <f>C32/C10</f>
        <v>0</v>
      </c>
      <c r="D34" s="44">
        <f>D32/$C$10</f>
        <v>37678.747400323271</v>
      </c>
      <c r="E34" s="44">
        <f t="shared" ref="E34:F34" si="2">E32/$C$10</f>
        <v>25751.778744612067</v>
      </c>
      <c r="F34" s="44">
        <f t="shared" si="2"/>
        <v>33051.535560344826</v>
      </c>
      <c r="G34" s="39"/>
    </row>
    <row r="35" spans="1:7" x14ac:dyDescent="0.25">
      <c r="A35" t="s">
        <v>88</v>
      </c>
      <c r="B35" s="25">
        <f>B33/$B$12</f>
        <v>17462.359501326915</v>
      </c>
      <c r="C35" s="25">
        <f>C33/C12</f>
        <v>0</v>
      </c>
      <c r="D35" s="44">
        <f>D33/$C$12</f>
        <v>3701.8439943476214</v>
      </c>
      <c r="E35" s="44">
        <f t="shared" ref="E35:F35" si="3">E33/$C$12</f>
        <v>8792.5891034699325</v>
      </c>
      <c r="F35" s="44">
        <f t="shared" si="3"/>
        <v>5275.553462081959</v>
      </c>
    </row>
    <row r="36" spans="1:7" x14ac:dyDescent="0.25">
      <c r="B36" s="6"/>
      <c r="C36" s="6"/>
      <c r="D36" s="6"/>
      <c r="E36" s="6"/>
      <c r="F36" s="6"/>
      <c r="G36" s="4"/>
    </row>
    <row r="37" spans="1:7" x14ac:dyDescent="0.25">
      <c r="A37" s="3" t="s">
        <v>13</v>
      </c>
      <c r="B37" s="6"/>
      <c r="C37" s="6"/>
      <c r="D37" s="6"/>
      <c r="E37" s="6"/>
      <c r="F37" s="6"/>
      <c r="G37" s="4"/>
    </row>
    <row r="38" spans="1:7" x14ac:dyDescent="0.25">
      <c r="B38" s="6"/>
      <c r="C38" s="6"/>
      <c r="D38" s="6"/>
      <c r="E38" s="6"/>
      <c r="F38" s="6"/>
      <c r="G38" s="4"/>
    </row>
    <row r="39" spans="1:7" x14ac:dyDescent="0.25">
      <c r="A39" t="s">
        <v>14</v>
      </c>
      <c r="B39" s="6"/>
      <c r="C39" s="6"/>
      <c r="D39" s="6"/>
      <c r="E39" s="6"/>
      <c r="F39" s="6"/>
      <c r="G39" s="4"/>
    </row>
    <row r="40" spans="1:7" x14ac:dyDescent="0.25">
      <c r="A40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4"/>
    </row>
    <row r="41" spans="1:7" x14ac:dyDescent="0.25">
      <c r="A41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4"/>
    </row>
    <row r="42" spans="1:7" x14ac:dyDescent="0.25">
      <c r="B42" s="6"/>
      <c r="C42" s="6"/>
      <c r="D42" s="6"/>
      <c r="E42" s="6"/>
      <c r="F42" s="6"/>
      <c r="G42" s="4"/>
    </row>
    <row r="43" spans="1:7" x14ac:dyDescent="0.25">
      <c r="A43" t="s">
        <v>17</v>
      </c>
      <c r="B43" s="6"/>
      <c r="C43" s="6"/>
      <c r="D43" s="6"/>
      <c r="E43" s="6"/>
      <c r="F43" s="6"/>
      <c r="G43" s="4"/>
    </row>
    <row r="44" spans="1:7" x14ac:dyDescent="0.25">
      <c r="A44" t="s">
        <v>18</v>
      </c>
      <c r="B44" s="6">
        <f>B12/B11*100</f>
        <v>119.7560975609756</v>
      </c>
      <c r="C44" s="6">
        <f>C12/C11*100</f>
        <v>117.68292682926828</v>
      </c>
      <c r="D44" s="6"/>
      <c r="E44" s="6"/>
      <c r="F44" s="6"/>
      <c r="G44" s="38"/>
    </row>
    <row r="45" spans="1:7" x14ac:dyDescent="0.25">
      <c r="A45" t="s">
        <v>19</v>
      </c>
      <c r="B45" s="6">
        <f>B18/B17*100</f>
        <v>8.9998476713339652</v>
      </c>
      <c r="C45" s="6"/>
      <c r="D45" s="6">
        <f>D18/D17*100</f>
        <v>4.3195323767368237</v>
      </c>
      <c r="E45" s="6">
        <f t="shared" ref="E45" si="4">E18/E17*100</f>
        <v>41.261420571765399</v>
      </c>
      <c r="F45" s="6">
        <f>F18/F17*100</f>
        <v>5.833333333333333</v>
      </c>
      <c r="G45" s="4"/>
    </row>
    <row r="46" spans="1:7" x14ac:dyDescent="0.25">
      <c r="A46" t="s">
        <v>20</v>
      </c>
      <c r="B46" s="6">
        <f>AVERAGE(B44:B45)</f>
        <v>64.377972616154779</v>
      </c>
      <c r="C46" s="6">
        <f>AVERAGE(C44:C45)</f>
        <v>117.68292682926828</v>
      </c>
      <c r="D46" s="6">
        <f t="shared" ref="D46:F46" si="5">AVERAGE(D44:D45)</f>
        <v>4.3195323767368237</v>
      </c>
      <c r="E46" s="6">
        <f t="shared" si="5"/>
        <v>41.261420571765399</v>
      </c>
      <c r="F46" s="6">
        <f t="shared" si="5"/>
        <v>5.833333333333333</v>
      </c>
      <c r="G46" s="4"/>
    </row>
    <row r="47" spans="1:7" x14ac:dyDescent="0.25">
      <c r="B47" s="6"/>
      <c r="C47" s="6"/>
      <c r="D47" s="6"/>
      <c r="E47" s="6"/>
      <c r="F47" s="6"/>
      <c r="G47" s="4"/>
    </row>
    <row r="48" spans="1:7" x14ac:dyDescent="0.25">
      <c r="A48" t="s">
        <v>21</v>
      </c>
      <c r="B48" s="6"/>
      <c r="C48" s="6"/>
      <c r="D48" s="6"/>
      <c r="E48" s="6"/>
      <c r="F48" s="6"/>
      <c r="G48" s="4"/>
    </row>
    <row r="49" spans="1:7" x14ac:dyDescent="0.25">
      <c r="A49" t="s">
        <v>22</v>
      </c>
      <c r="B49" s="6">
        <f>(B12/B13)*100</f>
        <v>119.7560975609756</v>
      </c>
      <c r="C49" s="6">
        <f t="shared" ref="C49" si="6">(C12/C13)*100</f>
        <v>117.68292682926828</v>
      </c>
      <c r="D49" s="6"/>
      <c r="E49" s="6"/>
      <c r="F49" s="6"/>
      <c r="G49" s="4"/>
    </row>
    <row r="50" spans="1:7" x14ac:dyDescent="0.25">
      <c r="A50" t="s">
        <v>23</v>
      </c>
      <c r="B50" s="6">
        <f>B18/B19*100</f>
        <v>2.2031562492383263</v>
      </c>
      <c r="C50" s="6"/>
      <c r="D50" s="6">
        <f t="shared" ref="D50:F50" si="7">D18/D19*100</f>
        <v>1.0622587045847751</v>
      </c>
      <c r="E50" s="6">
        <f t="shared" si="7"/>
        <v>16.39722473691883</v>
      </c>
      <c r="F50" s="6">
        <f t="shared" si="7"/>
        <v>1.3043478260869565</v>
      </c>
      <c r="G50" s="4"/>
    </row>
    <row r="51" spans="1:7" x14ac:dyDescent="0.25">
      <c r="A51" t="s">
        <v>24</v>
      </c>
      <c r="B51" s="6">
        <f>AVERAGE(B49:B50)</f>
        <v>60.979626905106969</v>
      </c>
      <c r="C51" s="6">
        <f t="shared" ref="C51:F51" si="8">AVERAGE(C49:C50)</f>
        <v>117.68292682926828</v>
      </c>
      <c r="D51" s="6">
        <f t="shared" si="8"/>
        <v>1.0622587045847751</v>
      </c>
      <c r="E51" s="6">
        <f t="shared" si="8"/>
        <v>16.39722473691883</v>
      </c>
      <c r="F51" s="6">
        <f t="shared" si="8"/>
        <v>1.3043478260869565</v>
      </c>
      <c r="G51" s="4"/>
    </row>
    <row r="52" spans="1:7" x14ac:dyDescent="0.25">
      <c r="B52" s="6"/>
      <c r="C52" s="6"/>
      <c r="D52" s="6"/>
      <c r="E52" s="6"/>
      <c r="F52" s="6"/>
      <c r="G52" s="4"/>
    </row>
    <row r="53" spans="1:7" x14ac:dyDescent="0.25">
      <c r="A53" t="s">
        <v>36</v>
      </c>
      <c r="B53" s="6"/>
      <c r="C53" s="6"/>
      <c r="D53" s="6"/>
      <c r="E53" s="6"/>
      <c r="F53" s="6"/>
      <c r="G53" s="4"/>
    </row>
    <row r="54" spans="1:7" x14ac:dyDescent="0.25">
      <c r="A54" t="s">
        <v>25</v>
      </c>
      <c r="B54" s="6">
        <f>B20/B18*100</f>
        <v>20.832002218287297</v>
      </c>
      <c r="C54" s="6" t="e">
        <f t="shared" ref="C54:F54" si="9">C20/C18*100</f>
        <v>#DIV/0!</v>
      </c>
      <c r="D54" s="6">
        <f t="shared" si="9"/>
        <v>100</v>
      </c>
      <c r="E54" s="6">
        <f t="shared" si="9"/>
        <v>0</v>
      </c>
      <c r="F54" s="6">
        <f t="shared" si="9"/>
        <v>0</v>
      </c>
      <c r="G54" s="6"/>
    </row>
    <row r="55" spans="1:7" x14ac:dyDescent="0.25">
      <c r="B55" s="6"/>
      <c r="C55" s="6"/>
      <c r="D55" s="6"/>
      <c r="E55" s="6"/>
      <c r="F55" s="6"/>
      <c r="G55" s="4"/>
    </row>
    <row r="56" spans="1:7" x14ac:dyDescent="0.25">
      <c r="A56" t="s">
        <v>26</v>
      </c>
      <c r="B56" s="6"/>
      <c r="C56" s="6"/>
      <c r="D56" s="6"/>
      <c r="E56" s="6"/>
      <c r="F56" s="6"/>
      <c r="G56" s="4"/>
    </row>
    <row r="57" spans="1:7" x14ac:dyDescent="0.25">
      <c r="A57" t="s">
        <v>27</v>
      </c>
      <c r="B57" s="6">
        <f>((B12/B10)-1)*100</f>
        <v>1.0288065843621297</v>
      </c>
      <c r="C57" s="6">
        <f>((C12/C10)-1)*100</f>
        <v>3.9870689655172376</v>
      </c>
      <c r="D57" s="6" t="e">
        <f t="shared" ref="D57:F57" si="10">((D12/D10)-1)*100</f>
        <v>#DIV/0!</v>
      </c>
      <c r="E57" s="6" t="e">
        <f t="shared" si="10"/>
        <v>#DIV/0!</v>
      </c>
      <c r="F57" s="6" t="e">
        <f t="shared" si="10"/>
        <v>#DIV/0!</v>
      </c>
      <c r="G57" s="4"/>
    </row>
    <row r="58" spans="1:7" x14ac:dyDescent="0.25">
      <c r="A58" t="s">
        <v>28</v>
      </c>
      <c r="B58" s="6">
        <f>((B33/B32)-1)*100</f>
        <v>-80.847747391995682</v>
      </c>
      <c r="C58" s="6" t="e">
        <f>((C33/C32)-1)*100</f>
        <v>#DIV/0!</v>
      </c>
      <c r="D58" s="6">
        <f t="shared" ref="D58:F58" si="11">((D33/D32)-1)*100</f>
        <v>-89.783526966809163</v>
      </c>
      <c r="E58" s="6">
        <f t="shared" si="11"/>
        <v>-64.495051834845327</v>
      </c>
      <c r="F58" s="6">
        <f t="shared" si="11"/>
        <v>-83.402001377782085</v>
      </c>
      <c r="G58" s="4"/>
    </row>
    <row r="59" spans="1:7" x14ac:dyDescent="0.25">
      <c r="A59" t="s">
        <v>29</v>
      </c>
      <c r="B59" s="6">
        <f>((B35/B34)-1)*100</f>
        <v>-81.042780514276785</v>
      </c>
      <c r="C59" s="6" t="e">
        <f>((C35/C34)-1)*100</f>
        <v>#DIV/0!</v>
      </c>
      <c r="D59" s="6">
        <f t="shared" ref="D59:F59" si="12">((D35/D34)-1)*100</f>
        <v>-90.175246658237214</v>
      </c>
      <c r="E59" s="6">
        <f t="shared" si="12"/>
        <v>-65.856381453612926</v>
      </c>
      <c r="F59" s="6">
        <f t="shared" si="12"/>
        <v>-84.038401324955203</v>
      </c>
      <c r="G59" s="4"/>
    </row>
    <row r="60" spans="1:7" x14ac:dyDescent="0.25">
      <c r="B60" s="6"/>
      <c r="C60" s="6"/>
      <c r="D60" s="6"/>
      <c r="E60" s="6"/>
      <c r="F60" s="6"/>
      <c r="G60" s="4"/>
    </row>
    <row r="61" spans="1:7" x14ac:dyDescent="0.25">
      <c r="A61" t="s">
        <v>30</v>
      </c>
      <c r="B61" s="6"/>
      <c r="C61" s="6"/>
      <c r="D61" s="6"/>
      <c r="E61" s="6"/>
      <c r="F61" s="6"/>
      <c r="G61" s="4"/>
    </row>
    <row r="62" spans="1:7" x14ac:dyDescent="0.25">
      <c r="A62" t="s">
        <v>37</v>
      </c>
      <c r="B62" s="47">
        <f>B17/($B$11*2)</f>
        <v>191698.78048780488</v>
      </c>
      <c r="C62" s="47">
        <f>B17/(C11*2)</f>
        <v>191698.78048780488</v>
      </c>
      <c r="D62" s="49">
        <f>D17/($C$11*2)</f>
        <v>83204.878048780491</v>
      </c>
      <c r="E62" s="49">
        <f>E17/($C$11*2)</f>
        <v>20689.024390243903</v>
      </c>
      <c r="F62" s="49">
        <f>F17/($C$11*2)</f>
        <v>87804.878048780491</v>
      </c>
      <c r="G62" s="39"/>
    </row>
    <row r="63" spans="1:7" x14ac:dyDescent="0.25">
      <c r="A63" t="s">
        <v>38</v>
      </c>
      <c r="B63" s="47">
        <f>B18/($B$12*2)</f>
        <v>14406.446588594705</v>
      </c>
      <c r="C63" s="47">
        <f>B18/(C12*2)</f>
        <v>14660.238911917098</v>
      </c>
      <c r="D63" s="49">
        <f>D18/($C$12*2)</f>
        <v>3054.0212953367873</v>
      </c>
      <c r="E63" s="49">
        <f>E18/($C$12*2)</f>
        <v>7253.8860103626939</v>
      </c>
      <c r="F63" s="49">
        <f>F18/($C$12*2)</f>
        <v>4352.3316062176164</v>
      </c>
      <c r="G63" s="8"/>
    </row>
    <row r="64" spans="1:7" x14ac:dyDescent="0.25">
      <c r="A64" s="16" t="s">
        <v>31</v>
      </c>
      <c r="B64" s="42">
        <f>(B62/B63)*B46</f>
        <v>856.6428067393407</v>
      </c>
      <c r="C64" s="42">
        <f>(C62/C63)*C46</f>
        <v>1538.8339639586547</v>
      </c>
      <c r="D64" s="42"/>
      <c r="E64" s="42"/>
      <c r="F64" s="42"/>
      <c r="G64" s="4"/>
    </row>
    <row r="65" spans="1:12" x14ac:dyDescent="0.25">
      <c r="A65" s="14" t="s">
        <v>39</v>
      </c>
      <c r="B65" s="47">
        <f>B17/($B$11)</f>
        <v>383397.56097560975</v>
      </c>
      <c r="C65" s="47">
        <f>B17/(C11)</f>
        <v>383397.56097560975</v>
      </c>
      <c r="D65" s="47">
        <f>D17/($C$11)</f>
        <v>166409.75609756098</v>
      </c>
      <c r="E65" s="47">
        <f t="shared" ref="E65:F65" si="13">E17/($C$11)</f>
        <v>41378.048780487807</v>
      </c>
      <c r="F65" s="47">
        <f t="shared" si="13"/>
        <v>175609.75609756098</v>
      </c>
      <c r="G65" s="4"/>
    </row>
    <row r="66" spans="1:12" x14ac:dyDescent="0.25">
      <c r="A66" s="14" t="s">
        <v>40</v>
      </c>
      <c r="B66" s="47">
        <f>B18/($B$12)</f>
        <v>28812.893177189409</v>
      </c>
      <c r="C66" s="47">
        <f>B18/(C12)</f>
        <v>29320.477823834197</v>
      </c>
      <c r="D66" s="47">
        <f>D18/($C$12)</f>
        <v>6108.0425906735745</v>
      </c>
      <c r="E66" s="47">
        <f t="shared" ref="E66:F66" si="14">E18/($C$12)</f>
        <v>14507.772020725388</v>
      </c>
      <c r="F66" s="47">
        <f t="shared" si="14"/>
        <v>8704.6632124352327</v>
      </c>
      <c r="G66" s="4"/>
    </row>
    <row r="67" spans="1:12" x14ac:dyDescent="0.25">
      <c r="B67" s="6"/>
      <c r="C67" s="6"/>
      <c r="D67" s="6"/>
      <c r="E67" s="6"/>
      <c r="F67" s="6"/>
      <c r="G67" s="4"/>
    </row>
    <row r="68" spans="1:12" x14ac:dyDescent="0.25">
      <c r="A68" t="s">
        <v>32</v>
      </c>
      <c r="B68" s="6"/>
      <c r="C68" s="6"/>
      <c r="D68" s="6"/>
      <c r="E68" s="6"/>
      <c r="F68" s="6"/>
      <c r="G68" s="4"/>
    </row>
    <row r="69" spans="1:12" x14ac:dyDescent="0.25">
      <c r="A69" t="s">
        <v>33</v>
      </c>
      <c r="B69" s="42">
        <f>((B24+D24)/B23)*100</f>
        <v>0</v>
      </c>
      <c r="C69" s="6"/>
      <c r="D69" s="6"/>
      <c r="E69" s="6"/>
      <c r="F69" s="6"/>
      <c r="G69" s="39"/>
      <c r="H69" s="8"/>
    </row>
    <row r="70" spans="1:12" x14ac:dyDescent="0.25">
      <c r="A70" t="s">
        <v>34</v>
      </c>
      <c r="B70" s="42" t="e">
        <f>(B18/(B24+D24))*100</f>
        <v>#DIV/0!</v>
      </c>
      <c r="C70" s="6"/>
      <c r="D70" s="6"/>
      <c r="E70" s="6"/>
      <c r="F70" s="6"/>
      <c r="G70" s="4"/>
      <c r="H70" s="8"/>
    </row>
    <row r="71" spans="1:12" ht="15.75" thickBot="1" x14ac:dyDescent="0.3">
      <c r="A71" s="9"/>
      <c r="B71" s="9"/>
      <c r="C71" s="9"/>
      <c r="D71" s="9"/>
      <c r="E71" s="9"/>
      <c r="F71" s="9"/>
    </row>
    <row r="72" spans="1:12" ht="15.75" thickTop="1" x14ac:dyDescent="0.25"/>
    <row r="73" spans="1:12" x14ac:dyDescent="0.25">
      <c r="A73" s="10" t="s">
        <v>35</v>
      </c>
    </row>
    <row r="74" spans="1:12" x14ac:dyDescent="0.25">
      <c r="A74" s="10" t="s">
        <v>89</v>
      </c>
    </row>
    <row r="75" spans="1:12" x14ac:dyDescent="0.25">
      <c r="A75" s="11" t="s">
        <v>90</v>
      </c>
      <c r="B75" s="12"/>
      <c r="C75" s="12"/>
      <c r="D75" s="12"/>
      <c r="E75" s="12"/>
    </row>
    <row r="76" spans="1:12" x14ac:dyDescent="0.25">
      <c r="A76" s="34" t="s">
        <v>91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6"/>
    </row>
    <row r="77" spans="1:12" x14ac:dyDescent="0.25">
      <c r="A77" s="11" t="s">
        <v>78</v>
      </c>
      <c r="B77" s="12"/>
      <c r="C77" s="12"/>
      <c r="D77" s="12"/>
      <c r="E77" s="12"/>
    </row>
    <row r="78" spans="1:12" x14ac:dyDescent="0.25">
      <c r="A78" s="33" t="s">
        <v>79</v>
      </c>
    </row>
    <row r="79" spans="1:12" x14ac:dyDescent="0.25">
      <c r="A79" s="15" t="s">
        <v>45</v>
      </c>
    </row>
    <row r="80" spans="1:12" x14ac:dyDescent="0.25">
      <c r="A80" s="15" t="s">
        <v>46</v>
      </c>
    </row>
    <row r="82" spans="1:1" x14ac:dyDescent="0.25">
      <c r="A82" t="s">
        <v>134</v>
      </c>
    </row>
    <row r="165" spans="1:5" x14ac:dyDescent="0.25">
      <c r="A165" s="27"/>
      <c r="B165" s="27"/>
      <c r="C165" s="27"/>
      <c r="D165" s="27"/>
      <c r="E165" s="27"/>
    </row>
    <row r="166" spans="1:5" x14ac:dyDescent="0.25">
      <c r="A166" s="27"/>
      <c r="B166" s="31"/>
      <c r="C166" s="31"/>
      <c r="D166" s="31"/>
      <c r="E166" s="31"/>
    </row>
    <row r="167" spans="1:5" x14ac:dyDescent="0.25">
      <c r="A167" s="27"/>
      <c r="B167" s="31"/>
      <c r="C167" s="31"/>
      <c r="D167" s="31"/>
      <c r="E167" s="31"/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2"/>
  <sheetViews>
    <sheetView zoomScale="70" zoomScaleNormal="70" workbookViewId="0">
      <selection activeCell="B70" sqref="B70"/>
    </sheetView>
  </sheetViews>
  <sheetFormatPr baseColWidth="10" defaultColWidth="11.42578125" defaultRowHeight="15" x14ac:dyDescent="0.25"/>
  <cols>
    <col min="1" max="1" width="55.140625" customWidth="1"/>
    <col min="2" max="2" width="16" bestFit="1" customWidth="1"/>
    <col min="3" max="3" width="13.85546875" customWidth="1"/>
    <col min="4" max="4" width="20.7109375" customWidth="1"/>
    <col min="5" max="5" width="13.7109375" customWidth="1"/>
    <col min="6" max="6" width="19.42578125" customWidth="1"/>
    <col min="7" max="7" width="13.7109375" bestFit="1" customWidth="1"/>
  </cols>
  <sheetData>
    <row r="2" spans="1:7" ht="15.75" x14ac:dyDescent="0.25">
      <c r="A2" s="51" t="s">
        <v>92</v>
      </c>
      <c r="B2" s="51"/>
      <c r="C2" s="51"/>
      <c r="D2" s="51"/>
      <c r="E2" s="51"/>
      <c r="F2" s="51"/>
    </row>
    <row r="4" spans="1:7" ht="15" customHeight="1" x14ac:dyDescent="0.25">
      <c r="A4" s="52" t="s">
        <v>0</v>
      </c>
      <c r="B4" s="57" t="s">
        <v>1</v>
      </c>
      <c r="C4" s="57" t="s">
        <v>80</v>
      </c>
      <c r="D4" s="56" t="s">
        <v>2</v>
      </c>
      <c r="E4" s="56"/>
      <c r="F4" s="56"/>
    </row>
    <row r="5" spans="1:7" ht="15.75" thickBot="1" x14ac:dyDescent="0.3">
      <c r="A5" s="53"/>
      <c r="B5" s="58"/>
      <c r="C5" s="58"/>
      <c r="D5" s="1" t="s">
        <v>3</v>
      </c>
      <c r="E5" s="2" t="s">
        <v>4</v>
      </c>
      <c r="F5" s="2" t="s">
        <v>5</v>
      </c>
    </row>
    <row r="6" spans="1:7" ht="15.75" thickTop="1" x14ac:dyDescent="0.25"/>
    <row r="7" spans="1:7" x14ac:dyDescent="0.25">
      <c r="A7" s="3" t="s">
        <v>6</v>
      </c>
    </row>
    <row r="8" spans="1:7" x14ac:dyDescent="0.25">
      <c r="B8" s="4"/>
      <c r="C8" s="4"/>
      <c r="D8" s="4"/>
      <c r="E8" s="4"/>
      <c r="F8" s="4"/>
      <c r="G8" s="4"/>
    </row>
    <row r="9" spans="1:7" x14ac:dyDescent="0.25">
      <c r="A9" t="s">
        <v>7</v>
      </c>
      <c r="B9" s="4"/>
      <c r="C9" s="4"/>
      <c r="D9" s="4"/>
      <c r="E9" s="4"/>
      <c r="F9" s="4"/>
      <c r="G9" s="4"/>
    </row>
    <row r="10" spans="1:7" x14ac:dyDescent="0.25">
      <c r="A10" s="5" t="s">
        <v>52</v>
      </c>
      <c r="B10" s="13">
        <v>431</v>
      </c>
      <c r="C10" s="13">
        <v>425</v>
      </c>
      <c r="D10" s="6"/>
      <c r="E10" s="6"/>
      <c r="F10" s="6"/>
      <c r="G10" s="4"/>
    </row>
    <row r="11" spans="1:7" x14ac:dyDescent="0.25">
      <c r="A11" s="5" t="s">
        <v>93</v>
      </c>
      <c r="B11" s="13">
        <v>410</v>
      </c>
      <c r="C11" s="13">
        <v>410</v>
      </c>
      <c r="D11" s="6"/>
      <c r="E11" s="6"/>
      <c r="F11" s="6"/>
      <c r="G11" s="4"/>
    </row>
    <row r="12" spans="1:7" x14ac:dyDescent="0.25">
      <c r="A12" s="5" t="s">
        <v>94</v>
      </c>
      <c r="B12" s="13">
        <v>472</v>
      </c>
      <c r="C12" s="13">
        <v>467.66666666666669</v>
      </c>
      <c r="D12" s="4"/>
    </row>
    <row r="13" spans="1:7" x14ac:dyDescent="0.25">
      <c r="A13" s="5" t="s">
        <v>84</v>
      </c>
      <c r="B13" s="13">
        <v>410</v>
      </c>
      <c r="C13" s="13">
        <v>410</v>
      </c>
      <c r="D13" s="6"/>
      <c r="E13" s="6"/>
      <c r="F13" s="6"/>
      <c r="G13" s="4"/>
    </row>
    <row r="14" spans="1:7" x14ac:dyDescent="0.25">
      <c r="B14" s="6"/>
      <c r="C14" s="6"/>
      <c r="D14" s="6"/>
      <c r="E14" s="6"/>
      <c r="F14" s="6"/>
      <c r="G14" s="4"/>
    </row>
    <row r="15" spans="1:7" x14ac:dyDescent="0.25">
      <c r="A15" s="7" t="s">
        <v>8</v>
      </c>
      <c r="B15" s="6"/>
      <c r="C15" s="6"/>
      <c r="D15" s="6"/>
      <c r="E15" s="6"/>
      <c r="F15" s="6"/>
      <c r="G15" s="4"/>
    </row>
    <row r="16" spans="1:7" x14ac:dyDescent="0.25">
      <c r="A16" s="5" t="s">
        <v>52</v>
      </c>
      <c r="B16" s="13">
        <f>SUM(D16:F16)</f>
        <v>319467530.15999997</v>
      </c>
      <c r="C16" s="13"/>
      <c r="D16" s="13">
        <v>89777038.159999996</v>
      </c>
      <c r="E16" s="29">
        <v>63720943.969999999</v>
      </c>
      <c r="F16" s="30">
        <v>165969548.03</v>
      </c>
      <c r="G16" s="4"/>
    </row>
    <row r="17" spans="1:8" x14ac:dyDescent="0.25">
      <c r="A17" s="5" t="s">
        <v>93</v>
      </c>
      <c r="B17" s="13">
        <f>SUM(D17:F17)</f>
        <v>251367151</v>
      </c>
      <c r="C17" s="13"/>
      <c r="D17" s="13">
        <v>75642000</v>
      </c>
      <c r="E17" s="13">
        <v>25725151</v>
      </c>
      <c r="F17" s="13">
        <v>150000000</v>
      </c>
      <c r="G17" s="4"/>
    </row>
    <row r="18" spans="1:8" x14ac:dyDescent="0.25">
      <c r="A18" s="5" t="s">
        <v>94</v>
      </c>
      <c r="B18" s="13">
        <f>SUM(D18:F18)</f>
        <v>116813327.37</v>
      </c>
      <c r="C18" s="13"/>
      <c r="D18" s="13">
        <v>103930759.8</v>
      </c>
      <c r="E18" s="29">
        <v>12882567.57</v>
      </c>
      <c r="F18" s="30">
        <v>0</v>
      </c>
      <c r="G18" s="4"/>
    </row>
    <row r="19" spans="1:8" x14ac:dyDescent="0.25">
      <c r="A19" s="5" t="s">
        <v>84</v>
      </c>
      <c r="B19" s="13">
        <f>SUM(D19:F19)</f>
        <v>642130151</v>
      </c>
      <c r="C19" s="13"/>
      <c r="D19" s="13">
        <v>277440000</v>
      </c>
      <c r="E19" s="13">
        <v>42690151</v>
      </c>
      <c r="F19" s="13">
        <v>322000000</v>
      </c>
      <c r="G19" s="4"/>
    </row>
    <row r="20" spans="1:8" x14ac:dyDescent="0.25">
      <c r="A20" s="5" t="s">
        <v>95</v>
      </c>
      <c r="B20" s="6">
        <f>D20</f>
        <v>103930759.8</v>
      </c>
      <c r="C20" s="6"/>
      <c r="D20" s="6">
        <f>D18</f>
        <v>103930759.8</v>
      </c>
      <c r="E20" s="6"/>
      <c r="F20" s="6"/>
      <c r="G20" s="4"/>
    </row>
    <row r="21" spans="1:8" x14ac:dyDescent="0.25">
      <c r="B21" s="6"/>
      <c r="C21" s="6"/>
      <c r="D21" s="6"/>
      <c r="E21" s="6"/>
      <c r="F21" s="6"/>
      <c r="G21" s="4"/>
    </row>
    <row r="22" spans="1:8" x14ac:dyDescent="0.25">
      <c r="A22" s="5" t="s">
        <v>9</v>
      </c>
      <c r="B22" s="6"/>
      <c r="C22" s="6"/>
      <c r="D22" s="6"/>
      <c r="E22" s="6"/>
      <c r="F22" s="6"/>
      <c r="G22" s="4"/>
    </row>
    <row r="23" spans="1:8" x14ac:dyDescent="0.25">
      <c r="A23" s="5" t="s">
        <v>93</v>
      </c>
      <c r="B23" s="13">
        <f>B17</f>
        <v>251367151</v>
      </c>
      <c r="C23" s="13"/>
      <c r="D23" s="41"/>
      <c r="E23" s="6"/>
      <c r="F23" s="6"/>
      <c r="G23" s="38"/>
      <c r="H23" s="8"/>
    </row>
    <row r="24" spans="1:8" x14ac:dyDescent="0.25">
      <c r="A24" s="5" t="s">
        <v>94</v>
      </c>
      <c r="B24" s="13">
        <v>158662010.95999998</v>
      </c>
      <c r="C24" s="13"/>
      <c r="D24" s="40"/>
      <c r="E24" s="6"/>
      <c r="F24" s="6"/>
      <c r="G24" s="4"/>
      <c r="H24" s="8"/>
    </row>
    <row r="25" spans="1:8" x14ac:dyDescent="0.25">
      <c r="B25" s="6"/>
      <c r="C25" s="6"/>
      <c r="D25" s="6"/>
      <c r="E25" s="6"/>
      <c r="F25" s="6"/>
      <c r="G25" s="4"/>
    </row>
    <row r="26" spans="1:8" x14ac:dyDescent="0.25">
      <c r="A26" t="s">
        <v>10</v>
      </c>
      <c r="B26" s="6"/>
      <c r="C26" s="6"/>
      <c r="D26" s="6"/>
      <c r="E26" s="6"/>
      <c r="F26" s="6"/>
      <c r="G26" s="4"/>
    </row>
    <row r="27" spans="1:8" x14ac:dyDescent="0.25">
      <c r="A27" t="s">
        <v>53</v>
      </c>
      <c r="B27" s="6">
        <v>1.62</v>
      </c>
      <c r="C27" s="6">
        <v>1.62</v>
      </c>
      <c r="D27" s="6">
        <v>1.62</v>
      </c>
      <c r="E27" s="6">
        <v>1.62</v>
      </c>
      <c r="F27" s="6">
        <v>1.62</v>
      </c>
      <c r="G27" s="4"/>
    </row>
    <row r="28" spans="1:8" x14ac:dyDescent="0.25">
      <c r="A28" t="s">
        <v>96</v>
      </c>
      <c r="B28" s="6">
        <v>1.68</v>
      </c>
      <c r="C28" s="6">
        <v>1.68</v>
      </c>
      <c r="D28" s="6">
        <v>1.68</v>
      </c>
      <c r="E28" s="6">
        <v>1.68</v>
      </c>
      <c r="F28" s="6">
        <v>1.68</v>
      </c>
      <c r="G28" s="4"/>
    </row>
    <row r="29" spans="1:8" x14ac:dyDescent="0.25">
      <c r="A29" t="s">
        <v>11</v>
      </c>
      <c r="B29" s="28" t="s">
        <v>76</v>
      </c>
      <c r="C29" s="28" t="s">
        <v>76</v>
      </c>
      <c r="D29" s="28" t="s">
        <v>76</v>
      </c>
      <c r="E29" s="28" t="s">
        <v>76</v>
      </c>
      <c r="F29" s="28" t="s">
        <v>76</v>
      </c>
      <c r="G29" s="4"/>
    </row>
    <row r="30" spans="1:8" x14ac:dyDescent="0.25">
      <c r="B30" s="6"/>
      <c r="C30" s="6"/>
      <c r="D30" s="6"/>
      <c r="E30" s="6"/>
      <c r="F30" s="6"/>
      <c r="G30" s="4"/>
    </row>
    <row r="31" spans="1:8" x14ac:dyDescent="0.25">
      <c r="A31" t="s">
        <v>12</v>
      </c>
      <c r="B31" s="6"/>
      <c r="C31" s="6"/>
      <c r="D31" s="6"/>
      <c r="E31" s="6"/>
      <c r="F31" s="6"/>
      <c r="G31" s="4"/>
    </row>
    <row r="32" spans="1:8" x14ac:dyDescent="0.25">
      <c r="A32" t="s">
        <v>54</v>
      </c>
      <c r="B32" s="13">
        <f>B16/B27</f>
        <v>197202179.11111107</v>
      </c>
      <c r="C32" s="13">
        <f>C16/C27</f>
        <v>0</v>
      </c>
      <c r="D32" s="25">
        <f>D16/D27</f>
        <v>55417924.790123448</v>
      </c>
      <c r="E32" s="25">
        <f t="shared" ref="E32:F32" si="0">E16/E27</f>
        <v>39333916.030864194</v>
      </c>
      <c r="F32" s="25">
        <f t="shared" si="0"/>
        <v>102450338.29012345</v>
      </c>
      <c r="G32" s="6"/>
    </row>
    <row r="33" spans="1:7" x14ac:dyDescent="0.25">
      <c r="A33" t="s">
        <v>97</v>
      </c>
      <c r="B33" s="13">
        <f>B18/B28</f>
        <v>69531742.482142866</v>
      </c>
      <c r="C33" s="13">
        <f>C18/C28</f>
        <v>0</v>
      </c>
      <c r="D33" s="25">
        <f>D18/D28</f>
        <v>61863547.5</v>
      </c>
      <c r="E33" s="25">
        <f>E18/E28</f>
        <v>7668194.9821428573</v>
      </c>
      <c r="F33" s="25">
        <f t="shared" ref="F33" si="1">F18/F28</f>
        <v>0</v>
      </c>
      <c r="G33" s="4"/>
    </row>
    <row r="34" spans="1:7" x14ac:dyDescent="0.25">
      <c r="A34" t="s">
        <v>55</v>
      </c>
      <c r="B34" s="13">
        <f>B32/B10</f>
        <v>457545.65919051296</v>
      </c>
      <c r="C34" s="25">
        <f>C32/C10</f>
        <v>0</v>
      </c>
      <c r="D34" s="44">
        <f>D32/$C$10</f>
        <v>130395.11715323164</v>
      </c>
      <c r="E34" s="44">
        <f t="shared" ref="E34:F34" si="2">E32/$C$10</f>
        <v>92550.390660856923</v>
      </c>
      <c r="F34" s="44">
        <f t="shared" si="2"/>
        <v>241059.61950617281</v>
      </c>
      <c r="G34" s="39"/>
    </row>
    <row r="35" spans="1:7" x14ac:dyDescent="0.25">
      <c r="A35" t="s">
        <v>98</v>
      </c>
      <c r="B35" s="13">
        <f>B33/B12</f>
        <v>147313.01373335352</v>
      </c>
      <c r="C35" s="25">
        <f>C33/C12</f>
        <v>0</v>
      </c>
      <c r="D35" s="44">
        <f>D33/$C$12</f>
        <v>132281.28474697078</v>
      </c>
      <c r="E35" s="44">
        <f t="shared" ref="E35:F35" si="3">E33/$C$12</f>
        <v>16396.710581916301</v>
      </c>
      <c r="F35" s="44">
        <f t="shared" si="3"/>
        <v>0</v>
      </c>
    </row>
    <row r="36" spans="1:7" x14ac:dyDescent="0.25">
      <c r="B36" s="6"/>
      <c r="C36" s="6"/>
      <c r="D36" s="6"/>
      <c r="E36" s="6"/>
      <c r="F36" s="6"/>
      <c r="G36" s="4"/>
    </row>
    <row r="37" spans="1:7" x14ac:dyDescent="0.25">
      <c r="A37" s="3" t="s">
        <v>13</v>
      </c>
      <c r="B37" s="6"/>
      <c r="C37" s="6"/>
      <c r="D37" s="6"/>
      <c r="E37" s="6"/>
      <c r="F37" s="6"/>
      <c r="G37" s="4"/>
    </row>
    <row r="38" spans="1:7" x14ac:dyDescent="0.25">
      <c r="B38" s="6"/>
      <c r="C38" s="6"/>
      <c r="D38" s="6"/>
      <c r="E38" s="6"/>
      <c r="F38" s="6"/>
      <c r="G38" s="4"/>
    </row>
    <row r="39" spans="1:7" x14ac:dyDescent="0.25">
      <c r="A39" t="s">
        <v>14</v>
      </c>
      <c r="B39" s="6"/>
      <c r="C39" s="6"/>
      <c r="D39" s="6"/>
      <c r="E39" s="6"/>
      <c r="F39" s="6"/>
      <c r="G39" s="4"/>
    </row>
    <row r="40" spans="1:7" x14ac:dyDescent="0.25">
      <c r="A40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4"/>
    </row>
    <row r="41" spans="1:7" x14ac:dyDescent="0.25">
      <c r="A41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4"/>
    </row>
    <row r="42" spans="1:7" x14ac:dyDescent="0.25">
      <c r="B42" s="6"/>
      <c r="C42" s="6"/>
      <c r="D42" s="6"/>
      <c r="E42" s="6"/>
      <c r="F42" s="6"/>
      <c r="G42" s="4"/>
    </row>
    <row r="43" spans="1:7" x14ac:dyDescent="0.25">
      <c r="A43" t="s">
        <v>17</v>
      </c>
      <c r="B43" s="6"/>
      <c r="C43" s="6"/>
      <c r="D43" s="6"/>
      <c r="E43" s="6"/>
      <c r="F43" s="6"/>
      <c r="G43" s="4"/>
    </row>
    <row r="44" spans="1:7" x14ac:dyDescent="0.25">
      <c r="A44" s="16" t="s">
        <v>18</v>
      </c>
      <c r="B44" s="6">
        <f>B12/B11*100</f>
        <v>115.12195121951218</v>
      </c>
      <c r="C44" s="6">
        <f>C12/C11*100</f>
        <v>114.0650406504065</v>
      </c>
      <c r="D44" s="6"/>
      <c r="E44" s="6"/>
      <c r="F44" s="6"/>
      <c r="G44" s="38"/>
    </row>
    <row r="45" spans="1:7" x14ac:dyDescent="0.25">
      <c r="A45" s="16" t="s">
        <v>19</v>
      </c>
      <c r="B45" s="6">
        <f>B18/B17*100</f>
        <v>46.471198366726924</v>
      </c>
      <c r="C45" s="6"/>
      <c r="D45" s="6">
        <f t="shared" ref="D45:F45" si="4">D18/D17*100</f>
        <v>137.3982176568573</v>
      </c>
      <c r="E45" s="6">
        <f t="shared" si="4"/>
        <v>50.077714101658721</v>
      </c>
      <c r="F45" s="6">
        <f t="shared" si="4"/>
        <v>0</v>
      </c>
      <c r="G45" s="4"/>
    </row>
    <row r="46" spans="1:7" x14ac:dyDescent="0.25">
      <c r="A46" s="16" t="s">
        <v>20</v>
      </c>
      <c r="B46" s="6">
        <f>AVERAGE(B44:B45)</f>
        <v>80.796574793119561</v>
      </c>
      <c r="C46" s="6">
        <f t="shared" ref="C46:F46" si="5">AVERAGE(C44:C45)</f>
        <v>114.0650406504065</v>
      </c>
      <c r="D46" s="6">
        <f t="shared" si="5"/>
        <v>137.3982176568573</v>
      </c>
      <c r="E46" s="6">
        <f t="shared" si="5"/>
        <v>50.077714101658721</v>
      </c>
      <c r="F46" s="6">
        <f t="shared" si="5"/>
        <v>0</v>
      </c>
      <c r="G46" s="4"/>
    </row>
    <row r="47" spans="1:7" x14ac:dyDescent="0.25">
      <c r="A47" s="16"/>
      <c r="B47" s="6"/>
      <c r="C47" s="6"/>
      <c r="D47" s="6"/>
      <c r="E47" s="6"/>
      <c r="F47" s="6"/>
      <c r="G47" s="4"/>
    </row>
    <row r="48" spans="1:7" x14ac:dyDescent="0.25">
      <c r="A48" s="16" t="s">
        <v>21</v>
      </c>
      <c r="B48" s="6"/>
      <c r="C48" s="6"/>
      <c r="D48" s="6"/>
      <c r="E48" s="6"/>
      <c r="F48" s="6"/>
      <c r="G48" s="4"/>
    </row>
    <row r="49" spans="1:7" x14ac:dyDescent="0.25">
      <c r="A49" s="16" t="s">
        <v>22</v>
      </c>
      <c r="B49" s="6">
        <f>(B12/B13)*100</f>
        <v>115.12195121951218</v>
      </c>
      <c r="C49" s="6">
        <f t="shared" ref="C49" si="6">(C12/C13)*100</f>
        <v>114.0650406504065</v>
      </c>
      <c r="D49" s="6"/>
      <c r="E49" s="6"/>
      <c r="F49" s="6"/>
      <c r="G49" s="4"/>
    </row>
    <row r="50" spans="1:7" x14ac:dyDescent="0.25">
      <c r="A50" s="16" t="s">
        <v>23</v>
      </c>
      <c r="B50" s="6">
        <f>B18/B19*100</f>
        <v>18.191534409042255</v>
      </c>
      <c r="C50" s="6"/>
      <c r="D50" s="6">
        <f t="shared" ref="D50:F50" si="7">D18/D19*100</f>
        <v>37.460625648788927</v>
      </c>
      <c r="E50" s="6">
        <f t="shared" si="7"/>
        <v>30.176907947690324</v>
      </c>
      <c r="F50" s="6">
        <f t="shared" si="7"/>
        <v>0</v>
      </c>
      <c r="G50" s="4"/>
    </row>
    <row r="51" spans="1:7" x14ac:dyDescent="0.25">
      <c r="A51" s="16" t="s">
        <v>24</v>
      </c>
      <c r="B51" s="6">
        <f>AVERAGE(B49:B50)</f>
        <v>66.656742814277223</v>
      </c>
      <c r="C51" s="6">
        <f t="shared" ref="C51:F51" si="8">AVERAGE(C49:C50)</f>
        <v>114.0650406504065</v>
      </c>
      <c r="D51" s="6">
        <f t="shared" si="8"/>
        <v>37.460625648788927</v>
      </c>
      <c r="E51" s="6">
        <f t="shared" si="8"/>
        <v>30.176907947690324</v>
      </c>
      <c r="F51" s="6">
        <f t="shared" si="8"/>
        <v>0</v>
      </c>
      <c r="G51" s="4"/>
    </row>
    <row r="52" spans="1:7" x14ac:dyDescent="0.25">
      <c r="A52" s="16"/>
      <c r="B52" s="6"/>
      <c r="C52" s="6"/>
      <c r="D52" s="6"/>
      <c r="E52" s="6"/>
      <c r="F52" s="6"/>
      <c r="G52" s="4"/>
    </row>
    <row r="53" spans="1:7" x14ac:dyDescent="0.25">
      <c r="A53" s="16" t="s">
        <v>36</v>
      </c>
      <c r="B53" s="6"/>
      <c r="C53" s="6"/>
      <c r="D53" s="6"/>
      <c r="E53" s="6"/>
      <c r="F53" s="6"/>
      <c r="G53" s="4"/>
    </row>
    <row r="54" spans="1:7" x14ac:dyDescent="0.25">
      <c r="A54" s="16" t="s">
        <v>25</v>
      </c>
      <c r="B54" s="6">
        <f>B20/B18*100</f>
        <v>88.971662857273841</v>
      </c>
      <c r="C54" s="6" t="e">
        <f t="shared" ref="C54:F54" si="9">C20/C18*100</f>
        <v>#DIV/0!</v>
      </c>
      <c r="D54" s="6">
        <f t="shared" si="9"/>
        <v>100</v>
      </c>
      <c r="E54" s="6">
        <f t="shared" si="9"/>
        <v>0</v>
      </c>
      <c r="F54" s="6" t="e">
        <f t="shared" si="9"/>
        <v>#DIV/0!</v>
      </c>
      <c r="G54" s="4"/>
    </row>
    <row r="55" spans="1:7" x14ac:dyDescent="0.25">
      <c r="A55" s="16"/>
      <c r="B55" s="6"/>
      <c r="C55" s="6"/>
      <c r="D55" s="6"/>
      <c r="E55" s="6"/>
      <c r="F55" s="6"/>
      <c r="G55" s="4"/>
    </row>
    <row r="56" spans="1:7" x14ac:dyDescent="0.25">
      <c r="A56" s="16" t="s">
        <v>26</v>
      </c>
      <c r="B56" s="6"/>
      <c r="C56" s="6"/>
      <c r="D56" s="6"/>
      <c r="E56" s="6"/>
      <c r="F56" s="6"/>
      <c r="G56" s="4"/>
    </row>
    <row r="57" spans="1:7" x14ac:dyDescent="0.25">
      <c r="A57" s="16" t="s">
        <v>27</v>
      </c>
      <c r="B57" s="6">
        <f>((B12/B10)-1)*100</f>
        <v>9.5127610208816762</v>
      </c>
      <c r="C57" s="6">
        <f t="shared" ref="C57:F57" si="10">((C12/C10)-1)*100</f>
        <v>10.039215686274506</v>
      </c>
      <c r="D57" s="6" t="e">
        <f t="shared" si="10"/>
        <v>#DIV/0!</v>
      </c>
      <c r="E57" s="6" t="e">
        <f t="shared" si="10"/>
        <v>#DIV/0!</v>
      </c>
      <c r="F57" s="6" t="e">
        <f t="shared" si="10"/>
        <v>#DIV/0!</v>
      </c>
      <c r="G57" s="4"/>
    </row>
    <row r="58" spans="1:7" x14ac:dyDescent="0.25">
      <c r="A58" s="16" t="s">
        <v>28</v>
      </c>
      <c r="B58" s="6">
        <f>((B33/B32)-1)*100</f>
        <v>-64.740885321066315</v>
      </c>
      <c r="C58" s="6" t="e">
        <f>((C33/C32)-1)*100</f>
        <v>#DIV/0!</v>
      </c>
      <c r="D58" s="6">
        <f t="shared" ref="D58:F58" si="11">((D33/D32)-1)*100</f>
        <v>11.630934818088479</v>
      </c>
      <c r="E58" s="6">
        <f t="shared" si="11"/>
        <v>-80.504877835896522</v>
      </c>
      <c r="F58" s="6">
        <f t="shared" si="11"/>
        <v>-100</v>
      </c>
      <c r="G58" s="4"/>
    </row>
    <row r="59" spans="1:7" x14ac:dyDescent="0.25">
      <c r="A59" s="16" t="s">
        <v>29</v>
      </c>
      <c r="B59" s="6">
        <f>((B35/B34)-1)*100</f>
        <v>-67.803647401227934</v>
      </c>
      <c r="C59" s="6" t="e">
        <f>((C35/C34)-1)*100</f>
        <v>#DIV/0!</v>
      </c>
      <c r="D59" s="6">
        <f t="shared" ref="D59:F59" si="12">((D35/D34)-1)*100</f>
        <v>1.4465017056755514</v>
      </c>
      <c r="E59" s="6">
        <f t="shared" si="12"/>
        <v>-82.283477719720651</v>
      </c>
      <c r="F59" s="6">
        <f t="shared" si="12"/>
        <v>-100</v>
      </c>
      <c r="G59" s="4"/>
    </row>
    <row r="60" spans="1:7" x14ac:dyDescent="0.25">
      <c r="A60" s="16"/>
      <c r="B60" s="6"/>
      <c r="C60" s="6"/>
      <c r="D60" s="6"/>
      <c r="E60" s="6"/>
      <c r="F60" s="6"/>
      <c r="G60" s="4"/>
    </row>
    <row r="61" spans="1:7" x14ac:dyDescent="0.25">
      <c r="A61" s="16" t="s">
        <v>30</v>
      </c>
      <c r="B61" s="6"/>
      <c r="C61" s="6"/>
      <c r="D61" s="6"/>
      <c r="E61" s="6"/>
      <c r="F61" s="6"/>
      <c r="G61" s="4"/>
    </row>
    <row r="62" spans="1:7" x14ac:dyDescent="0.25">
      <c r="A62" s="16" t="s">
        <v>37</v>
      </c>
      <c r="B62" s="44">
        <f>B17/($B$11*3)</f>
        <v>204363.53739837397</v>
      </c>
      <c r="C62" s="44">
        <f>B17/(C11*3)</f>
        <v>204363.53739837397</v>
      </c>
      <c r="D62" s="44">
        <f>D17/($C$11*3)</f>
        <v>61497.560975609755</v>
      </c>
      <c r="E62" s="44">
        <f t="shared" ref="E62:F62" si="13">E17/($C$11*3)</f>
        <v>20914.756910569107</v>
      </c>
      <c r="F62" s="44">
        <f t="shared" si="13"/>
        <v>121951.21951219512</v>
      </c>
      <c r="G62" s="22"/>
    </row>
    <row r="63" spans="1:7" x14ac:dyDescent="0.25">
      <c r="A63" s="16" t="s">
        <v>38</v>
      </c>
      <c r="B63" s="44">
        <f>B18/($B$12*3)</f>
        <v>82495.287690677971</v>
      </c>
      <c r="C63" s="44">
        <f>B18/(C12*3)</f>
        <v>83259.677384176772</v>
      </c>
      <c r="D63" s="44">
        <f>D18/($C$12*3)</f>
        <v>74077.519458303635</v>
      </c>
      <c r="E63" s="44">
        <f t="shared" ref="E63:F63" si="14">E18/($C$12*3)</f>
        <v>9182.157925873129</v>
      </c>
      <c r="F63" s="44">
        <f t="shared" si="14"/>
        <v>0</v>
      </c>
      <c r="G63" s="38"/>
    </row>
    <row r="64" spans="1:7" x14ac:dyDescent="0.25">
      <c r="A64" s="16" t="s">
        <v>31</v>
      </c>
      <c r="B64" s="42">
        <f>(B62/B63)*B46</f>
        <v>200.15535791943256</v>
      </c>
      <c r="C64" s="42">
        <f>(C62/C63)*C46</f>
        <v>279.97628543822015</v>
      </c>
      <c r="D64" s="42"/>
      <c r="E64" s="42"/>
      <c r="F64" s="42"/>
      <c r="G64" s="4"/>
    </row>
    <row r="65" spans="1:12" x14ac:dyDescent="0.25">
      <c r="A65" s="14" t="s">
        <v>39</v>
      </c>
      <c r="B65" s="44">
        <f>B17/($B$11)</f>
        <v>613090.61219512194</v>
      </c>
      <c r="C65" s="44">
        <f>B17/C11</f>
        <v>613090.61219512194</v>
      </c>
      <c r="D65" s="47">
        <f>D17/($C$11)</f>
        <v>184492.68292682926</v>
      </c>
      <c r="E65" s="47">
        <f t="shared" ref="E65:F65" si="15">E17/($C$11)</f>
        <v>62744.270731707315</v>
      </c>
      <c r="F65" s="47">
        <f t="shared" si="15"/>
        <v>365853.65853658534</v>
      </c>
      <c r="G65" s="4"/>
    </row>
    <row r="66" spans="1:12" x14ac:dyDescent="0.25">
      <c r="A66" s="14" t="s">
        <v>40</v>
      </c>
      <c r="B66" s="44">
        <f>B18/($B$12)</f>
        <v>247485.86307203391</v>
      </c>
      <c r="C66" s="44">
        <f>B18/C12</f>
        <v>249779.0321525303</v>
      </c>
      <c r="D66" s="47">
        <f>D18/($C$12)</f>
        <v>222232.55837491088</v>
      </c>
      <c r="E66" s="47">
        <f t="shared" ref="E66:F66" si="16">E18/($C$12)</f>
        <v>27546.473777619387</v>
      </c>
      <c r="F66" s="47">
        <f t="shared" si="16"/>
        <v>0</v>
      </c>
      <c r="G66" s="4"/>
    </row>
    <row r="67" spans="1:12" x14ac:dyDescent="0.25">
      <c r="B67" s="6"/>
      <c r="C67" s="6"/>
      <c r="D67" s="6"/>
      <c r="E67" s="6"/>
      <c r="F67" s="6"/>
      <c r="G67" s="4"/>
    </row>
    <row r="68" spans="1:12" x14ac:dyDescent="0.25">
      <c r="A68" t="s">
        <v>32</v>
      </c>
      <c r="B68" s="6"/>
      <c r="C68" s="6"/>
      <c r="D68" s="6"/>
      <c r="E68" s="6"/>
      <c r="F68" s="6"/>
      <c r="G68" s="4"/>
      <c r="H68" s="8"/>
    </row>
    <row r="69" spans="1:12" x14ac:dyDescent="0.25">
      <c r="A69" t="s">
        <v>33</v>
      </c>
      <c r="B69" s="42">
        <f>(B24/B23)*100</f>
        <v>63.119628133112741</v>
      </c>
      <c r="C69" s="6"/>
      <c r="D69" s="6"/>
      <c r="E69" s="6"/>
      <c r="F69" s="6"/>
      <c r="H69" s="8"/>
    </row>
    <row r="70" spans="1:12" x14ac:dyDescent="0.25">
      <c r="A70" t="s">
        <v>34</v>
      </c>
      <c r="B70" s="42">
        <f>(B18/B24)*100</f>
        <v>73.624005307388686</v>
      </c>
      <c r="C70" s="6"/>
      <c r="D70" s="6"/>
      <c r="E70" s="6"/>
      <c r="F70" s="6"/>
      <c r="G70" s="39"/>
    </row>
    <row r="71" spans="1:12" ht="15.75" thickBot="1" x14ac:dyDescent="0.3">
      <c r="A71" s="9"/>
      <c r="B71" s="9"/>
      <c r="C71" s="9"/>
      <c r="D71" s="9"/>
      <c r="E71" s="9"/>
      <c r="F71" s="9"/>
    </row>
    <row r="72" spans="1:12" ht="15.75" thickTop="1" x14ac:dyDescent="0.25"/>
    <row r="73" spans="1:12" x14ac:dyDescent="0.25">
      <c r="A73" s="10" t="s">
        <v>35</v>
      </c>
    </row>
    <row r="74" spans="1:12" x14ac:dyDescent="0.25">
      <c r="A74" s="10" t="s">
        <v>89</v>
      </c>
    </row>
    <row r="75" spans="1:12" x14ac:dyDescent="0.25">
      <c r="A75" s="11" t="s">
        <v>90</v>
      </c>
      <c r="B75" s="12"/>
      <c r="C75" s="12"/>
      <c r="D75" s="12"/>
      <c r="E75" s="12"/>
    </row>
    <row r="76" spans="1:12" ht="15" customHeight="1" x14ac:dyDescent="0.25">
      <c r="A76" s="34" t="s">
        <v>91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6"/>
    </row>
    <row r="77" spans="1:12" x14ac:dyDescent="0.25">
      <c r="A77" s="11" t="s">
        <v>78</v>
      </c>
      <c r="B77" s="12"/>
      <c r="C77" s="12"/>
      <c r="D77" s="12"/>
      <c r="E77" s="12"/>
    </row>
    <row r="78" spans="1:12" x14ac:dyDescent="0.25">
      <c r="A78" s="33" t="s">
        <v>79</v>
      </c>
    </row>
    <row r="79" spans="1:12" x14ac:dyDescent="0.25">
      <c r="A79" s="15" t="s">
        <v>45</v>
      </c>
    </row>
    <row r="80" spans="1:12" x14ac:dyDescent="0.25">
      <c r="A80" s="15" t="s">
        <v>46</v>
      </c>
    </row>
    <row r="82" spans="1:1" x14ac:dyDescent="0.25">
      <c r="A82" t="s">
        <v>134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zoomScale="80" zoomScaleNormal="80" workbookViewId="0">
      <selection activeCell="F17" sqref="F17"/>
    </sheetView>
  </sheetViews>
  <sheetFormatPr baseColWidth="10" defaultColWidth="11.42578125" defaultRowHeight="15" x14ac:dyDescent="0.25"/>
  <cols>
    <col min="1" max="1" width="55.140625" customWidth="1"/>
    <col min="2" max="2" width="18.140625" customWidth="1"/>
    <col min="3" max="3" width="13.85546875" customWidth="1"/>
    <col min="4" max="4" width="20.7109375" customWidth="1"/>
    <col min="5" max="5" width="13.7109375" customWidth="1"/>
    <col min="6" max="7" width="13.7109375" bestFit="1" customWidth="1"/>
  </cols>
  <sheetData>
    <row r="2" spans="1:7" ht="15.75" x14ac:dyDescent="0.25">
      <c r="A2" s="51" t="s">
        <v>99</v>
      </c>
      <c r="B2" s="51"/>
      <c r="C2" s="51"/>
      <c r="D2" s="51"/>
      <c r="E2" s="51"/>
      <c r="F2" s="51"/>
    </row>
    <row r="4" spans="1:7" ht="15" customHeight="1" x14ac:dyDescent="0.25">
      <c r="A4" s="52" t="s">
        <v>0</v>
      </c>
      <c r="B4" s="57" t="s">
        <v>1</v>
      </c>
      <c r="C4" s="57" t="s">
        <v>80</v>
      </c>
      <c r="D4" s="56" t="s">
        <v>2</v>
      </c>
      <c r="E4" s="56"/>
      <c r="F4" s="56"/>
    </row>
    <row r="5" spans="1:7" ht="15.75" thickBot="1" x14ac:dyDescent="0.3">
      <c r="A5" s="53"/>
      <c r="B5" s="58"/>
      <c r="C5" s="58"/>
      <c r="D5" s="1" t="s">
        <v>3</v>
      </c>
      <c r="E5" s="2" t="s">
        <v>4</v>
      </c>
      <c r="F5" s="2" t="s">
        <v>5</v>
      </c>
    </row>
    <row r="6" spans="1:7" ht="15.75" thickTop="1" x14ac:dyDescent="0.25"/>
    <row r="7" spans="1:7" x14ac:dyDescent="0.25">
      <c r="A7" s="3" t="s">
        <v>6</v>
      </c>
    </row>
    <row r="8" spans="1:7" x14ac:dyDescent="0.25">
      <c r="B8" s="4"/>
      <c r="C8" s="4"/>
      <c r="D8" s="4"/>
      <c r="E8" s="4"/>
      <c r="F8" s="4"/>
      <c r="G8" s="4"/>
    </row>
    <row r="9" spans="1:7" x14ac:dyDescent="0.25">
      <c r="A9" t="s">
        <v>7</v>
      </c>
      <c r="B9" s="4"/>
      <c r="C9" s="4"/>
      <c r="D9" s="4"/>
      <c r="E9" s="4"/>
      <c r="F9" s="4"/>
      <c r="G9" s="4"/>
    </row>
    <row r="10" spans="1:7" x14ac:dyDescent="0.25">
      <c r="A10" s="5" t="s">
        <v>56</v>
      </c>
      <c r="B10" s="13">
        <v>417</v>
      </c>
      <c r="C10" s="13">
        <v>408</v>
      </c>
      <c r="D10" s="6"/>
      <c r="E10" s="6"/>
      <c r="F10" s="6"/>
      <c r="G10" s="4"/>
    </row>
    <row r="11" spans="1:7" x14ac:dyDescent="0.25">
      <c r="A11" s="5" t="s">
        <v>100</v>
      </c>
      <c r="B11" s="13">
        <v>410</v>
      </c>
      <c r="C11" s="13">
        <v>410</v>
      </c>
      <c r="D11" s="6"/>
      <c r="E11" s="6"/>
      <c r="F11" s="6"/>
      <c r="G11" s="4"/>
    </row>
    <row r="12" spans="1:7" x14ac:dyDescent="0.25">
      <c r="A12" s="5" t="s">
        <v>101</v>
      </c>
      <c r="B12" s="13">
        <v>462</v>
      </c>
      <c r="C12" s="13">
        <v>456.66666666666669</v>
      </c>
      <c r="D12" s="4"/>
    </row>
    <row r="13" spans="1:7" x14ac:dyDescent="0.25">
      <c r="A13" s="5" t="s">
        <v>84</v>
      </c>
      <c r="B13" s="13">
        <v>410</v>
      </c>
      <c r="C13" s="13">
        <v>410</v>
      </c>
      <c r="D13" s="6"/>
      <c r="E13" s="6"/>
      <c r="F13" s="6"/>
      <c r="G13" s="4"/>
    </row>
    <row r="14" spans="1:7" x14ac:dyDescent="0.25">
      <c r="B14" s="6"/>
      <c r="C14" s="6"/>
      <c r="D14" s="6"/>
      <c r="E14" s="6"/>
      <c r="F14" s="6"/>
      <c r="G14" s="4"/>
    </row>
    <row r="15" spans="1:7" x14ac:dyDescent="0.25">
      <c r="A15" s="7" t="s">
        <v>8</v>
      </c>
      <c r="B15" s="6"/>
      <c r="C15" s="6"/>
      <c r="D15" s="6"/>
      <c r="E15" s="6"/>
      <c r="F15" s="6"/>
      <c r="G15" s="4"/>
    </row>
    <row r="16" spans="1:7" x14ac:dyDescent="0.25">
      <c r="A16" s="5" t="s">
        <v>56</v>
      </c>
      <c r="B16" s="13">
        <f>SUM(D16:F16)</f>
        <v>193029200.94</v>
      </c>
      <c r="C16" s="13"/>
      <c r="D16" s="13">
        <v>66302551.939999998</v>
      </c>
      <c r="E16" s="29">
        <v>27183389</v>
      </c>
      <c r="F16" s="30">
        <v>99543260</v>
      </c>
      <c r="G16" s="4"/>
    </row>
    <row r="17" spans="1:8" x14ac:dyDescent="0.25">
      <c r="A17" s="5" t="s">
        <v>100</v>
      </c>
      <c r="B17" s="13">
        <f>SUM(D17:F17)</f>
        <v>188115123.59999999</v>
      </c>
      <c r="C17" s="13"/>
      <c r="D17" s="13">
        <v>73642000</v>
      </c>
      <c r="E17" s="13">
        <v>7000000</v>
      </c>
      <c r="F17" s="13">
        <v>107473123.59999999</v>
      </c>
      <c r="G17" s="4"/>
    </row>
    <row r="18" spans="1:8" x14ac:dyDescent="0.25">
      <c r="A18" s="5" t="s">
        <v>101</v>
      </c>
      <c r="B18" s="13">
        <f>SUM(D18:F18)</f>
        <v>87976692.090000004</v>
      </c>
      <c r="C18" s="13"/>
      <c r="D18" s="13">
        <v>81022403.689999998</v>
      </c>
      <c r="E18" s="29">
        <v>6954288.4000000004</v>
      </c>
      <c r="F18" s="30">
        <v>0</v>
      </c>
      <c r="G18" s="4"/>
    </row>
    <row r="19" spans="1:8" x14ac:dyDescent="0.25">
      <c r="A19" s="5" t="s">
        <v>84</v>
      </c>
      <c r="B19" s="13">
        <f>SUM(D19:F19)</f>
        <v>663603274.60000002</v>
      </c>
      <c r="C19" s="13"/>
      <c r="D19" s="13">
        <v>277440000</v>
      </c>
      <c r="E19" s="13">
        <v>49690151</v>
      </c>
      <c r="F19" s="13">
        <v>336473123.60000002</v>
      </c>
      <c r="G19" s="4"/>
    </row>
    <row r="20" spans="1:8" x14ac:dyDescent="0.25">
      <c r="A20" s="5" t="s">
        <v>102</v>
      </c>
      <c r="B20" s="6">
        <f>D20</f>
        <v>81022403.689999998</v>
      </c>
      <c r="C20" s="6"/>
      <c r="D20" s="6">
        <f>D18</f>
        <v>81022403.689999998</v>
      </c>
      <c r="E20" s="6"/>
      <c r="F20" s="6"/>
      <c r="G20" s="4"/>
    </row>
    <row r="21" spans="1:8" x14ac:dyDescent="0.25">
      <c r="B21" s="6"/>
      <c r="C21" s="6"/>
      <c r="D21" s="6"/>
      <c r="E21" s="6"/>
      <c r="F21" s="6"/>
      <c r="G21" s="4"/>
    </row>
    <row r="22" spans="1:8" x14ac:dyDescent="0.25">
      <c r="A22" s="5" t="s">
        <v>9</v>
      </c>
      <c r="B22" s="6"/>
      <c r="C22" s="6"/>
      <c r="D22" s="6"/>
      <c r="E22" s="6"/>
      <c r="F22" s="6"/>
      <c r="G22" s="4"/>
    </row>
    <row r="23" spans="1:8" x14ac:dyDescent="0.25">
      <c r="A23" s="5" t="s">
        <v>100</v>
      </c>
      <c r="B23" s="13">
        <f>B17</f>
        <v>188115123.59999999</v>
      </c>
      <c r="C23" s="13"/>
      <c r="D23" s="41"/>
      <c r="E23" s="6"/>
      <c r="F23" s="6"/>
      <c r="G23" s="38"/>
      <c r="H23" s="8"/>
    </row>
    <row r="24" spans="1:8" x14ac:dyDescent="0.25">
      <c r="A24" s="5" t="s">
        <v>101</v>
      </c>
      <c r="B24" s="13">
        <v>92945815.599999994</v>
      </c>
      <c r="C24" s="13"/>
      <c r="D24" s="40"/>
      <c r="E24" s="6"/>
      <c r="F24" s="6"/>
      <c r="G24" s="4"/>
      <c r="H24" s="8"/>
    </row>
    <row r="25" spans="1:8" x14ac:dyDescent="0.25">
      <c r="B25" s="6"/>
      <c r="C25" s="6"/>
      <c r="D25" s="6"/>
      <c r="E25" s="6"/>
      <c r="F25" s="6"/>
      <c r="G25" s="4"/>
    </row>
    <row r="26" spans="1:8" x14ac:dyDescent="0.25">
      <c r="A26" t="s">
        <v>10</v>
      </c>
      <c r="B26" s="6"/>
      <c r="C26" s="6"/>
      <c r="D26" s="6"/>
      <c r="E26" s="6"/>
      <c r="F26" s="6"/>
      <c r="G26" s="4"/>
    </row>
    <row r="27" spans="1:8" x14ac:dyDescent="0.25">
      <c r="A27" t="s">
        <v>57</v>
      </c>
      <c r="B27" s="6">
        <v>1.6242666666666665</v>
      </c>
      <c r="C27" s="6">
        <v>1.6242666666666665</v>
      </c>
      <c r="D27" s="6">
        <v>1.6242666666666665</v>
      </c>
      <c r="E27" s="6">
        <v>1.6242666666666665</v>
      </c>
      <c r="F27" s="6">
        <v>1.6242666666666665</v>
      </c>
      <c r="G27" s="4"/>
    </row>
    <row r="28" spans="1:8" x14ac:dyDescent="0.25">
      <c r="A28" t="s">
        <v>103</v>
      </c>
      <c r="B28" s="6">
        <v>1.71</v>
      </c>
      <c r="C28" s="6">
        <v>1.71</v>
      </c>
      <c r="D28" s="6">
        <v>1.71</v>
      </c>
      <c r="E28" s="6">
        <v>1.71</v>
      </c>
      <c r="F28" s="6">
        <v>1.71</v>
      </c>
      <c r="G28" s="4"/>
    </row>
    <row r="29" spans="1:8" x14ac:dyDescent="0.25">
      <c r="A29" t="s">
        <v>11</v>
      </c>
      <c r="B29" s="28" t="s">
        <v>76</v>
      </c>
      <c r="C29" s="28" t="s">
        <v>76</v>
      </c>
      <c r="D29" s="28" t="s">
        <v>76</v>
      </c>
      <c r="E29" s="28" t="s">
        <v>76</v>
      </c>
      <c r="F29" s="28" t="s">
        <v>76</v>
      </c>
      <c r="G29" s="4"/>
    </row>
    <row r="30" spans="1:8" x14ac:dyDescent="0.25">
      <c r="B30" s="6"/>
      <c r="C30" s="6"/>
      <c r="D30" s="6"/>
      <c r="E30" s="6"/>
      <c r="F30" s="6"/>
      <c r="G30" s="4"/>
    </row>
    <row r="31" spans="1:8" x14ac:dyDescent="0.25">
      <c r="A31" t="s">
        <v>12</v>
      </c>
      <c r="B31" s="6"/>
      <c r="C31" s="6"/>
      <c r="D31" s="6"/>
      <c r="E31" s="6"/>
      <c r="F31" s="6"/>
      <c r="G31" s="4"/>
    </row>
    <row r="32" spans="1:8" x14ac:dyDescent="0.25">
      <c r="A32" t="s">
        <v>58</v>
      </c>
      <c r="B32" s="6">
        <f>B16/B27</f>
        <v>118840831.31259236</v>
      </c>
      <c r="C32" s="6">
        <f t="shared" ref="C32:F32" si="0">C16/C27</f>
        <v>0</v>
      </c>
      <c r="D32" s="6">
        <f t="shared" si="0"/>
        <v>40819991.754227549</v>
      </c>
      <c r="E32" s="6">
        <f t="shared" si="0"/>
        <v>16735791.947135119</v>
      </c>
      <c r="F32" s="6">
        <f t="shared" si="0"/>
        <v>61285047.611229688</v>
      </c>
      <c r="G32" s="6"/>
    </row>
    <row r="33" spans="1:7" x14ac:dyDescent="0.25">
      <c r="A33" t="s">
        <v>104</v>
      </c>
      <c r="B33" s="6">
        <f>B18/B28</f>
        <v>51448357.947368421</v>
      </c>
      <c r="C33" s="6">
        <f t="shared" ref="C33:F33" si="1">C18/C28</f>
        <v>0</v>
      </c>
      <c r="D33" s="6">
        <f t="shared" si="1"/>
        <v>47381522.625730991</v>
      </c>
      <c r="E33" s="6">
        <f t="shared" si="1"/>
        <v>4066835.3216374274</v>
      </c>
      <c r="F33" s="6">
        <f t="shared" si="1"/>
        <v>0</v>
      </c>
      <c r="G33" s="4"/>
    </row>
    <row r="34" spans="1:7" x14ac:dyDescent="0.25">
      <c r="A34" t="s">
        <v>59</v>
      </c>
      <c r="B34" s="6">
        <f>B32/B10</f>
        <v>284990.00314770348</v>
      </c>
      <c r="C34" s="6">
        <f>C32/$C$10</f>
        <v>0</v>
      </c>
      <c r="D34" s="42">
        <f t="shared" ref="D34:F34" si="2">D32/$C$10</f>
        <v>100048.99939761654</v>
      </c>
      <c r="E34" s="42">
        <f t="shared" si="2"/>
        <v>41019.097909644901</v>
      </c>
      <c r="F34" s="42">
        <f t="shared" si="2"/>
        <v>150208.45002752374</v>
      </c>
      <c r="G34" s="39"/>
    </row>
    <row r="35" spans="1:7" x14ac:dyDescent="0.25">
      <c r="A35" t="s">
        <v>105</v>
      </c>
      <c r="B35" s="6">
        <f>B33/B12</f>
        <v>111360.08213716108</v>
      </c>
      <c r="C35" s="6">
        <f>C33/$C$12</f>
        <v>0</v>
      </c>
      <c r="D35" s="42">
        <f t="shared" ref="D35:F35" si="3">D33/$C$12</f>
        <v>103755.15903444742</v>
      </c>
      <c r="E35" s="42">
        <f t="shared" si="3"/>
        <v>8905.4788065053144</v>
      </c>
      <c r="F35" s="42">
        <f t="shared" si="3"/>
        <v>0</v>
      </c>
    </row>
    <row r="36" spans="1:7" x14ac:dyDescent="0.25">
      <c r="B36" s="6"/>
      <c r="C36" s="6"/>
      <c r="D36" s="6"/>
      <c r="E36" s="6"/>
      <c r="F36" s="6"/>
      <c r="G36" s="4"/>
    </row>
    <row r="37" spans="1:7" x14ac:dyDescent="0.25">
      <c r="A37" s="3" t="s">
        <v>13</v>
      </c>
      <c r="B37" s="6"/>
      <c r="C37" s="6"/>
      <c r="D37" s="6"/>
      <c r="E37" s="6"/>
      <c r="F37" s="6"/>
      <c r="G37" s="4"/>
    </row>
    <row r="38" spans="1:7" x14ac:dyDescent="0.25">
      <c r="B38" s="6"/>
      <c r="C38" s="6"/>
      <c r="D38" s="6"/>
      <c r="E38" s="6"/>
      <c r="F38" s="6"/>
      <c r="G38" s="4"/>
    </row>
    <row r="39" spans="1:7" x14ac:dyDescent="0.25">
      <c r="A39" t="s">
        <v>14</v>
      </c>
      <c r="B39" s="6"/>
      <c r="C39" s="6"/>
      <c r="D39" s="6"/>
      <c r="E39" s="6"/>
      <c r="F39" s="6"/>
      <c r="G39" s="4"/>
    </row>
    <row r="40" spans="1:7" x14ac:dyDescent="0.25">
      <c r="A40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4"/>
    </row>
    <row r="41" spans="1:7" x14ac:dyDescent="0.25">
      <c r="A41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4"/>
    </row>
    <row r="42" spans="1:7" x14ac:dyDescent="0.25">
      <c r="B42" s="6"/>
      <c r="C42" s="6"/>
      <c r="D42" s="6"/>
      <c r="E42" s="6"/>
      <c r="F42" s="6"/>
      <c r="G42" s="4"/>
    </row>
    <row r="43" spans="1:7" x14ac:dyDescent="0.25">
      <c r="A43" t="s">
        <v>17</v>
      </c>
      <c r="B43" s="6"/>
      <c r="C43" s="6"/>
      <c r="D43" s="6"/>
      <c r="E43" s="6"/>
      <c r="F43" s="6"/>
      <c r="G43" s="4"/>
    </row>
    <row r="44" spans="1:7" x14ac:dyDescent="0.25">
      <c r="A44" s="16" t="s">
        <v>18</v>
      </c>
      <c r="B44" s="6">
        <f>B12/B11*100</f>
        <v>112.68292682926828</v>
      </c>
      <c r="C44" s="6">
        <f t="shared" ref="C44" si="4">C12/C11*100</f>
        <v>111.3821138211382</v>
      </c>
      <c r="D44" s="6"/>
      <c r="E44" s="6"/>
      <c r="F44" s="6"/>
      <c r="G44" s="38"/>
    </row>
    <row r="45" spans="1:7" x14ac:dyDescent="0.25">
      <c r="A45" s="16" t="s">
        <v>19</v>
      </c>
      <c r="B45" s="6">
        <f>B18/B17*100</f>
        <v>46.767474303166559</v>
      </c>
      <c r="C45" s="6"/>
      <c r="D45" s="6">
        <f t="shared" ref="D45:F45" si="5">D18/D17*100</f>
        <v>110.02200332690583</v>
      </c>
      <c r="E45" s="6">
        <f t="shared" si="5"/>
        <v>99.346977142857156</v>
      </c>
      <c r="F45" s="6">
        <f t="shared" si="5"/>
        <v>0</v>
      </c>
      <c r="G45" s="4"/>
    </row>
    <row r="46" spans="1:7" x14ac:dyDescent="0.25">
      <c r="A46" s="16" t="s">
        <v>20</v>
      </c>
      <c r="B46" s="6">
        <f>AVERAGE(B44:B45)</f>
        <v>79.725200566217424</v>
      </c>
      <c r="C46" s="6">
        <f t="shared" ref="C46:F46" si="6">AVERAGE(C44:C45)</f>
        <v>111.3821138211382</v>
      </c>
      <c r="D46" s="6">
        <f t="shared" si="6"/>
        <v>110.02200332690583</v>
      </c>
      <c r="E46" s="6">
        <f t="shared" si="6"/>
        <v>99.346977142857156</v>
      </c>
      <c r="F46" s="6">
        <f t="shared" si="6"/>
        <v>0</v>
      </c>
      <c r="G46" s="4"/>
    </row>
    <row r="47" spans="1:7" x14ac:dyDescent="0.25">
      <c r="A47" s="16"/>
      <c r="B47" s="6"/>
      <c r="C47" s="6"/>
      <c r="D47" s="6"/>
      <c r="E47" s="6"/>
      <c r="F47" s="6"/>
      <c r="G47" s="4"/>
    </row>
    <row r="48" spans="1:7" x14ac:dyDescent="0.25">
      <c r="A48" s="16" t="s">
        <v>21</v>
      </c>
      <c r="B48" s="6"/>
      <c r="C48" s="6"/>
      <c r="D48" s="6"/>
      <c r="E48" s="6"/>
      <c r="F48" s="6"/>
      <c r="G48" s="4"/>
    </row>
    <row r="49" spans="1:7" x14ac:dyDescent="0.25">
      <c r="A49" s="16" t="s">
        <v>22</v>
      </c>
      <c r="B49" s="6">
        <f>(B12/B13)*100</f>
        <v>112.68292682926828</v>
      </c>
      <c r="C49" s="6">
        <f t="shared" ref="C49" si="7">(C12/C13)*100</f>
        <v>111.3821138211382</v>
      </c>
      <c r="D49" s="6"/>
      <c r="E49" s="6"/>
      <c r="F49" s="6"/>
      <c r="G49" s="4"/>
    </row>
    <row r="50" spans="1:7" x14ac:dyDescent="0.25">
      <c r="A50" s="16" t="s">
        <v>23</v>
      </c>
      <c r="B50" s="6">
        <f>B18/B19*100</f>
        <v>13.257422839426114</v>
      </c>
      <c r="C50" s="6"/>
      <c r="D50" s="6">
        <f t="shared" ref="D50:F50" si="8">D18/D19*100</f>
        <v>29.203576877883506</v>
      </c>
      <c r="E50" s="6">
        <f t="shared" si="8"/>
        <v>13.995305427830157</v>
      </c>
      <c r="F50" s="6">
        <f t="shared" si="8"/>
        <v>0</v>
      </c>
      <c r="G50" s="4"/>
    </row>
    <row r="51" spans="1:7" x14ac:dyDescent="0.25">
      <c r="A51" s="16" t="s">
        <v>24</v>
      </c>
      <c r="B51" s="6">
        <f>AVERAGE(B49:B50)</f>
        <v>62.970174834347198</v>
      </c>
      <c r="C51" s="6">
        <f t="shared" ref="C51:F51" si="9">AVERAGE(C49:C50)</f>
        <v>111.3821138211382</v>
      </c>
      <c r="D51" s="6">
        <f t="shared" si="9"/>
        <v>29.203576877883506</v>
      </c>
      <c r="E51" s="6">
        <f t="shared" si="9"/>
        <v>13.995305427830157</v>
      </c>
      <c r="F51" s="6">
        <f t="shared" si="9"/>
        <v>0</v>
      </c>
      <c r="G51" s="4"/>
    </row>
    <row r="52" spans="1:7" x14ac:dyDescent="0.25">
      <c r="A52" s="16"/>
      <c r="B52" s="6"/>
      <c r="C52" s="6"/>
      <c r="D52" s="6"/>
      <c r="E52" s="6"/>
      <c r="F52" s="6"/>
      <c r="G52" s="4"/>
    </row>
    <row r="53" spans="1:7" x14ac:dyDescent="0.25">
      <c r="A53" s="16" t="s">
        <v>36</v>
      </c>
      <c r="B53" s="6"/>
      <c r="C53" s="6"/>
      <c r="D53" s="6"/>
      <c r="E53" s="6"/>
      <c r="F53" s="6"/>
      <c r="G53" s="4"/>
    </row>
    <row r="54" spans="1:7" x14ac:dyDescent="0.25">
      <c r="A54" s="16" t="s">
        <v>25</v>
      </c>
      <c r="B54" s="6">
        <f>B20/B18*100</f>
        <v>92.095305887511913</v>
      </c>
      <c r="C54" s="6" t="e">
        <f t="shared" ref="C54:F54" si="10">C20/C18*100</f>
        <v>#DIV/0!</v>
      </c>
      <c r="D54" s="6">
        <f t="shared" si="10"/>
        <v>100</v>
      </c>
      <c r="E54" s="6">
        <f t="shared" si="10"/>
        <v>0</v>
      </c>
      <c r="F54" s="6" t="e">
        <f t="shared" si="10"/>
        <v>#DIV/0!</v>
      </c>
      <c r="G54" s="4"/>
    </row>
    <row r="55" spans="1:7" x14ac:dyDescent="0.25">
      <c r="A55" s="16"/>
      <c r="B55" s="6"/>
      <c r="C55" s="6"/>
      <c r="D55" s="6"/>
      <c r="E55" s="6"/>
      <c r="F55" s="6"/>
      <c r="G55" s="4"/>
    </row>
    <row r="56" spans="1:7" x14ac:dyDescent="0.25">
      <c r="A56" s="16" t="s">
        <v>26</v>
      </c>
      <c r="B56" s="6"/>
      <c r="C56" s="6"/>
      <c r="D56" s="6"/>
      <c r="E56" s="6"/>
      <c r="F56" s="6"/>
      <c r="G56" s="4"/>
    </row>
    <row r="57" spans="1:7" x14ac:dyDescent="0.25">
      <c r="A57" s="16" t="s">
        <v>27</v>
      </c>
      <c r="B57" s="6">
        <f>((B12/B10)-1)*100</f>
        <v>10.791366906474821</v>
      </c>
      <c r="C57" s="6">
        <f t="shared" ref="C57:F57" si="11">((C12/C10)-1)*100</f>
        <v>11.928104575163401</v>
      </c>
      <c r="D57" s="6" t="e">
        <f t="shared" si="11"/>
        <v>#DIV/0!</v>
      </c>
      <c r="E57" s="6" t="e">
        <f t="shared" si="11"/>
        <v>#DIV/0!</v>
      </c>
      <c r="F57" s="6" t="e">
        <f t="shared" si="11"/>
        <v>#DIV/0!</v>
      </c>
      <c r="G57" s="4"/>
    </row>
    <row r="58" spans="1:7" x14ac:dyDescent="0.25">
      <c r="A58" s="16" t="s">
        <v>28</v>
      </c>
      <c r="B58" s="6">
        <f>((B33/B32)-1)*100</f>
        <v>-56.70818069924006</v>
      </c>
      <c r="C58" s="6" t="e">
        <f t="shared" ref="C58:F58" si="12">((C33/C32)-1)*100</f>
        <v>#DIV/0!</v>
      </c>
      <c r="D58" s="6">
        <f t="shared" si="12"/>
        <v>16.074307194890338</v>
      </c>
      <c r="E58" s="6">
        <f t="shared" si="12"/>
        <v>-75.699773667814981</v>
      </c>
      <c r="F58" s="6">
        <f t="shared" si="12"/>
        <v>-100</v>
      </c>
      <c r="G58" s="4"/>
    </row>
    <row r="59" spans="1:7" x14ac:dyDescent="0.25">
      <c r="A59" s="16" t="s">
        <v>29</v>
      </c>
      <c r="B59" s="6">
        <f>((B35/B34)-1)*100</f>
        <v>-60.924916345417969</v>
      </c>
      <c r="C59" s="6" t="e">
        <f t="shared" ref="C59:F59" si="13">((C35/C34)-1)*100</f>
        <v>#DIV/0!</v>
      </c>
      <c r="D59" s="6">
        <f t="shared" si="13"/>
        <v>3.7043445303253764</v>
      </c>
      <c r="E59" s="6">
        <f t="shared" si="13"/>
        <v>-78.28943282438361</v>
      </c>
      <c r="F59" s="6">
        <f t="shared" si="13"/>
        <v>-100</v>
      </c>
      <c r="G59" s="4"/>
    </row>
    <row r="60" spans="1:7" x14ac:dyDescent="0.25">
      <c r="A60" s="16"/>
      <c r="B60" s="6"/>
      <c r="C60" s="6"/>
      <c r="D60" s="6"/>
      <c r="E60" s="6"/>
      <c r="F60" s="6"/>
      <c r="G60" s="4"/>
    </row>
    <row r="61" spans="1:7" x14ac:dyDescent="0.25">
      <c r="A61" s="16" t="s">
        <v>30</v>
      </c>
      <c r="B61" s="6"/>
      <c r="C61" s="6"/>
      <c r="D61" s="6"/>
      <c r="E61" s="6"/>
      <c r="F61" s="6"/>
      <c r="G61" s="4"/>
    </row>
    <row r="62" spans="1:7" x14ac:dyDescent="0.25">
      <c r="A62" s="16" t="s">
        <v>37</v>
      </c>
      <c r="B62" s="44">
        <f>B17/($B$11*3)</f>
        <v>152939.12487804878</v>
      </c>
      <c r="C62" s="44">
        <f>B17/(C11*3)</f>
        <v>152939.12487804878</v>
      </c>
      <c r="D62" s="44">
        <f>D17/($C$11*3)</f>
        <v>59871.544715447155</v>
      </c>
      <c r="E62" s="44">
        <f t="shared" ref="E62:F62" si="14">E17/($C$11*3)</f>
        <v>5691.0569105691056</v>
      </c>
      <c r="F62" s="44">
        <f t="shared" si="14"/>
        <v>87376.523252032523</v>
      </c>
      <c r="G62" s="39"/>
    </row>
    <row r="63" spans="1:7" x14ac:dyDescent="0.25">
      <c r="A63" s="16" t="s">
        <v>38</v>
      </c>
      <c r="B63" s="44">
        <f>B18/($B$12*3)</f>
        <v>63475.246818181819</v>
      </c>
      <c r="C63" s="44">
        <f>B18/(C12*3)</f>
        <v>64216.563569343067</v>
      </c>
      <c r="D63" s="44">
        <f>D18/($C$12*3)</f>
        <v>59140.440649635035</v>
      </c>
      <c r="E63" s="44">
        <f t="shared" ref="E63:F63" si="15">E18/($C$12*3)</f>
        <v>5076.1229197080293</v>
      </c>
      <c r="F63" s="44">
        <f t="shared" si="15"/>
        <v>0</v>
      </c>
      <c r="G63" s="8"/>
    </row>
    <row r="64" spans="1:7" x14ac:dyDescent="0.25">
      <c r="A64" s="16" t="s">
        <v>31</v>
      </c>
      <c r="B64" s="42">
        <f>(B62/B63)*B46</f>
        <v>192.09224093685015</v>
      </c>
      <c r="C64" s="42">
        <f>(C62/C63)*C46</f>
        <v>265.26930231135015</v>
      </c>
      <c r="D64" s="42"/>
      <c r="E64" s="42"/>
      <c r="F64" s="42"/>
      <c r="G64" s="4"/>
    </row>
    <row r="65" spans="1:8" x14ac:dyDescent="0.25">
      <c r="A65" s="14" t="s">
        <v>39</v>
      </c>
      <c r="B65" s="44">
        <f>B17/($B$11)</f>
        <v>458817.37463414634</v>
      </c>
      <c r="C65" s="44">
        <f>B17/C11</f>
        <v>458817.37463414634</v>
      </c>
      <c r="D65" s="50">
        <f>D17/($C$11)</f>
        <v>179614.63414634147</v>
      </c>
      <c r="E65" s="50">
        <f t="shared" ref="E65:F65" si="16">E17/($C$11)</f>
        <v>17073.170731707316</v>
      </c>
      <c r="F65" s="50">
        <f t="shared" si="16"/>
        <v>262129.56975609754</v>
      </c>
      <c r="G65" s="4"/>
    </row>
    <row r="66" spans="1:8" x14ac:dyDescent="0.25">
      <c r="A66" s="14" t="s">
        <v>40</v>
      </c>
      <c r="B66" s="44">
        <f>B18/($B$12)</f>
        <v>190425.74045454545</v>
      </c>
      <c r="C66" s="44">
        <f>B18/C12</f>
        <v>192649.6907080292</v>
      </c>
      <c r="D66" s="50">
        <f>D18/($C$12)</f>
        <v>177421.3219489051</v>
      </c>
      <c r="E66" s="50">
        <f t="shared" ref="E66:F66" si="17">E18/($C$12)</f>
        <v>15228.368759124089</v>
      </c>
      <c r="F66" s="50">
        <f t="shared" si="17"/>
        <v>0</v>
      </c>
      <c r="G66" s="4"/>
    </row>
    <row r="67" spans="1:8" x14ac:dyDescent="0.25">
      <c r="B67" s="6"/>
      <c r="C67" s="6"/>
      <c r="D67" s="6"/>
      <c r="E67" s="6"/>
      <c r="F67" s="6"/>
      <c r="G67" s="4"/>
    </row>
    <row r="68" spans="1:8" x14ac:dyDescent="0.25">
      <c r="A68" t="s">
        <v>32</v>
      </c>
      <c r="B68" s="6"/>
      <c r="C68" s="6"/>
      <c r="D68" s="6"/>
      <c r="E68" s="6"/>
      <c r="F68" s="6"/>
      <c r="G68" s="4"/>
    </row>
    <row r="69" spans="1:8" x14ac:dyDescent="0.25">
      <c r="A69" t="s">
        <v>33</v>
      </c>
      <c r="B69" s="42">
        <f>(B24/B23)*100</f>
        <v>49.409007538190295</v>
      </c>
      <c r="C69" s="6"/>
      <c r="D69" s="6"/>
      <c r="E69" s="6"/>
      <c r="F69" s="6"/>
      <c r="G69" s="39"/>
      <c r="H69" s="8"/>
    </row>
    <row r="70" spans="1:8" x14ac:dyDescent="0.25">
      <c r="A70" t="s">
        <v>34</v>
      </c>
      <c r="B70" s="42">
        <f>(B18/B24)*100</f>
        <v>94.653741561228514</v>
      </c>
      <c r="C70" s="6"/>
      <c r="D70" s="6"/>
      <c r="E70" s="6"/>
      <c r="F70" s="6"/>
      <c r="G70" s="39"/>
      <c r="H70" s="8"/>
    </row>
    <row r="71" spans="1:8" ht="15.75" thickBot="1" x14ac:dyDescent="0.3">
      <c r="A71" s="9"/>
      <c r="B71" s="9"/>
      <c r="C71" s="9"/>
      <c r="D71" s="9"/>
      <c r="E71" s="9"/>
      <c r="F71" s="9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89</v>
      </c>
    </row>
    <row r="75" spans="1:8" x14ac:dyDescent="0.25">
      <c r="A75" s="11" t="s">
        <v>90</v>
      </c>
      <c r="B75" s="12"/>
      <c r="C75" s="12"/>
      <c r="D75" s="12"/>
      <c r="E75" s="12"/>
    </row>
    <row r="76" spans="1:8" x14ac:dyDescent="0.25">
      <c r="A76" s="34" t="s">
        <v>91</v>
      </c>
      <c r="B76" s="12"/>
      <c r="C76" s="12"/>
      <c r="D76" s="12"/>
      <c r="E76" s="12"/>
    </row>
    <row r="77" spans="1:8" x14ac:dyDescent="0.25">
      <c r="A77" s="11" t="s">
        <v>78</v>
      </c>
      <c r="B77" s="12"/>
      <c r="C77" s="12"/>
      <c r="D77" s="12"/>
      <c r="E77" s="12"/>
    </row>
    <row r="78" spans="1:8" x14ac:dyDescent="0.25">
      <c r="A78" s="33" t="s">
        <v>79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2" spans="1:1" x14ac:dyDescent="0.25">
      <c r="A82" t="s">
        <v>134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zoomScale="90" zoomScaleNormal="90" workbookViewId="0">
      <selection activeCell="I19" sqref="I19"/>
    </sheetView>
  </sheetViews>
  <sheetFormatPr baseColWidth="10" defaultColWidth="11.42578125" defaultRowHeight="15" x14ac:dyDescent="0.25"/>
  <cols>
    <col min="1" max="1" width="55.140625" style="16" customWidth="1"/>
    <col min="2" max="2" width="14.7109375" style="16" bestFit="1" customWidth="1"/>
    <col min="3" max="3" width="14.7109375" style="16" customWidth="1"/>
    <col min="4" max="4" width="20.7109375" style="16" customWidth="1"/>
    <col min="5" max="5" width="13.7109375" style="16" customWidth="1"/>
    <col min="6" max="6" width="17.5703125" style="16" customWidth="1"/>
    <col min="7" max="7" width="13.7109375" style="16" bestFit="1" customWidth="1"/>
    <col min="8" max="16384" width="11.42578125" style="16"/>
  </cols>
  <sheetData>
    <row r="2" spans="1:7" ht="15.75" x14ac:dyDescent="0.25">
      <c r="A2" s="59" t="s">
        <v>106</v>
      </c>
      <c r="B2" s="59"/>
      <c r="C2" s="59"/>
      <c r="D2" s="59"/>
      <c r="E2" s="59"/>
      <c r="F2" s="59"/>
    </row>
    <row r="4" spans="1:7" ht="15" customHeight="1" x14ac:dyDescent="0.25">
      <c r="A4" s="60" t="s">
        <v>0</v>
      </c>
      <c r="B4" s="62" t="s">
        <v>1</v>
      </c>
      <c r="C4" s="57" t="s">
        <v>80</v>
      </c>
      <c r="D4" s="64" t="s">
        <v>2</v>
      </c>
      <c r="E4" s="64"/>
      <c r="F4" s="64"/>
    </row>
    <row r="5" spans="1:7" ht="15.75" thickBot="1" x14ac:dyDescent="0.3">
      <c r="A5" s="61"/>
      <c r="B5" s="63"/>
      <c r="C5" s="58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60</v>
      </c>
      <c r="B10" s="13">
        <v>388</v>
      </c>
      <c r="C10" s="13">
        <v>388</v>
      </c>
      <c r="D10" s="6"/>
      <c r="E10" s="6"/>
      <c r="F10" s="6"/>
      <c r="G10" s="6"/>
    </row>
    <row r="11" spans="1:7" x14ac:dyDescent="0.25">
      <c r="A11" s="20" t="s">
        <v>107</v>
      </c>
      <c r="B11" s="13">
        <v>410</v>
      </c>
      <c r="C11" s="13">
        <v>410</v>
      </c>
      <c r="D11" s="6"/>
      <c r="E11" s="6"/>
      <c r="F11" s="6"/>
      <c r="G11" s="6"/>
    </row>
    <row r="12" spans="1:7" x14ac:dyDescent="0.25">
      <c r="A12" s="20" t="s">
        <v>108</v>
      </c>
      <c r="B12" s="13">
        <v>445</v>
      </c>
      <c r="C12" s="13">
        <v>445</v>
      </c>
      <c r="D12" s="6"/>
    </row>
    <row r="13" spans="1:7" x14ac:dyDescent="0.25">
      <c r="A13" s="20" t="s">
        <v>84</v>
      </c>
      <c r="B13" s="13">
        <v>410</v>
      </c>
      <c r="C13" s="13">
        <v>410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60</v>
      </c>
      <c r="B16" s="13">
        <f>SUM(D16:F16)</f>
        <v>400076208.63</v>
      </c>
      <c r="C16" s="13"/>
      <c r="D16" s="13">
        <v>56191396.560000002</v>
      </c>
      <c r="E16" s="29">
        <v>36529331.460000001</v>
      </c>
      <c r="F16" s="30">
        <v>307355480.61000001</v>
      </c>
      <c r="G16" s="6"/>
    </row>
    <row r="17" spans="1:8" x14ac:dyDescent="0.25">
      <c r="A17" s="20" t="s">
        <v>107</v>
      </c>
      <c r="B17" s="13">
        <f t="shared" ref="B17:B19" si="0">SUM(D17:F17)</f>
        <v>71492441.129999995</v>
      </c>
      <c r="C17" s="13"/>
      <c r="D17" s="13">
        <v>59928000</v>
      </c>
      <c r="E17" s="13">
        <v>11564441.130000001</v>
      </c>
      <c r="F17" s="13">
        <v>0</v>
      </c>
      <c r="G17" s="6"/>
    </row>
    <row r="18" spans="1:8" x14ac:dyDescent="0.25">
      <c r="A18" s="20" t="s">
        <v>108</v>
      </c>
      <c r="B18" s="13">
        <f t="shared" si="0"/>
        <v>131525104.69000001</v>
      </c>
      <c r="C18" s="13"/>
      <c r="D18" s="13">
        <v>88514480.180000007</v>
      </c>
      <c r="E18" s="29">
        <v>32210624.510000002</v>
      </c>
      <c r="F18" s="30">
        <v>10800000</v>
      </c>
      <c r="G18" s="6"/>
    </row>
    <row r="19" spans="1:8" x14ac:dyDescent="0.25">
      <c r="A19" s="20" t="s">
        <v>84</v>
      </c>
      <c r="B19" s="13">
        <f t="shared" si="0"/>
        <v>668167715.73000002</v>
      </c>
      <c r="C19" s="13"/>
      <c r="D19" s="13">
        <v>277440000</v>
      </c>
      <c r="E19" s="13">
        <v>61254592.130000003</v>
      </c>
      <c r="F19" s="13">
        <v>329473123.60000002</v>
      </c>
      <c r="G19" s="6"/>
    </row>
    <row r="20" spans="1:8" x14ac:dyDescent="0.25">
      <c r="A20" s="20" t="s">
        <v>109</v>
      </c>
      <c r="B20" s="6">
        <f>D20</f>
        <v>88514480.180000007</v>
      </c>
      <c r="C20" s="6"/>
      <c r="D20" s="6">
        <f>D18</f>
        <v>88514480.180000007</v>
      </c>
      <c r="E20" s="6"/>
      <c r="F20" s="6"/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0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107</v>
      </c>
      <c r="B23" s="6">
        <f>B17</f>
        <v>71492441.129999995</v>
      </c>
      <c r="C23" s="6"/>
      <c r="D23" s="32"/>
      <c r="E23" s="6"/>
      <c r="F23" s="6"/>
      <c r="G23" s="38"/>
      <c r="H23" s="22"/>
    </row>
    <row r="24" spans="1:8" x14ac:dyDescent="0.25">
      <c r="A24" s="20" t="s">
        <v>108</v>
      </c>
      <c r="B24" s="6">
        <v>413769182.05000001</v>
      </c>
      <c r="C24" s="6"/>
      <c r="D24" s="13"/>
      <c r="E24" s="13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61</v>
      </c>
      <c r="B27" s="6">
        <v>1.62</v>
      </c>
      <c r="C27" s="6">
        <v>1.62</v>
      </c>
      <c r="D27" s="6">
        <v>1.62</v>
      </c>
      <c r="E27" s="6">
        <v>1.62</v>
      </c>
      <c r="F27" s="6">
        <v>1.62</v>
      </c>
      <c r="G27" s="6"/>
    </row>
    <row r="28" spans="1:8" x14ac:dyDescent="0.25">
      <c r="A28" s="16" t="s">
        <v>110</v>
      </c>
      <c r="B28" s="6">
        <v>1.71</v>
      </c>
      <c r="C28" s="6">
        <v>1.71</v>
      </c>
      <c r="D28" s="6">
        <v>1.71</v>
      </c>
      <c r="E28" s="6">
        <v>1.71</v>
      </c>
      <c r="F28" s="6">
        <v>1.71</v>
      </c>
      <c r="G28" s="6"/>
    </row>
    <row r="29" spans="1:8" x14ac:dyDescent="0.25">
      <c r="A29" s="16" t="s">
        <v>11</v>
      </c>
      <c r="B29" s="28" t="s">
        <v>76</v>
      </c>
      <c r="C29" s="28" t="s">
        <v>76</v>
      </c>
      <c r="D29" s="28" t="s">
        <v>76</v>
      </c>
      <c r="E29" s="28" t="s">
        <v>76</v>
      </c>
      <c r="F29" s="28" t="s">
        <v>76</v>
      </c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62</v>
      </c>
      <c r="B32" s="6">
        <f>B16/B27</f>
        <v>246960622.6111111</v>
      </c>
      <c r="C32" s="6">
        <f t="shared" ref="C32:F32" si="1">C16/C27</f>
        <v>0</v>
      </c>
      <c r="D32" s="6">
        <f t="shared" si="1"/>
        <v>34686047.259259261</v>
      </c>
      <c r="E32" s="6">
        <f t="shared" si="1"/>
        <v>22548970.037037037</v>
      </c>
      <c r="F32" s="6">
        <f t="shared" si="1"/>
        <v>189725605.31481481</v>
      </c>
      <c r="G32" s="6"/>
    </row>
    <row r="33" spans="1:7" x14ac:dyDescent="0.25">
      <c r="A33" s="16" t="s">
        <v>111</v>
      </c>
      <c r="B33" s="6">
        <f>B18/B28</f>
        <v>76915265.900584802</v>
      </c>
      <c r="C33" s="6">
        <f t="shared" ref="C33:F33" si="2">C18/C28</f>
        <v>0</v>
      </c>
      <c r="D33" s="6">
        <f t="shared" si="2"/>
        <v>51762853.906432755</v>
      </c>
      <c r="E33" s="6">
        <f t="shared" si="2"/>
        <v>18836622.520467836</v>
      </c>
      <c r="F33" s="6">
        <f t="shared" si="2"/>
        <v>6315789.4736842103</v>
      </c>
      <c r="G33" s="6"/>
    </row>
    <row r="34" spans="1:7" x14ac:dyDescent="0.25">
      <c r="A34" s="16" t="s">
        <v>63</v>
      </c>
      <c r="B34" s="6">
        <f>B32/B10</f>
        <v>636496.45002863684</v>
      </c>
      <c r="C34" s="25">
        <f>C32/C10</f>
        <v>0</v>
      </c>
      <c r="D34" s="44">
        <f>D32/$C$10</f>
        <v>89397.029018709436</v>
      </c>
      <c r="E34" s="44">
        <f t="shared" ref="E34:F34" si="3">E32/$C$10</f>
        <v>58115.902157311953</v>
      </c>
      <c r="F34" s="44">
        <f t="shared" si="3"/>
        <v>488983.5188526155</v>
      </c>
      <c r="G34" s="39"/>
    </row>
    <row r="35" spans="1:7" x14ac:dyDescent="0.25">
      <c r="A35" s="16" t="s">
        <v>112</v>
      </c>
      <c r="B35" s="6">
        <f>B33/B12</f>
        <v>172843.29415861753</v>
      </c>
      <c r="C35" s="25">
        <f>C33/C12</f>
        <v>0</v>
      </c>
      <c r="D35" s="44">
        <f>D33/$C$12</f>
        <v>116321.02001445563</v>
      </c>
      <c r="E35" s="44">
        <f t="shared" ref="E35:F35" si="4">E33/$C$12</f>
        <v>42329.488810040079</v>
      </c>
      <c r="F35" s="44">
        <f t="shared" si="4"/>
        <v>14192.785334121822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7" x14ac:dyDescent="0.25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6">
        <f>B12/B11*100</f>
        <v>108.53658536585367</v>
      </c>
      <c r="C44" s="6">
        <f t="shared" ref="C44" si="5">C12/C11*100</f>
        <v>108.53658536585367</v>
      </c>
      <c r="D44" s="6"/>
      <c r="E44" s="6"/>
      <c r="F44" s="6"/>
      <c r="G44" s="39"/>
    </row>
    <row r="45" spans="1:7" x14ac:dyDescent="0.25">
      <c r="A45" s="16" t="s">
        <v>19</v>
      </c>
      <c r="B45" s="6">
        <f>B18/B17*100</f>
        <v>183.97064446413037</v>
      </c>
      <c r="C45" s="6"/>
      <c r="D45" s="6">
        <f t="shared" ref="D45:F45" si="6">D18/D17*100</f>
        <v>147.70137528367374</v>
      </c>
      <c r="E45" s="6">
        <f t="shared" si="6"/>
        <v>278.53161383164911</v>
      </c>
      <c r="F45" s="6" t="e">
        <f t="shared" si="6"/>
        <v>#DIV/0!</v>
      </c>
      <c r="G45" s="6"/>
    </row>
    <row r="46" spans="1:7" x14ac:dyDescent="0.25">
      <c r="A46" s="16" t="s">
        <v>20</v>
      </c>
      <c r="B46" s="6">
        <f>AVERAGE(B44:B45)</f>
        <v>146.25361491499203</v>
      </c>
      <c r="C46" s="6">
        <f t="shared" ref="C46:F46" si="7">AVERAGE(C44:C45)</f>
        <v>108.53658536585367</v>
      </c>
      <c r="D46" s="6">
        <f t="shared" si="7"/>
        <v>147.70137528367374</v>
      </c>
      <c r="E46" s="6">
        <f t="shared" si="7"/>
        <v>278.53161383164911</v>
      </c>
      <c r="F46" s="6" t="e">
        <f t="shared" si="7"/>
        <v>#DIV/0!</v>
      </c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108.53658536585367</v>
      </c>
      <c r="C49" s="6">
        <f t="shared" ref="C49" si="8">(C12/C13)*100</f>
        <v>108.53658536585367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19.684444727519281</v>
      </c>
      <c r="C50" s="6"/>
      <c r="D50" s="6">
        <f t="shared" ref="D50:F50" si="9">D18/D19*100</f>
        <v>31.904008138696661</v>
      </c>
      <c r="E50" s="6">
        <f t="shared" si="9"/>
        <v>52.584832238601344</v>
      </c>
      <c r="F50" s="6">
        <f t="shared" si="9"/>
        <v>3.2779608491258432</v>
      </c>
      <c r="G50" s="6"/>
    </row>
    <row r="51" spans="1:7" x14ac:dyDescent="0.25">
      <c r="A51" s="16" t="s">
        <v>24</v>
      </c>
      <c r="B51" s="6">
        <f>AVERAGE(B49:B50)</f>
        <v>64.110515046686473</v>
      </c>
      <c r="C51" s="6">
        <f t="shared" ref="C51:F51" si="10">AVERAGE(C49:C50)</f>
        <v>108.53658536585367</v>
      </c>
      <c r="D51" s="6">
        <f t="shared" si="10"/>
        <v>31.904008138696661</v>
      </c>
      <c r="E51" s="6">
        <f t="shared" si="10"/>
        <v>52.584832238601344</v>
      </c>
      <c r="F51" s="6">
        <f t="shared" si="10"/>
        <v>3.2779608491258432</v>
      </c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67.298543794072998</v>
      </c>
      <c r="C54" s="6" t="e">
        <f t="shared" ref="C54:F54" si="11">C20/C18*100</f>
        <v>#DIV/0!</v>
      </c>
      <c r="D54" s="6">
        <f t="shared" si="11"/>
        <v>100</v>
      </c>
      <c r="E54" s="6">
        <f t="shared" si="11"/>
        <v>0</v>
      </c>
      <c r="F54" s="6">
        <f t="shared" si="11"/>
        <v>0</v>
      </c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14.690721649484528</v>
      </c>
      <c r="C57" s="6">
        <f t="shared" ref="C57:F57" si="12">((C12/C10)-1)*100</f>
        <v>14.690721649484528</v>
      </c>
      <c r="D57" s="6" t="e">
        <f t="shared" si="12"/>
        <v>#DIV/0!</v>
      </c>
      <c r="E57" s="6" t="e">
        <f t="shared" si="12"/>
        <v>#DIV/0!</v>
      </c>
      <c r="F57" s="6" t="e">
        <f t="shared" si="12"/>
        <v>#DIV/0!</v>
      </c>
      <c r="G57" s="6"/>
    </row>
    <row r="58" spans="1:7" x14ac:dyDescent="0.25">
      <c r="A58" s="16" t="s">
        <v>28</v>
      </c>
      <c r="B58" s="6">
        <f>((B33/B32)-1)*100</f>
        <v>-68.855251056884768</v>
      </c>
      <c r="C58" s="6" t="e">
        <f t="shared" ref="C58:F58" si="13">((C33/C32)-1)*100</f>
        <v>#DIV/0!</v>
      </c>
      <c r="D58" s="6">
        <f t="shared" si="13"/>
        <v>49.232495474430074</v>
      </c>
      <c r="E58" s="6">
        <f t="shared" si="13"/>
        <v>-16.463490396552981</v>
      </c>
      <c r="F58" s="6">
        <f t="shared" si="13"/>
        <v>-96.671092727202364</v>
      </c>
      <c r="G58" s="6"/>
    </row>
    <row r="59" spans="1:7" x14ac:dyDescent="0.25">
      <c r="A59" s="16" t="s">
        <v>29</v>
      </c>
      <c r="B59" s="6">
        <f>((B35/B34)-1)*100</f>
        <v>-72.844578449598416</v>
      </c>
      <c r="C59" s="6" t="e">
        <f t="shared" ref="C59:F59" si="14">((C35/C34)-1)*100</f>
        <v>#DIV/0!</v>
      </c>
      <c r="D59" s="6">
        <f t="shared" si="14"/>
        <v>30.117321896806448</v>
      </c>
      <c r="E59" s="6">
        <f t="shared" si="14"/>
        <v>-27.163672525533844</v>
      </c>
      <c r="F59" s="6">
        <f t="shared" si="14"/>
        <v>-97.097492085740484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44">
        <f>B17/($B$11*3)</f>
        <v>58123.935878048775</v>
      </c>
      <c r="C62" s="44">
        <f>B17/(C11*3)</f>
        <v>58123.935878048775</v>
      </c>
      <c r="D62" s="44">
        <f>D17/($C$11*3)</f>
        <v>48721.951219512193</v>
      </c>
      <c r="E62" s="44">
        <f t="shared" ref="E62:F62" si="15">E17/($C$11*3)</f>
        <v>9401.9846585365867</v>
      </c>
      <c r="F62" s="44">
        <f t="shared" si="15"/>
        <v>0</v>
      </c>
      <c r="G62" s="39"/>
    </row>
    <row r="63" spans="1:7" x14ac:dyDescent="0.25">
      <c r="A63" s="16" t="s">
        <v>38</v>
      </c>
      <c r="B63" s="44">
        <f>B18/($B$12*3)</f>
        <v>98520.677670411998</v>
      </c>
      <c r="C63" s="44">
        <f>B18/(C12*3)</f>
        <v>98520.677670411998</v>
      </c>
      <c r="D63" s="44">
        <f>D18/($C$12*3)</f>
        <v>66302.981408239706</v>
      </c>
      <c r="E63" s="44">
        <f t="shared" ref="E63:F63" si="16">E18/($C$12*3)</f>
        <v>24127.808621722848</v>
      </c>
      <c r="F63" s="44">
        <f t="shared" si="16"/>
        <v>8089.8876404494385</v>
      </c>
      <c r="G63" s="22"/>
    </row>
    <row r="64" spans="1:7" x14ac:dyDescent="0.25">
      <c r="A64" s="16" t="s">
        <v>31</v>
      </c>
      <c r="B64" s="42">
        <f>(B62/B63)*B46</f>
        <v>86.284787480758766</v>
      </c>
      <c r="C64" s="42">
        <f>(C62/C63)*C46</f>
        <v>64.032989595663878</v>
      </c>
      <c r="D64" s="42"/>
      <c r="E64" s="42"/>
      <c r="F64" s="42"/>
      <c r="G64" s="6"/>
    </row>
    <row r="65" spans="1:8" x14ac:dyDescent="0.25">
      <c r="A65" s="14" t="s">
        <v>39</v>
      </c>
      <c r="B65" s="44">
        <f>B17/($B$11)</f>
        <v>174371.80763414633</v>
      </c>
      <c r="C65" s="44">
        <f>B17/C11</f>
        <v>174371.80763414633</v>
      </c>
      <c r="D65" s="50">
        <f>D17/($C$11)</f>
        <v>146165.85365853659</v>
      </c>
      <c r="E65" s="50">
        <f t="shared" ref="E65:F65" si="17">E17/($C$11)</f>
        <v>28205.953975609758</v>
      </c>
      <c r="F65" s="50">
        <f t="shared" si="17"/>
        <v>0</v>
      </c>
      <c r="G65" s="6"/>
    </row>
    <row r="66" spans="1:8" x14ac:dyDescent="0.25">
      <c r="A66" s="14" t="s">
        <v>40</v>
      </c>
      <c r="B66" s="44">
        <f>B18/($B$12)</f>
        <v>295562.033011236</v>
      </c>
      <c r="C66" s="44">
        <f>B18/C12</f>
        <v>295562.033011236</v>
      </c>
      <c r="D66" s="50">
        <f>D18/($C$12)</f>
        <v>198908.9442247191</v>
      </c>
      <c r="E66" s="50">
        <f t="shared" ref="E66:F66" si="18">E18/($C$12)</f>
        <v>72383.425865168538</v>
      </c>
      <c r="F66" s="50">
        <f t="shared" si="18"/>
        <v>24269.662921348314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42">
        <f>(B24/B23)*100</f>
        <v>578.75934226055153</v>
      </c>
      <c r="C69" s="6"/>
      <c r="D69" s="6"/>
      <c r="E69" s="6"/>
      <c r="F69" s="6"/>
      <c r="G69" s="39"/>
      <c r="H69" s="22"/>
    </row>
    <row r="70" spans="1:8" x14ac:dyDescent="0.25">
      <c r="A70" s="16" t="s">
        <v>34</v>
      </c>
      <c r="B70" s="42">
        <f>(B18/B24)*100</f>
        <v>31.787071245462279</v>
      </c>
      <c r="C70" s="6"/>
      <c r="D70" s="6"/>
      <c r="E70" s="6"/>
      <c r="F70" s="6"/>
      <c r="G70" s="39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89</v>
      </c>
    </row>
    <row r="75" spans="1:8" x14ac:dyDescent="0.25">
      <c r="A75" s="11" t="s">
        <v>90</v>
      </c>
      <c r="B75" s="24"/>
      <c r="C75" s="24"/>
      <c r="D75" s="24"/>
      <c r="E75" s="24"/>
    </row>
    <row r="76" spans="1:8" x14ac:dyDescent="0.25">
      <c r="A76" s="34" t="s">
        <v>91</v>
      </c>
      <c r="B76" s="24"/>
      <c r="C76" s="24"/>
      <c r="D76" s="24"/>
      <c r="E76" s="24"/>
    </row>
    <row r="77" spans="1:8" x14ac:dyDescent="0.25">
      <c r="A77" s="11" t="s">
        <v>78</v>
      </c>
    </row>
    <row r="78" spans="1:8" x14ac:dyDescent="0.25">
      <c r="A78" s="33" t="s">
        <v>79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2" spans="1:1" x14ac:dyDescent="0.25">
      <c r="A82" t="s">
        <v>134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25" zoomScaleNormal="100" workbookViewId="0">
      <selection activeCell="B63" sqref="B63"/>
    </sheetView>
  </sheetViews>
  <sheetFormatPr baseColWidth="10" defaultColWidth="11.42578125" defaultRowHeight="15" x14ac:dyDescent="0.25"/>
  <cols>
    <col min="1" max="1" width="55.140625" style="16" customWidth="1"/>
    <col min="2" max="2" width="19.7109375" style="16" customWidth="1"/>
    <col min="3" max="3" width="13.85546875" style="16" customWidth="1"/>
    <col min="4" max="4" width="20.7109375" style="16" customWidth="1"/>
    <col min="5" max="5" width="16.85546875" style="16" customWidth="1"/>
    <col min="6" max="7" width="13.7109375" style="16" bestFit="1" customWidth="1"/>
    <col min="8" max="16384" width="11.42578125" style="16"/>
  </cols>
  <sheetData>
    <row r="2" spans="1:7" ht="15.75" x14ac:dyDescent="0.25">
      <c r="A2" s="59" t="s">
        <v>113</v>
      </c>
      <c r="B2" s="59"/>
      <c r="C2" s="59"/>
      <c r="D2" s="59"/>
      <c r="E2" s="59"/>
      <c r="F2" s="59"/>
    </row>
    <row r="4" spans="1:7" ht="15" customHeight="1" x14ac:dyDescent="0.25">
      <c r="A4" s="60" t="s">
        <v>0</v>
      </c>
      <c r="B4" s="62" t="s">
        <v>1</v>
      </c>
      <c r="C4" s="57" t="s">
        <v>80</v>
      </c>
      <c r="D4" s="64" t="s">
        <v>2</v>
      </c>
      <c r="E4" s="64"/>
      <c r="F4" s="64"/>
    </row>
    <row r="5" spans="1:7" ht="15.75" thickBot="1" x14ac:dyDescent="0.3">
      <c r="A5" s="61"/>
      <c r="B5" s="63"/>
      <c r="C5" s="58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64</v>
      </c>
      <c r="B10" s="13">
        <f>'I Trimestre'!B10</f>
        <v>486</v>
      </c>
      <c r="C10" s="13">
        <f>('I Trimestre'!C10+'II Trimestre'!C10)/2</f>
        <v>444.5</v>
      </c>
      <c r="D10" s="6"/>
      <c r="E10" s="6"/>
      <c r="F10" s="6"/>
      <c r="G10" s="6"/>
    </row>
    <row r="11" spans="1:7" x14ac:dyDescent="0.25">
      <c r="A11" s="20" t="s">
        <v>114</v>
      </c>
      <c r="B11" s="13">
        <f>'I Trimestre'!B11</f>
        <v>410</v>
      </c>
      <c r="C11" s="13">
        <f>('I Trimestre'!C11+'II Trimestre'!C11)/2</f>
        <v>410</v>
      </c>
      <c r="D11" s="6"/>
      <c r="E11" s="6"/>
      <c r="F11" s="6"/>
      <c r="G11" s="6"/>
    </row>
    <row r="12" spans="1:7" x14ac:dyDescent="0.25">
      <c r="A12" s="20" t="s">
        <v>115</v>
      </c>
      <c r="B12" s="13">
        <f>'I Trimestre'!B12</f>
        <v>491</v>
      </c>
      <c r="C12" s="47">
        <f>('I Trimestre'!C12+'II Trimestre'!C12)/2</f>
        <v>475.08333333333337</v>
      </c>
      <c r="D12" s="6"/>
      <c r="G12" s="22"/>
    </row>
    <row r="13" spans="1:7" x14ac:dyDescent="0.25">
      <c r="A13" s="20" t="s">
        <v>84</v>
      </c>
      <c r="B13" s="13">
        <f>'I Trimestre'!B13</f>
        <v>410</v>
      </c>
      <c r="C13" s="13">
        <f>'II Trimestre'!C13</f>
        <v>410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64</v>
      </c>
      <c r="B16" s="42">
        <f>+'I Trimestre'!B16+'II Trimestre'!B16</f>
        <v>391095812.76999998</v>
      </c>
      <c r="C16" s="6"/>
      <c r="D16" s="6">
        <f>'I Trimestre'!D16+'II Trimestre'!D16</f>
        <v>117749740.22999999</v>
      </c>
      <c r="E16" s="6">
        <f>'I Trimestre'!E16+'II Trimestre'!E16</f>
        <v>82839064.50999999</v>
      </c>
      <c r="F16" s="6">
        <f>'I Trimestre'!F16+'II Trimestre'!F16</f>
        <v>190507008.03</v>
      </c>
      <c r="G16" s="39"/>
    </row>
    <row r="17" spans="1:8" x14ac:dyDescent="0.25">
      <c r="A17" s="20" t="s">
        <v>114</v>
      </c>
      <c r="B17" s="6">
        <f>+'I Trimestre'!B17+'II Trimestre'!B17</f>
        <v>408560151</v>
      </c>
      <c r="C17" s="6"/>
      <c r="D17" s="6">
        <f>'I Trimestre'!D17+'II Trimestre'!D17</f>
        <v>143870000</v>
      </c>
      <c r="E17" s="6">
        <f>'I Trimestre'!E17+'II Trimestre'!E17</f>
        <v>42690151</v>
      </c>
      <c r="F17" s="6">
        <f>'I Trimestre'!F17+'II Trimestre'!F17</f>
        <v>222000000</v>
      </c>
      <c r="G17" s="6"/>
    </row>
    <row r="18" spans="1:8" x14ac:dyDescent="0.25">
      <c r="A18" s="20" t="s">
        <v>115</v>
      </c>
      <c r="B18" s="6">
        <f>+'I Trimestre'!B18+'II Trimestre'!B18</f>
        <v>130960457.92</v>
      </c>
      <c r="C18" s="6"/>
      <c r="D18" s="6">
        <f>'I Trimestre'!D18+'II Trimestre'!D18</f>
        <v>106877890.34999999</v>
      </c>
      <c r="E18" s="6">
        <f>'I Trimestre'!E18+'II Trimestre'!E18</f>
        <v>19882567.57</v>
      </c>
      <c r="F18" s="6">
        <f>'I Trimestre'!F18+'II Trimestre'!F18</f>
        <v>4200000</v>
      </c>
      <c r="G18" s="6"/>
    </row>
    <row r="19" spans="1:8" x14ac:dyDescent="0.25">
      <c r="A19" s="20" t="s">
        <v>84</v>
      </c>
      <c r="B19" s="6">
        <f>SUM(D19:F19)</f>
        <v>642130151</v>
      </c>
      <c r="C19" s="6"/>
      <c r="D19" s="6">
        <f>+'II Trimestre'!D19</f>
        <v>277440000</v>
      </c>
      <c r="E19" s="6">
        <f>+'II Trimestre'!E19</f>
        <v>42690151</v>
      </c>
      <c r="F19" s="6">
        <f>+'II Trimestre'!F19</f>
        <v>322000000</v>
      </c>
      <c r="G19" s="6"/>
    </row>
    <row r="20" spans="1:8" x14ac:dyDescent="0.25">
      <c r="A20" s="20" t="s">
        <v>116</v>
      </c>
      <c r="B20" s="6">
        <f>D20</f>
        <v>106877890.34999999</v>
      </c>
      <c r="C20" s="6"/>
      <c r="D20" s="6">
        <f>D18</f>
        <v>106877890.34999999</v>
      </c>
      <c r="E20" s="6"/>
      <c r="F20" s="6"/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0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114</v>
      </c>
      <c r="B23" s="6">
        <f>B17</f>
        <v>408560151</v>
      </c>
      <c r="C23" s="6"/>
      <c r="D23" s="43"/>
      <c r="E23" s="6"/>
      <c r="F23" s="6"/>
      <c r="G23" s="38"/>
      <c r="H23" s="22"/>
    </row>
    <row r="24" spans="1:8" x14ac:dyDescent="0.25">
      <c r="A24" s="20" t="s">
        <v>115</v>
      </c>
      <c r="B24" s="6">
        <f>'I Trimestre'!B24+'II Trimestre'!B24</f>
        <v>158662010.95999998</v>
      </c>
      <c r="C24" s="6"/>
      <c r="D24" s="42"/>
      <c r="E24" s="6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65</v>
      </c>
      <c r="B27" s="6">
        <v>1.61</v>
      </c>
      <c r="C27" s="6">
        <v>1.61</v>
      </c>
      <c r="D27" s="6">
        <v>1.61</v>
      </c>
      <c r="E27" s="6">
        <v>1.61</v>
      </c>
      <c r="F27" s="6">
        <v>1.61</v>
      </c>
      <c r="G27" s="6"/>
    </row>
    <row r="28" spans="1:8" x14ac:dyDescent="0.25">
      <c r="A28" s="16" t="s">
        <v>117</v>
      </c>
      <c r="B28" s="6">
        <v>1.67</v>
      </c>
      <c r="C28" s="6">
        <v>1.67</v>
      </c>
      <c r="D28" s="6">
        <v>1.67</v>
      </c>
      <c r="E28" s="6">
        <v>1.67</v>
      </c>
      <c r="F28" s="6">
        <v>1.67</v>
      </c>
      <c r="G28" s="6"/>
    </row>
    <row r="29" spans="1:8" x14ac:dyDescent="0.25">
      <c r="A29" s="16" t="s">
        <v>11</v>
      </c>
      <c r="B29" s="28" t="s">
        <v>76</v>
      </c>
      <c r="C29" s="28" t="s">
        <v>76</v>
      </c>
      <c r="D29" s="28" t="s">
        <v>76</v>
      </c>
      <c r="E29" s="28" t="s">
        <v>76</v>
      </c>
      <c r="F29" s="28" t="s">
        <v>76</v>
      </c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66</v>
      </c>
      <c r="B32" s="6">
        <f>B16/B27</f>
        <v>242916653.89440992</v>
      </c>
      <c r="C32" s="6">
        <f>C16/C27</f>
        <v>0</v>
      </c>
      <c r="D32" s="6">
        <f t="shared" ref="D32:F32" si="0">D16/D27</f>
        <v>73136484.614906818</v>
      </c>
      <c r="E32" s="6">
        <f t="shared" si="0"/>
        <v>51452835.099378876</v>
      </c>
      <c r="F32" s="6">
        <f t="shared" si="0"/>
        <v>118327334.18012422</v>
      </c>
      <c r="G32" s="6"/>
    </row>
    <row r="33" spans="1:7" x14ac:dyDescent="0.25">
      <c r="A33" s="16" t="s">
        <v>118</v>
      </c>
      <c r="B33" s="6">
        <f>B18/B28</f>
        <v>78419435.880239531</v>
      </c>
      <c r="C33" s="6">
        <f t="shared" ref="C33:F33" si="1">C18/C28</f>
        <v>0</v>
      </c>
      <c r="D33" s="6">
        <f t="shared" si="1"/>
        <v>63998736.736526944</v>
      </c>
      <c r="E33" s="6">
        <f t="shared" si="1"/>
        <v>11905729.083832337</v>
      </c>
      <c r="F33" s="6">
        <f t="shared" si="1"/>
        <v>2514970.0598802394</v>
      </c>
      <c r="G33" s="6"/>
    </row>
    <row r="34" spans="1:7" x14ac:dyDescent="0.25">
      <c r="A34" s="16" t="s">
        <v>67</v>
      </c>
      <c r="B34" s="6">
        <f>B32/B10</f>
        <v>499828.50595557597</v>
      </c>
      <c r="C34" s="25">
        <f>C32/C10</f>
        <v>0</v>
      </c>
      <c r="D34" s="44">
        <f>D32/$C$10</f>
        <v>164536.52331812558</v>
      </c>
      <c r="E34" s="44">
        <f t="shared" ref="E34:F34" si="2">E32/$C$10</f>
        <v>115754.40967239342</v>
      </c>
      <c r="F34" s="44">
        <f t="shared" si="2"/>
        <v>266203.22650196677</v>
      </c>
      <c r="G34" s="39"/>
    </row>
    <row r="35" spans="1:7" x14ac:dyDescent="0.25">
      <c r="A35" s="16" t="s">
        <v>119</v>
      </c>
      <c r="B35" s="6">
        <f>B33/B12</f>
        <v>159713.71869702553</v>
      </c>
      <c r="C35" s="25">
        <f>C33/C12</f>
        <v>0</v>
      </c>
      <c r="D35" s="44">
        <f>D33/$C$12</f>
        <v>134710.54917353505</v>
      </c>
      <c r="E35" s="44">
        <f t="shared" ref="E35:F35" si="3">E33/$C$12</f>
        <v>25060.296264863711</v>
      </c>
      <c r="F35" s="44">
        <f t="shared" si="3"/>
        <v>5293.7450830666321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7" x14ac:dyDescent="0.25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6">
        <f>B12/B11*100</f>
        <v>119.7560975609756</v>
      </c>
      <c r="C44" s="6">
        <f>C12/C11*100</f>
        <v>115.87398373983741</v>
      </c>
      <c r="D44" s="6"/>
      <c r="E44" s="6"/>
      <c r="F44" s="6"/>
      <c r="G44" s="39"/>
    </row>
    <row r="45" spans="1:7" x14ac:dyDescent="0.25">
      <c r="A45" s="16" t="s">
        <v>19</v>
      </c>
      <c r="B45" s="6">
        <f>B18/B17*100</f>
        <v>32.054143704288968</v>
      </c>
      <c r="C45" s="6"/>
      <c r="D45" s="6">
        <f>D18/D17*100</f>
        <v>74.287822582887316</v>
      </c>
      <c r="E45" s="6">
        <f t="shared" ref="E45" si="4">E18/E17*100</f>
        <v>46.574132684609147</v>
      </c>
      <c r="F45" s="6">
        <f>F18/F17*100</f>
        <v>1.8918918918918921</v>
      </c>
      <c r="G45" s="6"/>
    </row>
    <row r="46" spans="1:7" x14ac:dyDescent="0.25">
      <c r="A46" s="16" t="s">
        <v>20</v>
      </c>
      <c r="B46" s="6">
        <f>AVERAGE(B44:B45)</f>
        <v>75.90512063263229</v>
      </c>
      <c r="C46" s="6">
        <f>AVERAGE(C44:C45)</f>
        <v>115.87398373983741</v>
      </c>
      <c r="D46" s="6">
        <f t="shared" ref="D46:F46" si="5">AVERAGE(D44:D45)</f>
        <v>74.287822582887316</v>
      </c>
      <c r="E46" s="6">
        <f t="shared" si="5"/>
        <v>46.574132684609147</v>
      </c>
      <c r="F46" s="6">
        <f t="shared" si="5"/>
        <v>1.8918918918918921</v>
      </c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119.7560975609756</v>
      </c>
      <c r="C49" s="6">
        <f t="shared" ref="C49" si="6">(C12/C13)*100</f>
        <v>115.87398373983741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20.394690658280584</v>
      </c>
      <c r="C50" s="6"/>
      <c r="D50" s="6">
        <f t="shared" ref="D50:F50" si="7">D18/D19*100</f>
        <v>38.522884353373698</v>
      </c>
      <c r="E50" s="6">
        <f t="shared" si="7"/>
        <v>46.574132684609147</v>
      </c>
      <c r="F50" s="6">
        <f t="shared" si="7"/>
        <v>1.3043478260869565</v>
      </c>
      <c r="G50" s="6"/>
    </row>
    <row r="51" spans="1:7" x14ac:dyDescent="0.25">
      <c r="A51" s="16" t="s">
        <v>24</v>
      </c>
      <c r="B51" s="6">
        <f>AVERAGE(B49:B50)</f>
        <v>70.075394109628093</v>
      </c>
      <c r="C51" s="6">
        <f t="shared" ref="C51:F51" si="8">AVERAGE(C49:C50)</f>
        <v>115.87398373983741</v>
      </c>
      <c r="D51" s="6">
        <f t="shared" si="8"/>
        <v>38.522884353373698</v>
      </c>
      <c r="E51" s="6">
        <f t="shared" si="8"/>
        <v>46.574132684609147</v>
      </c>
      <c r="F51" s="6">
        <f t="shared" si="8"/>
        <v>1.3043478260869565</v>
      </c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81.610809894455798</v>
      </c>
      <c r="C54" s="6" t="e">
        <f t="shared" ref="C54:F54" si="9">C20/C18*100</f>
        <v>#DIV/0!</v>
      </c>
      <c r="D54" s="6">
        <f t="shared" si="9"/>
        <v>100</v>
      </c>
      <c r="E54" s="6">
        <f t="shared" si="9"/>
        <v>0</v>
      </c>
      <c r="F54" s="6">
        <f t="shared" si="9"/>
        <v>0</v>
      </c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1.0288065843621297</v>
      </c>
      <c r="C57" s="6">
        <f t="shared" ref="C57:F57" si="10">((C12/C10)-1)*100</f>
        <v>6.8803899512561051</v>
      </c>
      <c r="D57" s="6" t="e">
        <f t="shared" si="10"/>
        <v>#DIV/0!</v>
      </c>
      <c r="E57" s="6" t="e">
        <f t="shared" si="10"/>
        <v>#DIV/0!</v>
      </c>
      <c r="F57" s="6" t="e">
        <f t="shared" si="10"/>
        <v>#DIV/0!</v>
      </c>
      <c r="G57" s="6"/>
    </row>
    <row r="58" spans="1:7" x14ac:dyDescent="0.25">
      <c r="A58" s="16" t="s">
        <v>28</v>
      </c>
      <c r="B58" s="6">
        <f>((B33/B32)-1)*100</f>
        <v>-67.717554715566521</v>
      </c>
      <c r="C58" s="6" t="e">
        <f t="shared" ref="C58:F58" si="11">((C33/C32)-1)*100</f>
        <v>#DIV/0!</v>
      </c>
      <c r="D58" s="6">
        <f t="shared" si="11"/>
        <v>-12.494103218788567</v>
      </c>
      <c r="E58" s="6">
        <f t="shared" si="11"/>
        <v>-76.860888110758239</v>
      </c>
      <c r="F58" s="6">
        <f t="shared" si="11"/>
        <v>-97.87456543553003</v>
      </c>
      <c r="G58" s="6"/>
    </row>
    <row r="59" spans="1:7" x14ac:dyDescent="0.25">
      <c r="A59" s="16" t="s">
        <v>29</v>
      </c>
      <c r="B59" s="6">
        <f>((B35/B34)-1)*100</f>
        <v>-68.046296520906992</v>
      </c>
      <c r="C59" s="6" t="e">
        <f t="shared" ref="C59:F59" si="12">((C35/C34)-1)*100</f>
        <v>#DIV/0!</v>
      </c>
      <c r="D59" s="6">
        <f t="shared" si="12"/>
        <v>-18.127266544293661</v>
      </c>
      <c r="E59" s="6">
        <f t="shared" si="12"/>
        <v>-78.350460828413333</v>
      </c>
      <c r="F59" s="6">
        <f t="shared" si="12"/>
        <v>-98.011389586584315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44">
        <f>B17/($B$11*5)</f>
        <v>199297.63463414635</v>
      </c>
      <c r="C62" s="44">
        <f>B17/(C11*5)</f>
        <v>199297.63463414635</v>
      </c>
      <c r="D62" s="44">
        <f>D17/($C$11*5)</f>
        <v>70180.487804878052</v>
      </c>
      <c r="E62" s="44">
        <f t="shared" ref="E62:F62" si="13">E17/($C$11*5)</f>
        <v>20824.463902439024</v>
      </c>
      <c r="F62" s="44">
        <f t="shared" si="13"/>
        <v>108292.68292682926</v>
      </c>
      <c r="G62" s="39"/>
    </row>
    <row r="63" spans="1:7" x14ac:dyDescent="0.25">
      <c r="A63" s="16" t="s">
        <v>38</v>
      </c>
      <c r="B63" s="44">
        <f>B18/($B$12*5)</f>
        <v>53344.382044806516</v>
      </c>
      <c r="C63" s="44">
        <f>B18/(C12*5)</f>
        <v>55131.573234169438</v>
      </c>
      <c r="D63" s="44">
        <f>D18/($C$12*5)</f>
        <v>44993.323423960697</v>
      </c>
      <c r="E63" s="44">
        <f t="shared" ref="E63:F63" si="14">E18/($C$12*5)</f>
        <v>8370.1389524644783</v>
      </c>
      <c r="F63" s="44">
        <f t="shared" si="14"/>
        <v>1768.1108577442551</v>
      </c>
      <c r="G63" s="22"/>
    </row>
    <row r="64" spans="1:7" x14ac:dyDescent="0.25">
      <c r="A64" s="16" t="s">
        <v>31</v>
      </c>
      <c r="B64" s="42">
        <f>(B62/B63)*B46</f>
        <v>283.58583263738365</v>
      </c>
      <c r="C64" s="42">
        <f>(C62/C63)*C46</f>
        <v>418.87814042412089</v>
      </c>
      <c r="D64" s="42"/>
      <c r="E64" s="42"/>
      <c r="F64" s="42"/>
      <c r="G64" s="6"/>
    </row>
    <row r="65" spans="1:8" x14ac:dyDescent="0.25">
      <c r="A65" s="14" t="s">
        <v>41</v>
      </c>
      <c r="B65" s="44">
        <f>B17/($B$11)</f>
        <v>996488.17317073175</v>
      </c>
      <c r="C65" s="44">
        <f>B17/C11</f>
        <v>996488.17317073175</v>
      </c>
      <c r="D65" s="50">
        <f>D17/($C$11)</f>
        <v>350902.43902439025</v>
      </c>
      <c r="E65" s="50">
        <f t="shared" ref="E65:F65" si="15">E17/($C$11)</f>
        <v>104122.31951219513</v>
      </c>
      <c r="F65" s="50">
        <f t="shared" si="15"/>
        <v>541463.41463414638</v>
      </c>
      <c r="G65" s="6"/>
    </row>
    <row r="66" spans="1:8" x14ac:dyDescent="0.25">
      <c r="A66" s="14" t="s">
        <v>42</v>
      </c>
      <c r="B66" s="44">
        <f>B18/($B$12)</f>
        <v>266721.91022403259</v>
      </c>
      <c r="C66" s="44">
        <f>B18/C12</f>
        <v>275657.86617084721</v>
      </c>
      <c r="D66" s="50">
        <f>D18/($C$12)</f>
        <v>224966.6171198035</v>
      </c>
      <c r="E66" s="50">
        <f t="shared" ref="E66:F66" si="16">E18/($C$12)</f>
        <v>41850.694762322397</v>
      </c>
      <c r="F66" s="50">
        <f t="shared" si="16"/>
        <v>8840.554288721276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42">
        <f>((B24+D24)/B23)*100</f>
        <v>38.834431251225958</v>
      </c>
      <c r="C69" s="6"/>
      <c r="D69" s="6"/>
      <c r="E69" s="6"/>
      <c r="F69" s="6"/>
      <c r="G69" s="39"/>
      <c r="H69" s="22"/>
    </row>
    <row r="70" spans="1:8" x14ac:dyDescent="0.25">
      <c r="A70" s="16" t="s">
        <v>34</v>
      </c>
      <c r="B70" s="42">
        <f>(B18/(B24+D24))*100</f>
        <v>82.54052569207397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89</v>
      </c>
    </row>
    <row r="75" spans="1:8" x14ac:dyDescent="0.25">
      <c r="A75" s="11" t="s">
        <v>90</v>
      </c>
      <c r="B75" s="24"/>
      <c r="C75" s="24"/>
      <c r="D75" s="24"/>
      <c r="E75" s="24"/>
    </row>
    <row r="76" spans="1:8" x14ac:dyDescent="0.25">
      <c r="A76" s="34" t="s">
        <v>91</v>
      </c>
      <c r="B76" s="24"/>
      <c r="C76" s="24"/>
      <c r="D76" s="24"/>
      <c r="E76" s="24"/>
    </row>
    <row r="77" spans="1:8" x14ac:dyDescent="0.25">
      <c r="A77" s="11" t="s">
        <v>78</v>
      </c>
    </row>
    <row r="78" spans="1:8" x14ac:dyDescent="0.25">
      <c r="A78" s="33" t="s">
        <v>79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2" spans="1:1" x14ac:dyDescent="0.25">
      <c r="A82" t="s">
        <v>134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2"/>
  <sheetViews>
    <sheetView topLeftCell="A76" zoomScale="90" zoomScaleNormal="90" workbookViewId="0">
      <selection activeCell="G71" sqref="G71"/>
    </sheetView>
  </sheetViews>
  <sheetFormatPr baseColWidth="10" defaultColWidth="11.42578125" defaultRowHeight="15" x14ac:dyDescent="0.25"/>
  <cols>
    <col min="1" max="1" width="55.140625" style="16" customWidth="1"/>
    <col min="2" max="2" width="23.42578125" style="16" customWidth="1"/>
    <col min="3" max="3" width="13.85546875" style="16" customWidth="1"/>
    <col min="4" max="4" width="20.7109375" style="16" customWidth="1"/>
    <col min="5" max="5" width="16.28515625" style="16" customWidth="1"/>
    <col min="6" max="6" width="19.7109375" style="16" customWidth="1"/>
    <col min="7" max="7" width="13.7109375" style="16" bestFit="1" customWidth="1"/>
    <col min="8" max="16384" width="11.42578125" style="16"/>
  </cols>
  <sheetData>
    <row r="2" spans="1:7" ht="15.75" x14ac:dyDescent="0.25">
      <c r="A2" s="59" t="s">
        <v>126</v>
      </c>
      <c r="B2" s="59"/>
      <c r="C2" s="59"/>
      <c r="D2" s="59"/>
      <c r="E2" s="59"/>
      <c r="F2" s="59"/>
    </row>
    <row r="4" spans="1:7" ht="15" customHeight="1" x14ac:dyDescent="0.25">
      <c r="A4" s="60" t="s">
        <v>0</v>
      </c>
      <c r="B4" s="62" t="s">
        <v>1</v>
      </c>
      <c r="C4" s="57" t="s">
        <v>80</v>
      </c>
      <c r="D4" s="64" t="s">
        <v>2</v>
      </c>
      <c r="E4" s="64"/>
      <c r="F4" s="64"/>
    </row>
    <row r="5" spans="1:7" ht="15.75" thickBot="1" x14ac:dyDescent="0.3">
      <c r="A5" s="61"/>
      <c r="B5" s="63"/>
      <c r="C5" s="58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68</v>
      </c>
      <c r="B10" s="13">
        <f>'I Trimestre'!B10</f>
        <v>486</v>
      </c>
      <c r="C10" s="13">
        <f>('I Trimestre'!C10+'II Trimestre'!C10+'III Trimestre'!C10)/3</f>
        <v>432.33333333333331</v>
      </c>
      <c r="D10" s="6"/>
      <c r="E10" s="6"/>
      <c r="F10" s="6"/>
      <c r="G10" s="6"/>
    </row>
    <row r="11" spans="1:7" x14ac:dyDescent="0.25">
      <c r="A11" s="20" t="s">
        <v>120</v>
      </c>
      <c r="B11" s="13">
        <f>'I Trimestre'!B11</f>
        <v>410</v>
      </c>
      <c r="C11" s="13">
        <f>('I Trimestre'!C11+'II Trimestre'!C11+'III Trimestre'!C11)/3</f>
        <v>410</v>
      </c>
      <c r="D11" s="6"/>
      <c r="E11" s="6"/>
      <c r="F11" s="6"/>
      <c r="G11" s="6"/>
    </row>
    <row r="12" spans="1:7" x14ac:dyDescent="0.25">
      <c r="A12" s="20" t="s">
        <v>121</v>
      </c>
      <c r="B12" s="13">
        <f>'I Trimestre'!B12</f>
        <v>491</v>
      </c>
      <c r="C12" s="47">
        <f>('I Trimestre'!C12+'II Trimestre'!C12+'III Trimestre'!C12)/3</f>
        <v>468.94444444444451</v>
      </c>
      <c r="D12" s="6"/>
      <c r="G12" s="22"/>
    </row>
    <row r="13" spans="1:7" x14ac:dyDescent="0.25">
      <c r="A13" s="20" t="s">
        <v>84</v>
      </c>
      <c r="B13" s="13">
        <f>'I Trimestre'!B13</f>
        <v>410</v>
      </c>
      <c r="C13" s="13">
        <f>+'III Trimestre'!C13</f>
        <v>410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68</v>
      </c>
      <c r="B16" s="42">
        <f>+'I Trimestre'!B16+'II Trimestre'!B16+'III Trimestre'!B16</f>
        <v>584125013.71000004</v>
      </c>
      <c r="C16" s="42"/>
      <c r="D16" s="42">
        <f>'I Trimestre'!D16+'II Trimestre'!D16+'III Trimestre'!D16</f>
        <v>184052292.16999999</v>
      </c>
      <c r="E16" s="42">
        <f>'I Trimestre'!E16+'II Trimestre'!E16+'III Trimestre'!E16</f>
        <v>110022453.50999999</v>
      </c>
      <c r="F16" s="42">
        <f>'I Trimestre'!F16+'II Trimestre'!F16+'III Trimestre'!F16</f>
        <v>290050268.02999997</v>
      </c>
      <c r="G16" s="39"/>
    </row>
    <row r="17" spans="1:8" x14ac:dyDescent="0.25">
      <c r="A17" s="20" t="s">
        <v>120</v>
      </c>
      <c r="B17" s="6">
        <f>+'I Trimestre'!B17+'II Trimestre'!B17+'III Trimestre'!B17</f>
        <v>596675274.60000002</v>
      </c>
      <c r="C17" s="6"/>
      <c r="D17" s="6">
        <f>'I Trimestre'!D17+'II Trimestre'!D17+'III Trimestre'!D17</f>
        <v>217512000</v>
      </c>
      <c r="E17" s="6">
        <f>'I Trimestre'!E17+'II Trimestre'!E17+'III Trimestre'!E17</f>
        <v>49690151</v>
      </c>
      <c r="F17" s="6">
        <f>'I Trimestre'!F17+'II Trimestre'!F17+'III Trimestre'!F17</f>
        <v>329473123.60000002</v>
      </c>
      <c r="G17" s="6"/>
    </row>
    <row r="18" spans="1:8" x14ac:dyDescent="0.25">
      <c r="A18" s="20" t="s">
        <v>121</v>
      </c>
      <c r="B18" s="6">
        <f>+'I Trimestre'!B18+'II Trimestre'!B18+'III Trimestre'!B18</f>
        <v>218937150.00999999</v>
      </c>
      <c r="C18" s="6"/>
      <c r="D18" s="6">
        <f>'I Trimestre'!D18+'II Trimestre'!D18+'III Trimestre'!D18</f>
        <v>187900294.03999999</v>
      </c>
      <c r="E18" s="6">
        <f>'I Trimestre'!E18+'II Trimestre'!E18+'III Trimestre'!E18</f>
        <v>26836855.969999999</v>
      </c>
      <c r="F18" s="6">
        <f>'I Trimestre'!F18+'II Trimestre'!F18+'III Trimestre'!F18</f>
        <v>4200000</v>
      </c>
      <c r="G18" s="6"/>
    </row>
    <row r="19" spans="1:8" x14ac:dyDescent="0.25">
      <c r="A19" s="20" t="s">
        <v>84</v>
      </c>
      <c r="B19" s="6">
        <f>+SUM(D19:F19)</f>
        <v>663603274.60000002</v>
      </c>
      <c r="C19" s="6"/>
      <c r="D19" s="6">
        <f>+'III Trimestre'!D19</f>
        <v>277440000</v>
      </c>
      <c r="E19" s="6">
        <f>+'III Trimestre'!E19</f>
        <v>49690151</v>
      </c>
      <c r="F19" s="6">
        <f>+'III Trimestre'!F19</f>
        <v>336473123.60000002</v>
      </c>
      <c r="G19" s="6"/>
    </row>
    <row r="20" spans="1:8" x14ac:dyDescent="0.25">
      <c r="A20" s="20" t="s">
        <v>122</v>
      </c>
      <c r="B20" s="6">
        <f>D20</f>
        <v>187900294.03999999</v>
      </c>
      <c r="C20" s="6"/>
      <c r="D20" s="6">
        <f>D18</f>
        <v>187900294.03999999</v>
      </c>
      <c r="E20" s="6"/>
      <c r="F20" s="6"/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0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120</v>
      </c>
      <c r="B23" s="6">
        <f>B17</f>
        <v>596675274.60000002</v>
      </c>
      <c r="C23" s="6"/>
      <c r="D23" s="43"/>
      <c r="E23" s="6"/>
      <c r="F23" s="6"/>
      <c r="G23" s="38"/>
      <c r="H23" s="22"/>
    </row>
    <row r="24" spans="1:8" x14ac:dyDescent="0.25">
      <c r="A24" s="20" t="s">
        <v>121</v>
      </c>
      <c r="B24" s="6">
        <f>'I Trimestre'!B24+'II Trimestre'!B24+'III Trimestre'!B24</f>
        <v>251607826.55999997</v>
      </c>
      <c r="C24" s="6"/>
      <c r="D24" s="42"/>
      <c r="E24" s="6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69</v>
      </c>
      <c r="B27" s="6">
        <v>1.61</v>
      </c>
      <c r="C27" s="6">
        <v>1.61</v>
      </c>
      <c r="D27" s="6">
        <v>1.61</v>
      </c>
      <c r="E27" s="6">
        <v>1.61</v>
      </c>
      <c r="F27" s="6">
        <v>1.61</v>
      </c>
      <c r="G27" s="6"/>
    </row>
    <row r="28" spans="1:8" x14ac:dyDescent="0.25">
      <c r="A28" s="16" t="s">
        <v>123</v>
      </c>
      <c r="B28" s="6">
        <v>1.68</v>
      </c>
      <c r="C28" s="6">
        <v>1.68</v>
      </c>
      <c r="D28" s="6">
        <v>1.68</v>
      </c>
      <c r="E28" s="6">
        <v>1.68</v>
      </c>
      <c r="F28" s="6">
        <v>1.68</v>
      </c>
      <c r="G28" s="6"/>
    </row>
    <row r="29" spans="1:8" x14ac:dyDescent="0.25">
      <c r="A29" s="16" t="s">
        <v>11</v>
      </c>
      <c r="B29" s="28" t="s">
        <v>76</v>
      </c>
      <c r="C29" s="28" t="s">
        <v>76</v>
      </c>
      <c r="D29" s="28" t="s">
        <v>76</v>
      </c>
      <c r="E29" s="28" t="s">
        <v>76</v>
      </c>
      <c r="F29" s="28" t="s">
        <v>76</v>
      </c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70</v>
      </c>
      <c r="B32" s="6">
        <f>B16/B27</f>
        <v>362810567.52173913</v>
      </c>
      <c r="C32" s="6">
        <f t="shared" ref="C32:F32" si="0">C16/C27</f>
        <v>0</v>
      </c>
      <c r="D32" s="6">
        <f t="shared" si="0"/>
        <v>114318193.89440992</v>
      </c>
      <c r="E32" s="6">
        <f t="shared" si="0"/>
        <v>68336927.64596273</v>
      </c>
      <c r="F32" s="6">
        <f t="shared" si="0"/>
        <v>180155445.98136643</v>
      </c>
      <c r="G32" s="6"/>
    </row>
    <row r="33" spans="1:7" x14ac:dyDescent="0.25">
      <c r="A33" s="16" t="s">
        <v>124</v>
      </c>
      <c r="B33" s="6">
        <f>B18/B28</f>
        <v>130319732.14880952</v>
      </c>
      <c r="C33" s="6">
        <f t="shared" ref="C33:F33" si="1">C18/C28</f>
        <v>0</v>
      </c>
      <c r="D33" s="6">
        <f t="shared" si="1"/>
        <v>111845413.11904761</v>
      </c>
      <c r="E33" s="6">
        <f t="shared" si="1"/>
        <v>15974319.029761905</v>
      </c>
      <c r="F33" s="6">
        <f t="shared" si="1"/>
        <v>2500000</v>
      </c>
      <c r="G33" s="6"/>
    </row>
    <row r="34" spans="1:7" x14ac:dyDescent="0.25">
      <c r="A34" s="16" t="s">
        <v>71</v>
      </c>
      <c r="B34" s="6">
        <f>B32/B10</f>
        <v>746523.8014850599</v>
      </c>
      <c r="C34" s="25">
        <f>C32/C10</f>
        <v>0</v>
      </c>
      <c r="D34" s="44">
        <f>D32/$C$10</f>
        <v>264421.41995622963</v>
      </c>
      <c r="E34" s="44">
        <f t="shared" ref="E34:F34" si="2">E32/$C$10</f>
        <v>158065.36849490224</v>
      </c>
      <c r="F34" s="44">
        <f t="shared" si="2"/>
        <v>416704.96371942892</v>
      </c>
      <c r="G34" s="39"/>
    </row>
    <row r="35" spans="1:7" x14ac:dyDescent="0.25">
      <c r="A35" s="16" t="s">
        <v>125</v>
      </c>
      <c r="B35" s="6">
        <f>B33/B12</f>
        <v>265416.96975317621</v>
      </c>
      <c r="C35" s="25">
        <f>C33/C12</f>
        <v>0</v>
      </c>
      <c r="D35" s="44">
        <f>D33/$C$12</f>
        <v>238504.61274053509</v>
      </c>
      <c r="E35" s="44">
        <f t="shared" ref="E35:F35" si="3">E33/$C$12</f>
        <v>34064.416838729325</v>
      </c>
      <c r="F35" s="44">
        <f t="shared" si="3"/>
        <v>5331.1219049875599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7" x14ac:dyDescent="0.25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6">
        <f>B12/B11*100</f>
        <v>119.7560975609756</v>
      </c>
      <c r="C44" s="6">
        <f t="shared" ref="C44" si="4">C12/C11*100</f>
        <v>114.37669376693769</v>
      </c>
      <c r="D44" s="6"/>
      <c r="E44" s="6"/>
      <c r="F44" s="6"/>
      <c r="G44" s="39"/>
    </row>
    <row r="45" spans="1:7" x14ac:dyDescent="0.25">
      <c r="A45" s="16" t="s">
        <v>19</v>
      </c>
      <c r="B45" s="6">
        <f>B18/B17*100</f>
        <v>36.692847739798061</v>
      </c>
      <c r="C45" s="6"/>
      <c r="D45" s="6">
        <f t="shared" ref="D45:F45" si="5">D18/D17*100</f>
        <v>86.386173654786859</v>
      </c>
      <c r="E45" s="6">
        <f t="shared" si="5"/>
        <v>54.008400920335298</v>
      </c>
      <c r="F45" s="6">
        <f t="shared" si="5"/>
        <v>1.2747625524378279</v>
      </c>
      <c r="G45" s="6"/>
    </row>
    <row r="46" spans="1:7" x14ac:dyDescent="0.25">
      <c r="A46" s="16" t="s">
        <v>20</v>
      </c>
      <c r="B46" s="6">
        <f>AVERAGE(B44:B45)</f>
        <v>78.224472650386829</v>
      </c>
      <c r="C46" s="6">
        <f t="shared" ref="C46:F46" si="6">AVERAGE(C44:C45)</f>
        <v>114.37669376693769</v>
      </c>
      <c r="D46" s="6">
        <f t="shared" si="6"/>
        <v>86.386173654786859</v>
      </c>
      <c r="E46" s="6">
        <f t="shared" si="6"/>
        <v>54.008400920335298</v>
      </c>
      <c r="F46" s="6">
        <f t="shared" si="6"/>
        <v>1.2747625524378279</v>
      </c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119.7560975609756</v>
      </c>
      <c r="C49" s="6">
        <f t="shared" ref="C49" si="7">(C12/C13)*100</f>
        <v>114.37669376693769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32.992174449706965</v>
      </c>
      <c r="C50" s="6"/>
      <c r="D50" s="6">
        <f t="shared" ref="D50:F50" si="8">D18/D19*100</f>
        <v>67.726461231257204</v>
      </c>
      <c r="E50" s="6">
        <f t="shared" si="8"/>
        <v>54.008400920335298</v>
      </c>
      <c r="F50" s="6">
        <f t="shared" si="8"/>
        <v>1.2482423425274729</v>
      </c>
      <c r="G50" s="6"/>
    </row>
    <row r="51" spans="1:7" x14ac:dyDescent="0.25">
      <c r="A51" s="16" t="s">
        <v>24</v>
      </c>
      <c r="B51" s="6">
        <f>AVERAGE(B49:B50)</f>
        <v>76.374136005341285</v>
      </c>
      <c r="C51" s="6">
        <f t="shared" ref="C51:F51" si="9">AVERAGE(C49:C50)</f>
        <v>114.37669376693769</v>
      </c>
      <c r="D51" s="6">
        <f t="shared" si="9"/>
        <v>67.726461231257204</v>
      </c>
      <c r="E51" s="6">
        <f t="shared" si="9"/>
        <v>54.008400920335298</v>
      </c>
      <c r="F51" s="6">
        <f t="shared" si="9"/>
        <v>1.2482423425274729</v>
      </c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85.823851288562764</v>
      </c>
      <c r="C54" s="6" t="e">
        <f t="shared" ref="C54:F54" si="10">C20/C18*100</f>
        <v>#DIV/0!</v>
      </c>
      <c r="D54" s="6">
        <f t="shared" si="10"/>
        <v>100</v>
      </c>
      <c r="E54" s="6">
        <f t="shared" si="10"/>
        <v>0</v>
      </c>
      <c r="F54" s="6">
        <f t="shared" si="10"/>
        <v>0</v>
      </c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1.0288065843621297</v>
      </c>
      <c r="C57" s="6">
        <f t="shared" ref="C57:F57" si="11">((C12/C10)-1)*100</f>
        <v>8.468260087381152</v>
      </c>
      <c r="D57" s="6" t="e">
        <f t="shared" si="11"/>
        <v>#DIV/0!</v>
      </c>
      <c r="E57" s="6" t="e">
        <f t="shared" si="11"/>
        <v>#DIV/0!</v>
      </c>
      <c r="F57" s="6" t="e">
        <f t="shared" si="11"/>
        <v>#DIV/0!</v>
      </c>
      <c r="G57" s="6"/>
    </row>
    <row r="58" spans="1:7" x14ac:dyDescent="0.25">
      <c r="A58" s="16" t="s">
        <v>28</v>
      </c>
      <c r="B58" s="6">
        <f>((B33/B32)-1)*100</f>
        <v>-64.080502660386003</v>
      </c>
      <c r="C58" s="6" t="e">
        <f t="shared" ref="C58:F58" si="12">((C33/C32)-1)*100</f>
        <v>#DIV/0!</v>
      </c>
      <c r="D58" s="6">
        <f t="shared" si="12"/>
        <v>-2.1630684417970225</v>
      </c>
      <c r="E58" s="6">
        <f t="shared" si="12"/>
        <v>-76.62417732251437</v>
      </c>
      <c r="F58" s="6">
        <f t="shared" si="12"/>
        <v>-98.612309505060097</v>
      </c>
      <c r="G58" s="6"/>
    </row>
    <row r="59" spans="1:7" x14ac:dyDescent="0.25">
      <c r="A59" s="16" t="s">
        <v>29</v>
      </c>
      <c r="B59" s="6">
        <f>((B35/B34)-1)*100</f>
        <v>-64.44628165569776</v>
      </c>
      <c r="C59" s="6" t="e">
        <f t="shared" ref="C59:F59" si="13">((C35/C34)-1)*100</f>
        <v>#DIV/0!</v>
      </c>
      <c r="D59" s="6">
        <f t="shared" si="13"/>
        <v>-9.8013266928165699</v>
      </c>
      <c r="E59" s="6">
        <f t="shared" si="13"/>
        <v>-78.449158621467461</v>
      </c>
      <c r="F59" s="6">
        <f t="shared" si="13"/>
        <v>-98.720648331758994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44">
        <f>B17/($B$11*8)</f>
        <v>181913.19347560976</v>
      </c>
      <c r="C62" s="44">
        <f>B17/(C11*8)</f>
        <v>181913.19347560976</v>
      </c>
      <c r="D62" s="44">
        <f>D17/($C$11*8)</f>
        <v>66314.634146341457</v>
      </c>
      <c r="E62" s="44">
        <f t="shared" ref="E62:F62" si="14">E17/($C$11*8)</f>
        <v>15149.436280487806</v>
      </c>
      <c r="F62" s="44">
        <f t="shared" si="14"/>
        <v>100449.1230487805</v>
      </c>
      <c r="G62" s="39"/>
    </row>
    <row r="63" spans="1:7" x14ac:dyDescent="0.25">
      <c r="A63" s="16" t="s">
        <v>38</v>
      </c>
      <c r="B63" s="44">
        <f>B18/($B$12*8)</f>
        <v>55737.563648167001</v>
      </c>
      <c r="C63" s="44">
        <f>B18/(C12*8)</f>
        <v>58359.031811692919</v>
      </c>
      <c r="D63" s="44">
        <f>D18/($C$12*8)</f>
        <v>50085.968675512369</v>
      </c>
      <c r="E63" s="44">
        <f t="shared" ref="E63:F63" si="15">E18/($C$12*8)</f>
        <v>7153.5275361331578</v>
      </c>
      <c r="F63" s="44">
        <f t="shared" si="15"/>
        <v>1119.5356000473876</v>
      </c>
      <c r="G63" s="22"/>
    </row>
    <row r="64" spans="1:7" x14ac:dyDescent="0.25">
      <c r="A64" s="16" t="s">
        <v>31</v>
      </c>
      <c r="B64" s="42">
        <f>(B62/B63)*B46</f>
        <v>255.30472981564088</v>
      </c>
      <c r="C64" s="42">
        <f>(C62/C63)*C46</f>
        <v>356.5280124842073</v>
      </c>
      <c r="D64" s="42"/>
      <c r="E64" s="42"/>
      <c r="F64" s="42"/>
      <c r="G64" s="6"/>
    </row>
    <row r="65" spans="1:8" x14ac:dyDescent="0.25">
      <c r="A65" s="14" t="s">
        <v>43</v>
      </c>
      <c r="B65" s="44">
        <f>B17/($B$11)</f>
        <v>1455305.5478048781</v>
      </c>
      <c r="C65" s="44">
        <f>B17/C11</f>
        <v>1455305.5478048781</v>
      </c>
      <c r="D65" s="50">
        <f>D17/($C$11)</f>
        <v>530517.07317073166</v>
      </c>
      <c r="E65" s="50">
        <f t="shared" ref="E65:F65" si="16">E17/($C$11)</f>
        <v>121195.49024390244</v>
      </c>
      <c r="F65" s="50">
        <f t="shared" si="16"/>
        <v>803592.984390244</v>
      </c>
      <c r="G65" s="6"/>
    </row>
    <row r="66" spans="1:8" x14ac:dyDescent="0.25">
      <c r="A66" s="14" t="s">
        <v>44</v>
      </c>
      <c r="B66" s="44">
        <f>B18/($B$12)</f>
        <v>445900.50918533601</v>
      </c>
      <c r="C66" s="44">
        <f>B18/C12</f>
        <v>466872.25449354335</v>
      </c>
      <c r="D66" s="50">
        <f>D18/($C$12)</f>
        <v>400687.74940409895</v>
      </c>
      <c r="E66" s="50">
        <f t="shared" ref="E66:F66" si="17">E18/($C$12)</f>
        <v>57228.220289065262</v>
      </c>
      <c r="F66" s="50">
        <f t="shared" si="17"/>
        <v>8956.2848003791005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42">
        <f>((B24+D24)/B23)*100</f>
        <v>42.168301129734793</v>
      </c>
      <c r="C69" s="6"/>
      <c r="D69" s="6"/>
      <c r="E69" s="6"/>
      <c r="F69" s="6"/>
      <c r="G69" s="39"/>
      <c r="H69" s="22"/>
    </row>
    <row r="70" spans="1:8" x14ac:dyDescent="0.25">
      <c r="A70" s="16" t="s">
        <v>34</v>
      </c>
      <c r="B70" s="42">
        <f>(B18/(B24+D24))*100</f>
        <v>87.015238358569448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89</v>
      </c>
    </row>
    <row r="75" spans="1:8" x14ac:dyDescent="0.25">
      <c r="A75" s="11" t="s">
        <v>90</v>
      </c>
      <c r="B75" s="24"/>
      <c r="C75" s="24"/>
      <c r="D75" s="24"/>
      <c r="E75" s="24"/>
    </row>
    <row r="76" spans="1:8" x14ac:dyDescent="0.25">
      <c r="A76" s="34" t="s">
        <v>91</v>
      </c>
      <c r="B76" s="24"/>
      <c r="C76" s="24"/>
      <c r="D76" s="24"/>
      <c r="E76" s="24"/>
    </row>
    <row r="77" spans="1:8" x14ac:dyDescent="0.25">
      <c r="A77" s="11" t="s">
        <v>78</v>
      </c>
    </row>
    <row r="78" spans="1:8" x14ac:dyDescent="0.25">
      <c r="A78" s="33" t="s">
        <v>79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2" spans="1:1" x14ac:dyDescent="0.25">
      <c r="A82" t="s">
        <v>134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2"/>
  <sheetViews>
    <sheetView tabSelected="1" zoomScale="90" zoomScaleNormal="90" workbookViewId="0">
      <selection activeCell="F19" sqref="F19"/>
    </sheetView>
  </sheetViews>
  <sheetFormatPr baseColWidth="10" defaultColWidth="11.42578125" defaultRowHeight="15" x14ac:dyDescent="0.25"/>
  <cols>
    <col min="1" max="1" width="55.140625" style="16" customWidth="1"/>
    <col min="2" max="2" width="18" style="16" customWidth="1"/>
    <col min="3" max="3" width="13.85546875" style="16" customWidth="1"/>
    <col min="4" max="4" width="20.7109375" style="16" customWidth="1"/>
    <col min="5" max="5" width="16.42578125" style="16" customWidth="1"/>
    <col min="6" max="6" width="16.7109375" style="16" customWidth="1"/>
    <col min="7" max="7" width="13.7109375" style="16" bestFit="1" customWidth="1"/>
    <col min="8" max="8" width="11.42578125" style="16"/>
    <col min="9" max="9" width="13.85546875" style="16" bestFit="1" customWidth="1"/>
    <col min="10" max="16384" width="11.42578125" style="16"/>
  </cols>
  <sheetData>
    <row r="2" spans="1:8" ht="15.75" x14ac:dyDescent="0.25">
      <c r="A2" s="59" t="s">
        <v>127</v>
      </c>
      <c r="B2" s="59"/>
      <c r="C2" s="59"/>
      <c r="D2" s="59"/>
      <c r="E2" s="59"/>
      <c r="F2" s="59"/>
    </row>
    <row r="4" spans="1:8" ht="15" customHeight="1" x14ac:dyDescent="0.25">
      <c r="A4" s="60" t="s">
        <v>0</v>
      </c>
      <c r="B4" s="62" t="s">
        <v>1</v>
      </c>
      <c r="C4" s="57" t="s">
        <v>80</v>
      </c>
      <c r="D4" s="64" t="s">
        <v>2</v>
      </c>
      <c r="E4" s="64"/>
      <c r="F4" s="64"/>
    </row>
    <row r="5" spans="1:8" ht="15.75" thickBot="1" x14ac:dyDescent="0.3">
      <c r="A5" s="61"/>
      <c r="B5" s="63"/>
      <c r="C5" s="58"/>
      <c r="D5" s="17" t="s">
        <v>3</v>
      </c>
      <c r="E5" s="18" t="s">
        <v>4</v>
      </c>
      <c r="F5" s="18" t="s">
        <v>5</v>
      </c>
    </row>
    <row r="6" spans="1:8" ht="15.75" thickTop="1" x14ac:dyDescent="0.25"/>
    <row r="7" spans="1:8" x14ac:dyDescent="0.25">
      <c r="A7" s="19" t="s">
        <v>6</v>
      </c>
    </row>
    <row r="8" spans="1:8" x14ac:dyDescent="0.25">
      <c r="B8" s="6"/>
      <c r="C8" s="6"/>
      <c r="D8" s="6"/>
      <c r="E8" s="6"/>
      <c r="F8" s="6"/>
      <c r="G8" s="6"/>
    </row>
    <row r="9" spans="1:8" x14ac:dyDescent="0.25">
      <c r="A9" s="16" t="s">
        <v>7</v>
      </c>
      <c r="B9" s="6"/>
      <c r="C9" s="6"/>
      <c r="D9" s="6"/>
      <c r="E9" s="6"/>
      <c r="F9" s="6"/>
      <c r="G9" s="6"/>
      <c r="H9" s="16" t="s">
        <v>135</v>
      </c>
    </row>
    <row r="10" spans="1:8" x14ac:dyDescent="0.25">
      <c r="A10" s="20" t="s">
        <v>72</v>
      </c>
      <c r="B10" s="13">
        <f>'I Trimestre'!B10</f>
        <v>486</v>
      </c>
      <c r="C10" s="13">
        <f>(+'I Trimestre'!C10+'II Trimestre'!C10+'III Trimestre'!C10+'IV Trimestre'!C10)/4</f>
        <v>421.25</v>
      </c>
      <c r="D10" s="6"/>
      <c r="E10" s="6"/>
      <c r="F10" s="6"/>
      <c r="G10" s="6"/>
    </row>
    <row r="11" spans="1:8" x14ac:dyDescent="0.25">
      <c r="A11" s="20" t="s">
        <v>128</v>
      </c>
      <c r="B11" s="13">
        <f>'I Trimestre'!B11</f>
        <v>410</v>
      </c>
      <c r="C11" s="13">
        <f>(+'I Trimestre'!C11+'II Trimestre'!C11+'III Trimestre'!C11+'IV Trimestre'!C11)/4</f>
        <v>410</v>
      </c>
      <c r="D11" s="6"/>
      <c r="E11" s="6"/>
      <c r="F11" s="6"/>
      <c r="G11" s="6"/>
    </row>
    <row r="12" spans="1:8" x14ac:dyDescent="0.25">
      <c r="A12" s="20" t="s">
        <v>129</v>
      </c>
      <c r="B12" s="13">
        <f>'I Trimestre'!B12</f>
        <v>491</v>
      </c>
      <c r="C12" s="47">
        <f>(+'I Trimestre'!C12+'II Trimestre'!C12+'III Trimestre'!C12+'IV Trimestre'!C12)/4</f>
        <v>462.95833333333337</v>
      </c>
      <c r="D12" s="6"/>
      <c r="G12" s="22"/>
    </row>
    <row r="13" spans="1:8" x14ac:dyDescent="0.25">
      <c r="A13" s="20" t="s">
        <v>84</v>
      </c>
      <c r="B13" s="13">
        <f>'I Trimestre'!B13</f>
        <v>410</v>
      </c>
      <c r="C13" s="13">
        <f>+'IV Trimestre'!C13</f>
        <v>410</v>
      </c>
      <c r="D13" s="6"/>
      <c r="E13" s="6"/>
      <c r="F13" s="6"/>
      <c r="G13" s="6"/>
    </row>
    <row r="14" spans="1:8" x14ac:dyDescent="0.25">
      <c r="B14" s="6"/>
      <c r="C14" s="6"/>
      <c r="D14" s="6"/>
      <c r="E14" s="6"/>
      <c r="F14" s="6"/>
      <c r="G14" s="6"/>
    </row>
    <row r="15" spans="1:8" x14ac:dyDescent="0.25">
      <c r="A15" s="21" t="s">
        <v>8</v>
      </c>
      <c r="B15" s="6"/>
      <c r="C15" s="6"/>
      <c r="D15" s="6"/>
      <c r="E15" s="6"/>
      <c r="F15" s="6"/>
      <c r="G15" s="6"/>
    </row>
    <row r="16" spans="1:8" x14ac:dyDescent="0.25">
      <c r="A16" s="20" t="s">
        <v>72</v>
      </c>
      <c r="B16" s="47">
        <f>'I Trimestre'!B16+'II Trimestre'!B16+'III Trimestre'!B16+'IV Trimestre'!B16</f>
        <v>984201222.34000003</v>
      </c>
      <c r="C16" s="47"/>
      <c r="D16" s="47">
        <f>'I Trimestre'!D16+'II Trimestre'!D16+'III Trimestre'!D16+'IV Trimestre'!D16</f>
        <v>240243688.72999999</v>
      </c>
      <c r="E16" s="47">
        <f>'I Trimestre'!E16+'II Trimestre'!E16+'III Trimestre'!E16+'IV Trimestre'!E16</f>
        <v>146551784.97</v>
      </c>
      <c r="F16" s="47">
        <f>'I Trimestre'!F16+'II Trimestre'!F16+'III Trimestre'!F16+'IV Trimestre'!F16</f>
        <v>597405748.63999999</v>
      </c>
      <c r="G16" s="39"/>
    </row>
    <row r="17" spans="1:8" x14ac:dyDescent="0.25">
      <c r="A17" s="20" t="s">
        <v>128</v>
      </c>
      <c r="B17" s="13">
        <f>SUM(D17:F17)</f>
        <v>668167715.73000002</v>
      </c>
      <c r="C17" s="13"/>
      <c r="D17" s="13">
        <f>'I Trimestre'!D17+'II Trimestre'!D17+'III Trimestre'!D17+'IV Trimestre'!D17</f>
        <v>277440000</v>
      </c>
      <c r="E17" s="13">
        <f>'I Trimestre'!E17+'II Trimestre'!E17+'III Trimestre'!E17+'IV Trimestre'!E17</f>
        <v>61254592.130000003</v>
      </c>
      <c r="F17" s="13">
        <f>'I Trimestre'!F17+'II Trimestre'!F17+'III Trimestre'!F17+'IV Trimestre'!F17</f>
        <v>329473123.60000002</v>
      </c>
      <c r="G17" s="6"/>
    </row>
    <row r="18" spans="1:8" x14ac:dyDescent="0.25">
      <c r="A18" s="20" t="s">
        <v>129</v>
      </c>
      <c r="B18" s="13">
        <f>SUM(D18:F18)</f>
        <v>350462254.70000005</v>
      </c>
      <c r="C18" s="13"/>
      <c r="D18" s="13">
        <f>'I Trimestre'!D18+'II Trimestre'!D18+'III Trimestre'!D18+'IV Trimestre'!D18</f>
        <v>276414774.22000003</v>
      </c>
      <c r="E18" s="13">
        <f>'I Trimestre'!E18+'II Trimestre'!E18+'III Trimestre'!E18+'IV Trimestre'!E18</f>
        <v>59047480.480000004</v>
      </c>
      <c r="F18" s="13">
        <f>'I Trimestre'!F18+'II Trimestre'!F18+'III Trimestre'!F18+'IV Trimestre'!F18</f>
        <v>15000000</v>
      </c>
      <c r="G18" s="6"/>
    </row>
    <row r="19" spans="1:8" x14ac:dyDescent="0.25">
      <c r="A19" s="20" t="s">
        <v>84</v>
      </c>
      <c r="B19" s="13">
        <f>SUM(D19:F19)</f>
        <v>668167715.73000002</v>
      </c>
      <c r="C19" s="13"/>
      <c r="D19" s="13">
        <f>+'IV Trimestre'!D19</f>
        <v>277440000</v>
      </c>
      <c r="E19" s="13">
        <f>+'IV Trimestre'!E19</f>
        <v>61254592.130000003</v>
      </c>
      <c r="F19" s="13">
        <f>+'IV Trimestre'!F19</f>
        <v>329473123.60000002</v>
      </c>
      <c r="G19" s="6"/>
    </row>
    <row r="20" spans="1:8" x14ac:dyDescent="0.25">
      <c r="A20" s="20" t="s">
        <v>130</v>
      </c>
      <c r="B20" s="13">
        <f>D20</f>
        <v>276414774.22000003</v>
      </c>
      <c r="C20" s="13"/>
      <c r="D20" s="13">
        <f>D18</f>
        <v>276414774.22000003</v>
      </c>
      <c r="E20" s="6"/>
      <c r="F20" s="6"/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1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128</v>
      </c>
      <c r="B23" s="6">
        <f>B17</f>
        <v>668167715.73000002</v>
      </c>
      <c r="C23" s="6"/>
      <c r="D23" s="43"/>
      <c r="E23" s="6"/>
      <c r="F23" s="6"/>
      <c r="G23" s="38"/>
      <c r="H23" s="22"/>
    </row>
    <row r="24" spans="1:8" x14ac:dyDescent="0.25">
      <c r="A24" s="20" t="s">
        <v>129</v>
      </c>
      <c r="B24" s="6">
        <f>'I Trimestre'!B24+'II Trimestre'!B24+'III Trimestre'!B24+'IV Trimestre'!B24</f>
        <v>665377008.61000001</v>
      </c>
      <c r="C24" s="6"/>
      <c r="D24" s="42"/>
      <c r="E24" s="6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73</v>
      </c>
      <c r="B27" s="6">
        <v>1.61</v>
      </c>
      <c r="C27" s="6">
        <v>1.61</v>
      </c>
      <c r="D27" s="6">
        <v>1.61</v>
      </c>
      <c r="E27" s="6">
        <v>1.61</v>
      </c>
      <c r="F27" s="6">
        <v>1.61</v>
      </c>
      <c r="G27" s="6"/>
    </row>
    <row r="28" spans="1:8" x14ac:dyDescent="0.25">
      <c r="A28" s="16" t="s">
        <v>131</v>
      </c>
      <c r="B28" s="6">
        <v>1.69</v>
      </c>
      <c r="C28" s="6">
        <v>1.69</v>
      </c>
      <c r="D28" s="6">
        <v>1.69</v>
      </c>
      <c r="E28" s="6">
        <v>1.69</v>
      </c>
      <c r="F28" s="6">
        <v>1.69</v>
      </c>
      <c r="G28" s="6"/>
    </row>
    <row r="29" spans="1:8" x14ac:dyDescent="0.25">
      <c r="A29" s="16" t="s">
        <v>11</v>
      </c>
      <c r="B29" s="28" t="s">
        <v>76</v>
      </c>
      <c r="C29" s="28" t="s">
        <v>76</v>
      </c>
      <c r="D29" s="28" t="s">
        <v>76</v>
      </c>
      <c r="E29" s="28" t="s">
        <v>76</v>
      </c>
      <c r="F29" s="28" t="s">
        <v>76</v>
      </c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74</v>
      </c>
      <c r="B32" s="6">
        <f>B16/B27</f>
        <v>611305107.04347825</v>
      </c>
      <c r="C32" s="6">
        <f t="shared" ref="C32:F32" si="0">C16/C27</f>
        <v>0</v>
      </c>
      <c r="D32" s="6">
        <f t="shared" si="0"/>
        <v>149219682.44099379</v>
      </c>
      <c r="E32" s="6">
        <f t="shared" si="0"/>
        <v>91025953.39751552</v>
      </c>
      <c r="F32" s="6">
        <f t="shared" si="0"/>
        <v>371059471.20496893</v>
      </c>
      <c r="G32" s="6"/>
    </row>
    <row r="33" spans="1:9" x14ac:dyDescent="0.25">
      <c r="A33" s="16" t="s">
        <v>132</v>
      </c>
      <c r="B33" s="6">
        <f>B18/B28</f>
        <v>207374115.20710063</v>
      </c>
      <c r="C33" s="6">
        <f t="shared" ref="C33:F33" si="1">C18/C28</f>
        <v>0</v>
      </c>
      <c r="D33" s="6">
        <f t="shared" si="1"/>
        <v>163559038.00000003</v>
      </c>
      <c r="E33" s="6">
        <f t="shared" si="1"/>
        <v>34939337.562130183</v>
      </c>
      <c r="F33" s="6">
        <f t="shared" si="1"/>
        <v>8875739.6449704152</v>
      </c>
      <c r="G33" s="6"/>
    </row>
    <row r="34" spans="1:9" x14ac:dyDescent="0.25">
      <c r="A34" s="16" t="s">
        <v>75</v>
      </c>
      <c r="B34" s="6">
        <f>B32/B10</f>
        <v>1257829.4383610664</v>
      </c>
      <c r="C34" s="25">
        <f>C32/C10</f>
        <v>0</v>
      </c>
      <c r="D34" s="44">
        <f>D32/$C$10</f>
        <v>354230.7001566618</v>
      </c>
      <c r="E34" s="44">
        <f t="shared" ref="E34:F34" si="2">E32/$C$10</f>
        <v>216085.34931160955</v>
      </c>
      <c r="F34" s="44">
        <f t="shared" si="2"/>
        <v>880853.34410675114</v>
      </c>
      <c r="G34" s="39"/>
      <c r="I34" s="46"/>
    </row>
    <row r="35" spans="1:9" x14ac:dyDescent="0.25">
      <c r="A35" s="16" t="s">
        <v>133</v>
      </c>
      <c r="B35" s="6">
        <f>B33/B12</f>
        <v>422350.54013666115</v>
      </c>
      <c r="C35" s="25">
        <f>C33/C12</f>
        <v>0</v>
      </c>
      <c r="D35" s="44">
        <f>D33/$C$12</f>
        <v>353291.05499054992</v>
      </c>
      <c r="E35" s="44">
        <f t="shared" ref="E35:F35" si="3">E33/$C$12</f>
        <v>75469.723831439507</v>
      </c>
      <c r="F35" s="44">
        <f t="shared" si="3"/>
        <v>19171.789351029605</v>
      </c>
    </row>
    <row r="36" spans="1:9" x14ac:dyDescent="0.25">
      <c r="B36" s="6"/>
      <c r="C36" s="6"/>
      <c r="D36" s="6"/>
      <c r="E36" s="6"/>
      <c r="F36" s="6"/>
      <c r="G36" s="6"/>
    </row>
    <row r="37" spans="1:9" x14ac:dyDescent="0.25">
      <c r="A37" s="19" t="s">
        <v>13</v>
      </c>
      <c r="B37" s="6"/>
      <c r="C37" s="6"/>
      <c r="D37" s="6"/>
      <c r="E37" s="6"/>
      <c r="F37" s="6"/>
      <c r="G37" s="6"/>
    </row>
    <row r="38" spans="1:9" x14ac:dyDescent="0.25">
      <c r="B38" s="6"/>
      <c r="C38" s="6"/>
      <c r="D38" s="6"/>
      <c r="E38" s="6"/>
      <c r="F38" s="6"/>
      <c r="G38" s="6"/>
    </row>
    <row r="39" spans="1:9" x14ac:dyDescent="0.25">
      <c r="A39" s="16" t="s">
        <v>14</v>
      </c>
      <c r="B39" s="6"/>
      <c r="C39" s="6"/>
      <c r="D39" s="6"/>
      <c r="E39" s="6"/>
      <c r="F39" s="6"/>
      <c r="G39" s="6"/>
    </row>
    <row r="40" spans="1:9" x14ac:dyDescent="0.25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9" x14ac:dyDescent="0.25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9" x14ac:dyDescent="0.25">
      <c r="B42" s="6"/>
      <c r="C42" s="6"/>
      <c r="D42" s="6"/>
      <c r="E42" s="6"/>
      <c r="F42" s="6"/>
      <c r="G42" s="6"/>
    </row>
    <row r="43" spans="1:9" x14ac:dyDescent="0.25">
      <c r="A43" s="16" t="s">
        <v>17</v>
      </c>
      <c r="B43" s="6"/>
      <c r="C43" s="6"/>
      <c r="D43" s="6"/>
      <c r="E43" s="6"/>
      <c r="F43" s="6"/>
      <c r="G43" s="6"/>
    </row>
    <row r="44" spans="1:9" x14ac:dyDescent="0.25">
      <c r="A44" s="16" t="s">
        <v>18</v>
      </c>
      <c r="B44" s="6">
        <f>B12/B11*100</f>
        <v>119.7560975609756</v>
      </c>
      <c r="C44" s="6">
        <f t="shared" ref="C44" si="4">C12/C11*100</f>
        <v>112.91666666666667</v>
      </c>
      <c r="D44" s="6"/>
      <c r="E44" s="6"/>
      <c r="F44" s="6"/>
      <c r="G44" s="39"/>
    </row>
    <row r="45" spans="1:9" x14ac:dyDescent="0.25">
      <c r="A45" s="16" t="s">
        <v>19</v>
      </c>
      <c r="B45" s="6">
        <f>B18/B17*100</f>
        <v>52.451240377141836</v>
      </c>
      <c r="C45" s="6"/>
      <c r="D45" s="6">
        <f t="shared" ref="D45:F45" si="5">D18/D17*100</f>
        <v>99.630469369953872</v>
      </c>
      <c r="E45" s="6">
        <f t="shared" si="5"/>
        <v>96.396822551171567</v>
      </c>
      <c r="F45" s="6">
        <f t="shared" si="5"/>
        <v>4.5527234015636715</v>
      </c>
      <c r="G45" s="6"/>
    </row>
    <row r="46" spans="1:9" x14ac:dyDescent="0.25">
      <c r="A46" s="16" t="s">
        <v>20</v>
      </c>
      <c r="B46" s="6">
        <f>AVERAGE(B44:B45)</f>
        <v>86.103668969058717</v>
      </c>
      <c r="C46" s="6">
        <f t="shared" ref="C46:F46" si="6">AVERAGE(C44:C45)</f>
        <v>112.91666666666667</v>
      </c>
      <c r="D46" s="6">
        <f t="shared" si="6"/>
        <v>99.630469369953872</v>
      </c>
      <c r="E46" s="6">
        <f t="shared" si="6"/>
        <v>96.396822551171567</v>
      </c>
      <c r="F46" s="6">
        <f t="shared" si="6"/>
        <v>4.5527234015636715</v>
      </c>
      <c r="G46" s="6"/>
    </row>
    <row r="47" spans="1:9" x14ac:dyDescent="0.25">
      <c r="B47" s="6"/>
      <c r="C47" s="6"/>
      <c r="D47" s="6"/>
      <c r="E47" s="6"/>
      <c r="F47" s="6"/>
      <c r="G47" s="6"/>
    </row>
    <row r="48" spans="1:9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119.7560975609756</v>
      </c>
      <c r="C49" s="6">
        <f t="shared" ref="C49" si="7">(C12/C13)*100</f>
        <v>112.91666666666667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52.451240377141836</v>
      </c>
      <c r="C50" s="6"/>
      <c r="D50" s="6">
        <f t="shared" ref="D50:F50" si="8">D18/D19*100</f>
        <v>99.630469369953872</v>
      </c>
      <c r="E50" s="6">
        <f t="shared" si="8"/>
        <v>96.396822551171567</v>
      </c>
      <c r="F50" s="6">
        <f t="shared" si="8"/>
        <v>4.5527234015636715</v>
      </c>
      <c r="G50" s="6"/>
    </row>
    <row r="51" spans="1:7" x14ac:dyDescent="0.25">
      <c r="A51" s="16" t="s">
        <v>24</v>
      </c>
      <c r="B51" s="6">
        <f>AVERAGE(B49:B50)</f>
        <v>86.103668969058717</v>
      </c>
      <c r="C51" s="6">
        <f t="shared" ref="C51:F51" si="9">AVERAGE(C49:C50)</f>
        <v>112.91666666666667</v>
      </c>
      <c r="D51" s="6">
        <f t="shared" si="9"/>
        <v>99.630469369953872</v>
      </c>
      <c r="E51" s="6">
        <f t="shared" si="9"/>
        <v>96.396822551171567</v>
      </c>
      <c r="F51" s="6">
        <f t="shared" si="9"/>
        <v>4.5527234015636715</v>
      </c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78.871482024965701</v>
      </c>
      <c r="C54" s="6" t="e">
        <f t="shared" ref="C54:F54" si="10">C20/C18*100</f>
        <v>#DIV/0!</v>
      </c>
      <c r="D54" s="6">
        <f t="shared" si="10"/>
        <v>100</v>
      </c>
      <c r="E54" s="6">
        <f t="shared" si="10"/>
        <v>0</v>
      </c>
      <c r="F54" s="6">
        <f t="shared" si="10"/>
        <v>0</v>
      </c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1.0288065843621297</v>
      </c>
      <c r="C57" s="6">
        <f t="shared" ref="C57:F57" si="11">((C12/C10)-1)*100</f>
        <v>9.9010880316518382</v>
      </c>
      <c r="D57" s="6" t="e">
        <f t="shared" si="11"/>
        <v>#DIV/0!</v>
      </c>
      <c r="E57" s="6" t="e">
        <f t="shared" si="11"/>
        <v>#DIV/0!</v>
      </c>
      <c r="F57" s="6" t="e">
        <f t="shared" si="11"/>
        <v>#DIV/0!</v>
      </c>
      <c r="G57" s="6"/>
    </row>
    <row r="58" spans="1:7" x14ac:dyDescent="0.25">
      <c r="A58" s="16" t="s">
        <v>28</v>
      </c>
      <c r="B58" s="6">
        <f>((B33/B32)-1)*100</f>
        <v>-66.076822716229742</v>
      </c>
      <c r="C58" s="6" t="e">
        <f t="shared" ref="C58:F58" si="12">((C33/C32)-1)*100</f>
        <v>#DIV/0!</v>
      </c>
      <c r="D58" s="6">
        <f t="shared" si="12"/>
        <v>9.6095604309280667</v>
      </c>
      <c r="E58" s="6">
        <f t="shared" si="12"/>
        <v>-61.616070738036541</v>
      </c>
      <c r="F58" s="6">
        <f t="shared" si="12"/>
        <v>-97.608000783230892</v>
      </c>
      <c r="G58" s="6"/>
    </row>
    <row r="59" spans="1:7" x14ac:dyDescent="0.25">
      <c r="A59" s="16" t="s">
        <v>29</v>
      </c>
      <c r="B59" s="6">
        <f>((B35/B34)-1)*100</f>
        <v>-66.422272586736568</v>
      </c>
      <c r="C59" s="6" t="e">
        <f t="shared" ref="C59:F59" si="13">((C35/C34)-1)*100</f>
        <v>#DIV/0!</v>
      </c>
      <c r="D59" s="6">
        <f t="shared" si="13"/>
        <v>-0.26526361653473884</v>
      </c>
      <c r="E59" s="6">
        <f t="shared" si="13"/>
        <v>-65.074113505674518</v>
      </c>
      <c r="F59" s="6">
        <f t="shared" si="13"/>
        <v>-97.823498147643278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44">
        <f>B17/($B$11*11)</f>
        <v>148152.48685809312</v>
      </c>
      <c r="C62" s="44">
        <f>B17/(C11*11)</f>
        <v>148152.48685809312</v>
      </c>
      <c r="D62" s="44">
        <f>D17/($C$11*11)</f>
        <v>61516.629711751666</v>
      </c>
      <c r="E62" s="44">
        <f t="shared" ref="E62:F62" si="14">E17/($C$11*11)</f>
        <v>13581.949474501109</v>
      </c>
      <c r="F62" s="44">
        <f t="shared" si="14"/>
        <v>73053.907671840367</v>
      </c>
      <c r="G62" s="45"/>
    </row>
    <row r="63" spans="1:7" x14ac:dyDescent="0.25">
      <c r="A63" s="16" t="s">
        <v>38</v>
      </c>
      <c r="B63" s="44">
        <f>B18/($B$12*11)</f>
        <v>64888.401166450669</v>
      </c>
      <c r="C63" s="44">
        <f>B18/(C12*11)</f>
        <v>68818.730928400197</v>
      </c>
      <c r="D63" s="44">
        <f>D18/($C$12*11)</f>
        <v>54278.352994002671</v>
      </c>
      <c r="E63" s="44">
        <f t="shared" ref="E63:F63" si="15">E18/($C$12*11)</f>
        <v>11594.893934102978</v>
      </c>
      <c r="F63" s="44">
        <f t="shared" si="15"/>
        <v>2945.4840002945484</v>
      </c>
      <c r="G63" s="22"/>
    </row>
    <row r="64" spans="1:7" x14ac:dyDescent="0.25">
      <c r="A64" s="16" t="s">
        <v>31</v>
      </c>
      <c r="B64" s="42">
        <f>(B62/B63)*B46</f>
        <v>196.59095394644379</v>
      </c>
      <c r="C64" s="42">
        <f>(C62/C63)*C46</f>
        <v>243.08621720731733</v>
      </c>
      <c r="D64" s="42"/>
      <c r="E64" s="42"/>
      <c r="F64" s="42"/>
      <c r="G64" s="6"/>
    </row>
    <row r="65" spans="1:8" x14ac:dyDescent="0.25">
      <c r="A65" s="14" t="s">
        <v>43</v>
      </c>
      <c r="B65" s="47">
        <f>B17/($B$11)</f>
        <v>1629677.3554390245</v>
      </c>
      <c r="C65" s="47">
        <f>B17/C11</f>
        <v>1629677.3554390245</v>
      </c>
      <c r="D65" s="47">
        <f>D17/($C$11)</f>
        <v>676682.92682926834</v>
      </c>
      <c r="E65" s="47">
        <f t="shared" ref="E65:F65" si="16">E17/($C$11)</f>
        <v>149401.4442195122</v>
      </c>
      <c r="F65" s="47">
        <f t="shared" si="16"/>
        <v>803592.984390244</v>
      </c>
      <c r="G65" s="6"/>
    </row>
    <row r="66" spans="1:8" x14ac:dyDescent="0.25">
      <c r="A66" s="14" t="s">
        <v>44</v>
      </c>
      <c r="B66" s="47">
        <f>B18/($B$12)</f>
        <v>713772.41283095733</v>
      </c>
      <c r="C66" s="47">
        <f>B18/C12</f>
        <v>757006.04021240212</v>
      </c>
      <c r="D66" s="47">
        <f>D18/($C$12)</f>
        <v>597061.88293402933</v>
      </c>
      <c r="E66" s="47">
        <f t="shared" ref="E66:F66" si="17">E18/($C$12)</f>
        <v>127543.83327513275</v>
      </c>
      <c r="F66" s="47">
        <f t="shared" si="17"/>
        <v>32400.324003240028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42">
        <f>((B24+D24)/B23)*100</f>
        <v>99.582334336978391</v>
      </c>
      <c r="C69" s="6"/>
      <c r="D69" s="6"/>
      <c r="E69" s="6"/>
      <c r="F69" s="6"/>
      <c r="G69" s="39"/>
      <c r="H69" s="22"/>
    </row>
    <row r="70" spans="1:8" x14ac:dyDescent="0.25">
      <c r="A70" s="16" t="s">
        <v>34</v>
      </c>
      <c r="B70" s="42">
        <f>(B18/(B24+D24))*100</f>
        <v>52.671230019223259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89</v>
      </c>
    </row>
    <row r="75" spans="1:8" x14ac:dyDescent="0.25">
      <c r="A75" s="11" t="s">
        <v>90</v>
      </c>
      <c r="B75" s="24"/>
      <c r="C75" s="24"/>
      <c r="D75" s="24"/>
      <c r="E75" s="24"/>
    </row>
    <row r="76" spans="1:8" x14ac:dyDescent="0.25">
      <c r="A76" s="34" t="s">
        <v>91</v>
      </c>
      <c r="B76" s="24"/>
      <c r="C76" s="24"/>
      <c r="D76" s="24"/>
      <c r="E76" s="24"/>
    </row>
    <row r="77" spans="1:8" x14ac:dyDescent="0.25">
      <c r="A77" s="11" t="s">
        <v>78</v>
      </c>
    </row>
    <row r="78" spans="1:8" x14ac:dyDescent="0.25">
      <c r="A78" s="33" t="s">
        <v>79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2" spans="1:1" x14ac:dyDescent="0.25">
      <c r="A82" t="s">
        <v>134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2"/>
  <sheetViews>
    <sheetView workbookViewId="0">
      <selection activeCell="G62" sqref="G62"/>
    </sheetView>
  </sheetViews>
  <sheetFormatPr baseColWidth="10" defaultRowHeight="15" x14ac:dyDescent="0.25"/>
  <sheetData>
    <row r="62" spans="7:7" x14ac:dyDescent="0.25">
      <c r="G6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2012-03-15T15:44:58Z</dcterms:created>
  <dcterms:modified xsi:type="dcterms:W3CDTF">2015-10-16T15:46:42Z</dcterms:modified>
</cp:coreProperties>
</file>