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CCSS-CONAPAM\Indicadores\"/>
    </mc:Choice>
  </mc:AlternateContent>
  <bookViews>
    <workbookView xWindow="0" yWindow="0" windowWidth="21600" windowHeight="9735" tabRatio="72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  <sheet name="Hoja1" sheetId="9" state="hidden" r:id="rId8"/>
  </sheets>
  <calcPr calcId="152511"/>
</workbook>
</file>

<file path=xl/calcChain.xml><?xml version="1.0" encoding="utf-8"?>
<calcChain xmlns="http://schemas.openxmlformats.org/spreadsheetml/2006/main">
  <c r="B11" i="4" l="1"/>
  <c r="B12" i="4"/>
  <c r="B13" i="4"/>
  <c r="B10" i="4"/>
  <c r="B10" i="2"/>
  <c r="B18" i="2"/>
  <c r="B18" i="3"/>
  <c r="B18" i="4"/>
  <c r="B18" i="1"/>
  <c r="B16" i="2"/>
  <c r="B16" i="3"/>
  <c r="B16" i="4"/>
  <c r="B16" i="1"/>
  <c r="F63" i="4" l="1"/>
  <c r="F63" i="3"/>
  <c r="F49" i="4" l="1"/>
  <c r="F49" i="3"/>
  <c r="B49" i="4"/>
  <c r="C49" i="2"/>
  <c r="D49" i="2"/>
  <c r="E49" i="2"/>
  <c r="C49" i="3"/>
  <c r="D49" i="3"/>
  <c r="E49" i="3"/>
  <c r="C49" i="4"/>
  <c r="D49" i="4"/>
  <c r="E49" i="4"/>
  <c r="C49" i="1"/>
  <c r="D49" i="1"/>
  <c r="E49" i="1"/>
  <c r="C46" i="4" l="1"/>
  <c r="C45" i="4"/>
  <c r="D45" i="4"/>
  <c r="E45" i="4"/>
  <c r="C44" i="4"/>
  <c r="D44" i="4"/>
  <c r="D46" i="4" s="1"/>
  <c r="E44" i="4"/>
  <c r="E46" i="4" s="1"/>
  <c r="C59" i="3"/>
  <c r="D59" i="3"/>
  <c r="C57" i="3"/>
  <c r="D57" i="3"/>
  <c r="E57" i="3"/>
  <c r="C51" i="3"/>
  <c r="C50" i="3"/>
  <c r="D50" i="3"/>
  <c r="D51" i="3" s="1"/>
  <c r="E50" i="3"/>
  <c r="E46" i="3"/>
  <c r="C45" i="3"/>
  <c r="D45" i="3"/>
  <c r="E45" i="3"/>
  <c r="C44" i="3"/>
  <c r="C46" i="3" s="1"/>
  <c r="D44" i="3"/>
  <c r="D46" i="3" s="1"/>
  <c r="E44" i="3"/>
  <c r="C33" i="3"/>
  <c r="C35" i="3" s="1"/>
  <c r="D33" i="3"/>
  <c r="D35" i="3" s="1"/>
  <c r="E33" i="3"/>
  <c r="E35" i="3" s="1"/>
  <c r="E59" i="3" s="1"/>
  <c r="C32" i="3"/>
  <c r="C34" i="3" s="1"/>
  <c r="D32" i="3"/>
  <c r="D34" i="3" s="1"/>
  <c r="E32" i="3"/>
  <c r="E34" i="3" s="1"/>
  <c r="C66" i="2"/>
  <c r="D66" i="2"/>
  <c r="E66" i="2"/>
  <c r="C65" i="2"/>
  <c r="D65" i="2"/>
  <c r="E65" i="2"/>
  <c r="C62" i="2"/>
  <c r="D62" i="2"/>
  <c r="E62" i="2"/>
  <c r="C57" i="2"/>
  <c r="D57" i="2"/>
  <c r="E57" i="2"/>
  <c r="D51" i="2"/>
  <c r="E51" i="2"/>
  <c r="C50" i="2"/>
  <c r="C51" i="2" s="1"/>
  <c r="D50" i="2"/>
  <c r="E50" i="2"/>
  <c r="C46" i="2"/>
  <c r="D46" i="2"/>
  <c r="C45" i="2"/>
  <c r="D45" i="2"/>
  <c r="E45" i="2"/>
  <c r="C44" i="2"/>
  <c r="D44" i="2"/>
  <c r="E44" i="2"/>
  <c r="E46" i="2" s="1"/>
  <c r="C66" i="1"/>
  <c r="D66" i="1"/>
  <c r="E66" i="1"/>
  <c r="C65" i="1"/>
  <c r="D65" i="1"/>
  <c r="E65" i="1"/>
  <c r="C62" i="1"/>
  <c r="D62" i="1"/>
  <c r="E62" i="1"/>
  <c r="C57" i="1"/>
  <c r="D57" i="1"/>
  <c r="E57" i="1"/>
  <c r="D51" i="1"/>
  <c r="E51" i="1"/>
  <c r="C50" i="1"/>
  <c r="C51" i="1" s="1"/>
  <c r="D50" i="1"/>
  <c r="E50" i="1"/>
  <c r="C46" i="1"/>
  <c r="D46" i="1"/>
  <c r="C45" i="1"/>
  <c r="D45" i="1"/>
  <c r="E45" i="1"/>
  <c r="C44" i="1"/>
  <c r="D44" i="1"/>
  <c r="E44" i="1"/>
  <c r="E46" i="1" s="1"/>
  <c r="C33" i="1"/>
  <c r="C35" i="1" s="1"/>
  <c r="C59" i="1" s="1"/>
  <c r="D33" i="1"/>
  <c r="D35" i="1" s="1"/>
  <c r="D59" i="1" s="1"/>
  <c r="E33" i="1"/>
  <c r="E35" i="1" s="1"/>
  <c r="E59" i="1" s="1"/>
  <c r="C32" i="1"/>
  <c r="C34" i="1" s="1"/>
  <c r="D32" i="1"/>
  <c r="D34" i="1" s="1"/>
  <c r="E32" i="1"/>
  <c r="E34" i="1" s="1"/>
  <c r="D58" i="1" l="1"/>
  <c r="E58" i="3"/>
  <c r="C58" i="1"/>
  <c r="D58" i="3"/>
  <c r="C58" i="3"/>
  <c r="E58" i="1"/>
  <c r="B19" i="1"/>
  <c r="B50" i="1" s="1"/>
  <c r="B17" i="1"/>
  <c r="B19" i="2"/>
  <c r="B17" i="2"/>
  <c r="D20" i="4"/>
  <c r="E20" i="4"/>
  <c r="C20" i="4"/>
  <c r="E12" i="8" l="1"/>
  <c r="E11" i="8"/>
  <c r="E10" i="8"/>
  <c r="D12" i="8"/>
  <c r="D11" i="8"/>
  <c r="D10" i="8"/>
  <c r="C12" i="8"/>
  <c r="C11" i="8"/>
  <c r="C10" i="8"/>
  <c r="E12" i="7"/>
  <c r="E11" i="7"/>
  <c r="E10" i="7"/>
  <c r="D12" i="7"/>
  <c r="D11" i="7"/>
  <c r="D10" i="7"/>
  <c r="C12" i="7"/>
  <c r="C11" i="7"/>
  <c r="C10" i="7"/>
  <c r="E12" i="6"/>
  <c r="E11" i="6"/>
  <c r="E10" i="6"/>
  <c r="D12" i="6"/>
  <c r="D11" i="6"/>
  <c r="D10" i="6"/>
  <c r="C12" i="6"/>
  <c r="C11" i="6"/>
  <c r="C10" i="6"/>
  <c r="D20" i="3" l="1"/>
  <c r="E20" i="3"/>
  <c r="C20" i="3"/>
  <c r="D20" i="2" l="1"/>
  <c r="E20" i="2"/>
  <c r="C20" i="2"/>
  <c r="E66" i="4" l="1"/>
  <c r="D66" i="4"/>
  <c r="C66" i="4"/>
  <c r="E65" i="4"/>
  <c r="D65" i="4"/>
  <c r="C65" i="4"/>
  <c r="E66" i="3"/>
  <c r="D66" i="3"/>
  <c r="C66" i="3"/>
  <c r="E65" i="3"/>
  <c r="D65" i="3"/>
  <c r="C65" i="3"/>
  <c r="E213" i="1"/>
  <c r="D20" i="1" l="1"/>
  <c r="E20" i="1"/>
  <c r="C20" i="1"/>
  <c r="C19" i="6"/>
  <c r="D19" i="6" l="1"/>
  <c r="E19" i="6"/>
  <c r="F19" i="6"/>
  <c r="C17" i="6"/>
  <c r="D17" i="6"/>
  <c r="E17" i="6"/>
  <c r="F17" i="6"/>
  <c r="C18" i="6"/>
  <c r="D18" i="6"/>
  <c r="E18" i="6"/>
  <c r="F18" i="6"/>
  <c r="D16" i="6"/>
  <c r="E16" i="6"/>
  <c r="F16" i="6"/>
  <c r="C16" i="6"/>
  <c r="D19" i="7"/>
  <c r="E19" i="7"/>
  <c r="F19" i="7"/>
  <c r="C19" i="7"/>
  <c r="C17" i="7"/>
  <c r="D17" i="7"/>
  <c r="E17" i="7"/>
  <c r="F17" i="7"/>
  <c r="C18" i="7"/>
  <c r="D18" i="7"/>
  <c r="E18" i="7"/>
  <c r="F18" i="7"/>
  <c r="F20" i="7" s="1"/>
  <c r="D16" i="7"/>
  <c r="E16" i="7"/>
  <c r="F16" i="7"/>
  <c r="C16" i="7"/>
  <c r="C17" i="8"/>
  <c r="D17" i="8"/>
  <c r="E17" i="8"/>
  <c r="F17" i="8"/>
  <c r="C18" i="8"/>
  <c r="D18" i="8"/>
  <c r="E18" i="8"/>
  <c r="F18" i="8"/>
  <c r="F20" i="8" s="1"/>
  <c r="D16" i="8"/>
  <c r="E16" i="8"/>
  <c r="F16" i="8"/>
  <c r="C16" i="8"/>
  <c r="C19" i="8"/>
  <c r="D19" i="8"/>
  <c r="E19" i="8"/>
  <c r="F19" i="8"/>
  <c r="D13" i="6"/>
  <c r="D49" i="6" s="1"/>
  <c r="E13" i="6"/>
  <c r="E49" i="6" s="1"/>
  <c r="F13" i="6"/>
  <c r="C13" i="6"/>
  <c r="C49" i="6" s="1"/>
  <c r="F11" i="6"/>
  <c r="B11" i="6" s="1"/>
  <c r="F12" i="6"/>
  <c r="F10" i="6"/>
  <c r="B10" i="6" s="1"/>
  <c r="D13" i="7"/>
  <c r="D49" i="7" s="1"/>
  <c r="E13" i="7"/>
  <c r="E49" i="7" s="1"/>
  <c r="F13" i="7"/>
  <c r="C13" i="7"/>
  <c r="F11" i="7"/>
  <c r="B11" i="7" s="1"/>
  <c r="F12" i="7"/>
  <c r="F10" i="7"/>
  <c r="B10" i="7" s="1"/>
  <c r="D13" i="8"/>
  <c r="D49" i="8" s="1"/>
  <c r="E13" i="8"/>
  <c r="E49" i="8" s="1"/>
  <c r="F13" i="8"/>
  <c r="C13" i="8"/>
  <c r="F11" i="8"/>
  <c r="B11" i="8" s="1"/>
  <c r="F12" i="8"/>
  <c r="F10" i="8"/>
  <c r="B10" i="8" s="1"/>
  <c r="B13" i="8" l="1"/>
  <c r="C49" i="8"/>
  <c r="F49" i="6"/>
  <c r="B12" i="6"/>
  <c r="F49" i="7"/>
  <c r="B12" i="7"/>
  <c r="B49" i="7" s="1"/>
  <c r="B19" i="8"/>
  <c r="B18" i="8"/>
  <c r="B18" i="7"/>
  <c r="B18" i="6"/>
  <c r="F49" i="8"/>
  <c r="B12" i="8"/>
  <c r="B16" i="8"/>
  <c r="B16" i="7"/>
  <c r="B16" i="6"/>
  <c r="B13" i="7"/>
  <c r="C49" i="7"/>
  <c r="B19" i="7"/>
  <c r="B19" i="6"/>
  <c r="E20" i="8"/>
  <c r="E66" i="8"/>
  <c r="C20" i="8"/>
  <c r="C66" i="8"/>
  <c r="E65" i="8"/>
  <c r="C65" i="8"/>
  <c r="E20" i="7"/>
  <c r="E66" i="7"/>
  <c r="C20" i="7"/>
  <c r="C66" i="7"/>
  <c r="E65" i="7"/>
  <c r="C65" i="7"/>
  <c r="E20" i="6"/>
  <c r="E66" i="6"/>
  <c r="C20" i="6"/>
  <c r="C66" i="6"/>
  <c r="E65" i="6"/>
  <c r="C65" i="6"/>
  <c r="D20" i="8"/>
  <c r="D66" i="8"/>
  <c r="D65" i="8"/>
  <c r="D20" i="7"/>
  <c r="D66" i="7"/>
  <c r="D65" i="7"/>
  <c r="D20" i="6"/>
  <c r="D66" i="6"/>
  <c r="D65" i="6"/>
  <c r="B17" i="8"/>
  <c r="B17" i="7"/>
  <c r="B17" i="6"/>
  <c r="B13" i="6"/>
  <c r="B20" i="4"/>
  <c r="B19" i="4"/>
  <c r="B17" i="4"/>
  <c r="B20" i="3"/>
  <c r="B19" i="3"/>
  <c r="B17" i="3"/>
  <c r="B13" i="3"/>
  <c r="B12" i="3"/>
  <c r="B49" i="3" s="1"/>
  <c r="B11" i="3"/>
  <c r="B10" i="3"/>
  <c r="B20" i="2"/>
  <c r="B13" i="2"/>
  <c r="B12" i="2"/>
  <c r="B49" i="2" s="1"/>
  <c r="B11" i="2"/>
  <c r="B20" i="1"/>
  <c r="B13" i="1"/>
  <c r="B12" i="1"/>
  <c r="B49" i="1" s="1"/>
  <c r="B11" i="1"/>
  <c r="B10" i="1"/>
  <c r="B49" i="8" l="1"/>
  <c r="B49" i="6"/>
  <c r="B20" i="6"/>
  <c r="B57" i="8"/>
  <c r="B20" i="7"/>
  <c r="B20" i="8"/>
  <c r="B65" i="1"/>
  <c r="B66" i="2"/>
  <c r="B65" i="3"/>
  <c r="B66" i="4"/>
  <c r="B65" i="6"/>
  <c r="B65" i="7"/>
  <c r="B65" i="8"/>
  <c r="B66" i="1"/>
  <c r="B65" i="2"/>
  <c r="B66" i="3"/>
  <c r="B65" i="4"/>
  <c r="B66" i="6"/>
  <c r="B66" i="7"/>
  <c r="B66" i="8"/>
  <c r="E51" i="3"/>
  <c r="F44" i="6" l="1"/>
  <c r="E32" i="6"/>
  <c r="E34" i="6" s="1"/>
  <c r="F32" i="6"/>
  <c r="E57" i="6"/>
  <c r="F50" i="6" l="1"/>
  <c r="F62" i="6"/>
  <c r="D50" i="6"/>
  <c r="E63" i="6"/>
  <c r="B33" i="6"/>
  <c r="B35" i="6" s="1"/>
  <c r="C63" i="6"/>
  <c r="E50" i="6"/>
  <c r="C50" i="6"/>
  <c r="F63" i="6"/>
  <c r="D63" i="6"/>
  <c r="D33" i="6"/>
  <c r="D35" i="6" s="1"/>
  <c r="F33" i="6"/>
  <c r="F35" i="6" s="1"/>
  <c r="F45" i="6"/>
  <c r="F46" i="6" s="1"/>
  <c r="F57" i="6"/>
  <c r="C33" i="6"/>
  <c r="C35" i="6" s="1"/>
  <c r="E33" i="6"/>
  <c r="E35" i="6" s="1"/>
  <c r="F51" i="6" l="1"/>
  <c r="D51" i="6"/>
  <c r="F64" i="6"/>
  <c r="E51" i="6"/>
  <c r="B63" i="6"/>
  <c r="B41" i="6"/>
  <c r="C51" i="6"/>
  <c r="B54" i="6"/>
  <c r="E58" i="6"/>
  <c r="F58" i="6"/>
  <c r="F59" i="6"/>
  <c r="F32" i="7" l="1"/>
  <c r="E57" i="7"/>
  <c r="E32" i="7"/>
  <c r="E34" i="7" s="1"/>
  <c r="F32" i="3"/>
  <c r="F33" i="3"/>
  <c r="F35" i="3" s="1"/>
  <c r="B33" i="3"/>
  <c r="B35" i="3" s="1"/>
  <c r="B32" i="3"/>
  <c r="B34" i="3" s="1"/>
  <c r="F62" i="8"/>
  <c r="F63" i="8"/>
  <c r="F32" i="8"/>
  <c r="F57" i="8"/>
  <c r="F44" i="8"/>
  <c r="E32" i="8"/>
  <c r="E34" i="8" s="1"/>
  <c r="F32" i="4"/>
  <c r="F33" i="4"/>
  <c r="F35" i="4" s="1"/>
  <c r="E63" i="4"/>
  <c r="D63" i="4"/>
  <c r="C63" i="4"/>
  <c r="F62" i="4"/>
  <c r="F57" i="4"/>
  <c r="E57" i="4"/>
  <c r="D57" i="4"/>
  <c r="C57" i="4"/>
  <c r="F50" i="4"/>
  <c r="E50" i="4"/>
  <c r="E51" i="4" s="1"/>
  <c r="D50" i="4"/>
  <c r="D51" i="4" s="1"/>
  <c r="C50" i="4"/>
  <c r="C51" i="4" s="1"/>
  <c r="F45" i="4"/>
  <c r="F44" i="4"/>
  <c r="F46" i="4" s="1"/>
  <c r="E62" i="4"/>
  <c r="D62" i="4"/>
  <c r="C62" i="4"/>
  <c r="E33" i="4"/>
  <c r="D33" i="4"/>
  <c r="C33" i="4"/>
  <c r="E32" i="4"/>
  <c r="E34" i="4" s="1"/>
  <c r="D32" i="4"/>
  <c r="D34" i="4" s="1"/>
  <c r="C32" i="4"/>
  <c r="C34" i="4" s="1"/>
  <c r="B32" i="4"/>
  <c r="B34" i="4" s="1"/>
  <c r="F44" i="3"/>
  <c r="F46" i="3" s="1"/>
  <c r="F45" i="3"/>
  <c r="F50" i="3"/>
  <c r="F57" i="3"/>
  <c r="F62" i="3"/>
  <c r="E63" i="3"/>
  <c r="D63" i="3"/>
  <c r="C63" i="3"/>
  <c r="B63" i="3"/>
  <c r="B57" i="3"/>
  <c r="B54" i="3"/>
  <c r="B45" i="3"/>
  <c r="B41" i="3"/>
  <c r="E62" i="3"/>
  <c r="E64" i="3" s="1"/>
  <c r="D62" i="3"/>
  <c r="D64" i="3" s="1"/>
  <c r="B70" i="3"/>
  <c r="E63" i="2"/>
  <c r="E64" i="2" s="1"/>
  <c r="D63" i="2"/>
  <c r="D64" i="2" s="1"/>
  <c r="C63" i="2"/>
  <c r="C64" i="2" s="1"/>
  <c r="E33" i="2"/>
  <c r="D33" i="2"/>
  <c r="C33" i="2"/>
  <c r="E32" i="2"/>
  <c r="E34" i="2" s="1"/>
  <c r="D32" i="2"/>
  <c r="D34" i="2" s="1"/>
  <c r="C32" i="2"/>
  <c r="C34" i="2" s="1"/>
  <c r="B24" i="6"/>
  <c r="B70" i="6" s="1"/>
  <c r="B50" i="6"/>
  <c r="B51" i="6" s="1"/>
  <c r="B32" i="2"/>
  <c r="B34" i="2" s="1"/>
  <c r="D63" i="1"/>
  <c r="D64" i="1" s="1"/>
  <c r="E63" i="1"/>
  <c r="E64" i="1" s="1"/>
  <c r="C63" i="1"/>
  <c r="C64" i="1" s="1"/>
  <c r="B70" i="1"/>
  <c r="B32" i="1"/>
  <c r="B34" i="1" s="1"/>
  <c r="C35" i="2" l="1"/>
  <c r="C59" i="2" s="1"/>
  <c r="C58" i="2"/>
  <c r="E35" i="4"/>
  <c r="E58" i="4"/>
  <c r="D35" i="2"/>
  <c r="D59" i="2" s="1"/>
  <c r="D58" i="2"/>
  <c r="E35" i="2"/>
  <c r="E59" i="2" s="1"/>
  <c r="E58" i="2"/>
  <c r="C35" i="4"/>
  <c r="C58" i="4"/>
  <c r="D35" i="4"/>
  <c r="D59" i="4" s="1"/>
  <c r="D58" i="4"/>
  <c r="F51" i="4"/>
  <c r="B40" i="1"/>
  <c r="F45" i="8"/>
  <c r="F46" i="8" s="1"/>
  <c r="F64" i="8" s="1"/>
  <c r="B70" i="4"/>
  <c r="E33" i="8"/>
  <c r="E50" i="8"/>
  <c r="E51" i="8" s="1"/>
  <c r="C33" i="8"/>
  <c r="C35" i="8" s="1"/>
  <c r="B40" i="2"/>
  <c r="B70" i="2"/>
  <c r="F58" i="4"/>
  <c r="C50" i="8"/>
  <c r="C51" i="8" s="1"/>
  <c r="D63" i="8"/>
  <c r="B41" i="8"/>
  <c r="C59" i="4"/>
  <c r="E59" i="4"/>
  <c r="B50" i="3"/>
  <c r="F64" i="3"/>
  <c r="F51" i="3"/>
  <c r="B33" i="8"/>
  <c r="B35" i="8" s="1"/>
  <c r="D33" i="8"/>
  <c r="D35" i="8" s="1"/>
  <c r="F33" i="8"/>
  <c r="F35" i="8" s="1"/>
  <c r="D50" i="8"/>
  <c r="D51" i="8" s="1"/>
  <c r="F50" i="8"/>
  <c r="F51" i="8" s="1"/>
  <c r="E57" i="8"/>
  <c r="B54" i="2"/>
  <c r="D32" i="6"/>
  <c r="D34" i="6" s="1"/>
  <c r="D32" i="7"/>
  <c r="D34" i="7" s="1"/>
  <c r="D32" i="8"/>
  <c r="D34" i="8" s="1"/>
  <c r="D57" i="6"/>
  <c r="D57" i="7"/>
  <c r="D57" i="8"/>
  <c r="D44" i="8"/>
  <c r="B44" i="1"/>
  <c r="F59" i="4"/>
  <c r="C57" i="7"/>
  <c r="E44" i="8"/>
  <c r="B63" i="1"/>
  <c r="B41" i="2"/>
  <c r="B44" i="2"/>
  <c r="B50" i="2"/>
  <c r="B57" i="2"/>
  <c r="C62" i="3"/>
  <c r="C64" i="3" s="1"/>
  <c r="B41" i="4"/>
  <c r="C64" i="4"/>
  <c r="E64" i="4"/>
  <c r="B50" i="4"/>
  <c r="B51" i="4" s="1"/>
  <c r="B57" i="4"/>
  <c r="B63" i="4"/>
  <c r="F64" i="4"/>
  <c r="E63" i="8"/>
  <c r="C63" i="8"/>
  <c r="E44" i="7"/>
  <c r="C44" i="7"/>
  <c r="E63" i="7"/>
  <c r="C63" i="7"/>
  <c r="B63" i="2"/>
  <c r="F58" i="3"/>
  <c r="D64" i="4"/>
  <c r="B54" i="4"/>
  <c r="B24" i="8"/>
  <c r="F44" i="7"/>
  <c r="F63" i="7"/>
  <c r="D63" i="7"/>
  <c r="F62" i="7"/>
  <c r="B24" i="7"/>
  <c r="D33" i="7"/>
  <c r="D35" i="7" s="1"/>
  <c r="F33" i="7"/>
  <c r="F35" i="7" s="1"/>
  <c r="B41" i="7"/>
  <c r="D45" i="7"/>
  <c r="F45" i="7"/>
  <c r="C50" i="7"/>
  <c r="E50" i="7"/>
  <c r="F57" i="7"/>
  <c r="C33" i="7"/>
  <c r="C35" i="7" s="1"/>
  <c r="E33" i="7"/>
  <c r="E35" i="7" s="1"/>
  <c r="C45" i="7"/>
  <c r="D50" i="7"/>
  <c r="F50" i="7"/>
  <c r="F59" i="3"/>
  <c r="B58" i="3"/>
  <c r="B59" i="3"/>
  <c r="C44" i="8"/>
  <c r="B33" i="4"/>
  <c r="B35" i="4" s="1"/>
  <c r="B40" i="4"/>
  <c r="B33" i="2"/>
  <c r="B35" i="2" s="1"/>
  <c r="B33" i="1"/>
  <c r="B35" i="1" s="1"/>
  <c r="B54" i="1"/>
  <c r="B41" i="1"/>
  <c r="E58" i="8" l="1"/>
  <c r="E35" i="8"/>
  <c r="E59" i="8" s="1"/>
  <c r="C51" i="7"/>
  <c r="B51" i="1"/>
  <c r="F59" i="8"/>
  <c r="B58" i="1"/>
  <c r="F58" i="8"/>
  <c r="D44" i="7"/>
  <c r="D46" i="7" s="1"/>
  <c r="B51" i="3"/>
  <c r="B50" i="8"/>
  <c r="D58" i="8"/>
  <c r="B70" i="8"/>
  <c r="E45" i="7"/>
  <c r="E46" i="7" s="1"/>
  <c r="F46" i="7"/>
  <c r="F64" i="7" s="1"/>
  <c r="D62" i="7"/>
  <c r="B54" i="8"/>
  <c r="B63" i="8"/>
  <c r="B57" i="7"/>
  <c r="B59" i="2"/>
  <c r="B58" i="2"/>
  <c r="B58" i="4"/>
  <c r="B59" i="4"/>
  <c r="C57" i="8"/>
  <c r="B57" i="6"/>
  <c r="C57" i="6"/>
  <c r="B57" i="1"/>
  <c r="D44" i="6"/>
  <c r="E62" i="8"/>
  <c r="E45" i="8"/>
  <c r="E46" i="8" s="1"/>
  <c r="E62" i="6"/>
  <c r="E45" i="6"/>
  <c r="C62" i="7"/>
  <c r="B23" i="7"/>
  <c r="B69" i="7" s="1"/>
  <c r="C32" i="8"/>
  <c r="C34" i="8" s="1"/>
  <c r="B32" i="8"/>
  <c r="B34" i="8" s="1"/>
  <c r="C32" i="6"/>
  <c r="C34" i="6" s="1"/>
  <c r="B32" i="6"/>
  <c r="B34" i="6" s="1"/>
  <c r="D59" i="7"/>
  <c r="B45" i="1"/>
  <c r="B46" i="1" s="1"/>
  <c r="B62" i="1"/>
  <c r="B63" i="7"/>
  <c r="B50" i="7"/>
  <c r="B51" i="7" s="1"/>
  <c r="B33" i="7"/>
  <c r="B35" i="7" s="1"/>
  <c r="B44" i="4"/>
  <c r="B62" i="3"/>
  <c r="B44" i="3"/>
  <c r="B46" i="3" s="1"/>
  <c r="B40" i="3"/>
  <c r="B51" i="2"/>
  <c r="E44" i="6"/>
  <c r="E59" i="6"/>
  <c r="C44" i="6"/>
  <c r="D62" i="8"/>
  <c r="D45" i="8"/>
  <c r="D46" i="8" s="1"/>
  <c r="D62" i="6"/>
  <c r="D45" i="6"/>
  <c r="E62" i="7"/>
  <c r="C62" i="8"/>
  <c r="B62" i="8"/>
  <c r="C45" i="8"/>
  <c r="C46" i="8" s="1"/>
  <c r="C62" i="6"/>
  <c r="C45" i="6"/>
  <c r="C32" i="7"/>
  <c r="B32" i="7"/>
  <c r="B34" i="7" s="1"/>
  <c r="D59" i="8"/>
  <c r="D58" i="6"/>
  <c r="B23" i="4"/>
  <c r="B69" i="4" s="1"/>
  <c r="B45" i="4"/>
  <c r="B62" i="4"/>
  <c r="B62" i="2"/>
  <c r="B45" i="2"/>
  <c r="B46" i="2" s="1"/>
  <c r="E51" i="7"/>
  <c r="F51" i="7"/>
  <c r="C46" i="7"/>
  <c r="D58" i="7"/>
  <c r="E59" i="7"/>
  <c r="E58" i="7"/>
  <c r="B70" i="7"/>
  <c r="B54" i="7"/>
  <c r="D51" i="7"/>
  <c r="F58" i="7"/>
  <c r="F59" i="7"/>
  <c r="B23" i="3"/>
  <c r="B69" i="3" s="1"/>
  <c r="B23" i="2"/>
  <c r="B69" i="2" s="1"/>
  <c r="B59" i="1"/>
  <c r="B23" i="1"/>
  <c r="B69" i="1" s="1"/>
  <c r="C34" i="7" l="1"/>
  <c r="C59" i="7" s="1"/>
  <c r="D46" i="6"/>
  <c r="D64" i="6" s="1"/>
  <c r="E46" i="6"/>
  <c r="E64" i="6" s="1"/>
  <c r="B58" i="8"/>
  <c r="D64" i="7"/>
  <c r="B59" i="8"/>
  <c r="B59" i="7"/>
  <c r="B64" i="1"/>
  <c r="B23" i="8"/>
  <c r="B69" i="8" s="1"/>
  <c r="C64" i="8"/>
  <c r="C64" i="7"/>
  <c r="E64" i="7"/>
  <c r="B45" i="7"/>
  <c r="B51" i="8"/>
  <c r="B46" i="4"/>
  <c r="B64" i="4" s="1"/>
  <c r="B45" i="8"/>
  <c r="C58" i="7"/>
  <c r="D64" i="8"/>
  <c r="C46" i="6"/>
  <c r="C64" i="6" s="1"/>
  <c r="B64" i="3"/>
  <c r="B58" i="6"/>
  <c r="D59" i="6"/>
  <c r="B62" i="6"/>
  <c r="B45" i="6"/>
  <c r="B23" i="6"/>
  <c r="B69" i="6" s="1"/>
  <c r="B40" i="6"/>
  <c r="B44" i="6"/>
  <c r="B40" i="7"/>
  <c r="B44" i="7"/>
  <c r="C59" i="6"/>
  <c r="C58" i="6"/>
  <c r="C59" i="8"/>
  <c r="C58" i="8"/>
  <c r="B62" i="7"/>
  <c r="E64" i="8"/>
  <c r="B40" i="8"/>
  <c r="B44" i="8"/>
  <c r="B64" i="2"/>
  <c r="B58" i="7"/>
  <c r="B46" i="7" l="1"/>
  <c r="B64" i="7" s="1"/>
  <c r="B59" i="6"/>
  <c r="B46" i="8"/>
  <c r="B64" i="8" s="1"/>
  <c r="B46" i="6"/>
  <c r="B64" i="6" s="1"/>
</calcChain>
</file>

<file path=xl/sharedStrings.xml><?xml version="1.0" encoding="utf-8"?>
<sst xmlns="http://schemas.openxmlformats.org/spreadsheetml/2006/main" count="474" uniqueCount="137">
  <si>
    <t>Indicador</t>
  </si>
  <si>
    <t>Total Programa</t>
  </si>
  <si>
    <t>Productos</t>
  </si>
  <si>
    <t>Red Cuido</t>
  </si>
  <si>
    <t>Infraestructura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</si>
  <si>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</si>
  <si>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</si>
  <si>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</si>
  <si>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</si>
  <si>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</si>
  <si>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</si>
  <si>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</si>
  <si>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</si>
  <si>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</si>
  <si>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</si>
  <si>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</si>
  <si>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</si>
  <si>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</si>
  <si>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</si>
  <si>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</si>
  <si>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</si>
  <si>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</si>
  <si>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</si>
  <si>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</si>
  <si>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</si>
  <si>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</si>
  <si>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</si>
  <si>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</si>
  <si>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</si>
  <si>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</si>
  <si>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</si>
  <si>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</si>
  <si>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</si>
  <si>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</si>
  <si>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</si>
  <si>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</si>
  <si>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 xml:space="preserve">Fuentes: </t>
  </si>
  <si>
    <t>Notas:</t>
  </si>
  <si>
    <t>La mayoría de los beneficiarios son los mismos todos los meses, por ello se utiliza el promedio de personas atendidas en el período.</t>
  </si>
  <si>
    <t xml:space="preserve">Beneficiarios </t>
  </si>
  <si>
    <t>Total programa</t>
  </si>
  <si>
    <t>Hogares</t>
  </si>
  <si>
    <t>Centros Diurnos</t>
  </si>
  <si>
    <t>Primer Trimestre</t>
  </si>
  <si>
    <t>Segundo Trimestre</t>
  </si>
  <si>
    <t>Tercer Trimestre</t>
  </si>
  <si>
    <t>Cuarto Trimestre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</si>
  <si>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</si>
  <si>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</si>
  <si>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</si>
  <si>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</si>
  <si>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</si>
  <si>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</si>
  <si>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</si>
  <si>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</si>
  <si>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</si>
  <si>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</si>
  <si>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</si>
  <si>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</si>
  <si>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</si>
  <si>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</si>
  <si>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</si>
  <si>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</si>
  <si>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</si>
  <si>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</si>
  <si>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</si>
  <si>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</si>
  <si>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3TA 2013</t>
  </si>
  <si>
    <t>IPC (3TA 2013)</t>
  </si>
  <si>
    <t>Gasto efectivo real 3TA 2013</t>
  </si>
  <si>
    <t>Gasto efectivo real por beneficiario 3TA 2013</t>
  </si>
  <si>
    <t>Efectivos  2013</t>
  </si>
  <si>
    <t>IPC ( 2013)</t>
  </si>
  <si>
    <t>Gasto efectivo real  2013</t>
  </si>
  <si>
    <t>Gasto efectivo real por beneficiario  2013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</si>
  <si>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</si>
  <si>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</si>
  <si>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</si>
  <si>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</si>
  <si>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</si>
  <si>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</si>
  <si>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Indicadores aplicados a CONAPAM Primer Trimestre 2014</t>
  </si>
  <si>
    <t>Programados 1T 2014</t>
  </si>
  <si>
    <t>Efectivos 1T 2014</t>
  </si>
  <si>
    <t>Programados año 2014</t>
  </si>
  <si>
    <t>En transferencias 1T 2014</t>
  </si>
  <si>
    <t>Gasto efectivo real 1T 2014</t>
  </si>
  <si>
    <t>Gasto efectivo real por beneficiario 1T 2014</t>
  </si>
  <si>
    <t>Informes trimestrales 2013 y 2014, CONAPAM</t>
  </si>
  <si>
    <t>Metas y modificaciones 2014, DESAF.</t>
  </si>
  <si>
    <t>Población Objetivo estimada a partir de la ENAHO 2013</t>
  </si>
  <si>
    <t>Indicadores aplicados a CONAPAM Segundo Trimestre 2014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</si>
  <si>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</si>
  <si>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</si>
  <si>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</si>
  <si>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</si>
  <si>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</si>
  <si>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</si>
  <si>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IPC (1T 2014)</t>
  </si>
  <si>
    <t>Indicadores aplicados a CONAPAM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</si>
  <si>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</si>
  <si>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</si>
  <si>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</si>
  <si>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</si>
  <si>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</si>
  <si>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</si>
  <si>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>Indicadores aplicados a CONAPAM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</si>
  <si>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</si>
  <si>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</si>
  <si>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</si>
  <si>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</si>
  <si>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</si>
  <si>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</si>
  <si>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Población Objetivo estimada a partir de la ENAHO 2014</t>
  </si>
  <si>
    <t>Indicadores aplicados a CONAPAM  Primer Semestre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</si>
  <si>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</si>
  <si>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</si>
  <si>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</si>
  <si>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</si>
  <si>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</si>
  <si>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</si>
  <si>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Indicadores aplicados a CONAPAM  Tercer Trimestre Acumulado 2014</t>
  </si>
  <si>
    <t>Programados 3TA 2014</t>
  </si>
  <si>
    <t>Efectivos 3TA 2014</t>
  </si>
  <si>
    <t>En transferencias 3TA 2014</t>
  </si>
  <si>
    <t>IPC (3TA 2014)</t>
  </si>
  <si>
    <t>Gasto efectivo real 3TA 2014</t>
  </si>
  <si>
    <t>Gasto efectivo real por beneficiario 3TA 2014</t>
  </si>
  <si>
    <t>Indicadores aplicados a CONAPAM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</si>
  <si>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</si>
  <si>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</si>
  <si>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</si>
  <si>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</si>
  <si>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</si>
  <si>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</si>
  <si>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Población objetivo: adultos mayores pobres que viven solos de acuerdo a la ENAHO 2013</t>
  </si>
  <si>
    <t>Fecha de actualización: 04/05/2015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</si>
</sst>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____"/>
    <numFmt numFmtId="167" formatCode="#,##0.0"/>
    <numFmt numFmtId="168" formatCode="#,##0____"/>
    <numFmt numFmtId="169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165" fontId="0" fillId="0" borderId="0" xfId="0" applyNumberFormat="1" applyFill="1"/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3" fontId="0" fillId="2" borderId="0" xfId="0" applyNumberFormat="1" applyFill="1"/>
    <xf numFmtId="2" fontId="0" fillId="0" borderId="0" xfId="0" applyNumberFormat="1" applyFill="1"/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43" fontId="2" fillId="0" borderId="0" xfId="1" applyFont="1"/>
    <xf numFmtId="3" fontId="0" fillId="0" borderId="0" xfId="0" applyNumberFormat="1" applyFill="1" applyAlignment="1"/>
    <xf numFmtId="43" fontId="0" fillId="0" borderId="0" xfId="1" applyFont="1" applyFill="1"/>
    <xf numFmtId="164" fontId="0" fillId="0" borderId="0" xfId="1" applyNumberFormat="1" applyFont="1"/>
    <xf numFmtId="168" fontId="0" fillId="0" borderId="0" xfId="0" applyNumberFormat="1" applyFill="1"/>
    <xf numFmtId="169" fontId="0" fillId="0" borderId="0" xfId="0" applyNumberFormat="1" applyFill="1"/>
    <xf numFmtId="166" fontId="2" fillId="0" borderId="0" xfId="0" applyNumberFormat="1" applyFont="1" applyFill="1"/>
    <xf numFmtId="3" fontId="2" fillId="0" borderId="0" xfId="0" applyNumberFormat="1" applyFont="1" applyFill="1"/>
    <xf numFmtId="3" fontId="5" fillId="0" borderId="0" xfId="0" applyNumberFormat="1" applyFont="1"/>
    <xf numFmtId="3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Trimestre'!$B$40</c:f>
              <c:numCache>
                <c:formatCode>#,##0.0____</c:formatCode>
                <c:ptCount val="1"/>
                <c:pt idx="0">
                  <c:v>4.6309805939057611</c:v>
                </c:pt>
              </c:numCache>
            </c:numRef>
          </c:val>
        </c:ser>
        <c:ser>
          <c:idx val="1"/>
          <c:order val="1"/>
          <c:tx>
            <c:strRef>
              <c:f>'I Trimestre'!$A$41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Trimestre'!$B$41</c:f>
              <c:numCache>
                <c:formatCode>#,##0.0____</c:formatCode>
                <c:ptCount val="1"/>
                <c:pt idx="0">
                  <c:v>3.2880440130104889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52453960"/>
        <c:axId val="352454744"/>
      </c:barChart>
      <c:catAx>
        <c:axId val="352453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2454744"/>
        <c:crosses val="autoZero"/>
        <c:auto val="1"/>
        <c:lblAlgn val="ctr"/>
        <c:lblOffset val="100"/>
        <c:noMultiLvlLbl val="0"/>
      </c:catAx>
      <c:valAx>
        <c:axId val="35245474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52453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resultado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Anual!$B$44:$E$44</c:f>
              <c:numCache>
                <c:formatCode>#,##0.0____</c:formatCode>
                <c:ptCount val="4"/>
                <c:pt idx="0">
                  <c:v>95.046161106686725</c:v>
                </c:pt>
                <c:pt idx="1">
                  <c:v>94.113267253013163</c:v>
                </c:pt>
                <c:pt idx="2">
                  <c:v>88.173216885007278</c:v>
                </c:pt>
                <c:pt idx="3">
                  <c:v>98.5603339779599</c:v>
                </c:pt>
              </c:numCache>
            </c:numRef>
          </c:val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Anual!$B$45:$E$45</c:f>
              <c:numCache>
                <c:formatCode>#,##0.0____</c:formatCode>
                <c:ptCount val="4"/>
                <c:pt idx="0">
                  <c:v>97.517289691590392</c:v>
                </c:pt>
                <c:pt idx="1">
                  <c:v>95.735167201129983</c:v>
                </c:pt>
                <c:pt idx="2">
                  <c:v>90.991384972616274</c:v>
                </c:pt>
                <c:pt idx="3">
                  <c:v>99.118427579794528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Anual!$B$46:$E$46</c:f>
              <c:numCache>
                <c:formatCode>#,##0.0____</c:formatCode>
                <c:ptCount val="4"/>
                <c:pt idx="0">
                  <c:v>96.281725399138566</c:v>
                </c:pt>
                <c:pt idx="1">
                  <c:v>94.92421722707158</c:v>
                </c:pt>
                <c:pt idx="2">
                  <c:v>89.582300928811776</c:v>
                </c:pt>
                <c:pt idx="3">
                  <c:v>98.839380778877214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859968"/>
        <c:axId val="432860360"/>
      </c:barChart>
      <c:catAx>
        <c:axId val="43285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860360"/>
        <c:crosses val="autoZero"/>
        <c:auto val="1"/>
        <c:lblAlgn val="ctr"/>
        <c:lblOffset val="100"/>
        <c:noMultiLvlLbl val="0"/>
      </c:catAx>
      <c:valAx>
        <c:axId val="4328603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3285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avance 2014</a:t>
            </a:r>
          </a:p>
        </c:rich>
      </c:tx>
      <c:layout>
        <c:manualLayout>
          <c:xMode val="edge"/>
          <c:yMode val="edge"/>
          <c:x val="0.14209033245844277"/>
          <c:y val="1.388888888888889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Anual!$B$49:$E$49</c:f>
              <c:numCache>
                <c:formatCode>#,##0.0____</c:formatCode>
                <c:ptCount val="4"/>
                <c:pt idx="0">
                  <c:v>95.071399067681597</c:v>
                </c:pt>
                <c:pt idx="1">
                  <c:v>94.152700186219747</c:v>
                </c:pt>
                <c:pt idx="2">
                  <c:v>88.173216885007278</c:v>
                </c:pt>
                <c:pt idx="3">
                  <c:v>98.587570621468927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Anual!$B$50:$E$50</c:f>
              <c:numCache>
                <c:formatCode>#,##0.0____</c:formatCode>
                <c:ptCount val="4"/>
                <c:pt idx="0">
                  <c:v>97.517289691590392</c:v>
                </c:pt>
                <c:pt idx="1">
                  <c:v>95.735167201129983</c:v>
                </c:pt>
                <c:pt idx="2">
                  <c:v>90.991384972616274</c:v>
                </c:pt>
                <c:pt idx="3">
                  <c:v>99.118427579794528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Anual!$B$51:$E$51</c:f>
              <c:numCache>
                <c:formatCode>#,##0.0____</c:formatCode>
                <c:ptCount val="4"/>
                <c:pt idx="0">
                  <c:v>96.294344379635987</c:v>
                </c:pt>
                <c:pt idx="1">
                  <c:v>94.943933693674865</c:v>
                </c:pt>
                <c:pt idx="2">
                  <c:v>89.582300928811776</c:v>
                </c:pt>
                <c:pt idx="3">
                  <c:v>98.852999100631735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172704"/>
        <c:axId val="433173096"/>
      </c:barChart>
      <c:catAx>
        <c:axId val="43317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3173096"/>
        <c:crosses val="autoZero"/>
        <c:auto val="1"/>
        <c:lblAlgn val="ctr"/>
        <c:lblOffset val="100"/>
        <c:noMultiLvlLbl val="0"/>
      </c:catAx>
      <c:valAx>
        <c:axId val="4331730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3317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expansión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870120032618798E-2"/>
          <c:y val="0.17104698802893559"/>
          <c:w val="0.56328718287348101"/>
          <c:h val="0.76349561487740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Anual!$B$57:$E$57</c:f>
              <c:numCache>
                <c:formatCode>#,##0.0____</c:formatCode>
                <c:ptCount val="4"/>
                <c:pt idx="0">
                  <c:v>16.504871920024588</c:v>
                </c:pt>
                <c:pt idx="1">
                  <c:v>-1.7298347910592815</c:v>
                </c:pt>
                <c:pt idx="2">
                  <c:v>6.0765256982751037</c:v>
                </c:pt>
                <c:pt idx="3">
                  <c:v>37.708011665808883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Anual!$B$58:$E$58</c:f>
              <c:numCache>
                <c:formatCode>#,##0.0____</c:formatCode>
                <c:ptCount val="4"/>
                <c:pt idx="0">
                  <c:v>25.578501926942089</c:v>
                </c:pt>
                <c:pt idx="1">
                  <c:v>14.33650503856725</c:v>
                </c:pt>
                <c:pt idx="2">
                  <c:v>21.216412904859116</c:v>
                </c:pt>
                <c:pt idx="3">
                  <c:v>37.991401013059935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Anual!$B$59:$E$59</c:f>
              <c:numCache>
                <c:formatCode>#,##0.0____</c:formatCode>
                <c:ptCount val="4"/>
                <c:pt idx="0">
                  <c:v>7.7881979160031589</c:v>
                </c:pt>
                <c:pt idx="1">
                  <c:v>16.349153169190789</c:v>
                </c:pt>
                <c:pt idx="2">
                  <c:v>14.272608484225845</c:v>
                </c:pt>
                <c:pt idx="3">
                  <c:v>0.20579002181715378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173880"/>
        <c:axId val="433174272"/>
      </c:barChart>
      <c:catAx>
        <c:axId val="433173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3174272"/>
        <c:crosses val="autoZero"/>
        <c:auto val="1"/>
        <c:lblAlgn val="ctr"/>
        <c:lblOffset val="100"/>
        <c:noMultiLvlLbl val="0"/>
      </c:catAx>
      <c:valAx>
        <c:axId val="4331742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33173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gasto medio</a:t>
            </a:r>
            <a:r>
              <a:rPr lang="es-CR" sz="1400" baseline="0"/>
              <a:t> m</a:t>
            </a:r>
            <a:r>
              <a:rPr lang="es-CR" sz="1400"/>
              <a:t>ensual por beneficiario</a:t>
            </a:r>
            <a:r>
              <a:rPr lang="es-CR" sz="1400" baseline="0"/>
              <a:t> 2014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Anual!$B$62:$E$62</c:f>
              <c:numCache>
                <c:formatCode>#,##0</c:formatCode>
                <c:ptCount val="4"/>
                <c:pt idx="0">
                  <c:v>166390.02223991978</c:v>
                </c:pt>
                <c:pt idx="1">
                  <c:v>153912</c:v>
                </c:pt>
                <c:pt idx="2">
                  <c:v>61564</c:v>
                </c:pt>
                <c:pt idx="3">
                  <c:v>218833.45673327809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Anual!$B$63:$E$63</c:f>
              <c:numCache>
                <c:formatCode>#,##0</c:formatCode>
                <c:ptCount val="4"/>
                <c:pt idx="0">
                  <c:v>170716.03746675563</c:v>
                </c:pt>
                <c:pt idx="1">
                  <c:v>156564.4407461432</c:v>
                </c:pt>
                <c:pt idx="2">
                  <c:v>63531.691621956255</c:v>
                </c:pt>
                <c:pt idx="3">
                  <c:v>220072.59165846519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175056"/>
        <c:axId val="433175448"/>
      </c:barChart>
      <c:catAx>
        <c:axId val="43317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3175448"/>
        <c:crosses val="autoZero"/>
        <c:auto val="1"/>
        <c:lblAlgn val="ctr"/>
        <c:lblOffset val="100"/>
        <c:noMultiLvlLbl val="0"/>
      </c:catAx>
      <c:valAx>
        <c:axId val="4331754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3175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giro</a:t>
            </a:r>
            <a:r>
              <a:rPr lang="es-CR" sz="1400" baseline="0"/>
              <a:t> de recursos 2014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98.080231208406559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99.426039773886757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50117944"/>
        <c:axId val="350118336"/>
      </c:barChart>
      <c:catAx>
        <c:axId val="350117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0118336"/>
        <c:crosses val="autoZero"/>
        <c:auto val="1"/>
        <c:lblAlgn val="ctr"/>
        <c:lblOffset val="100"/>
        <c:noMultiLvlLbl val="0"/>
      </c:catAx>
      <c:valAx>
        <c:axId val="350118336"/>
        <c:scaling>
          <c:orientation val="minMax"/>
          <c:min val="0"/>
        </c:scaling>
        <c:delete val="1"/>
        <c:axPos val="l"/>
        <c:numFmt formatCode="#,##0" sourceLinked="0"/>
        <c:majorTickMark val="none"/>
        <c:minorTickMark val="none"/>
        <c:tickLblPos val="none"/>
        <c:crossAx val="3501179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gasto medio (anual)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Anual!$B$65:$E$65</c:f>
              <c:numCache>
                <c:formatCode>#,##0____</c:formatCode>
                <c:ptCount val="4"/>
                <c:pt idx="0">
                  <c:v>1996680.2668790373</c:v>
                </c:pt>
                <c:pt idx="1">
                  <c:v>1846944</c:v>
                </c:pt>
                <c:pt idx="2">
                  <c:v>738768</c:v>
                </c:pt>
                <c:pt idx="3">
                  <c:v>2626001.4807993369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Anual!$B$66:$E$66</c:f>
              <c:numCache>
                <c:formatCode>#,##0____</c:formatCode>
                <c:ptCount val="4"/>
                <c:pt idx="0">
                  <c:v>2048592.4496010679</c:v>
                </c:pt>
                <c:pt idx="1">
                  <c:v>1878773.2889537185</c:v>
                </c:pt>
                <c:pt idx="2">
                  <c:v>762380.29946347501</c:v>
                </c:pt>
                <c:pt idx="3">
                  <c:v>2640871.0999015826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19120"/>
        <c:axId val="350119512"/>
      </c:barChart>
      <c:catAx>
        <c:axId val="35011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0119512"/>
        <c:crosses val="autoZero"/>
        <c:auto val="1"/>
        <c:lblAlgn val="ctr"/>
        <c:lblOffset val="100"/>
        <c:noMultiLvlLbl val="0"/>
      </c:catAx>
      <c:valAx>
        <c:axId val="350119512"/>
        <c:scaling>
          <c:orientation val="minMax"/>
        </c:scaling>
        <c:delete val="0"/>
        <c:axPos val="l"/>
        <c:majorGridlines/>
        <c:numFmt formatCode="#,##0____" sourceLinked="1"/>
        <c:majorTickMark val="none"/>
        <c:minorTickMark val="none"/>
        <c:tickLblPos val="nextTo"/>
        <c:crossAx val="350119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0120688"/>
        <c:axId val="350121080"/>
      </c:barChart>
      <c:catAx>
        <c:axId val="3501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121080"/>
        <c:crosses val="autoZero"/>
        <c:auto val="1"/>
        <c:lblAlgn val="ctr"/>
        <c:lblOffset val="100"/>
        <c:noMultiLvlLbl val="0"/>
      </c:catAx>
      <c:valAx>
        <c:axId val="3501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01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Indicador de gasto medio-Índice de eficiencia (IE) 2014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Anual!$B$64:$E$64</c:f>
              <c:numCache>
                <c:formatCode>#,##0.0____</c:formatCode>
                <c:ptCount val="4"/>
                <c:pt idx="0">
                  <c:v>93.841906526094419</c:v>
                </c:pt>
                <c:pt idx="1">
                  <c:v>93.316056010074192</c:v>
                </c:pt>
                <c:pt idx="2">
                  <c:v>86.807774727587997</c:v>
                </c:pt>
                <c:pt idx="3">
                  <c:v>98.282858370593644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7119000"/>
        <c:axId val="437117824"/>
      </c:barChart>
      <c:catAx>
        <c:axId val="43711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7117824"/>
        <c:crosses val="autoZero"/>
        <c:auto val="1"/>
        <c:lblAlgn val="ctr"/>
        <c:lblOffset val="100"/>
        <c:noMultiLvlLbl val="0"/>
      </c:catAx>
      <c:valAx>
        <c:axId val="4371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7119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Trimestre'!$B$44:$E$44</c:f>
              <c:numCache>
                <c:formatCode>#,##0.0____</c:formatCode>
                <c:ptCount val="4"/>
                <c:pt idx="0">
                  <c:v>71.001031991744071</c:v>
                </c:pt>
                <c:pt idx="1">
                  <c:v>89.222348055870128</c:v>
                </c:pt>
                <c:pt idx="2">
                  <c:v>82.445414847161572</c:v>
                </c:pt>
                <c:pt idx="3">
                  <c:v>53.44961240310078</c:v>
                </c:pt>
              </c:numCache>
            </c:numRef>
          </c:val>
        </c:ser>
        <c:ser>
          <c:idx val="1"/>
          <c:order val="1"/>
          <c:tx>
            <c:strRef>
              <c:f>'I Trimestre'!$A$45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Trimestre'!$B$45:$E$45</c:f>
              <c:numCache>
                <c:formatCode>#,##0.0____</c:formatCode>
                <c:ptCount val="4"/>
                <c:pt idx="0">
                  <c:v>66.402549232863478</c:v>
                </c:pt>
                <c:pt idx="1">
                  <c:v>89.222348055870143</c:v>
                </c:pt>
                <c:pt idx="2">
                  <c:v>82.416302765647742</c:v>
                </c:pt>
                <c:pt idx="3">
                  <c:v>53.41697401205321</c:v>
                </c:pt>
              </c:numCache>
            </c:numRef>
          </c:val>
        </c:ser>
        <c:ser>
          <c:idx val="2"/>
          <c:order val="2"/>
          <c:tx>
            <c:strRef>
              <c:f>'I Trimestre'!$A$46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Trimestre'!$B$46:$E$46</c:f>
              <c:numCache>
                <c:formatCode>#,##0.0____</c:formatCode>
                <c:ptCount val="4"/>
                <c:pt idx="0">
                  <c:v>68.701790612303768</c:v>
                </c:pt>
                <c:pt idx="1">
                  <c:v>89.222348055870128</c:v>
                </c:pt>
                <c:pt idx="2">
                  <c:v>82.430858806404657</c:v>
                </c:pt>
                <c:pt idx="3">
                  <c:v>53.433293207576995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80064"/>
        <c:axId val="353480456"/>
      </c:barChart>
      <c:catAx>
        <c:axId val="353480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3480456"/>
        <c:crosses val="autoZero"/>
        <c:auto val="1"/>
        <c:lblAlgn val="ctr"/>
        <c:lblOffset val="100"/>
        <c:noMultiLvlLbl val="0"/>
      </c:catAx>
      <c:valAx>
        <c:axId val="353480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5348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Trimestre'!$B$49:$E$49</c:f>
              <c:numCache>
                <c:formatCode>#,##0.0____</c:formatCode>
                <c:ptCount val="4"/>
                <c:pt idx="0">
                  <c:v>71.001031991744071</c:v>
                </c:pt>
                <c:pt idx="1">
                  <c:v>89.222348055870128</c:v>
                </c:pt>
                <c:pt idx="2">
                  <c:v>82.445414847161572</c:v>
                </c:pt>
                <c:pt idx="3">
                  <c:v>53.44961240310078</c:v>
                </c:pt>
              </c:numCache>
            </c:numRef>
          </c:val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Trimestre'!$B$50:$E$50</c:f>
              <c:numCache>
                <c:formatCode>#,##0.0____</c:formatCode>
                <c:ptCount val="4"/>
                <c:pt idx="0">
                  <c:v>16.60063730821587</c:v>
                </c:pt>
                <c:pt idx="1">
                  <c:v>22.305587013967536</c:v>
                </c:pt>
                <c:pt idx="2">
                  <c:v>20.604075691411936</c:v>
                </c:pt>
                <c:pt idx="3">
                  <c:v>13.354243503013302</c:v>
                </c:pt>
              </c:numCache>
            </c:numRef>
          </c:val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Trimestre'!$B$51:$E$51</c:f>
              <c:numCache>
                <c:formatCode>#,##0.0____</c:formatCode>
                <c:ptCount val="4"/>
                <c:pt idx="0">
                  <c:v>43.800834649979969</c:v>
                </c:pt>
                <c:pt idx="1">
                  <c:v>55.763967534918834</c:v>
                </c:pt>
                <c:pt idx="2">
                  <c:v>51.524745269286754</c:v>
                </c:pt>
                <c:pt idx="3">
                  <c:v>33.40192795305704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73136"/>
        <c:axId val="352572744"/>
      </c:barChart>
      <c:catAx>
        <c:axId val="35257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2572744"/>
        <c:crosses val="autoZero"/>
        <c:auto val="1"/>
        <c:lblAlgn val="ctr"/>
        <c:lblOffset val="100"/>
        <c:noMultiLvlLbl val="0"/>
      </c:catAx>
      <c:valAx>
        <c:axId val="35257274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5257313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Trimestre'!$B$57:$E$57</c:f>
              <c:numCache>
                <c:formatCode>#,##0.0____</c:formatCode>
                <c:ptCount val="4"/>
                <c:pt idx="0">
                  <c:v>5.1703983454725266</c:v>
                </c:pt>
                <c:pt idx="1">
                  <c:v>1.5903718031377467</c:v>
                </c:pt>
                <c:pt idx="2">
                  <c:v>9.259259259259256</c:v>
                </c:pt>
                <c:pt idx="3">
                  <c:v>6.7337461300309487</c:v>
                </c:pt>
              </c:numCache>
            </c:numRef>
          </c:val>
        </c:ser>
        <c:ser>
          <c:idx val="1"/>
          <c:order val="1"/>
          <c:tx>
            <c:strRef>
              <c:f>'I Trimestre'!$A$58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Trimestre'!$B$58:$E$58</c:f>
              <c:numCache>
                <c:formatCode>#,##0.0____</c:formatCode>
                <c:ptCount val="4"/>
                <c:pt idx="0">
                  <c:v>16.620366782158989</c:v>
                </c:pt>
                <c:pt idx="1">
                  <c:v>24.28849332601748</c:v>
                </c:pt>
                <c:pt idx="2">
                  <c:v>33.429011210243573</c:v>
                </c:pt>
                <c:pt idx="3">
                  <c:v>8.5972685326470177</c:v>
                </c:pt>
              </c:numCache>
            </c:numRef>
          </c:val>
        </c:ser>
        <c:ser>
          <c:idx val="2"/>
          <c:order val="2"/>
          <c:tx>
            <c:strRef>
              <c:f>'I Trimestre'!$A$59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Trimestre'!$B$59:$E$59</c:f>
              <c:numCache>
                <c:formatCode>#,##0.0____</c:formatCode>
                <c:ptCount val="4"/>
                <c:pt idx="0">
                  <c:v>10.887063866654412</c:v>
                </c:pt>
                <c:pt idx="1">
                  <c:v>22.342788120575264</c:v>
                </c:pt>
                <c:pt idx="2">
                  <c:v>22.121467887341552</c:v>
                </c:pt>
                <c:pt idx="3">
                  <c:v>1.7459542742421785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71568"/>
        <c:axId val="352462152"/>
      </c:barChart>
      <c:catAx>
        <c:axId val="35257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2462152"/>
        <c:crosses val="autoZero"/>
        <c:auto val="1"/>
        <c:lblAlgn val="ctr"/>
        <c:lblOffset val="100"/>
        <c:noMultiLvlLbl val="0"/>
      </c:catAx>
      <c:valAx>
        <c:axId val="35246215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52571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Trimestre'!$B$62:$E$62</c:f>
              <c:numCache>
                <c:formatCode>#,##0</c:formatCode>
                <c:ptCount val="4"/>
                <c:pt idx="0">
                  <c:v>165158.02349298852</c:v>
                </c:pt>
                <c:pt idx="1">
                  <c:v>153912</c:v>
                </c:pt>
                <c:pt idx="2">
                  <c:v>61564</c:v>
                </c:pt>
                <c:pt idx="3">
                  <c:v>218830.75</c:v>
                </c:pt>
              </c:numCache>
            </c:numRef>
          </c:val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Trimestre'!$B$63:$E$63</c:f>
              <c:numCache>
                <c:formatCode>#,##0</c:formatCode>
                <c:ptCount val="4"/>
                <c:pt idx="0">
                  <c:v>154461.32934336524</c:v>
                </c:pt>
                <c:pt idx="1">
                  <c:v>153912</c:v>
                </c:pt>
                <c:pt idx="2">
                  <c:v>61542.261299435027</c:v>
                </c:pt>
                <c:pt idx="3">
                  <c:v>218697.12351945855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640856"/>
        <c:axId val="353640464"/>
      </c:barChart>
      <c:catAx>
        <c:axId val="353640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3640464"/>
        <c:crosses val="autoZero"/>
        <c:auto val="1"/>
        <c:lblAlgn val="ctr"/>
        <c:lblOffset val="100"/>
        <c:noMultiLvlLbl val="0"/>
      </c:catAx>
      <c:valAx>
        <c:axId val="353640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53640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Trimestre'!$B$64:$E$64</c:f>
              <c:numCache>
                <c:formatCode>#,##0.0____</c:formatCode>
                <c:ptCount val="4"/>
                <c:pt idx="0">
                  <c:v>73.459499514819043</c:v>
                </c:pt>
                <c:pt idx="1">
                  <c:v>89.222348055870128</c:v>
                </c:pt>
                <c:pt idx="2">
                  <c:v>82.459976029578939</c:v>
                </c:pt>
                <c:pt idx="3">
                  <c:v>53.465941569842414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07592"/>
        <c:axId val="354079648"/>
      </c:barChart>
      <c:catAx>
        <c:axId val="301907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079648"/>
        <c:crosses val="autoZero"/>
        <c:auto val="1"/>
        <c:lblAlgn val="ctr"/>
        <c:lblOffset val="100"/>
        <c:noMultiLvlLbl val="0"/>
      </c:catAx>
      <c:valAx>
        <c:axId val="3540796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01907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Trimestre'!$B$69</c:f>
              <c:numCache>
                <c:formatCode>#,##0.0____</c:formatCode>
                <c:ptCount val="1"/>
                <c:pt idx="0">
                  <c:v>66.665563988236158</c:v>
                </c:pt>
              </c:numCache>
            </c:numRef>
          </c:val>
        </c:ser>
        <c:ser>
          <c:idx val="1"/>
          <c:order val="1"/>
          <c:tx>
            <c:strRef>
              <c:f>'I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Trimestre'!$B$70</c:f>
              <c:numCache>
                <c:formatCode>#,##0.0____</c:formatCode>
                <c:ptCount val="1"/>
                <c:pt idx="0">
                  <c:v>99.60547134136732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2856832"/>
        <c:axId val="432857224"/>
      </c:barChart>
      <c:catAx>
        <c:axId val="43285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857224"/>
        <c:crosses val="autoZero"/>
        <c:auto val="1"/>
        <c:lblAlgn val="ctr"/>
        <c:lblOffset val="100"/>
        <c:noMultiLvlLbl val="0"/>
      </c:catAx>
      <c:valAx>
        <c:axId val="4328572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432856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Trimestre'!$B$66:$E$66</c:f>
              <c:numCache>
                <c:formatCode>#,##0____</c:formatCode>
                <c:ptCount val="4"/>
                <c:pt idx="0">
                  <c:v>463383.98803009576</c:v>
                </c:pt>
                <c:pt idx="1">
                  <c:v>461736.00000000006</c:v>
                </c:pt>
                <c:pt idx="2">
                  <c:v>184626.78389830509</c:v>
                </c:pt>
                <c:pt idx="3">
                  <c:v>656091.37055837561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 Trimestre'!$B$66:$E$66</c:f>
              <c:numCache>
                <c:formatCode>#,##0.0____</c:formatCode>
                <c:ptCount val="4"/>
                <c:pt idx="0">
                  <c:v>525269.09741571848</c:v>
                </c:pt>
                <c:pt idx="1">
                  <c:v>461736</c:v>
                </c:pt>
                <c:pt idx="2">
                  <c:v>184752.25840130504</c:v>
                </c:pt>
                <c:pt idx="3">
                  <c:v>656250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'III Trimestre'!$B$66:$E$66</c:f>
              <c:numCache>
                <c:formatCode>#,##0.0____</c:formatCode>
                <c:ptCount val="4"/>
                <c:pt idx="0">
                  <c:v>510511.85569306929</c:v>
                </c:pt>
                <c:pt idx="1">
                  <c:v>461739.26744655101</c:v>
                </c:pt>
                <c:pt idx="2">
                  <c:v>184630.96497025777</c:v>
                </c:pt>
                <c:pt idx="3">
                  <c:v>660698.99706457916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'IV Trimestre'!$B$66:$E$66</c:f>
              <c:numCache>
                <c:formatCode>#,##0.0____</c:formatCode>
                <c:ptCount val="4"/>
                <c:pt idx="0">
                  <c:v>531829.52161147038</c:v>
                </c:pt>
                <c:pt idx="1">
                  <c:v>492068.26860508957</c:v>
                </c:pt>
                <c:pt idx="2">
                  <c:v>207154.54511278195</c:v>
                </c:pt>
                <c:pt idx="3">
                  <c:v>666120.64695413434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2858008"/>
        <c:axId val="432858400"/>
      </c:barChart>
      <c:catAx>
        <c:axId val="432858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858400"/>
        <c:crosses val="autoZero"/>
        <c:auto val="1"/>
        <c:lblAlgn val="ctr"/>
        <c:lblOffset val="100"/>
        <c:noMultiLvlLbl val="0"/>
      </c:catAx>
      <c:valAx>
        <c:axId val="432858400"/>
        <c:scaling>
          <c:orientation val="minMax"/>
        </c:scaling>
        <c:delete val="0"/>
        <c:axPos val="l"/>
        <c:majorGridlines/>
        <c:numFmt formatCode="#,##0____" sourceLinked="1"/>
        <c:majorTickMark val="none"/>
        <c:minorTickMark val="none"/>
        <c:tickLblPos val="nextTo"/>
        <c:spPr>
          <a:ln w="9525">
            <a:noFill/>
          </a:ln>
        </c:spPr>
        <c:crossAx val="432858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cobertura potencial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Anual!$B$40</c:f>
              <c:numCache>
                <c:formatCode>#,##0.0____</c:formatCode>
                <c:ptCount val="1"/>
                <c:pt idx="0">
                  <c:v>4.7654991524065746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Anual!$B$41</c:f>
              <c:numCache>
                <c:formatCode>#,##0.0____</c:formatCode>
                <c:ptCount val="1"/>
                <c:pt idx="0">
                  <c:v>4.5294240019341432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60976"/>
        <c:axId val="432859184"/>
      </c:barChart>
      <c:catAx>
        <c:axId val="35246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859184"/>
        <c:crosses val="autoZero"/>
        <c:auto val="1"/>
        <c:lblAlgn val="ctr"/>
        <c:lblOffset val="100"/>
        <c:noMultiLvlLbl val="0"/>
      </c:catAx>
      <c:valAx>
        <c:axId val="43285918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5246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188</xdr:row>
      <xdr:rowOff>171450</xdr:rowOff>
    </xdr:from>
    <xdr:to>
      <xdr:col>2</xdr:col>
      <xdr:colOff>123825</xdr:colOff>
      <xdr:row>203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203</xdr:row>
      <xdr:rowOff>152400</xdr:rowOff>
    </xdr:from>
    <xdr:to>
      <xdr:col>2</xdr:col>
      <xdr:colOff>95250</xdr:colOff>
      <xdr:row>218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219</xdr:row>
      <xdr:rowOff>19050</xdr:rowOff>
    </xdr:from>
    <xdr:to>
      <xdr:col>2</xdr:col>
      <xdr:colOff>38100</xdr:colOff>
      <xdr:row>233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234</xdr:row>
      <xdr:rowOff>47625</xdr:rowOff>
    </xdr:from>
    <xdr:to>
      <xdr:col>2</xdr:col>
      <xdr:colOff>85725</xdr:colOff>
      <xdr:row>248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249</xdr:row>
      <xdr:rowOff>57150</xdr:rowOff>
    </xdr:from>
    <xdr:to>
      <xdr:col>2</xdr:col>
      <xdr:colOff>95250</xdr:colOff>
      <xdr:row>263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264</xdr:row>
      <xdr:rowOff>28575</xdr:rowOff>
    </xdr:from>
    <xdr:to>
      <xdr:col>2</xdr:col>
      <xdr:colOff>85725</xdr:colOff>
      <xdr:row>278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279</xdr:row>
      <xdr:rowOff>28575</xdr:rowOff>
    </xdr:from>
    <xdr:to>
      <xdr:col>2</xdr:col>
      <xdr:colOff>66675</xdr:colOff>
      <xdr:row>293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181</xdr:row>
      <xdr:rowOff>19050</xdr:rowOff>
    </xdr:from>
    <xdr:to>
      <xdr:col>15</xdr:col>
      <xdr:colOff>638175</xdr:colOff>
      <xdr:row>195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388408</xdr:colOff>
      <xdr:row>1</xdr:row>
      <xdr:rowOff>159278</xdr:rowOff>
    </xdr:from>
    <xdr:to>
      <xdr:col>19</xdr:col>
      <xdr:colOff>389466</xdr:colOff>
      <xdr:row>16</xdr:row>
      <xdr:rowOff>13228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502708</xdr:colOff>
      <xdr:row>20</xdr:row>
      <xdr:rowOff>88900</xdr:rowOff>
    </xdr:from>
    <xdr:to>
      <xdr:col>19</xdr:col>
      <xdr:colOff>502708</xdr:colOff>
      <xdr:row>34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566208</xdr:colOff>
      <xdr:row>38</xdr:row>
      <xdr:rowOff>25400</xdr:rowOff>
    </xdr:from>
    <xdr:to>
      <xdr:col>14</xdr:col>
      <xdr:colOff>566208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418039</xdr:colOff>
      <xdr:row>53</xdr:row>
      <xdr:rowOff>184150</xdr:rowOff>
    </xdr:from>
    <xdr:to>
      <xdr:col>12</xdr:col>
      <xdr:colOff>412749</xdr:colOff>
      <xdr:row>70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576791</xdr:colOff>
      <xdr:row>71</xdr:row>
      <xdr:rowOff>141816</xdr:rowOff>
    </xdr:from>
    <xdr:to>
      <xdr:col>12</xdr:col>
      <xdr:colOff>486834</xdr:colOff>
      <xdr:row>87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87</xdr:row>
      <xdr:rowOff>35982</xdr:rowOff>
    </xdr:from>
    <xdr:to>
      <xdr:col>6</xdr:col>
      <xdr:colOff>349250</xdr:colOff>
      <xdr:row>103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73</xdr:row>
      <xdr:rowOff>0</xdr:rowOff>
    </xdr:from>
    <xdr:to>
      <xdr:col>19</xdr:col>
      <xdr:colOff>396876</xdr:colOff>
      <xdr:row>89</xdr:row>
      <xdr:rowOff>48683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42334</xdr:colOff>
      <xdr:row>89</xdr:row>
      <xdr:rowOff>20107</xdr:rowOff>
    </xdr:from>
    <xdr:to>
      <xdr:col>13</xdr:col>
      <xdr:colOff>42334</xdr:colOff>
      <xdr:row>103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709082</xdr:colOff>
      <xdr:row>105</xdr:row>
      <xdr:rowOff>41274</xdr:rowOff>
    </xdr:from>
    <xdr:to>
      <xdr:col>11</xdr:col>
      <xdr:colOff>10582</xdr:colOff>
      <xdr:row>119</xdr:row>
      <xdr:rowOff>117474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3"/>
  <sheetViews>
    <sheetView topLeftCell="A61" zoomScale="70" zoomScaleNormal="70" workbookViewId="0">
      <selection activeCell="H34" sqref="H34:H35"/>
    </sheetView>
  </sheetViews>
  <sheetFormatPr baseColWidth="10" defaultColWidth="11.42578125" defaultRowHeight="15" x14ac:dyDescent="0.25"/>
  <cols>
    <col min="1" max="1" width="55.140625" customWidth="1"/>
    <col min="2" max="2" width="26.28515625" customWidth="1"/>
    <col min="3" max="6" width="15.7109375" customWidth="1"/>
  </cols>
  <sheetData>
    <row r="2" spans="1:8" ht="15.75" x14ac:dyDescent="0.25">
      <c r="A2" s="35" t="s">
        <v>81</v>
      </c>
      <c r="B2" s="35"/>
      <c r="C2" s="35"/>
      <c r="D2" s="35"/>
      <c r="E2" s="35"/>
    </row>
    <row r="4" spans="1:8" ht="15" customHeight="1" x14ac:dyDescent="0.25">
      <c r="A4" s="36" t="s">
        <v>0</v>
      </c>
      <c r="B4" s="38" t="s">
        <v>1</v>
      </c>
      <c r="C4" s="40" t="s">
        <v>2</v>
      </c>
      <c r="D4" s="40"/>
      <c r="E4" s="40"/>
      <c r="F4" s="40"/>
    </row>
    <row r="5" spans="1:8" ht="15.75" thickBot="1" x14ac:dyDescent="0.3">
      <c r="A5" s="37"/>
      <c r="B5" s="39"/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  <c r="C9" s="3"/>
    </row>
    <row r="10" spans="1:8" x14ac:dyDescent="0.25">
      <c r="A10" s="4" t="s">
        <v>47</v>
      </c>
      <c r="B10" s="5">
        <f>SUM(C10:F10)</f>
        <v>3707</v>
      </c>
      <c r="C10" s="5">
        <v>1551</v>
      </c>
      <c r="D10" s="5">
        <v>864</v>
      </c>
      <c r="E10" s="5">
        <v>1292</v>
      </c>
      <c r="F10" s="5"/>
    </row>
    <row r="11" spans="1:8" x14ac:dyDescent="0.25">
      <c r="A11" s="6" t="s">
        <v>82</v>
      </c>
      <c r="B11" s="5">
        <f>SUM(C11:F11)</f>
        <v>5491</v>
      </c>
      <c r="C11" s="5">
        <v>1766</v>
      </c>
      <c r="D11" s="5">
        <v>1145</v>
      </c>
      <c r="E11" s="5">
        <v>2580</v>
      </c>
      <c r="F11" s="5"/>
    </row>
    <row r="12" spans="1:8" x14ac:dyDescent="0.25">
      <c r="A12" s="6" t="s">
        <v>83</v>
      </c>
      <c r="B12" s="5">
        <f>SUM(C12:F12)</f>
        <v>3898.6666666666665</v>
      </c>
      <c r="C12" s="5">
        <v>1575.6666666666665</v>
      </c>
      <c r="D12" s="5">
        <v>944</v>
      </c>
      <c r="E12" s="5">
        <v>1379</v>
      </c>
      <c r="F12" s="5"/>
    </row>
    <row r="13" spans="1:8" x14ac:dyDescent="0.25">
      <c r="A13" s="6" t="s">
        <v>84</v>
      </c>
      <c r="B13" s="5">
        <f>SUM(C13:F13)</f>
        <v>5491</v>
      </c>
      <c r="C13" s="5">
        <v>1766</v>
      </c>
      <c r="D13" s="5">
        <v>1145</v>
      </c>
      <c r="E13" s="5">
        <v>2580</v>
      </c>
      <c r="F13" s="5"/>
    </row>
    <row r="14" spans="1:8" x14ac:dyDescent="0.25">
      <c r="B14" s="7"/>
      <c r="C14" s="7"/>
      <c r="D14" s="7"/>
      <c r="E14" s="7"/>
      <c r="F14" s="7"/>
    </row>
    <row r="15" spans="1:8" x14ac:dyDescent="0.25">
      <c r="A15" s="8" t="s">
        <v>6</v>
      </c>
      <c r="B15" s="7"/>
      <c r="C15" s="7"/>
      <c r="D15" s="7"/>
      <c r="E15" s="7"/>
      <c r="F15" s="7"/>
    </row>
    <row r="16" spans="1:8" x14ac:dyDescent="0.25">
      <c r="A16" s="4" t="s">
        <v>47</v>
      </c>
      <c r="B16" s="32">
        <f>SUM(C16:F16)</f>
        <v>1500989375</v>
      </c>
      <c r="C16" s="5">
        <v>567181496</v>
      </c>
      <c r="D16" s="5">
        <v>126564330</v>
      </c>
      <c r="E16" s="5">
        <v>807243549</v>
      </c>
      <c r="F16" s="5"/>
      <c r="H16" s="11"/>
    </row>
    <row r="17" spans="1:7" x14ac:dyDescent="0.25">
      <c r="A17" s="6" t="s">
        <v>82</v>
      </c>
      <c r="B17" s="32">
        <f>SUM(C17:F17)</f>
        <v>2720648121</v>
      </c>
      <c r="C17" s="9">
        <v>815425776</v>
      </c>
      <c r="D17" s="5">
        <v>211472340</v>
      </c>
      <c r="E17" s="5">
        <v>1693750005</v>
      </c>
      <c r="F17" s="5"/>
    </row>
    <row r="18" spans="1:7" x14ac:dyDescent="0.25">
      <c r="A18" s="6" t="s">
        <v>83</v>
      </c>
      <c r="B18" s="32">
        <f>SUM(C18:F18)</f>
        <v>1806579708</v>
      </c>
      <c r="C18" s="5">
        <v>727542024</v>
      </c>
      <c r="D18" s="5">
        <v>174287684</v>
      </c>
      <c r="E18" s="5">
        <v>904750000</v>
      </c>
      <c r="F18" s="5"/>
    </row>
    <row r="19" spans="1:7" x14ac:dyDescent="0.25">
      <c r="A19" s="6" t="s">
        <v>84</v>
      </c>
      <c r="B19" s="5">
        <f>SUM(C19:F19)</f>
        <v>10882592484</v>
      </c>
      <c r="C19" s="9">
        <v>3261703104</v>
      </c>
      <c r="D19" s="5">
        <v>845889360</v>
      </c>
      <c r="E19" s="5">
        <v>6775000020</v>
      </c>
      <c r="F19" s="5"/>
    </row>
    <row r="20" spans="1:7" x14ac:dyDescent="0.25">
      <c r="A20" s="6" t="s">
        <v>85</v>
      </c>
      <c r="B20" s="5">
        <f>SUM(C20:E20)</f>
        <v>1806579708</v>
      </c>
      <c r="C20" s="5">
        <f>C18</f>
        <v>727542024</v>
      </c>
      <c r="D20" s="5">
        <f t="shared" ref="D20:E20" si="0">D18</f>
        <v>174287684</v>
      </c>
      <c r="E20" s="5">
        <f t="shared" si="0"/>
        <v>904750000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82</v>
      </c>
      <c r="B23" s="5">
        <f>B17</f>
        <v>2720648121</v>
      </c>
      <c r="C23" s="5"/>
      <c r="D23" s="5"/>
      <c r="E23" s="5"/>
      <c r="F23" s="5"/>
      <c r="G23" s="11"/>
    </row>
    <row r="24" spans="1:7" x14ac:dyDescent="0.25">
      <c r="A24" s="4" t="s">
        <v>83</v>
      </c>
      <c r="B24" s="5">
        <v>1813735414</v>
      </c>
      <c r="C24" s="5"/>
      <c r="D24" s="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48</v>
      </c>
      <c r="B27" s="25">
        <v>1.598743668</v>
      </c>
      <c r="C27" s="25">
        <v>1.598743668</v>
      </c>
      <c r="D27" s="25">
        <v>1.598743668</v>
      </c>
      <c r="E27" s="25">
        <v>1.598743668</v>
      </c>
      <c r="F27" s="12"/>
    </row>
    <row r="28" spans="1:7" x14ac:dyDescent="0.25">
      <c r="A28" s="4" t="s">
        <v>98</v>
      </c>
      <c r="B28" s="25">
        <v>1.65</v>
      </c>
      <c r="C28" s="25">
        <v>1.65</v>
      </c>
      <c r="D28" s="25">
        <v>1.65</v>
      </c>
      <c r="E28" s="25">
        <v>1.65</v>
      </c>
      <c r="F28" s="12"/>
    </row>
    <row r="29" spans="1:7" x14ac:dyDescent="0.25">
      <c r="A29" s="4" t="s">
        <v>9</v>
      </c>
      <c r="B29" s="5">
        <v>118571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49</v>
      </c>
      <c r="B32" s="5">
        <f>B16/B27</f>
        <v>938855555.79882991</v>
      </c>
      <c r="C32" s="5">
        <f t="shared" ref="C32:E32" si="1">C16/C27</f>
        <v>354767000.70970976</v>
      </c>
      <c r="D32" s="5">
        <f t="shared" si="1"/>
        <v>79164867.097381368</v>
      </c>
      <c r="E32" s="5">
        <f t="shared" si="1"/>
        <v>504923687.9917388</v>
      </c>
      <c r="F32" s="5"/>
    </row>
    <row r="33" spans="1:8" x14ac:dyDescent="0.25">
      <c r="A33" s="7" t="s">
        <v>86</v>
      </c>
      <c r="B33" s="5">
        <f>B18/B28</f>
        <v>1094896792.7272727</v>
      </c>
      <c r="C33" s="5">
        <f t="shared" ref="C33:E33" si="2">C18/C28</f>
        <v>440934560</v>
      </c>
      <c r="D33" s="5">
        <f t="shared" si="2"/>
        <v>105628899.39393941</v>
      </c>
      <c r="E33" s="5">
        <f t="shared" si="2"/>
        <v>548333333.33333337</v>
      </c>
      <c r="F33" s="5"/>
    </row>
    <row r="34" spans="1:8" x14ac:dyDescent="0.25">
      <c r="A34" s="7" t="s">
        <v>50</v>
      </c>
      <c r="B34" s="32">
        <f>$B$32/(B10)</f>
        <v>253265.59368730237</v>
      </c>
      <c r="C34" s="32">
        <f>C32/(C10)</f>
        <v>228734.36538343635</v>
      </c>
      <c r="D34" s="32">
        <f>D32/(D10)</f>
        <v>91626.003584932143</v>
      </c>
      <c r="E34" s="32">
        <f>E32/(E10)</f>
        <v>390807.8080431415</v>
      </c>
      <c r="F34" s="30"/>
      <c r="H34" s="11"/>
    </row>
    <row r="35" spans="1:8" x14ac:dyDescent="0.25">
      <c r="A35" s="7" t="s">
        <v>87</v>
      </c>
      <c r="B35" s="32">
        <f>$B$33/(B12)</f>
        <v>280838.78062430047</v>
      </c>
      <c r="C35" s="32">
        <f>C33/(C12)</f>
        <v>279840</v>
      </c>
      <c r="D35" s="32">
        <f>D33/(D12)</f>
        <v>111895.02054442733</v>
      </c>
      <c r="E35" s="32">
        <f>E33/(E12)</f>
        <v>397631.13367174286</v>
      </c>
      <c r="F35" s="30"/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B37" s="7"/>
      <c r="C37" s="7"/>
      <c r="D37" s="7"/>
      <c r="E37" s="7"/>
      <c r="F37" s="7"/>
    </row>
    <row r="38" spans="1:8" x14ac:dyDescent="0.25">
      <c r="B38" s="7"/>
      <c r="C38" s="7"/>
      <c r="D38" s="7"/>
      <c r="E38" s="7"/>
      <c r="F38" s="7"/>
    </row>
    <row r="39" spans="1:8" x14ac:dyDescent="0.25">
      <c r="A39" t="s">
        <v>12</v>
      </c>
      <c r="B39" s="7"/>
      <c r="C39" s="7"/>
      <c r="D39" s="7"/>
      <c r="E39" s="7"/>
      <c r="F39" s="7"/>
    </row>
    <row r="40" spans="1:8" x14ac:dyDescent="0.25">
      <c r="A40" t="s">
        <v>13</v>
      </c>
      <c r="B40" s="14">
        <f>B11/B29*100</f>
        <v>4.6309805939057611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3.2880440130104889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71.001031991744071</v>
      </c>
      <c r="C44" s="14">
        <f t="shared" ref="C44:E44" si="3">C12/C11*100</f>
        <v>89.222348055870128</v>
      </c>
      <c r="D44" s="14">
        <f t="shared" si="3"/>
        <v>82.445414847161572</v>
      </c>
      <c r="E44" s="14">
        <f t="shared" si="3"/>
        <v>53.44961240310078</v>
      </c>
      <c r="F44" s="14"/>
    </row>
    <row r="45" spans="1:8" x14ac:dyDescent="0.25">
      <c r="A45" t="s">
        <v>17</v>
      </c>
      <c r="B45" s="14">
        <f>B18/B17*100</f>
        <v>66.402549232863478</v>
      </c>
      <c r="C45" s="14">
        <f t="shared" ref="C45:E45" si="4">C18/C17*100</f>
        <v>89.222348055870143</v>
      </c>
      <c r="D45" s="14">
        <f t="shared" si="4"/>
        <v>82.416302765647742</v>
      </c>
      <c r="E45" s="14">
        <f t="shared" si="4"/>
        <v>53.41697401205321</v>
      </c>
      <c r="F45" s="14"/>
    </row>
    <row r="46" spans="1:8" x14ac:dyDescent="0.25">
      <c r="A46" s="7" t="s">
        <v>18</v>
      </c>
      <c r="B46" s="14">
        <f>AVERAGE(B44:B45)</f>
        <v>68.701790612303768</v>
      </c>
      <c r="C46" s="14">
        <f t="shared" ref="C46:E46" si="5">AVERAGE(C44:C45)</f>
        <v>89.222348055870128</v>
      </c>
      <c r="D46" s="14">
        <f t="shared" si="5"/>
        <v>82.430858806404657</v>
      </c>
      <c r="E46" s="14">
        <f t="shared" si="5"/>
        <v>53.433293207576995</v>
      </c>
      <c r="F46" s="14"/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6" x14ac:dyDescent="0.25">
      <c r="A49" s="7" t="s">
        <v>20</v>
      </c>
      <c r="B49" s="14">
        <f>(B12/B13)*100</f>
        <v>71.001031991744071</v>
      </c>
      <c r="C49" s="14">
        <f t="shared" ref="C49:E49" si="6">(C12/C13)*100</f>
        <v>89.222348055870128</v>
      </c>
      <c r="D49" s="14">
        <f t="shared" si="6"/>
        <v>82.445414847161572</v>
      </c>
      <c r="E49" s="14">
        <f t="shared" si="6"/>
        <v>53.44961240310078</v>
      </c>
      <c r="F49" s="14"/>
    </row>
    <row r="50" spans="1:6" x14ac:dyDescent="0.25">
      <c r="A50" s="7" t="s">
        <v>21</v>
      </c>
      <c r="B50" s="14">
        <f>B18/B19*100</f>
        <v>16.60063730821587</v>
      </c>
      <c r="C50" s="14">
        <f t="shared" ref="C50:E50" si="7">C18/C19*100</f>
        <v>22.305587013967536</v>
      </c>
      <c r="D50" s="14">
        <f t="shared" si="7"/>
        <v>20.604075691411936</v>
      </c>
      <c r="E50" s="14">
        <f t="shared" si="7"/>
        <v>13.354243503013302</v>
      </c>
      <c r="F50" s="14"/>
    </row>
    <row r="51" spans="1:6" x14ac:dyDescent="0.25">
      <c r="A51" s="7" t="s">
        <v>22</v>
      </c>
      <c r="B51" s="14">
        <f>(B49+B50)/2</f>
        <v>43.800834649979969</v>
      </c>
      <c r="C51" s="14">
        <f t="shared" ref="C51:E51" si="8">(C49+C50)/2</f>
        <v>55.763967534918834</v>
      </c>
      <c r="D51" s="14">
        <f t="shared" si="8"/>
        <v>51.524745269286754</v>
      </c>
      <c r="E51" s="14">
        <f t="shared" si="8"/>
        <v>33.40192795305704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23</v>
      </c>
      <c r="B53" s="7"/>
      <c r="C53" s="7"/>
      <c r="D53" s="7"/>
      <c r="E53" s="7"/>
      <c r="F53" s="7"/>
    </row>
    <row r="54" spans="1:6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25</v>
      </c>
      <c r="B56" s="7"/>
      <c r="C56" s="7"/>
      <c r="D56" s="7"/>
      <c r="E56" s="7"/>
      <c r="F56" s="7"/>
    </row>
    <row r="57" spans="1:6" x14ac:dyDescent="0.25">
      <c r="A57" s="7" t="s">
        <v>26</v>
      </c>
      <c r="B57" s="14">
        <f>((B12/B10)-1)*100</f>
        <v>5.1703983454725266</v>
      </c>
      <c r="C57" s="14">
        <f t="shared" ref="C57:E57" si="9">((C12/C10)-1)*100</f>
        <v>1.5903718031377467</v>
      </c>
      <c r="D57" s="14">
        <f t="shared" si="9"/>
        <v>9.259259259259256</v>
      </c>
      <c r="E57" s="14">
        <f t="shared" si="9"/>
        <v>6.7337461300309487</v>
      </c>
      <c r="F57" s="14"/>
    </row>
    <row r="58" spans="1:6" x14ac:dyDescent="0.25">
      <c r="A58" s="7" t="s">
        <v>27</v>
      </c>
      <c r="B58" s="14">
        <f>((B33/B32)-1)*100</f>
        <v>16.620366782158989</v>
      </c>
      <c r="C58" s="14">
        <f t="shared" ref="C58:E58" si="10">((C33/C32)-1)*100</f>
        <v>24.28849332601748</v>
      </c>
      <c r="D58" s="14">
        <f t="shared" si="10"/>
        <v>33.429011210243573</v>
      </c>
      <c r="E58" s="14">
        <f t="shared" si="10"/>
        <v>8.5972685326470177</v>
      </c>
      <c r="F58" s="14"/>
    </row>
    <row r="59" spans="1:6" x14ac:dyDescent="0.25">
      <c r="A59" s="7" t="s">
        <v>28</v>
      </c>
      <c r="B59" s="14">
        <f>((B35/B34)-1)*100</f>
        <v>10.887063866654412</v>
      </c>
      <c r="C59" s="14">
        <f t="shared" ref="C59:E59" si="11">((C35/C34)-1)*100</f>
        <v>22.342788120575264</v>
      </c>
      <c r="D59" s="14">
        <f t="shared" si="11"/>
        <v>22.121467887341552</v>
      </c>
      <c r="E59" s="14">
        <f t="shared" si="11"/>
        <v>1.7459542742421785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29</v>
      </c>
      <c r="B61" s="7"/>
      <c r="C61" s="7"/>
      <c r="D61" s="7"/>
      <c r="E61" s="7"/>
      <c r="F61" s="7"/>
    </row>
    <row r="62" spans="1:6" x14ac:dyDescent="0.25">
      <c r="A62" s="7" t="s">
        <v>75</v>
      </c>
      <c r="B62" s="5">
        <f>B17/(B11*3)</f>
        <v>165158.02349298852</v>
      </c>
      <c r="C62" s="5">
        <f t="shared" ref="C62:E62" si="12">C17/(C11*3)</f>
        <v>153912</v>
      </c>
      <c r="D62" s="5">
        <f t="shared" si="12"/>
        <v>61564</v>
      </c>
      <c r="E62" s="5">
        <f t="shared" si="12"/>
        <v>218830.75</v>
      </c>
      <c r="F62" s="5"/>
    </row>
    <row r="63" spans="1:6" x14ac:dyDescent="0.25">
      <c r="A63" s="7" t="s">
        <v>76</v>
      </c>
      <c r="B63" s="5">
        <f>$B$18/(B12*3)</f>
        <v>154461.32934336524</v>
      </c>
      <c r="C63" s="5">
        <f>C18/(C12*3)</f>
        <v>153912</v>
      </c>
      <c r="D63" s="5">
        <f t="shared" ref="D63:E63" si="13">D18/(D12*3)</f>
        <v>61542.261299435027</v>
      </c>
      <c r="E63" s="5">
        <f t="shared" si="13"/>
        <v>218697.12351945855</v>
      </c>
      <c r="F63" s="5"/>
    </row>
    <row r="64" spans="1:6" x14ac:dyDescent="0.25">
      <c r="A64" s="7" t="s">
        <v>30</v>
      </c>
      <c r="B64" s="14">
        <f>(B62/B63)*B46</f>
        <v>73.459499514819043</v>
      </c>
      <c r="C64" s="14">
        <f t="shared" ref="C64:E64" si="14">(C62/C63)*C46</f>
        <v>89.222348055870128</v>
      </c>
      <c r="D64" s="14">
        <f t="shared" si="14"/>
        <v>82.459976029578939</v>
      </c>
      <c r="E64" s="14">
        <f t="shared" si="14"/>
        <v>53.465941569842414</v>
      </c>
      <c r="F64" s="14"/>
    </row>
    <row r="65" spans="1:7" x14ac:dyDescent="0.25">
      <c r="A65" s="7" t="s">
        <v>77</v>
      </c>
      <c r="B65" s="27">
        <f>B17/B11</f>
        <v>495474.07047896559</v>
      </c>
      <c r="C65" s="27">
        <f t="shared" ref="C65:E65" si="15">C17/C11</f>
        <v>461736</v>
      </c>
      <c r="D65" s="27">
        <f t="shared" si="15"/>
        <v>184692</v>
      </c>
      <c r="E65" s="27">
        <f t="shared" si="15"/>
        <v>656492.25</v>
      </c>
      <c r="F65" s="14"/>
    </row>
    <row r="66" spans="1:7" x14ac:dyDescent="0.25">
      <c r="A66" s="7" t="s">
        <v>78</v>
      </c>
      <c r="B66" s="27">
        <f>B18/B12</f>
        <v>463383.98803009576</v>
      </c>
      <c r="C66" s="27">
        <f t="shared" ref="C66:E66" si="16">C18/C12</f>
        <v>461736.00000000006</v>
      </c>
      <c r="D66" s="27">
        <f t="shared" si="16"/>
        <v>184626.78389830509</v>
      </c>
      <c r="E66" s="27">
        <f t="shared" si="16"/>
        <v>656091.37055837561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66.665563988236158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99.60547134136732</v>
      </c>
      <c r="C70" s="14"/>
      <c r="D70" s="14"/>
      <c r="E70" s="14"/>
      <c r="F70" s="14"/>
      <c r="G70" s="11"/>
    </row>
    <row r="71" spans="1:7" ht="15.75" thickBot="1" x14ac:dyDescent="0.3">
      <c r="A71" s="15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1" spans="1:1" x14ac:dyDescent="0.25">
      <c r="A81" t="s">
        <v>135</v>
      </c>
    </row>
    <row r="83" spans="1:1" x14ac:dyDescent="0.25">
      <c r="A83" t="s">
        <v>136</v>
      </c>
    </row>
    <row r="190" spans="4:8" x14ac:dyDescent="0.25">
      <c r="D190" s="26"/>
      <c r="E190" s="26" t="s">
        <v>43</v>
      </c>
      <c r="F190" s="26" t="s">
        <v>44</v>
      </c>
      <c r="G190" s="26" t="s">
        <v>45</v>
      </c>
      <c r="H190" s="26" t="s">
        <v>46</v>
      </c>
    </row>
    <row r="191" spans="4:8" x14ac:dyDescent="0.25">
      <c r="D191" s="26" t="s">
        <v>32</v>
      </c>
      <c r="E191" s="26">
        <v>93.271828425704058</v>
      </c>
      <c r="F191" s="26">
        <v>86.548558144982096</v>
      </c>
      <c r="G191" s="26">
        <v>82.222189747580757</v>
      </c>
      <c r="H191" s="26">
        <v>104.27430435089333</v>
      </c>
    </row>
    <row r="192" spans="4:8" x14ac:dyDescent="0.25">
      <c r="D192" s="26" t="s">
        <v>33</v>
      </c>
      <c r="E192" s="26">
        <v>72.182667347333364</v>
      </c>
      <c r="F192" s="26">
        <v>84.936774249756979</v>
      </c>
      <c r="G192" s="26">
        <v>106.94937841615069</v>
      </c>
      <c r="H192" s="26">
        <v>130.54830055902181</v>
      </c>
    </row>
    <row r="213" spans="5:5" x14ac:dyDescent="0.25">
      <c r="E213">
        <f>(100+25)/2</f>
        <v>62.5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90" zoomScaleNormal="90" workbookViewId="0">
      <pane xSplit="1" ySplit="5" topLeftCell="B72" activePane="bottomRight" state="frozen"/>
      <selection activeCell="D40" sqref="D40"/>
      <selection pane="topRight" activeCell="D40" sqref="D40"/>
      <selection pane="bottomLeft" activeCell="D40" sqref="D40"/>
      <selection pane="bottomRight" activeCell="G49" sqref="G49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6.85546875" bestFit="1" customWidth="1"/>
    <col min="4" max="4" width="15.140625" bestFit="1" customWidth="1"/>
    <col min="5" max="5" width="20.28515625" customWidth="1"/>
    <col min="6" max="6" width="14.5703125" customWidth="1"/>
  </cols>
  <sheetData>
    <row r="2" spans="1:8" ht="15.75" x14ac:dyDescent="0.25">
      <c r="A2" s="35" t="s">
        <v>91</v>
      </c>
      <c r="B2" s="35"/>
      <c r="C2" s="35"/>
      <c r="D2" s="35"/>
      <c r="E2" s="35"/>
    </row>
    <row r="4" spans="1:8" x14ac:dyDescent="0.25">
      <c r="A4" s="36" t="s">
        <v>0</v>
      </c>
      <c r="B4" s="38" t="s">
        <v>34</v>
      </c>
      <c r="C4" s="40" t="s">
        <v>2</v>
      </c>
      <c r="D4" s="40"/>
      <c r="E4" s="40"/>
      <c r="F4" s="40"/>
    </row>
    <row r="5" spans="1:8" ht="15.75" thickBot="1" x14ac:dyDescent="0.3">
      <c r="A5" s="37"/>
      <c r="B5" s="39" t="s">
        <v>35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  <c r="C9" s="3"/>
    </row>
    <row r="10" spans="1:8" x14ac:dyDescent="0.25">
      <c r="A10" s="4" t="s">
        <v>51</v>
      </c>
      <c r="B10" s="32">
        <f>SUM(C10:F10)</f>
        <v>4103</v>
      </c>
      <c r="C10" s="5">
        <v>1780</v>
      </c>
      <c r="D10" s="5">
        <v>972</v>
      </c>
      <c r="E10" s="5">
        <v>1351</v>
      </c>
      <c r="F10" s="5"/>
      <c r="H10" s="11"/>
    </row>
    <row r="11" spans="1:8" x14ac:dyDescent="0.25">
      <c r="A11" s="6" t="s">
        <v>92</v>
      </c>
      <c r="B11" s="32">
        <f>SUM(C11:F11)</f>
        <v>5491</v>
      </c>
      <c r="C11" s="5">
        <v>1766</v>
      </c>
      <c r="D11" s="5">
        <v>1145</v>
      </c>
      <c r="E11" s="5">
        <v>2580</v>
      </c>
      <c r="F11" s="5"/>
    </row>
    <row r="12" spans="1:8" x14ac:dyDescent="0.25">
      <c r="A12" s="6" t="s">
        <v>93</v>
      </c>
      <c r="B12" s="32">
        <f t="shared" ref="B12" si="0">SUM(C12:E12)</f>
        <v>6268.6666666666661</v>
      </c>
      <c r="C12" s="5">
        <v>1744.6666666666667</v>
      </c>
      <c r="D12" s="5">
        <v>1021.6666666666667</v>
      </c>
      <c r="E12" s="5">
        <v>3502.333333333333</v>
      </c>
      <c r="F12" s="5"/>
      <c r="H12" s="11"/>
    </row>
    <row r="13" spans="1:8" x14ac:dyDescent="0.25">
      <c r="A13" s="6" t="s">
        <v>84</v>
      </c>
      <c r="B13" s="5">
        <f>SUM(C13:F13)</f>
        <v>5491</v>
      </c>
      <c r="C13" s="5">
        <v>1766</v>
      </c>
      <c r="D13" s="5">
        <v>1145</v>
      </c>
      <c r="E13" s="5">
        <v>2580</v>
      </c>
      <c r="F13" s="5"/>
    </row>
    <row r="14" spans="1:8" x14ac:dyDescent="0.25">
      <c r="B14" s="7"/>
      <c r="C14" s="7"/>
      <c r="D14" s="7"/>
      <c r="E14" s="7"/>
      <c r="F14" s="7"/>
    </row>
    <row r="15" spans="1:8" x14ac:dyDescent="0.25">
      <c r="A15" s="8" t="s">
        <v>6</v>
      </c>
      <c r="B15" s="7"/>
      <c r="C15" s="7"/>
      <c r="D15" s="7"/>
      <c r="E15" s="7"/>
      <c r="F15" s="7"/>
    </row>
    <row r="16" spans="1:8" x14ac:dyDescent="0.25">
      <c r="A16" s="4" t="s">
        <v>51</v>
      </c>
      <c r="B16" s="32">
        <f>SUM(C16:F16)</f>
        <v>1638889986</v>
      </c>
      <c r="C16" s="5">
        <v>651624180</v>
      </c>
      <c r="D16" s="5">
        <v>142329960</v>
      </c>
      <c r="E16" s="5">
        <v>844935846</v>
      </c>
      <c r="F16" s="5"/>
      <c r="H16" s="11"/>
    </row>
    <row r="17" spans="1:8" x14ac:dyDescent="0.25">
      <c r="A17" s="6" t="s">
        <v>92</v>
      </c>
      <c r="B17" s="32">
        <f>SUM(C17:F17)</f>
        <v>2720648121</v>
      </c>
      <c r="C17" s="3">
        <v>815425776</v>
      </c>
      <c r="D17" s="3">
        <v>211472340</v>
      </c>
      <c r="E17" s="5">
        <v>1693750005</v>
      </c>
      <c r="F17" s="5"/>
    </row>
    <row r="18" spans="1:8" x14ac:dyDescent="0.25">
      <c r="A18" s="6" t="s">
        <v>93</v>
      </c>
      <c r="B18" s="32">
        <f>SUM(C18:F18)</f>
        <v>3292736882</v>
      </c>
      <c r="C18" s="5">
        <v>805575408</v>
      </c>
      <c r="D18" s="5">
        <v>188755224</v>
      </c>
      <c r="E18" s="5">
        <v>2298406250</v>
      </c>
      <c r="F18" s="5"/>
      <c r="H18" s="11"/>
    </row>
    <row r="19" spans="1:8" x14ac:dyDescent="0.25">
      <c r="A19" s="6" t="s">
        <v>84</v>
      </c>
      <c r="B19" s="5">
        <f>SUM(C19:F19)</f>
        <v>10882592484</v>
      </c>
      <c r="C19" s="9">
        <v>3261703104</v>
      </c>
      <c r="D19" s="5">
        <v>845889360</v>
      </c>
      <c r="E19" s="5">
        <v>6775000020</v>
      </c>
      <c r="F19" s="5"/>
    </row>
    <row r="20" spans="1:8" x14ac:dyDescent="0.25">
      <c r="A20" s="6" t="s">
        <v>94</v>
      </c>
      <c r="B20" s="5">
        <f>SUM(C20:E20)</f>
        <v>3292736882</v>
      </c>
      <c r="C20" s="5">
        <f>C18</f>
        <v>805575408</v>
      </c>
      <c r="D20" s="5">
        <f t="shared" ref="D20:E20" si="1">D18</f>
        <v>188755224</v>
      </c>
      <c r="E20" s="5">
        <f t="shared" si="1"/>
        <v>2298406250</v>
      </c>
      <c r="F20" s="5"/>
    </row>
    <row r="21" spans="1:8" x14ac:dyDescent="0.25">
      <c r="B21" s="5"/>
      <c r="C21" s="9"/>
      <c r="D21" s="5"/>
      <c r="E21" s="5"/>
      <c r="F21" s="5"/>
    </row>
    <row r="22" spans="1:8" x14ac:dyDescent="0.25">
      <c r="A22" s="10" t="s">
        <v>7</v>
      </c>
      <c r="B22" s="5"/>
      <c r="C22" s="5"/>
      <c r="D22" s="5"/>
      <c r="E22" s="5"/>
      <c r="F22" s="5"/>
    </row>
    <row r="23" spans="1:8" x14ac:dyDescent="0.25">
      <c r="A23" s="4" t="s">
        <v>92</v>
      </c>
      <c r="B23" s="5">
        <f>B17</f>
        <v>2720648121</v>
      </c>
      <c r="C23" s="5"/>
      <c r="D23" s="5"/>
      <c r="E23" s="5"/>
      <c r="F23" s="5"/>
      <c r="G23" s="11"/>
    </row>
    <row r="24" spans="1:8" x14ac:dyDescent="0.25">
      <c r="A24" s="4" t="s">
        <v>93</v>
      </c>
      <c r="B24" s="5">
        <v>4444898566.6500006</v>
      </c>
      <c r="C24" s="5"/>
      <c r="D24" s="5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8</v>
      </c>
      <c r="B26" s="7"/>
      <c r="C26" s="7"/>
      <c r="D26" s="7"/>
      <c r="E26" s="7"/>
      <c r="F26" s="7"/>
    </row>
    <row r="27" spans="1:8" x14ac:dyDescent="0.25">
      <c r="A27" s="4" t="s">
        <v>52</v>
      </c>
      <c r="B27" s="18">
        <v>1.62</v>
      </c>
      <c r="C27" s="18">
        <v>1.62</v>
      </c>
      <c r="D27" s="18">
        <v>1.62</v>
      </c>
      <c r="E27" s="18">
        <v>1.62</v>
      </c>
      <c r="F27" s="12"/>
    </row>
    <row r="28" spans="1:8" x14ac:dyDescent="0.25">
      <c r="A28" s="4" t="s">
        <v>95</v>
      </c>
      <c r="B28" s="18">
        <v>1.68</v>
      </c>
      <c r="C28" s="18">
        <v>1.68</v>
      </c>
      <c r="D28" s="18">
        <v>1.68</v>
      </c>
      <c r="E28" s="18">
        <v>1.68</v>
      </c>
      <c r="F28" s="12"/>
    </row>
    <row r="29" spans="1:8" x14ac:dyDescent="0.25">
      <c r="A29" s="4" t="s">
        <v>9</v>
      </c>
      <c r="B29" s="5">
        <v>118571</v>
      </c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3" t="s">
        <v>10</v>
      </c>
      <c r="B31" s="7"/>
      <c r="C31" s="7"/>
      <c r="D31" s="7"/>
      <c r="E31" s="7"/>
      <c r="F31" s="7"/>
    </row>
    <row r="32" spans="1:8" x14ac:dyDescent="0.25">
      <c r="A32" s="7" t="s">
        <v>53</v>
      </c>
      <c r="B32" s="5">
        <f>B16/B27</f>
        <v>1011660485.1851851</v>
      </c>
      <c r="C32" s="5">
        <f>C16/C27</f>
        <v>402237148.14814812</v>
      </c>
      <c r="D32" s="5">
        <f>D16/D27</f>
        <v>87858000</v>
      </c>
      <c r="E32" s="5">
        <f>E16/E27</f>
        <v>521565337.03703701</v>
      </c>
      <c r="F32" s="5"/>
    </row>
    <row r="33" spans="1:8" x14ac:dyDescent="0.25">
      <c r="A33" s="7" t="s">
        <v>96</v>
      </c>
      <c r="B33" s="5">
        <f>B18/B28</f>
        <v>1959962429.7619047</v>
      </c>
      <c r="C33" s="5">
        <f>C18/C28</f>
        <v>479509171.42857146</v>
      </c>
      <c r="D33" s="5">
        <f>D18/D28</f>
        <v>112354300</v>
      </c>
      <c r="E33" s="5">
        <f>E18/E28</f>
        <v>1368098958.3333335</v>
      </c>
      <c r="F33" s="5"/>
    </row>
    <row r="34" spans="1:8" x14ac:dyDescent="0.25">
      <c r="A34" s="7" t="s">
        <v>54</v>
      </c>
      <c r="B34" s="32">
        <f>$B$32/(B10)</f>
        <v>246566.04562154156</v>
      </c>
      <c r="C34" s="32">
        <f>C32/(C10)</f>
        <v>225975.9259259259</v>
      </c>
      <c r="D34" s="32">
        <f>D32/(D10)</f>
        <v>90388.888888888891</v>
      </c>
      <c r="E34" s="32">
        <f>E32/(E10)</f>
        <v>386058.72467582312</v>
      </c>
      <c r="F34" s="30"/>
      <c r="H34" s="11"/>
    </row>
    <row r="35" spans="1:8" x14ac:dyDescent="0.25">
      <c r="A35" s="7" t="s">
        <v>97</v>
      </c>
      <c r="B35" s="32">
        <f>$B$33/(B12)</f>
        <v>312660.1770331657</v>
      </c>
      <c r="C35" s="32">
        <f>C33/(C12)</f>
        <v>274842.85714285716</v>
      </c>
      <c r="D35" s="32">
        <f>D33/(D12)</f>
        <v>109971.5823817292</v>
      </c>
      <c r="E35" s="32">
        <f>E33/(E12)</f>
        <v>390625.00000000006</v>
      </c>
      <c r="F35" s="30"/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B37" s="7"/>
      <c r="C37" s="7"/>
      <c r="D37" s="7"/>
      <c r="E37" s="7"/>
      <c r="F37" s="7"/>
    </row>
    <row r="38" spans="1:8" x14ac:dyDescent="0.25">
      <c r="B38" s="7"/>
      <c r="C38" s="7"/>
      <c r="D38" s="7"/>
      <c r="E38" s="7"/>
      <c r="F38" s="7"/>
    </row>
    <row r="39" spans="1:8" x14ac:dyDescent="0.25">
      <c r="A39" t="s">
        <v>12</v>
      </c>
      <c r="B39" s="7"/>
      <c r="C39" s="7"/>
      <c r="D39" s="7"/>
      <c r="E39" s="7"/>
      <c r="F39" s="7"/>
    </row>
    <row r="40" spans="1:8" x14ac:dyDescent="0.25">
      <c r="A40" t="s">
        <v>13</v>
      </c>
      <c r="B40" s="14">
        <f>B11/B29*100</f>
        <v>4.6309805939057611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5.2868464183203869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114.16256905238875</v>
      </c>
      <c r="C44" s="14">
        <f t="shared" ref="C44:E44" si="2">C12/C11*100</f>
        <v>98.791996979992462</v>
      </c>
      <c r="D44" s="14">
        <f t="shared" si="2"/>
        <v>89.228529839883564</v>
      </c>
      <c r="E44" s="14">
        <f t="shared" si="2"/>
        <v>135.74935400516793</v>
      </c>
      <c r="F44" s="14"/>
    </row>
    <row r="45" spans="1:8" x14ac:dyDescent="0.25">
      <c r="A45" t="s">
        <v>17</v>
      </c>
      <c r="B45" s="14">
        <f>B18/B17*100</f>
        <v>121.02766456948954</v>
      </c>
      <c r="C45" s="14">
        <f t="shared" ref="C45:E45" si="3">C18/C17*100</f>
        <v>98.791996979992447</v>
      </c>
      <c r="D45" s="14">
        <f t="shared" si="3"/>
        <v>89.257641921397379</v>
      </c>
      <c r="E45" s="14">
        <f t="shared" si="3"/>
        <v>135.69926159203169</v>
      </c>
      <c r="F45" s="14"/>
    </row>
    <row r="46" spans="1:8" x14ac:dyDescent="0.25">
      <c r="A46" s="7" t="s">
        <v>18</v>
      </c>
      <c r="B46" s="14">
        <f>AVERAGE(B44:B45)</f>
        <v>117.59511681093915</v>
      </c>
      <c r="C46" s="14">
        <f t="shared" ref="C46:E46" si="4">AVERAGE(C44:C45)</f>
        <v>98.791996979992462</v>
      </c>
      <c r="D46" s="14">
        <f t="shared" si="4"/>
        <v>89.243085880640479</v>
      </c>
      <c r="E46" s="14">
        <f t="shared" si="4"/>
        <v>135.7243077985998</v>
      </c>
      <c r="F46" s="14"/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114.16256905238875</v>
      </c>
      <c r="C49" s="33">
        <f t="shared" ref="C49:E49" si="5">(C12/C13)*100</f>
        <v>98.791996979992462</v>
      </c>
      <c r="D49" s="33">
        <f t="shared" si="5"/>
        <v>89.228529839883564</v>
      </c>
      <c r="E49" s="33">
        <f t="shared" si="5"/>
        <v>135.74935400516793</v>
      </c>
      <c r="F49" s="29"/>
      <c r="G49" s="11"/>
    </row>
    <row r="50" spans="1:7" x14ac:dyDescent="0.25">
      <c r="A50" s="7" t="s">
        <v>21</v>
      </c>
      <c r="B50" s="14">
        <f>B18/B19*100</f>
        <v>30.256916142372386</v>
      </c>
      <c r="C50" s="14">
        <f t="shared" ref="C50:E50" si="6">C18/C19*100</f>
        <v>24.697999244998112</v>
      </c>
      <c r="D50" s="14">
        <f t="shared" si="6"/>
        <v>22.314410480349345</v>
      </c>
      <c r="E50" s="14">
        <f t="shared" si="6"/>
        <v>33.924815398007922</v>
      </c>
      <c r="F50" s="14"/>
    </row>
    <row r="51" spans="1:7" x14ac:dyDescent="0.25">
      <c r="A51" s="7" t="s">
        <v>22</v>
      </c>
      <c r="B51" s="14">
        <f>(B49+B50)/2</f>
        <v>72.209742597380568</v>
      </c>
      <c r="C51" s="14">
        <f t="shared" ref="C51:E51" si="7">(C49+C50)/2</f>
        <v>61.744998112495288</v>
      </c>
      <c r="D51" s="14">
        <f t="shared" si="7"/>
        <v>55.771470160116451</v>
      </c>
      <c r="E51" s="14">
        <f t="shared" si="7"/>
        <v>84.837084701587926</v>
      </c>
      <c r="F51" s="14"/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52.782516857583857</v>
      </c>
      <c r="C57" s="14">
        <f t="shared" ref="C57:E57" si="8">((C12/C10)-1)*100</f>
        <v>-1.9850187265917585</v>
      </c>
      <c r="D57" s="14">
        <f t="shared" si="8"/>
        <v>5.1097393689986337</v>
      </c>
      <c r="E57" s="14">
        <f t="shared" si="8"/>
        <v>159.24006908462866</v>
      </c>
      <c r="F57" s="14"/>
    </row>
    <row r="58" spans="1:7" x14ac:dyDescent="0.25">
      <c r="A58" s="7" t="s">
        <v>27</v>
      </c>
      <c r="B58" s="14">
        <f>((B33/B32)-1)*100</f>
        <v>93.737173534373269</v>
      </c>
      <c r="C58" s="14">
        <f t="shared" ref="C58:E58" si="9">((C33/C32)-1)*100</f>
        <v>19.210563627992716</v>
      </c>
      <c r="D58" s="14">
        <f t="shared" si="9"/>
        <v>27.881695463133681</v>
      </c>
      <c r="E58" s="14">
        <f t="shared" si="9"/>
        <v>162.30634230897576</v>
      </c>
      <c r="F58" s="14"/>
    </row>
    <row r="59" spans="1:7" x14ac:dyDescent="0.25">
      <c r="A59" s="7" t="s">
        <v>28</v>
      </c>
      <c r="B59" s="14">
        <f>((B35/B34)-1)*100</f>
        <v>26.805852867946456</v>
      </c>
      <c r="C59" s="14">
        <f t="shared" ref="C59:E59" si="10">((C35/C34)-1)*100</f>
        <v>21.624839467611999</v>
      </c>
      <c r="D59" s="14">
        <f t="shared" si="10"/>
        <v>21.664934411255409</v>
      </c>
      <c r="E59" s="14">
        <f t="shared" si="10"/>
        <v>1.1827929359739864</v>
      </c>
      <c r="F59" s="14"/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5">
        <f>B17/(B11*3)</f>
        <v>165158.02349298852</v>
      </c>
      <c r="C62" s="5">
        <f t="shared" ref="C62:E62" si="11">C17/(C11*3)</f>
        <v>153912</v>
      </c>
      <c r="D62" s="5">
        <f t="shared" si="11"/>
        <v>61564</v>
      </c>
      <c r="E62" s="5">
        <f t="shared" si="11"/>
        <v>218830.75</v>
      </c>
      <c r="F62" s="5"/>
    </row>
    <row r="63" spans="1:7" x14ac:dyDescent="0.25">
      <c r="A63" s="7" t="s">
        <v>76</v>
      </c>
      <c r="B63" s="5">
        <f>$B$18/(B12*3)</f>
        <v>175089.69913857279</v>
      </c>
      <c r="C63" s="5">
        <f>C18/(C12*3)</f>
        <v>153912</v>
      </c>
      <c r="D63" s="5">
        <f t="shared" ref="D63:E63" si="12">D18/(D12*3)</f>
        <v>61584.086133768353</v>
      </c>
      <c r="E63" s="5">
        <f t="shared" si="12"/>
        <v>218750</v>
      </c>
      <c r="F63" s="5"/>
    </row>
    <row r="64" spans="1:7" x14ac:dyDescent="0.25">
      <c r="A64" s="7" t="s">
        <v>30</v>
      </c>
      <c r="B64" s="14">
        <f>(B62/B63)*B46</f>
        <v>110.92472692839952</v>
      </c>
      <c r="C64" s="14">
        <f t="shared" ref="C64:E64" si="13">(C62/C63)*C46</f>
        <v>98.791996979992462</v>
      </c>
      <c r="D64" s="14">
        <f t="shared" si="13"/>
        <v>89.213978546693752</v>
      </c>
      <c r="E64" s="14">
        <f t="shared" si="13"/>
        <v>135.7744094573643</v>
      </c>
      <c r="F64" s="14"/>
    </row>
    <row r="65" spans="1:7" x14ac:dyDescent="0.25">
      <c r="A65" s="7" t="s">
        <v>77</v>
      </c>
      <c r="B65" s="14">
        <f>B17/B11</f>
        <v>495474.07047896559</v>
      </c>
      <c r="C65" s="14">
        <f t="shared" ref="C65:E65" si="14">C17/C11</f>
        <v>461736</v>
      </c>
      <c r="D65" s="14">
        <f t="shared" si="14"/>
        <v>184692</v>
      </c>
      <c r="E65" s="14">
        <f t="shared" si="14"/>
        <v>656492.25</v>
      </c>
      <c r="F65" s="14"/>
    </row>
    <row r="66" spans="1:7" x14ac:dyDescent="0.25">
      <c r="A66" s="7" t="s">
        <v>78</v>
      </c>
      <c r="B66" s="14">
        <f>B18/B12</f>
        <v>525269.09741571848</v>
      </c>
      <c r="C66" s="14">
        <f t="shared" ref="C66:E66" si="15">C18/C12</f>
        <v>461736</v>
      </c>
      <c r="D66" s="14">
        <f t="shared" si="15"/>
        <v>184752.25840130504</v>
      </c>
      <c r="E66" s="14">
        <f t="shared" si="15"/>
        <v>656250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163.37645917312656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74.079010637168409</v>
      </c>
      <c r="C70" s="14"/>
      <c r="D70" s="14"/>
      <c r="E70" s="14"/>
      <c r="F70" s="14"/>
      <c r="G70" s="11"/>
    </row>
    <row r="71" spans="1:7" ht="15.75" thickBot="1" x14ac:dyDescent="0.3">
      <c r="A71" s="15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90" zoomScaleNormal="90" workbookViewId="0">
      <pane xSplit="1" ySplit="5" topLeftCell="B72" activePane="bottomRight" state="frozen"/>
      <selection activeCell="D40" sqref="D40"/>
      <selection pane="topRight" activeCell="D40" sqref="D40"/>
      <selection pane="bottomLeft" activeCell="D40" sqref="D40"/>
      <selection pane="bottomRight" activeCell="F63" sqref="F63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35" t="s">
        <v>99</v>
      </c>
      <c r="B2" s="35"/>
      <c r="C2" s="35"/>
      <c r="D2" s="35"/>
      <c r="E2" s="35"/>
    </row>
    <row r="4" spans="1:8" ht="15" customHeight="1" x14ac:dyDescent="0.25">
      <c r="A4" s="36" t="s">
        <v>0</v>
      </c>
      <c r="B4" s="19" t="s">
        <v>34</v>
      </c>
      <c r="C4" s="40" t="s">
        <v>2</v>
      </c>
      <c r="D4" s="40"/>
      <c r="E4" s="40"/>
      <c r="F4" s="40"/>
    </row>
    <row r="5" spans="1:8" ht="15.75" thickBot="1" x14ac:dyDescent="0.3">
      <c r="A5" s="37"/>
      <c r="B5" s="1" t="s">
        <v>35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</row>
    <row r="10" spans="1:8" x14ac:dyDescent="0.25">
      <c r="A10" s="4" t="s">
        <v>55</v>
      </c>
      <c r="B10" s="5">
        <f>SUM(C10:F10)</f>
        <v>4613</v>
      </c>
      <c r="C10" s="3">
        <v>1783</v>
      </c>
      <c r="D10" s="3">
        <v>962</v>
      </c>
      <c r="E10" s="3">
        <v>1868</v>
      </c>
      <c r="F10" s="5"/>
      <c r="G10" s="3"/>
    </row>
    <row r="11" spans="1:8" x14ac:dyDescent="0.25">
      <c r="A11" s="6" t="s">
        <v>100</v>
      </c>
      <c r="B11" s="5">
        <f>SUM(C11:F11)</f>
        <v>5626</v>
      </c>
      <c r="C11" s="5">
        <v>1766</v>
      </c>
      <c r="D11" s="5">
        <v>1145</v>
      </c>
      <c r="E11" s="5">
        <v>2715</v>
      </c>
      <c r="F11" s="5"/>
      <c r="G11" s="23"/>
    </row>
    <row r="12" spans="1:8" x14ac:dyDescent="0.25">
      <c r="A12" s="6" t="s">
        <v>101</v>
      </c>
      <c r="B12" s="3">
        <f>SUM(C12:F12)</f>
        <v>5386.666666666667</v>
      </c>
      <c r="C12" s="3">
        <v>1652.6666666666667</v>
      </c>
      <c r="D12" s="3">
        <v>1008.6666666666666</v>
      </c>
      <c r="E12" s="3">
        <v>2725.3333333333335</v>
      </c>
      <c r="F12" s="5"/>
    </row>
    <row r="13" spans="1:8" x14ac:dyDescent="0.25">
      <c r="A13" s="6" t="s">
        <v>84</v>
      </c>
      <c r="B13" s="5">
        <f>SUM(C13:E13)</f>
        <v>5575</v>
      </c>
      <c r="C13" s="5">
        <v>1766</v>
      </c>
      <c r="D13" s="5">
        <v>1145</v>
      </c>
      <c r="E13" s="5">
        <v>2664</v>
      </c>
      <c r="F13" s="5"/>
      <c r="G13" s="23"/>
    </row>
    <row r="14" spans="1:8" x14ac:dyDescent="0.25">
      <c r="F14" s="7"/>
      <c r="G14" s="20"/>
    </row>
    <row r="15" spans="1:8" x14ac:dyDescent="0.25">
      <c r="A15" s="8" t="s">
        <v>6</v>
      </c>
      <c r="F15" s="7"/>
      <c r="G15" s="21"/>
    </row>
    <row r="16" spans="1:8" x14ac:dyDescent="0.25">
      <c r="A16" s="4" t="s">
        <v>55</v>
      </c>
      <c r="B16" s="32">
        <f>SUM(C16:F16)</f>
        <v>1960475886</v>
      </c>
      <c r="C16" s="5">
        <v>652844450</v>
      </c>
      <c r="D16" s="5">
        <v>140426370</v>
      </c>
      <c r="E16" s="5">
        <v>1167205066</v>
      </c>
      <c r="F16" s="5"/>
      <c r="H16" s="11"/>
    </row>
    <row r="17" spans="1:8" x14ac:dyDescent="0.25">
      <c r="A17" s="6" t="s">
        <v>100</v>
      </c>
      <c r="B17" s="32">
        <f>SUM(C17:F17)</f>
        <v>2809460621</v>
      </c>
      <c r="C17" s="3">
        <v>815425776</v>
      </c>
      <c r="D17" s="3">
        <v>211472340</v>
      </c>
      <c r="E17" s="5">
        <v>1782562505</v>
      </c>
      <c r="F17" s="5"/>
      <c r="G17" s="20"/>
    </row>
    <row r="18" spans="1:8" x14ac:dyDescent="0.25">
      <c r="A18" s="6" t="s">
        <v>101</v>
      </c>
      <c r="B18" s="31">
        <f>SUM(C18:F18)</f>
        <v>2749957196</v>
      </c>
      <c r="C18" s="5">
        <v>763101096</v>
      </c>
      <c r="D18" s="5">
        <v>186231100</v>
      </c>
      <c r="E18" s="5">
        <v>1800625000</v>
      </c>
      <c r="F18" s="5"/>
      <c r="H18" s="11"/>
    </row>
    <row r="19" spans="1:8" x14ac:dyDescent="0.25">
      <c r="A19" s="6" t="s">
        <v>84</v>
      </c>
      <c r="B19" s="3">
        <f>SUM(C19:F19)</f>
        <v>11104623734</v>
      </c>
      <c r="C19" s="9">
        <v>3261703104</v>
      </c>
      <c r="D19" s="5">
        <v>845889360</v>
      </c>
      <c r="E19" s="5">
        <v>6997031270</v>
      </c>
      <c r="F19" s="5"/>
    </row>
    <row r="20" spans="1:8" x14ac:dyDescent="0.25">
      <c r="A20" s="6" t="s">
        <v>102</v>
      </c>
      <c r="B20" s="5">
        <f>SUM(C20:E20)</f>
        <v>2749957196</v>
      </c>
      <c r="C20" s="5">
        <f>C18</f>
        <v>763101096</v>
      </c>
      <c r="D20" s="5">
        <f t="shared" ref="D20:E20" si="0">D18</f>
        <v>186231100</v>
      </c>
      <c r="E20" s="5">
        <f t="shared" si="0"/>
        <v>1800625000</v>
      </c>
      <c r="F20" s="5"/>
    </row>
    <row r="21" spans="1:8" x14ac:dyDescent="0.25">
      <c r="B21" s="3"/>
      <c r="C21" s="3"/>
      <c r="D21" s="3"/>
      <c r="E21" s="3"/>
      <c r="F21" s="5"/>
      <c r="G21" s="20"/>
    </row>
    <row r="22" spans="1:8" x14ac:dyDescent="0.25">
      <c r="A22" s="10" t="s">
        <v>7</v>
      </c>
      <c r="B22" s="5"/>
      <c r="C22" s="5"/>
      <c r="D22" s="5"/>
      <c r="E22" s="5"/>
      <c r="F22" s="5"/>
    </row>
    <row r="23" spans="1:8" x14ac:dyDescent="0.25">
      <c r="A23" s="4" t="s">
        <v>100</v>
      </c>
      <c r="B23" s="5">
        <f>B17</f>
        <v>2809460621</v>
      </c>
      <c r="C23" s="5"/>
      <c r="D23" s="5"/>
      <c r="E23" s="5"/>
      <c r="F23" s="5"/>
      <c r="G23" s="11"/>
    </row>
    <row r="24" spans="1:8" x14ac:dyDescent="0.25">
      <c r="A24" s="4" t="s">
        <v>101</v>
      </c>
      <c r="B24" s="5">
        <v>1742061287.6600001</v>
      </c>
      <c r="C24" s="24"/>
      <c r="D24" s="24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8</v>
      </c>
      <c r="B26" s="7"/>
      <c r="C26" s="7"/>
      <c r="D26" s="7"/>
      <c r="E26" s="7"/>
      <c r="F26" s="7"/>
    </row>
    <row r="27" spans="1:8" x14ac:dyDescent="0.25">
      <c r="A27" s="4" t="s">
        <v>56</v>
      </c>
      <c r="B27" s="18">
        <v>1.62</v>
      </c>
      <c r="C27" s="18">
        <v>1.62</v>
      </c>
      <c r="D27" s="18">
        <v>1.62</v>
      </c>
      <c r="E27" s="18">
        <v>1.62</v>
      </c>
      <c r="F27" s="18"/>
    </row>
    <row r="28" spans="1:8" x14ac:dyDescent="0.25">
      <c r="A28" s="4" t="s">
        <v>103</v>
      </c>
      <c r="B28" s="18">
        <v>1.71</v>
      </c>
      <c r="C28" s="18">
        <v>1.71</v>
      </c>
      <c r="D28" s="18">
        <v>1.71</v>
      </c>
      <c r="E28" s="18">
        <v>1.71</v>
      </c>
      <c r="F28" s="18"/>
    </row>
    <row r="29" spans="1:8" x14ac:dyDescent="0.25">
      <c r="A29" s="4" t="s">
        <v>9</v>
      </c>
      <c r="B29" s="5">
        <v>118571</v>
      </c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3" t="s">
        <v>10</v>
      </c>
      <c r="B31" s="7"/>
      <c r="C31" s="7"/>
      <c r="D31" s="7"/>
      <c r="E31" s="7"/>
      <c r="F31" s="7"/>
    </row>
    <row r="32" spans="1:8" x14ac:dyDescent="0.25">
      <c r="A32" s="7" t="s">
        <v>57</v>
      </c>
      <c r="B32" s="5">
        <f>B16/B27</f>
        <v>1210170300</v>
      </c>
      <c r="C32" s="5">
        <f t="shared" ref="C32:E32" si="1">C16/C27</f>
        <v>402990401.23456788</v>
      </c>
      <c r="D32" s="5">
        <f t="shared" si="1"/>
        <v>86682944.444444433</v>
      </c>
      <c r="E32" s="5">
        <f t="shared" si="1"/>
        <v>720496954.32098758</v>
      </c>
      <c r="F32" s="5" t="e">
        <f>F16/F27</f>
        <v>#DIV/0!</v>
      </c>
    </row>
    <row r="33" spans="1:8" x14ac:dyDescent="0.25">
      <c r="A33" s="7" t="s">
        <v>104</v>
      </c>
      <c r="B33" s="5">
        <f>B18/B28</f>
        <v>1608162102.9239767</v>
      </c>
      <c r="C33" s="5">
        <f t="shared" ref="C33:E33" si="2">C18/C28</f>
        <v>446257950.87719297</v>
      </c>
      <c r="D33" s="5">
        <f t="shared" si="2"/>
        <v>108907076.02339181</v>
      </c>
      <c r="E33" s="5">
        <f t="shared" si="2"/>
        <v>1052997076.0233918</v>
      </c>
      <c r="F33" s="5" t="e">
        <f>F18/F28</f>
        <v>#DIV/0!</v>
      </c>
    </row>
    <row r="34" spans="1:8" x14ac:dyDescent="0.25">
      <c r="A34" s="7" t="s">
        <v>58</v>
      </c>
      <c r="B34" s="32">
        <f>$B$32/(B10)</f>
        <v>262339.10687188379</v>
      </c>
      <c r="C34" s="32">
        <f>C32/(C10)</f>
        <v>226018.17231327418</v>
      </c>
      <c r="D34" s="32">
        <f>D32/(D10)</f>
        <v>90107.010857010842</v>
      </c>
      <c r="E34" s="32">
        <f>E32/(E10)</f>
        <v>385705.0076664816</v>
      </c>
      <c r="F34" s="32"/>
      <c r="H34" s="11"/>
    </row>
    <row r="35" spans="1:8" x14ac:dyDescent="0.25">
      <c r="A35" s="7" t="s">
        <v>105</v>
      </c>
      <c r="B35" s="32">
        <f>$B$33/(B12)</f>
        <v>298544.94484974811</v>
      </c>
      <c r="C35" s="32">
        <f>C33/(C12)</f>
        <v>270022.96341903566</v>
      </c>
      <c r="D35" s="32">
        <f>D33/(D12)</f>
        <v>107971.32454401039</v>
      </c>
      <c r="E35" s="32">
        <f>E33/(E12)</f>
        <v>386373.682493906</v>
      </c>
      <c r="F35" s="32" t="e">
        <f>F33/(F12)</f>
        <v>#DIV/0!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</row>
    <row r="39" spans="1:8" x14ac:dyDescent="0.25">
      <c r="A39" t="s">
        <v>12</v>
      </c>
    </row>
    <row r="40" spans="1:8" x14ac:dyDescent="0.25">
      <c r="A40" t="s">
        <v>13</v>
      </c>
      <c r="B40" s="14">
        <f>B11/B29*100</f>
        <v>4.7448364271196164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4.5429883079898685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95.745941462258571</v>
      </c>
      <c r="C44" s="14">
        <f t="shared" ref="C44:E44" si="3">C12/C11*100</f>
        <v>93.582483956209899</v>
      </c>
      <c r="D44" s="14">
        <f t="shared" si="3"/>
        <v>88.093158660844253</v>
      </c>
      <c r="E44" s="14">
        <f t="shared" si="3"/>
        <v>100.3806015960712</v>
      </c>
      <c r="F44" s="14" t="e">
        <f>F12/F11*100</f>
        <v>#DIV/0!</v>
      </c>
    </row>
    <row r="45" spans="1:8" x14ac:dyDescent="0.25">
      <c r="A45" t="s">
        <v>17</v>
      </c>
      <c r="B45" s="14">
        <f>B18/B17*100</f>
        <v>97.882033848233107</v>
      </c>
      <c r="C45" s="14">
        <f t="shared" ref="C45:E45" si="4">C18/C17*100</f>
        <v>93.58314618693143</v>
      </c>
      <c r="D45" s="14">
        <f t="shared" si="4"/>
        <v>88.064046579330423</v>
      </c>
      <c r="E45" s="14">
        <f t="shared" si="4"/>
        <v>101.01328817078424</v>
      </c>
      <c r="F45" s="14" t="e">
        <f>F18/F17*100</f>
        <v>#DIV/0!</v>
      </c>
    </row>
    <row r="46" spans="1:8" x14ac:dyDescent="0.25">
      <c r="A46" s="7" t="s">
        <v>18</v>
      </c>
      <c r="B46" s="14">
        <f>AVERAGE(B44:B45)</f>
        <v>96.813987655245839</v>
      </c>
      <c r="C46" s="14">
        <f t="shared" ref="C46:E46" si="5">AVERAGE(C44:C45)</f>
        <v>93.582815071570664</v>
      </c>
      <c r="D46" s="14">
        <f t="shared" si="5"/>
        <v>88.078602620087338</v>
      </c>
      <c r="E46" s="14">
        <f t="shared" si="5"/>
        <v>100.69694488342772</v>
      </c>
      <c r="F46" s="14" t="e">
        <f>AVERAGE(F44:F45)</f>
        <v>#DIV/0!</v>
      </c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96.621823617339317</v>
      </c>
      <c r="C49" s="33">
        <f t="shared" ref="C49:F49" si="6">(C12/C13)*100</f>
        <v>93.582483956209899</v>
      </c>
      <c r="D49" s="33">
        <f t="shared" si="6"/>
        <v>88.093158660844253</v>
      </c>
      <c r="E49" s="33">
        <f t="shared" si="6"/>
        <v>102.30230230230231</v>
      </c>
      <c r="F49" s="33" t="e">
        <f t="shared" si="6"/>
        <v>#DIV/0!</v>
      </c>
      <c r="G49" s="11"/>
    </row>
    <row r="50" spans="1:7" x14ac:dyDescent="0.25">
      <c r="A50" s="7" t="s">
        <v>21</v>
      </c>
      <c r="B50" s="14">
        <f>B18/B19*100</f>
        <v>24.764073613590483</v>
      </c>
      <c r="C50" s="14">
        <f t="shared" ref="C50:E50" si="7">C18/C19*100</f>
        <v>23.395786546732857</v>
      </c>
      <c r="D50" s="14">
        <f t="shared" si="7"/>
        <v>22.016011644832606</v>
      </c>
      <c r="E50" s="14">
        <f t="shared" si="7"/>
        <v>25.7341282397899</v>
      </c>
      <c r="F50" s="14" t="e">
        <f>F18/F19*100</f>
        <v>#DIV/0!</v>
      </c>
    </row>
    <row r="51" spans="1:7" x14ac:dyDescent="0.25">
      <c r="A51" s="7" t="s">
        <v>22</v>
      </c>
      <c r="B51" s="14">
        <f>(B49+B50)/2</f>
        <v>60.6929486154649</v>
      </c>
      <c r="C51" s="14">
        <f t="shared" ref="C51:E51" si="8">(C49+C50)/2</f>
        <v>58.489135251471382</v>
      </c>
      <c r="D51" s="14">
        <f t="shared" si="8"/>
        <v>55.054585152838428</v>
      </c>
      <c r="E51" s="14">
        <f t="shared" si="8"/>
        <v>64.018215271046103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16.771443023339838</v>
      </c>
      <c r="C57" s="14">
        <f t="shared" ref="C57:E57" si="9">((C12/C10)-1)*100</f>
        <v>-7.3097775285099971</v>
      </c>
      <c r="D57" s="14">
        <f t="shared" si="9"/>
        <v>4.8510048510048476</v>
      </c>
      <c r="E57" s="14">
        <f t="shared" si="9"/>
        <v>45.895788722341194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32.887255861755719</v>
      </c>
      <c r="C58" s="14">
        <f t="shared" ref="C58:E58" si="10">((C33/C32)-1)*100</f>
        <v>10.736620403382858</v>
      </c>
      <c r="D58" s="14">
        <f t="shared" si="10"/>
        <v>25.638413325000677</v>
      </c>
      <c r="E58" s="14">
        <f t="shared" si="10"/>
        <v>46.148719950629058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13.801159274185459</v>
      </c>
      <c r="C59" s="14">
        <f t="shared" ref="C59:E59" si="11">((C35/C34)-1)*100</f>
        <v>19.469580987836821</v>
      </c>
      <c r="D59" s="14">
        <f t="shared" si="11"/>
        <v>19.825664526091202</v>
      </c>
      <c r="E59" s="14">
        <f t="shared" si="11"/>
        <v>0.1733643105828131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5">
        <f>B17/(B11*3)</f>
        <v>166456.96296954615</v>
      </c>
      <c r="C62" s="5">
        <f t="shared" ref="C62:E63" si="12">C17/(C11*3)</f>
        <v>153912</v>
      </c>
      <c r="D62" s="5">
        <f t="shared" si="12"/>
        <v>61564</v>
      </c>
      <c r="E62" s="5">
        <f>E17/(E11*3)</f>
        <v>218853.59177409453</v>
      </c>
      <c r="F62" s="5" t="e">
        <f>F17/(F11*3)</f>
        <v>#DIV/0!</v>
      </c>
    </row>
    <row r="63" spans="1:7" x14ac:dyDescent="0.25">
      <c r="A63" s="7" t="s">
        <v>76</v>
      </c>
      <c r="B63" s="5">
        <f>$B$18/(B12*3)</f>
        <v>170170.61856435644</v>
      </c>
      <c r="C63" s="5">
        <f>C18/(C12*3)</f>
        <v>153913.08914885035</v>
      </c>
      <c r="D63" s="5">
        <f t="shared" si="12"/>
        <v>61543.654990085925</v>
      </c>
      <c r="E63" s="5">
        <f t="shared" si="12"/>
        <v>220232.99902152643</v>
      </c>
      <c r="F63" s="32" t="e">
        <f>$F$18/(F12*3)</f>
        <v>#DIV/0!</v>
      </c>
      <c r="G63" s="11"/>
    </row>
    <row r="64" spans="1:7" x14ac:dyDescent="0.25">
      <c r="A64" s="7" t="s">
        <v>30</v>
      </c>
      <c r="B64" s="14">
        <f>(B62/B63)*B46</f>
        <v>94.701203380586648</v>
      </c>
      <c r="C64" s="14">
        <f t="shared" ref="C64:E64" si="13">(C62/C63)*C46</f>
        <v>93.582152843192219</v>
      </c>
      <c r="D64" s="14">
        <f t="shared" si="13"/>
        <v>88.107719513515462</v>
      </c>
      <c r="E64" s="14">
        <f t="shared" si="13"/>
        <v>100.06623969309031</v>
      </c>
      <c r="F64" s="14" t="e">
        <f>(F62/F63)*F46</f>
        <v>#DIV/0!</v>
      </c>
    </row>
    <row r="65" spans="1:7" x14ac:dyDescent="0.25">
      <c r="A65" s="7" t="s">
        <v>77</v>
      </c>
      <c r="B65" s="14">
        <f>B17/B11</f>
        <v>499370.88890863844</v>
      </c>
      <c r="C65" s="14">
        <f t="shared" ref="C65:E66" si="14">C17/C11</f>
        <v>461736</v>
      </c>
      <c r="D65" s="14">
        <f t="shared" si="14"/>
        <v>184692</v>
      </c>
      <c r="E65" s="14">
        <f t="shared" si="14"/>
        <v>656560.77532228362</v>
      </c>
      <c r="F65" s="14"/>
    </row>
    <row r="66" spans="1:7" x14ac:dyDescent="0.25">
      <c r="A66" s="7" t="s">
        <v>78</v>
      </c>
      <c r="B66" s="14">
        <f>B18/B12</f>
        <v>510511.85569306929</v>
      </c>
      <c r="C66" s="14">
        <f t="shared" si="14"/>
        <v>461739.26744655101</v>
      </c>
      <c r="D66" s="14">
        <f t="shared" si="14"/>
        <v>184630.96497025777</v>
      </c>
      <c r="E66" s="14">
        <f t="shared" si="14"/>
        <v>660698.99706457916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62.006965843854054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157.85651259685832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90" zoomScaleNormal="90" workbookViewId="0">
      <pane xSplit="1" ySplit="5" topLeftCell="B72" activePane="bottomRight" state="frozen"/>
      <selection activeCell="D40" sqref="D40"/>
      <selection pane="topRight" activeCell="D40" sqref="D40"/>
      <selection pane="bottomLeft" activeCell="D40" sqref="D40"/>
      <selection pane="bottomRight" activeCell="G63" sqref="G63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35" t="s">
        <v>106</v>
      </c>
      <c r="B2" s="35"/>
      <c r="C2" s="35"/>
      <c r="D2" s="35"/>
      <c r="E2" s="35"/>
    </row>
    <row r="4" spans="1:8" ht="15" customHeight="1" x14ac:dyDescent="0.25">
      <c r="A4" s="36" t="s">
        <v>0</v>
      </c>
      <c r="B4" s="19" t="s">
        <v>34</v>
      </c>
      <c r="C4" s="40" t="s">
        <v>2</v>
      </c>
      <c r="D4" s="40"/>
      <c r="E4" s="40"/>
      <c r="F4" s="40"/>
    </row>
    <row r="5" spans="1:8" ht="15.75" thickBot="1" x14ac:dyDescent="0.3">
      <c r="A5" s="37"/>
      <c r="B5" s="1" t="s">
        <v>35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</row>
    <row r="10" spans="1:8" x14ac:dyDescent="0.25">
      <c r="A10" s="4" t="s">
        <v>59</v>
      </c>
      <c r="B10" s="32">
        <f>SUM(C10:F10)</f>
        <v>6016</v>
      </c>
      <c r="C10" s="3">
        <v>1746</v>
      </c>
      <c r="D10" s="3">
        <v>1009</v>
      </c>
      <c r="E10" s="5">
        <v>3261</v>
      </c>
      <c r="F10" s="5"/>
      <c r="G10" s="3"/>
      <c r="H10" s="11"/>
    </row>
    <row r="11" spans="1:8" x14ac:dyDescent="0.25">
      <c r="A11" s="6" t="s">
        <v>107</v>
      </c>
      <c r="B11" s="32">
        <f t="shared" ref="B11:B13" si="0">SUM(C11:F11)</f>
        <v>5994</v>
      </c>
      <c r="C11" s="5">
        <v>1865</v>
      </c>
      <c r="D11" s="5">
        <v>1145</v>
      </c>
      <c r="E11" s="5">
        <v>2984</v>
      </c>
      <c r="F11" s="5"/>
      <c r="G11" s="23"/>
      <c r="H11" s="11"/>
    </row>
    <row r="12" spans="1:8" x14ac:dyDescent="0.25">
      <c r="A12" s="6" t="s">
        <v>108</v>
      </c>
      <c r="B12" s="32">
        <f t="shared" si="0"/>
        <v>5928.333333333333</v>
      </c>
      <c r="C12" s="3">
        <v>1768.3333333333333</v>
      </c>
      <c r="D12" s="3">
        <v>1064</v>
      </c>
      <c r="E12" s="5">
        <v>3096</v>
      </c>
      <c r="F12" s="5"/>
      <c r="H12" s="11"/>
    </row>
    <row r="13" spans="1:8" x14ac:dyDescent="0.25">
      <c r="A13" s="6" t="s">
        <v>84</v>
      </c>
      <c r="B13" s="32">
        <f t="shared" si="0"/>
        <v>5649</v>
      </c>
      <c r="C13" s="5">
        <v>1790</v>
      </c>
      <c r="D13" s="5">
        <v>1145</v>
      </c>
      <c r="E13" s="5">
        <v>2714</v>
      </c>
      <c r="F13" s="5"/>
      <c r="G13" s="23"/>
      <c r="H13" s="11"/>
    </row>
    <row r="14" spans="1:8" x14ac:dyDescent="0.25">
      <c r="F14" s="7"/>
      <c r="G14" s="20"/>
    </row>
    <row r="15" spans="1:8" x14ac:dyDescent="0.25">
      <c r="A15" s="8" t="s">
        <v>6</v>
      </c>
      <c r="F15" s="7"/>
      <c r="G15" s="21"/>
    </row>
    <row r="16" spans="1:8" x14ac:dyDescent="0.25">
      <c r="A16" s="4" t="s">
        <v>59</v>
      </c>
      <c r="B16" s="32">
        <f>SUM(C16:F16)</f>
        <v>3246077551.6900001</v>
      </c>
      <c r="C16" s="5">
        <v>766590758</v>
      </c>
      <c r="D16" s="5">
        <v>195590478</v>
      </c>
      <c r="E16" s="5">
        <v>2058891445.6900001</v>
      </c>
      <c r="F16" s="5">
        <v>225004870</v>
      </c>
      <c r="H16" s="11"/>
    </row>
    <row r="17" spans="1:7" x14ac:dyDescent="0.25">
      <c r="A17" s="6" t="s">
        <v>107</v>
      </c>
      <c r="B17" s="5">
        <f>SUM(C17:F17)</f>
        <v>3031484985</v>
      </c>
      <c r="C17" s="3">
        <v>861137640</v>
      </c>
      <c r="D17" s="3">
        <v>211472340</v>
      </c>
      <c r="E17" s="5">
        <v>1958875005</v>
      </c>
      <c r="F17" s="5">
        <v>0</v>
      </c>
      <c r="G17" s="20"/>
    </row>
    <row r="18" spans="1:7" x14ac:dyDescent="0.25">
      <c r="A18" s="6" t="s">
        <v>108</v>
      </c>
      <c r="B18" s="31">
        <f>SUM(C18:F18)</f>
        <v>3152862680.6199999</v>
      </c>
      <c r="C18" s="5">
        <v>870140721.64999998</v>
      </c>
      <c r="D18" s="5">
        <v>220412436</v>
      </c>
      <c r="E18" s="5">
        <v>2062309522.97</v>
      </c>
      <c r="F18" s="5">
        <v>0</v>
      </c>
    </row>
    <row r="19" spans="1:7" x14ac:dyDescent="0.25">
      <c r="A19" s="6" t="s">
        <v>84</v>
      </c>
      <c r="B19" s="3">
        <f>SUM(C19:F19)</f>
        <v>11282241848</v>
      </c>
      <c r="C19" s="9">
        <v>3307414968</v>
      </c>
      <c r="D19" s="5">
        <v>845889360</v>
      </c>
      <c r="E19" s="5">
        <v>7128937520</v>
      </c>
      <c r="F19" s="5">
        <v>0</v>
      </c>
    </row>
    <row r="20" spans="1:7" x14ac:dyDescent="0.25">
      <c r="A20" s="6" t="s">
        <v>109</v>
      </c>
      <c r="B20" s="5">
        <f>SUM(C20:E20)</f>
        <v>3152862680.6199999</v>
      </c>
      <c r="C20" s="5">
        <f>C18</f>
        <v>870140721.64999998</v>
      </c>
      <c r="D20" s="5">
        <f t="shared" ref="D20:E20" si="1">D18</f>
        <v>220412436</v>
      </c>
      <c r="E20" s="5">
        <f t="shared" si="1"/>
        <v>2062309522.97</v>
      </c>
      <c r="F20" s="5"/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107</v>
      </c>
      <c r="B23" s="5">
        <f>B17</f>
        <v>3031484985</v>
      </c>
      <c r="C23" s="5"/>
      <c r="D23" s="5"/>
      <c r="E23" s="5"/>
      <c r="F23" s="5"/>
      <c r="G23" s="11"/>
    </row>
    <row r="24" spans="1:7" x14ac:dyDescent="0.25">
      <c r="A24" s="4" t="s">
        <v>108</v>
      </c>
      <c r="B24" s="5">
        <v>3064953621.6999998</v>
      </c>
      <c r="C24" s="24"/>
      <c r="D24" s="24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60</v>
      </c>
      <c r="B27" s="18">
        <v>1.62</v>
      </c>
      <c r="C27" s="18">
        <v>1.62</v>
      </c>
      <c r="D27" s="18">
        <v>1.62</v>
      </c>
      <c r="E27" s="18">
        <v>1.62</v>
      </c>
      <c r="F27" s="18"/>
    </row>
    <row r="28" spans="1:7" x14ac:dyDescent="0.25">
      <c r="A28" s="4" t="s">
        <v>110</v>
      </c>
      <c r="B28" s="18">
        <v>1.71</v>
      </c>
      <c r="C28" s="18">
        <v>1.71</v>
      </c>
      <c r="D28" s="18">
        <v>1.71</v>
      </c>
      <c r="E28" s="18">
        <v>1.71</v>
      </c>
      <c r="F28" s="18"/>
    </row>
    <row r="29" spans="1:7" x14ac:dyDescent="0.25">
      <c r="A29" s="4" t="s">
        <v>9</v>
      </c>
      <c r="B29" s="5">
        <v>118571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61</v>
      </c>
      <c r="B32" s="5">
        <f>B16/B27</f>
        <v>2003751575.1172838</v>
      </c>
      <c r="C32" s="5">
        <f>C16/C27</f>
        <v>473204171.60493827</v>
      </c>
      <c r="D32" s="5">
        <f>D16/D27</f>
        <v>120734862.96296296</v>
      </c>
      <c r="E32" s="5">
        <f>E16/E27</f>
        <v>1270920645.4876542</v>
      </c>
      <c r="F32" s="5" t="e">
        <f>F16/F27</f>
        <v>#DIV/0!</v>
      </c>
    </row>
    <row r="33" spans="1:8" x14ac:dyDescent="0.25">
      <c r="A33" s="7" t="s">
        <v>111</v>
      </c>
      <c r="B33" s="5">
        <f>B18/B28</f>
        <v>1843779345.3918128</v>
      </c>
      <c r="C33" s="5">
        <f>C18/C28</f>
        <v>508854223.1871345</v>
      </c>
      <c r="D33" s="5">
        <f>D18/D28</f>
        <v>128896161.40350877</v>
      </c>
      <c r="E33" s="5">
        <f>E18/E28</f>
        <v>1206028960.8011696</v>
      </c>
      <c r="F33" s="5" t="e">
        <f>F18/F28</f>
        <v>#DIV/0!</v>
      </c>
    </row>
    <row r="34" spans="1:8" x14ac:dyDescent="0.25">
      <c r="A34" s="7" t="s">
        <v>62</v>
      </c>
      <c r="B34" s="32">
        <f>$B$32/(B10)</f>
        <v>333070.40809795278</v>
      </c>
      <c r="C34" s="32">
        <f>C32/(C10)</f>
        <v>271021.86231668858</v>
      </c>
      <c r="D34" s="32">
        <f>D32/(D10)</f>
        <v>119657.94148955695</v>
      </c>
      <c r="E34" s="32">
        <f>E32/(E10)</f>
        <v>389733.40861320274</v>
      </c>
      <c r="F34" s="32"/>
      <c r="H34" s="11"/>
    </row>
    <row r="35" spans="1:8" x14ac:dyDescent="0.25">
      <c r="A35" s="7" t="s">
        <v>112</v>
      </c>
      <c r="B35" s="32">
        <f>$B$33/(B12)</f>
        <v>311011.41614705866</v>
      </c>
      <c r="C35" s="32">
        <f>C33/(C12)</f>
        <v>287759.22140648513</v>
      </c>
      <c r="D35" s="32">
        <f>D33/(D12)</f>
        <v>121143.00883788418</v>
      </c>
      <c r="E35" s="32">
        <f>E33/(E12)</f>
        <v>389544.23798487394</v>
      </c>
      <c r="F35" s="32" t="e">
        <f>F33/(F12)</f>
        <v>#DIV/0!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F37" s="7"/>
    </row>
    <row r="38" spans="1:8" x14ac:dyDescent="0.25">
      <c r="F38" s="7"/>
    </row>
    <row r="39" spans="1:8" x14ac:dyDescent="0.25">
      <c r="A39" t="s">
        <v>12</v>
      </c>
      <c r="F39" s="7"/>
    </row>
    <row r="40" spans="1:8" x14ac:dyDescent="0.25">
      <c r="A40" t="s">
        <v>13</v>
      </c>
      <c r="B40" s="14">
        <f>B11/B29*100</f>
        <v>5.0551989946951617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4.9998172684158293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98.904460015571118</v>
      </c>
      <c r="C44" s="14">
        <f t="shared" ref="C44:E44" si="2">C12/C11*100</f>
        <v>94.816800714924028</v>
      </c>
      <c r="D44" s="14">
        <f t="shared" si="2"/>
        <v>92.925764192139738</v>
      </c>
      <c r="E44" s="14">
        <f t="shared" si="2"/>
        <v>103.75335120643432</v>
      </c>
      <c r="F44" s="14" t="e">
        <f>F12/F11*100</f>
        <v>#DIV/0!</v>
      </c>
    </row>
    <row r="45" spans="1:8" x14ac:dyDescent="0.25">
      <c r="A45" t="s">
        <v>17</v>
      </c>
      <c r="B45" s="14">
        <f>B18/B17*100</f>
        <v>104.00390225320547</v>
      </c>
      <c r="C45" s="14">
        <f t="shared" ref="C45:E45" si="3">C18/C17*100</f>
        <v>101.04548695026267</v>
      </c>
      <c r="D45" s="14">
        <f t="shared" si="3"/>
        <v>104.22754862408956</v>
      </c>
      <c r="E45" s="14">
        <f t="shared" si="3"/>
        <v>105.28030209717237</v>
      </c>
      <c r="F45" s="14" t="e">
        <f>F18/F17*100</f>
        <v>#DIV/0!</v>
      </c>
    </row>
    <row r="46" spans="1:8" x14ac:dyDescent="0.25">
      <c r="A46" s="7" t="s">
        <v>18</v>
      </c>
      <c r="B46" s="14">
        <f>AVERAGE(B44:B45)</f>
        <v>101.45418113438829</v>
      </c>
      <c r="C46" s="14">
        <f t="shared" ref="C46:E46" si="4">AVERAGE(C44:C45)</f>
        <v>97.931143832593349</v>
      </c>
      <c r="D46" s="14">
        <f t="shared" si="4"/>
        <v>98.576656408114644</v>
      </c>
      <c r="E46" s="14">
        <f t="shared" si="4"/>
        <v>104.51682665180334</v>
      </c>
      <c r="F46" s="14" t="e">
        <f>AVERAGE(F44:F45)</f>
        <v>#DIV/0!</v>
      </c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104.94482799315512</v>
      </c>
      <c r="C49" s="33">
        <f t="shared" ref="C49:F49" si="5">(C12/C13)*100</f>
        <v>98.789571694599616</v>
      </c>
      <c r="D49" s="33">
        <f t="shared" si="5"/>
        <v>92.925764192139738</v>
      </c>
      <c r="E49" s="33">
        <f t="shared" si="5"/>
        <v>114.07516580692705</v>
      </c>
      <c r="F49" s="33" t="e">
        <f t="shared" si="5"/>
        <v>#DIV/0!</v>
      </c>
      <c r="G49" s="11"/>
    </row>
    <row r="50" spans="1:7" x14ac:dyDescent="0.25">
      <c r="A50" s="7" t="s">
        <v>21</v>
      </c>
      <c r="B50" s="14">
        <f>B18/B19*100</f>
        <v>27.945356278450166</v>
      </c>
      <c r="C50" s="14">
        <f>C18/C19*100</f>
        <v>26.308785866569856</v>
      </c>
      <c r="D50" s="14">
        <f>D18/D19*100</f>
        <v>26.056887156022391</v>
      </c>
      <c r="E50" s="14">
        <f>E18/E19*100</f>
        <v>28.928708060412344</v>
      </c>
      <c r="F50" s="14" t="e">
        <f>F18/F19*100</f>
        <v>#DIV/0!</v>
      </c>
    </row>
    <row r="51" spans="1:7" x14ac:dyDescent="0.25">
      <c r="A51" s="7" t="s">
        <v>22</v>
      </c>
      <c r="B51" s="14">
        <f>(B49+B50)/2</f>
        <v>66.445092135802639</v>
      </c>
      <c r="C51" s="14">
        <f t="shared" ref="C51:E51" si="6">(C49+C50)/2</f>
        <v>62.549178780584739</v>
      </c>
      <c r="D51" s="14">
        <f t="shared" si="6"/>
        <v>59.491325674081068</v>
      </c>
      <c r="E51" s="14">
        <f t="shared" si="6"/>
        <v>71.501936933669697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-1.457225177304966</v>
      </c>
      <c r="C57" s="14">
        <f>((C12/C10)-1)*100</f>
        <v>1.2791141657120919</v>
      </c>
      <c r="D57" s="14">
        <f>((D12/D10)-1)*100</f>
        <v>5.4509415262636196</v>
      </c>
      <c r="E57" s="14">
        <f>((E12/E10)-1)*100</f>
        <v>-5.059797608095673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-7.9836358814144637</v>
      </c>
      <c r="C58" s="14">
        <f t="shared" ref="C58:E58" si="7">((C33/C32)-1)*100</f>
        <v>7.5337568266323762</v>
      </c>
      <c r="D58" s="14">
        <f t="shared" si="7"/>
        <v>6.7596866723155236</v>
      </c>
      <c r="E58" s="14">
        <f t="shared" si="7"/>
        <v>-5.1058801284627471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-6.6229215849181067</v>
      </c>
      <c r="C59" s="14">
        <f>((C35/C34)-1)*100</f>
        <v>6.17564905898218</v>
      </c>
      <c r="D59" s="14">
        <f>((D35/D34)-1)*100</f>
        <v>1.2410938462089849</v>
      </c>
      <c r="E59" s="14">
        <f>((E35/E34)-1)*100</f>
        <v>-4.8538468642433941E-2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5">
        <f>B17/(B11*3)</f>
        <v>168584.4169169169</v>
      </c>
      <c r="C62" s="5">
        <f t="shared" ref="C62:E63" si="8">C17/(C11*3)</f>
        <v>153912</v>
      </c>
      <c r="D62" s="5">
        <f t="shared" si="8"/>
        <v>61564</v>
      </c>
      <c r="E62" s="5">
        <f t="shared" si="8"/>
        <v>218819.81735924934</v>
      </c>
      <c r="F62" s="5" t="e">
        <f>F17/(F11*3)</f>
        <v>#DIV/0!</v>
      </c>
    </row>
    <row r="63" spans="1:7" x14ac:dyDescent="0.25">
      <c r="A63" s="7" t="s">
        <v>76</v>
      </c>
      <c r="B63" s="5">
        <f>$B$18/(B12*3)</f>
        <v>177276.50720382345</v>
      </c>
      <c r="C63" s="5">
        <f>C18/(C12*3)</f>
        <v>164022.75620169649</v>
      </c>
      <c r="D63" s="5">
        <f t="shared" si="8"/>
        <v>69051.515037593985</v>
      </c>
      <c r="E63" s="5">
        <f t="shared" si="8"/>
        <v>222040.21565137812</v>
      </c>
      <c r="F63" s="32" t="e">
        <f>$F$18/(F12*3)</f>
        <v>#DIV/0!</v>
      </c>
      <c r="G63" s="11"/>
    </row>
    <row r="64" spans="1:7" x14ac:dyDescent="0.25">
      <c r="A64" s="7" t="s">
        <v>30</v>
      </c>
      <c r="B64" s="14">
        <f>(B62/B63)*B46</f>
        <v>96.479754932554513</v>
      </c>
      <c r="C64" s="14">
        <f>(C62/C63)*C46</f>
        <v>91.89443317869457</v>
      </c>
      <c r="D64" s="14">
        <f>(D62/D63)*D46</f>
        <v>87.887619436085131</v>
      </c>
      <c r="E64" s="14">
        <f>E62/E63*E46</f>
        <v>103.00094895793254</v>
      </c>
      <c r="F64" s="14" t="e">
        <f>(F62/F63)*F46</f>
        <v>#DIV/0!</v>
      </c>
      <c r="G64" s="11"/>
    </row>
    <row r="65" spans="1:7" x14ac:dyDescent="0.25">
      <c r="A65" s="7" t="s">
        <v>77</v>
      </c>
      <c r="B65" s="14">
        <f>B17/B11</f>
        <v>505753.25075075077</v>
      </c>
      <c r="C65" s="14">
        <f t="shared" ref="C65:E66" si="9">C17/C11</f>
        <v>461736</v>
      </c>
      <c r="D65" s="14">
        <f t="shared" si="9"/>
        <v>184692</v>
      </c>
      <c r="E65" s="14">
        <f t="shared" si="9"/>
        <v>656459.45207774802</v>
      </c>
      <c r="F65" s="14"/>
      <c r="G65" s="11"/>
    </row>
    <row r="66" spans="1:7" x14ac:dyDescent="0.25">
      <c r="A66" s="7" t="s">
        <v>78</v>
      </c>
      <c r="B66" s="14">
        <f>B18/B12</f>
        <v>531829.52161147038</v>
      </c>
      <c r="C66" s="14">
        <f t="shared" si="9"/>
        <v>492068.26860508957</v>
      </c>
      <c r="D66" s="14">
        <f t="shared" si="9"/>
        <v>207154.54511278195</v>
      </c>
      <c r="E66" s="14">
        <f t="shared" si="9"/>
        <v>666120.64695413434</v>
      </c>
      <c r="F66" s="14"/>
      <c r="G66" s="11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101.10403438795194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102.86820192963444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113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90" zoomScaleNormal="90" workbookViewId="0">
      <pane xSplit="1" ySplit="5" topLeftCell="B78" activePane="bottomRight" state="frozen"/>
      <selection activeCell="D40" sqref="D40"/>
      <selection pane="topRight" activeCell="D40" sqref="D40"/>
      <selection pane="bottomLeft" activeCell="D40" sqref="D40"/>
      <selection pane="bottomRight" activeCell="G49" sqref="G49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35" t="s">
        <v>114</v>
      </c>
      <c r="B2" s="35"/>
      <c r="C2" s="35"/>
      <c r="D2" s="35"/>
      <c r="E2" s="35"/>
    </row>
    <row r="4" spans="1:8" x14ac:dyDescent="0.25">
      <c r="A4" s="36" t="s">
        <v>0</v>
      </c>
      <c r="B4" s="19" t="s">
        <v>34</v>
      </c>
      <c r="C4" s="40" t="s">
        <v>2</v>
      </c>
      <c r="D4" s="40"/>
      <c r="E4" s="40"/>
      <c r="F4" s="40"/>
    </row>
    <row r="5" spans="1:8" ht="15.75" thickBot="1" x14ac:dyDescent="0.3">
      <c r="A5" s="37"/>
      <c r="B5" s="1" t="s">
        <v>35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</row>
    <row r="10" spans="1:8" x14ac:dyDescent="0.25">
      <c r="A10" s="4" t="s">
        <v>63</v>
      </c>
      <c r="B10" s="32">
        <f>SUM(C10:F10)</f>
        <v>3905</v>
      </c>
      <c r="C10" s="5">
        <f>(+'I Trimestre'!C10+'II Trimestre'!C10)/2</f>
        <v>1665.5</v>
      </c>
      <c r="D10" s="5">
        <f>(+'I Trimestre'!D10+'II Trimestre'!D10)/2</f>
        <v>918</v>
      </c>
      <c r="E10" s="5">
        <f>(+'I Trimestre'!E10+'II Trimestre'!E10)/2</f>
        <v>1321.5</v>
      </c>
      <c r="F10" s="5">
        <f>+'I Trimestre'!F10+'II Trimestre'!F10/2</f>
        <v>0</v>
      </c>
      <c r="G10" s="3"/>
      <c r="H10" s="11"/>
    </row>
    <row r="11" spans="1:8" x14ac:dyDescent="0.25">
      <c r="A11" s="6" t="s">
        <v>115</v>
      </c>
      <c r="B11" s="32">
        <f t="shared" ref="B11:B12" si="0">SUM(C11:F11)</f>
        <v>5491</v>
      </c>
      <c r="C11" s="5">
        <f>(+'I Trimestre'!C11+'II Trimestre'!C11)/2</f>
        <v>1766</v>
      </c>
      <c r="D11" s="5">
        <f>(+'I Trimestre'!D11+'II Trimestre'!D11)/2</f>
        <v>1145</v>
      </c>
      <c r="E11" s="5">
        <f>(+'I Trimestre'!E11+'II Trimestre'!E11)/2</f>
        <v>2580</v>
      </c>
      <c r="F11" s="5">
        <f>+'I Trimestre'!F11+'II Trimestre'!F11/2</f>
        <v>0</v>
      </c>
      <c r="G11" s="20"/>
      <c r="H11" s="11"/>
    </row>
    <row r="12" spans="1:8" x14ac:dyDescent="0.25">
      <c r="A12" s="6" t="s">
        <v>116</v>
      </c>
      <c r="B12" s="32">
        <f t="shared" si="0"/>
        <v>5083.6666666666661</v>
      </c>
      <c r="C12" s="5">
        <f>(+'I Trimestre'!C12+'II Trimestre'!C12)/2</f>
        <v>1660.1666666666665</v>
      </c>
      <c r="D12" s="5">
        <f>(+'I Trimestre'!D12+'II Trimestre'!D12)/2</f>
        <v>982.83333333333337</v>
      </c>
      <c r="E12" s="5">
        <f>(+'I Trimestre'!E12+'II Trimestre'!E12)/2</f>
        <v>2440.6666666666665</v>
      </c>
      <c r="F12" s="5">
        <f>+'I Trimestre'!F12+'II Trimestre'!F12/2</f>
        <v>0</v>
      </c>
      <c r="H12" s="11"/>
    </row>
    <row r="13" spans="1:8" x14ac:dyDescent="0.25">
      <c r="A13" s="6" t="s">
        <v>84</v>
      </c>
      <c r="B13" s="5">
        <f>SUM(C13:E13)</f>
        <v>5491</v>
      </c>
      <c r="C13" s="5">
        <f>+'II Trimestre'!C13</f>
        <v>1766</v>
      </c>
      <c r="D13" s="5">
        <f>+'II Trimestre'!D13</f>
        <v>1145</v>
      </c>
      <c r="E13" s="5">
        <f>+'II Trimestre'!E13</f>
        <v>2580</v>
      </c>
      <c r="F13" s="5">
        <f>+'II Trimestre'!F13</f>
        <v>0</v>
      </c>
      <c r="G13" s="20"/>
    </row>
    <row r="14" spans="1:8" x14ac:dyDescent="0.25">
      <c r="F14" s="7"/>
      <c r="G14" s="20"/>
    </row>
    <row r="15" spans="1:8" x14ac:dyDescent="0.25">
      <c r="A15" s="8" t="s">
        <v>6</v>
      </c>
      <c r="F15" s="7"/>
      <c r="G15" s="21"/>
    </row>
    <row r="16" spans="1:8" x14ac:dyDescent="0.25">
      <c r="A16" s="4" t="s">
        <v>63</v>
      </c>
      <c r="B16" s="32">
        <f>SUM(C16:F16)</f>
        <v>3139879361</v>
      </c>
      <c r="C16" s="5">
        <f>+'I Trimestre'!C16+'II Trimestre'!C16</f>
        <v>1218805676</v>
      </c>
      <c r="D16" s="5">
        <f>+'I Trimestre'!D16+'II Trimestre'!D16</f>
        <v>268894290</v>
      </c>
      <c r="E16" s="5">
        <f>+'I Trimestre'!E16+'II Trimestre'!E16</f>
        <v>1652179395</v>
      </c>
      <c r="F16" s="5">
        <f>+'I Trimestre'!F16+'II Trimestre'!F16</f>
        <v>0</v>
      </c>
      <c r="H16" s="11"/>
    </row>
    <row r="17" spans="1:7" x14ac:dyDescent="0.25">
      <c r="A17" s="6" t="s">
        <v>115</v>
      </c>
      <c r="B17" s="32">
        <f>SUM(C17:F17)</f>
        <v>5441296242</v>
      </c>
      <c r="C17" s="5">
        <f>+'I Trimestre'!C17+'II Trimestre'!C17</f>
        <v>1630851552</v>
      </c>
      <c r="D17" s="5">
        <f>+'I Trimestre'!D17+'II Trimestre'!D17</f>
        <v>422944680</v>
      </c>
      <c r="E17" s="5">
        <f>+'I Trimestre'!E17+'II Trimestre'!E17</f>
        <v>3387500010</v>
      </c>
      <c r="F17" s="5">
        <f>+'I Trimestre'!F17+'II Trimestre'!F17</f>
        <v>0</v>
      </c>
      <c r="G17" s="20"/>
    </row>
    <row r="18" spans="1:7" x14ac:dyDescent="0.25">
      <c r="A18" s="6" t="s">
        <v>116</v>
      </c>
      <c r="B18" s="31">
        <f>SUM(C18:F18)</f>
        <v>5099316590</v>
      </c>
      <c r="C18" s="5">
        <f>+'I Trimestre'!C18+'II Trimestre'!C18</f>
        <v>1533117432</v>
      </c>
      <c r="D18" s="5">
        <f>+'I Trimestre'!D18+'II Trimestre'!D18</f>
        <v>363042908</v>
      </c>
      <c r="E18" s="5">
        <f>+'I Trimestre'!E18+'II Trimestre'!E18</f>
        <v>3203156250</v>
      </c>
      <c r="F18" s="5">
        <f>+'I Trimestre'!F18+'II Trimestre'!F18</f>
        <v>0</v>
      </c>
    </row>
    <row r="19" spans="1:7" x14ac:dyDescent="0.25">
      <c r="A19" s="6" t="s">
        <v>84</v>
      </c>
      <c r="B19" s="3">
        <f>SUM(C19:F19)</f>
        <v>10882592484</v>
      </c>
      <c r="C19" s="5">
        <f>+'II Trimestre'!C19</f>
        <v>3261703104</v>
      </c>
      <c r="D19" s="5">
        <f>+'II Trimestre'!D19</f>
        <v>845889360</v>
      </c>
      <c r="E19" s="5">
        <f>+'II Trimestre'!E19</f>
        <v>6775000020</v>
      </c>
      <c r="F19" s="5">
        <f>+'II Trimestre'!F19</f>
        <v>0</v>
      </c>
    </row>
    <row r="20" spans="1:7" x14ac:dyDescent="0.25">
      <c r="A20" s="6" t="s">
        <v>117</v>
      </c>
      <c r="B20" s="5">
        <f>SUM(C20:E20)</f>
        <v>5099316590</v>
      </c>
      <c r="C20" s="5">
        <f>+C18</f>
        <v>1533117432</v>
      </c>
      <c r="D20" s="5">
        <f t="shared" ref="D20:E20" si="1">+D18</f>
        <v>363042908</v>
      </c>
      <c r="E20" s="5">
        <f t="shared" si="1"/>
        <v>3203156250</v>
      </c>
      <c r="F20" s="5"/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115</v>
      </c>
      <c r="B23" s="5">
        <f>B17</f>
        <v>5441296242</v>
      </c>
      <c r="C23" s="5"/>
      <c r="D23" s="5"/>
      <c r="E23" s="5"/>
      <c r="F23" s="5"/>
      <c r="G23" s="11"/>
    </row>
    <row r="24" spans="1:7" x14ac:dyDescent="0.25">
      <c r="A24" s="4" t="s">
        <v>116</v>
      </c>
      <c r="B24" s="5">
        <f>'I Trimestre'!B24+'II Trimestre'!B24</f>
        <v>6258633980.6500006</v>
      </c>
      <c r="C24" s="41"/>
      <c r="D24" s="41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64</v>
      </c>
      <c r="B27" s="18">
        <v>1.61</v>
      </c>
      <c r="C27" s="18">
        <v>1.61</v>
      </c>
      <c r="D27" s="18">
        <v>1.61</v>
      </c>
      <c r="E27" s="18">
        <v>1.61</v>
      </c>
      <c r="F27" s="18"/>
    </row>
    <row r="28" spans="1:7" x14ac:dyDescent="0.25">
      <c r="A28" s="4" t="s">
        <v>118</v>
      </c>
      <c r="B28" s="18">
        <v>1.67</v>
      </c>
      <c r="C28" s="18">
        <v>1.67</v>
      </c>
      <c r="D28" s="18">
        <v>1.67</v>
      </c>
      <c r="E28" s="18">
        <v>1.67</v>
      </c>
      <c r="F28" s="18"/>
    </row>
    <row r="29" spans="1:7" x14ac:dyDescent="0.25">
      <c r="A29" s="4" t="s">
        <v>9</v>
      </c>
      <c r="B29" s="5">
        <v>118571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65</v>
      </c>
      <c r="B32" s="5">
        <f>B16/B27</f>
        <v>1950235627.9503105</v>
      </c>
      <c r="C32" s="5">
        <f>C16/C27</f>
        <v>757022159.00621116</v>
      </c>
      <c r="D32" s="5">
        <f>D16/D27</f>
        <v>167015086.95652172</v>
      </c>
      <c r="E32" s="5">
        <f>E16/E27</f>
        <v>1026198381.9875776</v>
      </c>
      <c r="F32" s="5" t="e">
        <f>F16/F27</f>
        <v>#DIV/0!</v>
      </c>
    </row>
    <row r="33" spans="1:8" x14ac:dyDescent="0.25">
      <c r="A33" s="7" t="s">
        <v>119</v>
      </c>
      <c r="B33" s="5">
        <f>B18/B28</f>
        <v>3053482988.023952</v>
      </c>
      <c r="C33" s="5">
        <f>C18/C28</f>
        <v>918034390.41916168</v>
      </c>
      <c r="D33" s="5">
        <f>D18/D28</f>
        <v>217390962.87425151</v>
      </c>
      <c r="E33" s="5">
        <f>E18/E28</f>
        <v>1918057634.7305391</v>
      </c>
      <c r="F33" s="5" t="e">
        <f>F18/F28</f>
        <v>#DIV/0!</v>
      </c>
    </row>
    <row r="34" spans="1:8" x14ac:dyDescent="0.25">
      <c r="A34" s="7" t="s">
        <v>66</v>
      </c>
      <c r="B34" s="32">
        <f>$B$32/(B10)</f>
        <v>499420.13519854302</v>
      </c>
      <c r="C34" s="32">
        <f>C32/(C10)</f>
        <v>454531.46743092837</v>
      </c>
      <c r="D34" s="32">
        <f>D32/(D10)</f>
        <v>181933.64592213696</v>
      </c>
      <c r="E34" s="32">
        <f>E32/(E10)</f>
        <v>776540.58417523839</v>
      </c>
      <c r="F34" s="32"/>
      <c r="H34" s="11"/>
    </row>
    <row r="35" spans="1:8" x14ac:dyDescent="0.25">
      <c r="A35" s="7" t="s">
        <v>120</v>
      </c>
      <c r="B35" s="32">
        <f>$B$33/(B12)</f>
        <v>600645.79136265535</v>
      </c>
      <c r="C35" s="32">
        <f>C33/(C12)</f>
        <v>552977.2455089821</v>
      </c>
      <c r="D35" s="32">
        <f t="shared" ref="D35:F35" si="2">D33/(D12)</f>
        <v>221188.02395209583</v>
      </c>
      <c r="E35" s="32">
        <f t="shared" si="2"/>
        <v>785874.47475984949</v>
      </c>
      <c r="F35" s="32" t="e">
        <f t="shared" si="2"/>
        <v>#DIV/0!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F37" s="7"/>
    </row>
    <row r="38" spans="1:8" x14ac:dyDescent="0.25">
      <c r="F38" s="7"/>
    </row>
    <row r="39" spans="1:8" x14ac:dyDescent="0.25">
      <c r="A39" t="s">
        <v>12</v>
      </c>
      <c r="F39" s="7"/>
    </row>
    <row r="40" spans="1:8" x14ac:dyDescent="0.25">
      <c r="A40" t="s">
        <v>13</v>
      </c>
      <c r="B40" s="14">
        <f>(B11/(B29))*100</f>
        <v>4.6309805939057611</v>
      </c>
      <c r="C40" s="14"/>
      <c r="D40" s="14"/>
      <c r="E40" s="14"/>
      <c r="F40" s="14"/>
    </row>
    <row r="41" spans="1:8" x14ac:dyDescent="0.25">
      <c r="A41" t="s">
        <v>14</v>
      </c>
      <c r="B41" s="14">
        <f>(B12/(B29))*100</f>
        <v>4.2874452156654375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92.581800522066402</v>
      </c>
      <c r="C44" s="14">
        <f>C12/C11*100</f>
        <v>94.007172517931281</v>
      </c>
      <c r="D44" s="14">
        <f>D12/D11*100</f>
        <v>85.836972343522561</v>
      </c>
      <c r="E44" s="14">
        <f>E12/E11*100</f>
        <v>94.599483204134359</v>
      </c>
      <c r="F44" s="14" t="e">
        <f>F12/F11*100</f>
        <v>#DIV/0!</v>
      </c>
    </row>
    <row r="45" spans="1:8" x14ac:dyDescent="0.25">
      <c r="A45" t="s">
        <v>17</v>
      </c>
      <c r="B45" s="14">
        <f>B18/B17*100</f>
        <v>93.715106901176497</v>
      </c>
      <c r="C45" s="14">
        <f>C18/C17*100</f>
        <v>94.007172517931295</v>
      </c>
      <c r="D45" s="14">
        <f>D18/D17*100</f>
        <v>85.836972343522561</v>
      </c>
      <c r="E45" s="14">
        <f>E18/E17*100</f>
        <v>94.558117802042446</v>
      </c>
      <c r="F45" s="14" t="e">
        <f>F18/F17*100</f>
        <v>#DIV/0!</v>
      </c>
    </row>
    <row r="46" spans="1:8" x14ac:dyDescent="0.25">
      <c r="A46" s="7" t="s">
        <v>18</v>
      </c>
      <c r="B46" s="14">
        <f>AVERAGE(B44:B45)</f>
        <v>93.148453711621443</v>
      </c>
      <c r="C46" s="14">
        <f>AVERAGE(C44:C45)</f>
        <v>94.007172517931281</v>
      </c>
      <c r="D46" s="14">
        <f>AVERAGE(D44:D45)</f>
        <v>85.836972343522561</v>
      </c>
      <c r="E46" s="14">
        <f>AVERAGE(E44:E45)</f>
        <v>94.578800503088402</v>
      </c>
      <c r="F46" s="14" t="e">
        <f>AVERAGE(F44:F45)</f>
        <v>#DIV/0!</v>
      </c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92.581800522066402</v>
      </c>
      <c r="C49" s="33">
        <f t="shared" ref="C49:F49" si="3">(C12/C13)*100</f>
        <v>94.007172517931281</v>
      </c>
      <c r="D49" s="33">
        <f t="shared" si="3"/>
        <v>85.836972343522561</v>
      </c>
      <c r="E49" s="33">
        <f t="shared" si="3"/>
        <v>94.599483204134359</v>
      </c>
      <c r="F49" s="33" t="e">
        <f t="shared" si="3"/>
        <v>#DIV/0!</v>
      </c>
      <c r="G49" s="11"/>
    </row>
    <row r="50" spans="1:7" x14ac:dyDescent="0.25">
      <c r="A50" s="7" t="s">
        <v>21</v>
      </c>
      <c r="B50" s="14">
        <f>B18/B19*100</f>
        <v>46.857553450588249</v>
      </c>
      <c r="C50" s="14">
        <f>C18/C19*100</f>
        <v>47.003586258965647</v>
      </c>
      <c r="D50" s="14">
        <f>D18/D19*100</f>
        <v>42.91848617176128</v>
      </c>
      <c r="E50" s="14">
        <f>E18/E19*100</f>
        <v>47.279058901021223</v>
      </c>
      <c r="F50" s="14" t="e">
        <f>F18/F19*100</f>
        <v>#DIV/0!</v>
      </c>
    </row>
    <row r="51" spans="1:7" x14ac:dyDescent="0.25">
      <c r="A51" s="7" t="s">
        <v>22</v>
      </c>
      <c r="B51" s="14">
        <f>(B49+B50)/2</f>
        <v>69.719676986327329</v>
      </c>
      <c r="C51" s="14">
        <f>(C49+C50)/2</f>
        <v>70.505379388448461</v>
      </c>
      <c r="D51" s="14">
        <f>(D49+D50)/2</f>
        <v>64.377729257641917</v>
      </c>
      <c r="E51" s="14">
        <f>(E49+E50)/2</f>
        <v>70.939271052577794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30.183525394792987</v>
      </c>
      <c r="C57" s="14">
        <f>((C12/C10)-1)*100</f>
        <v>-0.32022415690984296</v>
      </c>
      <c r="D57" s="14">
        <f>((D12/D10)-1)*100</f>
        <v>7.0624546114742337</v>
      </c>
      <c r="E57" s="14">
        <f>((E12/E10)-1)*100</f>
        <v>84.689115903644833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56.569952074619302</v>
      </c>
      <c r="C58" s="14">
        <f>((C33/C32)-1)*100</f>
        <v>21.269156985354432</v>
      </c>
      <c r="D58" s="14">
        <f>((D33/D32)-1)*100</f>
        <v>30.162470250872552</v>
      </c>
      <c r="E58" s="14">
        <f>((E33/E32)-1)*100</f>
        <v>86.909048815257023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20.268637371593034</v>
      </c>
      <c r="C59" s="14">
        <f>((C35/C34)-1)*100</f>
        <v>21.658737652308702</v>
      </c>
      <c r="D59" s="14">
        <f>((D35/D34)-1)*100</f>
        <v>21.57620589143734</v>
      </c>
      <c r="E59" s="14">
        <f>((E35/E34)-1)*100</f>
        <v>1.2019836148711605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5">
        <f>B17/(B11*6)</f>
        <v>165158.02349298852</v>
      </c>
      <c r="C62" s="5">
        <f t="shared" ref="C62:F62" si="4">C17/(C11*6)</f>
        <v>153912</v>
      </c>
      <c r="D62" s="5">
        <f t="shared" si="4"/>
        <v>61564</v>
      </c>
      <c r="E62" s="5">
        <f t="shared" si="4"/>
        <v>218830.75</v>
      </c>
      <c r="F62" s="5" t="e">
        <f t="shared" si="4"/>
        <v>#DIV/0!</v>
      </c>
    </row>
    <row r="63" spans="1:7" x14ac:dyDescent="0.25">
      <c r="A63" s="7" t="s">
        <v>76</v>
      </c>
      <c r="B63" s="5">
        <f>B18/(B12*6)</f>
        <v>167179.74526260575</v>
      </c>
      <c r="C63" s="5">
        <f t="shared" ref="C63:F63" si="5">C18/(C12*6)</f>
        <v>153912</v>
      </c>
      <c r="D63" s="5">
        <f t="shared" si="5"/>
        <v>61564</v>
      </c>
      <c r="E63" s="5">
        <f t="shared" si="5"/>
        <v>218735.06214149139</v>
      </c>
      <c r="F63" s="5" t="e">
        <f t="shared" si="5"/>
        <v>#DIV/0!</v>
      </c>
    </row>
    <row r="64" spans="1:7" x14ac:dyDescent="0.25">
      <c r="A64" s="7" t="s">
        <v>30</v>
      </c>
      <c r="B64" s="14">
        <f>(B62/B63)*B46</f>
        <v>92.021999927527233</v>
      </c>
      <c r="C64" s="14">
        <f>(C62/C63)*C46</f>
        <v>94.007172517931281</v>
      </c>
      <c r="D64" s="14">
        <f>(D62/D63)*D46</f>
        <v>85.836972343522561</v>
      </c>
      <c r="E64" s="14">
        <f>E62/E63*E46</f>
        <v>94.62017495303644</v>
      </c>
      <c r="F64" s="14" t="e">
        <f>(F62/F63)*F46</f>
        <v>#DIV/0!</v>
      </c>
    </row>
    <row r="65" spans="1:7" x14ac:dyDescent="0.25">
      <c r="A65" s="7" t="s">
        <v>77</v>
      </c>
      <c r="B65" s="27">
        <f>B17/B11</f>
        <v>990948.14095793117</v>
      </c>
      <c r="C65" s="27">
        <f t="shared" ref="C65:E66" si="6">C17/C11</f>
        <v>923472</v>
      </c>
      <c r="D65" s="27">
        <f t="shared" si="6"/>
        <v>369384</v>
      </c>
      <c r="E65" s="27">
        <f t="shared" si="6"/>
        <v>1312984.5</v>
      </c>
      <c r="F65" s="14"/>
    </row>
    <row r="66" spans="1:7" x14ac:dyDescent="0.25">
      <c r="A66" s="7" t="s">
        <v>78</v>
      </c>
      <c r="B66" s="27">
        <f>B18/B12</f>
        <v>1003078.4715756346</v>
      </c>
      <c r="C66" s="27">
        <f t="shared" si="6"/>
        <v>923472.00000000012</v>
      </c>
      <c r="D66" s="27">
        <f t="shared" si="6"/>
        <v>369384</v>
      </c>
      <c r="E66" s="27">
        <f t="shared" si="6"/>
        <v>1312410.3728489485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115.02101158068139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81.476510781197703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workbookViewId="0">
      <pane xSplit="1" ySplit="5" topLeftCell="B66" activePane="bottomRight" state="frozen"/>
      <selection activeCell="D40" sqref="D40"/>
      <selection pane="topRight" activeCell="D40" sqref="D40"/>
      <selection pane="bottomLeft" activeCell="D40" sqref="D40"/>
      <selection pane="bottomRight" activeCell="G49" sqref="G49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35" t="s">
        <v>121</v>
      </c>
      <c r="B2" s="35"/>
      <c r="C2" s="35"/>
      <c r="D2" s="35"/>
      <c r="E2" s="35"/>
    </row>
    <row r="4" spans="1:8" x14ac:dyDescent="0.25">
      <c r="A4" s="36" t="s">
        <v>0</v>
      </c>
      <c r="B4" s="19" t="s">
        <v>34</v>
      </c>
      <c r="C4" s="40" t="s">
        <v>2</v>
      </c>
      <c r="D4" s="40"/>
      <c r="E4" s="40"/>
      <c r="F4" s="40"/>
    </row>
    <row r="5" spans="1:8" ht="15.75" thickBot="1" x14ac:dyDescent="0.3">
      <c r="A5" s="37"/>
      <c r="B5" s="1" t="s">
        <v>35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</row>
    <row r="10" spans="1:8" x14ac:dyDescent="0.25">
      <c r="A10" s="4" t="s">
        <v>67</v>
      </c>
      <c r="B10" s="32">
        <f>SUM(C10:F10)</f>
        <v>4141</v>
      </c>
      <c r="C10" s="5">
        <f>(+'I Trimestre'!C10+'II Trimestre'!C10+'III Trimestre'!C10)/3</f>
        <v>1704.6666666666667</v>
      </c>
      <c r="D10" s="5">
        <f>(+'I Trimestre'!D10+'II Trimestre'!D10+'III Trimestre'!D10)/3</f>
        <v>932.66666666666663</v>
      </c>
      <c r="E10" s="5">
        <f>(+'I Trimestre'!E10+'II Trimestre'!E10+'III Trimestre'!E10)/3</f>
        <v>1503.6666666666667</v>
      </c>
      <c r="F10" s="5">
        <f>+'I Trimestre'!F10+'II Trimestre'!F10+'III Trimestre'!F10/3</f>
        <v>0</v>
      </c>
      <c r="G10" s="3"/>
      <c r="H10" s="11"/>
    </row>
    <row r="11" spans="1:8" x14ac:dyDescent="0.25">
      <c r="A11" s="6" t="s">
        <v>122</v>
      </c>
      <c r="B11" s="32">
        <f t="shared" ref="B11:B13" si="0">SUM(C11:F11)</f>
        <v>5536</v>
      </c>
      <c r="C11" s="5">
        <f>(+'I Trimestre'!C11+'II Trimestre'!C11+'III Trimestre'!C11)/3</f>
        <v>1766</v>
      </c>
      <c r="D11" s="5">
        <f>(+'I Trimestre'!D11+'II Trimestre'!D11+'III Trimestre'!D11)/3</f>
        <v>1145</v>
      </c>
      <c r="E11" s="5">
        <f>(+'I Trimestre'!E11+'II Trimestre'!E11+'III Trimestre'!E11)/3</f>
        <v>2625</v>
      </c>
      <c r="F11" s="5">
        <f>+'I Trimestre'!F11+'II Trimestre'!F11+'III Trimestre'!F11/3</f>
        <v>0</v>
      </c>
      <c r="G11" s="20"/>
      <c r="H11" s="11"/>
    </row>
    <row r="12" spans="1:8" x14ac:dyDescent="0.25">
      <c r="A12" s="6" t="s">
        <v>123</v>
      </c>
      <c r="B12" s="32">
        <f t="shared" si="0"/>
        <v>5184.6666666666661</v>
      </c>
      <c r="C12" s="5">
        <f>(+'I Trimestre'!C12+'II Trimestre'!C12+'III Trimestre'!C12)/3</f>
        <v>1657.6666666666667</v>
      </c>
      <c r="D12" s="5">
        <f>(+'I Trimestre'!D12+'II Trimestre'!D12+'III Trimestre'!D12)/3</f>
        <v>991.44444444444446</v>
      </c>
      <c r="E12" s="5">
        <f>(+'I Trimestre'!E12+'II Trimestre'!E12+'III Trimestre'!E12)/3</f>
        <v>2535.5555555555552</v>
      </c>
      <c r="F12" s="5">
        <f>+'I Trimestre'!F12+'II Trimestre'!F12+'III Trimestre'!F12/3</f>
        <v>0</v>
      </c>
      <c r="H12" s="11"/>
    </row>
    <row r="13" spans="1:8" x14ac:dyDescent="0.25">
      <c r="A13" s="6" t="s">
        <v>84</v>
      </c>
      <c r="B13" s="32">
        <f t="shared" si="0"/>
        <v>5575</v>
      </c>
      <c r="C13" s="5">
        <f>+'III Trimestre'!C13</f>
        <v>1766</v>
      </c>
      <c r="D13" s="5">
        <f>+'III Trimestre'!D13</f>
        <v>1145</v>
      </c>
      <c r="E13" s="5">
        <f>+'III Trimestre'!E13</f>
        <v>2664</v>
      </c>
      <c r="F13" s="5">
        <f>+'III Trimestre'!F13</f>
        <v>0</v>
      </c>
      <c r="G13" s="20"/>
      <c r="H13" s="11"/>
    </row>
    <row r="14" spans="1:8" x14ac:dyDescent="0.25">
      <c r="B14" s="34"/>
      <c r="F14" s="7"/>
      <c r="G14" s="20"/>
    </row>
    <row r="15" spans="1:8" x14ac:dyDescent="0.25">
      <c r="A15" s="8" t="s">
        <v>6</v>
      </c>
      <c r="B15" s="34"/>
      <c r="F15" s="7"/>
      <c r="G15" s="21"/>
    </row>
    <row r="16" spans="1:8" x14ac:dyDescent="0.25">
      <c r="A16" s="4" t="s">
        <v>67</v>
      </c>
      <c r="B16" s="32">
        <f>SUM(C16:F16)</f>
        <v>5100355247</v>
      </c>
      <c r="C16" s="5">
        <f>+'I Trimestre'!C16+'II Trimestre'!C16+'III Trimestre'!C16</f>
        <v>1871650126</v>
      </c>
      <c r="D16" s="5">
        <f>+'I Trimestre'!D16+'II Trimestre'!D16+'III Trimestre'!D16</f>
        <v>409320660</v>
      </c>
      <c r="E16" s="5">
        <f>+'I Trimestre'!E16+'II Trimestre'!E16+'III Trimestre'!E16</f>
        <v>2819384461</v>
      </c>
      <c r="F16" s="5">
        <f>+'I Trimestre'!F16+'II Trimestre'!F16+'III Trimestre'!F16</f>
        <v>0</v>
      </c>
      <c r="H16" s="11"/>
    </row>
    <row r="17" spans="1:7" x14ac:dyDescent="0.25">
      <c r="A17" s="6" t="s">
        <v>122</v>
      </c>
      <c r="B17" s="32">
        <f>SUM(C17:F17)</f>
        <v>8250756863</v>
      </c>
      <c r="C17" s="5">
        <f>+'I Trimestre'!C17+'II Trimestre'!C17+'III Trimestre'!C17</f>
        <v>2446277328</v>
      </c>
      <c r="D17" s="5">
        <f>+'I Trimestre'!D17+'II Trimestre'!D17+'III Trimestre'!D17</f>
        <v>634417020</v>
      </c>
      <c r="E17" s="5">
        <f>+'I Trimestre'!E17+'II Trimestre'!E17+'III Trimestre'!E17</f>
        <v>5170062515</v>
      </c>
      <c r="F17" s="5">
        <f>+'I Trimestre'!F17+'II Trimestre'!F17+'III Trimestre'!F17</f>
        <v>0</v>
      </c>
      <c r="G17" s="20"/>
    </row>
    <row r="18" spans="1:7" x14ac:dyDescent="0.25">
      <c r="A18" s="6" t="s">
        <v>123</v>
      </c>
      <c r="B18" s="31">
        <f>SUM(C18:F18)</f>
        <v>7849273786</v>
      </c>
      <c r="C18" s="5">
        <f>+'I Trimestre'!C18+'II Trimestre'!C18+'III Trimestre'!C18</f>
        <v>2296218528</v>
      </c>
      <c r="D18" s="5">
        <f>+'I Trimestre'!D18+'II Trimestre'!D18+'III Trimestre'!D18</f>
        <v>549274008</v>
      </c>
      <c r="E18" s="5">
        <f>+'I Trimestre'!E18+'II Trimestre'!E18+'III Trimestre'!E18</f>
        <v>5003781250</v>
      </c>
      <c r="F18" s="5">
        <f>+'I Trimestre'!F18+'II Trimestre'!F18+'III Trimestre'!F18</f>
        <v>0</v>
      </c>
    </row>
    <row r="19" spans="1:7" x14ac:dyDescent="0.25">
      <c r="A19" s="6" t="s">
        <v>84</v>
      </c>
      <c r="B19" s="3">
        <f>SUM(C19:F19)</f>
        <v>11104623734</v>
      </c>
      <c r="C19" s="5">
        <f>+'III Trimestre'!C19</f>
        <v>3261703104</v>
      </c>
      <c r="D19" s="5">
        <f>+'III Trimestre'!D19</f>
        <v>845889360</v>
      </c>
      <c r="E19" s="5">
        <f>+'III Trimestre'!E19</f>
        <v>6997031270</v>
      </c>
      <c r="F19" s="5">
        <f>+'III Trimestre'!F19</f>
        <v>0</v>
      </c>
    </row>
    <row r="20" spans="1:7" x14ac:dyDescent="0.25">
      <c r="A20" s="6" t="s">
        <v>124</v>
      </c>
      <c r="B20" s="5">
        <f>SUM(C20:E20)</f>
        <v>7849273786</v>
      </c>
      <c r="C20" s="5">
        <f>+C18</f>
        <v>2296218528</v>
      </c>
      <c r="D20" s="5">
        <f t="shared" ref="D20:F20" si="1">+D18</f>
        <v>549274008</v>
      </c>
      <c r="E20" s="5">
        <f t="shared" si="1"/>
        <v>5003781250</v>
      </c>
      <c r="F20" s="5">
        <f t="shared" si="1"/>
        <v>0</v>
      </c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122</v>
      </c>
      <c r="B23" s="5">
        <f>B17</f>
        <v>8250756863</v>
      </c>
      <c r="C23" s="5"/>
      <c r="D23" s="5"/>
      <c r="E23" s="5"/>
      <c r="F23" s="5"/>
      <c r="G23" s="11"/>
    </row>
    <row r="24" spans="1:7" x14ac:dyDescent="0.25">
      <c r="A24" s="4" t="s">
        <v>123</v>
      </c>
      <c r="B24" s="5">
        <f>'I Trimestre'!B24+'II Trimestre'!B24+'III Trimestre'!B24</f>
        <v>8000695268.3100004</v>
      </c>
      <c r="C24" s="41"/>
      <c r="D24" s="41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68</v>
      </c>
      <c r="B27" s="18">
        <v>1.61</v>
      </c>
      <c r="C27" s="18">
        <v>1.61</v>
      </c>
      <c r="D27" s="18">
        <v>1.61</v>
      </c>
      <c r="E27" s="18">
        <v>1.61</v>
      </c>
      <c r="F27" s="18"/>
    </row>
    <row r="28" spans="1:7" x14ac:dyDescent="0.25">
      <c r="A28" s="4" t="s">
        <v>125</v>
      </c>
      <c r="B28" s="18">
        <v>1.68</v>
      </c>
      <c r="C28" s="18">
        <v>1.68</v>
      </c>
      <c r="D28" s="18">
        <v>1.68</v>
      </c>
      <c r="E28" s="18">
        <v>1.68</v>
      </c>
      <c r="F28" s="18"/>
    </row>
    <row r="29" spans="1:7" x14ac:dyDescent="0.25">
      <c r="A29" s="4" t="s">
        <v>9</v>
      </c>
      <c r="B29" s="5">
        <v>118571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69</v>
      </c>
      <c r="B32" s="5">
        <f>B16/B27</f>
        <v>3167922513.6645961</v>
      </c>
      <c r="C32" s="5">
        <f>C16/C27</f>
        <v>1162515606.21118</v>
      </c>
      <c r="D32" s="5">
        <f>D16/D27</f>
        <v>254236434.78260869</v>
      </c>
      <c r="E32" s="5">
        <f>E16/E27</f>
        <v>1751170472.6708074</v>
      </c>
      <c r="F32" s="5" t="e">
        <f>F16/F27</f>
        <v>#DIV/0!</v>
      </c>
    </row>
    <row r="33" spans="1:8" x14ac:dyDescent="0.25">
      <c r="A33" s="7" t="s">
        <v>126</v>
      </c>
      <c r="B33" s="5">
        <f>B18/B28</f>
        <v>4672186777.3809528</v>
      </c>
      <c r="C33" s="5">
        <f>C18/C28</f>
        <v>1366796742.8571429</v>
      </c>
      <c r="D33" s="5">
        <f>D18/D28</f>
        <v>326948814.28571427</v>
      </c>
      <c r="E33" s="5">
        <f>E18/E28</f>
        <v>2978441220.2380953</v>
      </c>
      <c r="F33" s="5" t="e">
        <f>F18/F28</f>
        <v>#DIV/0!</v>
      </c>
    </row>
    <row r="34" spans="1:8" x14ac:dyDescent="0.25">
      <c r="A34" s="7" t="s">
        <v>70</v>
      </c>
      <c r="B34" s="32">
        <f>$B$32/(B10)</f>
        <v>765013.88883472502</v>
      </c>
      <c r="C34" s="32">
        <f>C32/(C10)</f>
        <v>681960.66066357831</v>
      </c>
      <c r="D34" s="32">
        <f>D32/(D10)</f>
        <v>272590.88790129597</v>
      </c>
      <c r="E34" s="32">
        <f>E32/(E10)</f>
        <v>1164600.1813372693</v>
      </c>
      <c r="F34" s="32"/>
      <c r="H34" s="11"/>
    </row>
    <row r="35" spans="1:8" x14ac:dyDescent="0.25">
      <c r="A35" s="7" t="s">
        <v>127</v>
      </c>
      <c r="B35" s="32">
        <f>$B$33/(B12)</f>
        <v>901154.70825143764</v>
      </c>
      <c r="C35" s="32">
        <f>C33/(C12)</f>
        <v>824530.51047082816</v>
      </c>
      <c r="D35" s="32">
        <f>D33/(D12)</f>
        <v>329770.18139318936</v>
      </c>
      <c r="E35" s="32">
        <f>E33/(E12)</f>
        <v>1174670.0693314138</v>
      </c>
      <c r="F35" s="32" t="e">
        <f>F33/(F12)</f>
        <v>#DIV/0!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F37" s="7"/>
    </row>
    <row r="38" spans="1:8" x14ac:dyDescent="0.25">
      <c r="F38" s="7"/>
    </row>
    <row r="39" spans="1:8" x14ac:dyDescent="0.25">
      <c r="A39" t="s">
        <v>12</v>
      </c>
      <c r="F39" s="7"/>
    </row>
    <row r="40" spans="1:8" x14ac:dyDescent="0.25">
      <c r="A40" t="s">
        <v>13</v>
      </c>
      <c r="B40" s="14">
        <f>B11/B29*100</f>
        <v>4.6689325383103792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4.3726262464402481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93.653660886319841</v>
      </c>
      <c r="C44" s="14">
        <f>C12/C11*100</f>
        <v>93.865609664024163</v>
      </c>
      <c r="D44" s="14">
        <f>D12/D11*100</f>
        <v>86.589034449296449</v>
      </c>
      <c r="E44" s="14">
        <f>E12/E11*100</f>
        <v>96.592592592592581</v>
      </c>
      <c r="F44" s="14" t="e">
        <f>F12/F11*100</f>
        <v>#DIV/0!</v>
      </c>
    </row>
    <row r="45" spans="1:8" x14ac:dyDescent="0.25">
      <c r="A45" t="s">
        <v>17</v>
      </c>
      <c r="B45" s="14">
        <f>B18/B17*100</f>
        <v>95.133984873552322</v>
      </c>
      <c r="C45" s="14">
        <f>C18/C17*100</f>
        <v>93.865830407598011</v>
      </c>
      <c r="D45" s="14">
        <f>D18/D17*100</f>
        <v>86.579330422125182</v>
      </c>
      <c r="E45" s="14">
        <f>E18/E17*100</f>
        <v>96.783766840003096</v>
      </c>
      <c r="F45" s="14" t="e">
        <f>F18/F17*100</f>
        <v>#DIV/0!</v>
      </c>
    </row>
    <row r="46" spans="1:8" x14ac:dyDescent="0.25">
      <c r="A46" s="7" t="s">
        <v>18</v>
      </c>
      <c r="B46" s="14">
        <f>AVERAGE(B44:B45)</f>
        <v>94.393822879936081</v>
      </c>
      <c r="C46" s="14">
        <f>AVERAGE(C44:C45)</f>
        <v>93.86572003581108</v>
      </c>
      <c r="D46" s="14">
        <f>AVERAGE(D44:D45)</f>
        <v>86.584182435710815</v>
      </c>
      <c r="E46" s="14">
        <f>AVERAGE(E44:E45)</f>
        <v>96.688179716297839</v>
      </c>
      <c r="F46" s="14" t="e">
        <f>AVERAGE(F44:F45)</f>
        <v>#DIV/0!</v>
      </c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92.99850523168908</v>
      </c>
      <c r="C49" s="33">
        <f t="shared" ref="C49:F49" si="2">(C12/C13)*100</f>
        <v>93.865609664024163</v>
      </c>
      <c r="D49" s="33">
        <f t="shared" si="2"/>
        <v>86.589034449296449</v>
      </c>
      <c r="E49" s="33">
        <f t="shared" si="2"/>
        <v>95.178511845178505</v>
      </c>
      <c r="F49" s="33" t="e">
        <f t="shared" si="2"/>
        <v>#DIV/0!</v>
      </c>
      <c r="G49" s="11"/>
    </row>
    <row r="50" spans="1:7" x14ac:dyDescent="0.25">
      <c r="A50" s="7" t="s">
        <v>21</v>
      </c>
      <c r="B50" s="14">
        <f>B18/B19*100</f>
        <v>70.684734341490469</v>
      </c>
      <c r="C50" s="14">
        <f>C18/C19*100</f>
        <v>70.399372805698505</v>
      </c>
      <c r="D50" s="14">
        <f>D18/D19*100</f>
        <v>64.93449781659389</v>
      </c>
      <c r="E50" s="14">
        <f>E18/E19*100</f>
        <v>71.512918220815664</v>
      </c>
      <c r="F50" s="14" t="e">
        <f>F18/F19*100</f>
        <v>#DIV/0!</v>
      </c>
    </row>
    <row r="51" spans="1:7" x14ac:dyDescent="0.25">
      <c r="A51" s="7" t="s">
        <v>22</v>
      </c>
      <c r="B51" s="14">
        <f>(B49+B50)/2</f>
        <v>81.841619786589774</v>
      </c>
      <c r="C51" s="14">
        <f>(C49+C50)/2</f>
        <v>82.132491234861334</v>
      </c>
      <c r="D51" s="14">
        <f>(D49+D50)/2</f>
        <v>75.761766132945169</v>
      </c>
      <c r="E51" s="14">
        <f>(E49+E50)/2</f>
        <v>83.345715032997077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25.203252032520318</v>
      </c>
      <c r="C57" s="14">
        <f>((C12/C10)-1)*100</f>
        <v>-2.7571372702385633</v>
      </c>
      <c r="D57" s="14">
        <f>((D12/D10)-1)*100</f>
        <v>6.3021205623064125</v>
      </c>
      <c r="E57" s="14">
        <f>((E12/E10)-1)*100</f>
        <v>68.624842976427971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47.484250553093574</v>
      </c>
      <c r="C58" s="14">
        <f>((C33/C32)-1)*100</f>
        <v>17.572334990989667</v>
      </c>
      <c r="D58" s="14">
        <f>((D33/D32)-1)*100</f>
        <v>28.600298602078865</v>
      </c>
      <c r="E58" s="14">
        <f>((E33/E32)-1)*100</f>
        <v>70.082882661646821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17.795862454743585</v>
      </c>
      <c r="C59" s="14">
        <f>((C35/C34)-1)*100</f>
        <v>20.90587595896265</v>
      </c>
      <c r="D59" s="14">
        <f>((D35/D34)-1)*100</f>
        <v>20.976230692127086</v>
      </c>
      <c r="E59" s="14">
        <f>((E35/E34)-1)*100</f>
        <v>0.86466481420102159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5">
        <f>B17/(B11*9)</f>
        <v>165598.04236913938</v>
      </c>
      <c r="C62" s="5">
        <f t="shared" ref="C62:F62" si="3">C17/(C11*9)</f>
        <v>153912</v>
      </c>
      <c r="D62" s="5">
        <f t="shared" si="3"/>
        <v>61564</v>
      </c>
      <c r="E62" s="5">
        <f t="shared" si="3"/>
        <v>218838.62497354497</v>
      </c>
      <c r="F62" s="5" t="e">
        <f t="shared" si="3"/>
        <v>#DIV/0!</v>
      </c>
    </row>
    <row r="63" spans="1:7" x14ac:dyDescent="0.25">
      <c r="A63" s="7" t="s">
        <v>76</v>
      </c>
      <c r="B63" s="5">
        <f>B18/(B12*9)</f>
        <v>168215.54554026833</v>
      </c>
      <c r="C63" s="5">
        <f t="shared" ref="C63:F63" si="4">C18/(C12*9)</f>
        <v>153912.3619545546</v>
      </c>
      <c r="D63" s="5">
        <f t="shared" si="4"/>
        <v>61557.100526728682</v>
      </c>
      <c r="E63" s="5">
        <f t="shared" si="4"/>
        <v>219271.74627519722</v>
      </c>
      <c r="F63" s="5" t="e">
        <f t="shared" si="4"/>
        <v>#DIV/0!</v>
      </c>
    </row>
    <row r="64" spans="1:7" x14ac:dyDescent="0.25">
      <c r="A64" s="7" t="s">
        <v>30</v>
      </c>
      <c r="B64" s="14">
        <f>(B62/B63)*B46</f>
        <v>92.925016118172977</v>
      </c>
      <c r="C64" s="14">
        <f>(C62/C63)*C46</f>
        <v>93.865499292496793</v>
      </c>
      <c r="D64" s="14">
        <f>(D62/D63)*D46</f>
        <v>86.59388700670786</v>
      </c>
      <c r="E64" s="14">
        <f>E62/E63*E46</f>
        <v>96.49719427943927</v>
      </c>
      <c r="F64" s="14" t="e">
        <f>(F62/F63)*F46</f>
        <v>#DIV/0!</v>
      </c>
    </row>
    <row r="65" spans="1:7" x14ac:dyDescent="0.25">
      <c r="A65" s="7" t="s">
        <v>77</v>
      </c>
      <c r="B65" s="27">
        <f>B17/B11</f>
        <v>1490382.3813222544</v>
      </c>
      <c r="C65" s="27">
        <f t="shared" ref="C65:E66" si="5">C17/C11</f>
        <v>1385208</v>
      </c>
      <c r="D65" s="27">
        <f t="shared" si="5"/>
        <v>554076</v>
      </c>
      <c r="E65" s="27">
        <f t="shared" si="5"/>
        <v>1969547.6247619048</v>
      </c>
      <c r="F65" s="14"/>
    </row>
    <row r="66" spans="1:7" x14ac:dyDescent="0.25">
      <c r="A66" s="7" t="s">
        <v>78</v>
      </c>
      <c r="B66" s="27">
        <f>B18/B12</f>
        <v>1513939.9098624149</v>
      </c>
      <c r="C66" s="27">
        <f t="shared" si="5"/>
        <v>1385211.2575909912</v>
      </c>
      <c r="D66" s="27">
        <f t="shared" si="5"/>
        <v>554013.90474055812</v>
      </c>
      <c r="E66" s="27">
        <f t="shared" si="5"/>
        <v>1973445.716476775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96.969228413318234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98.107395954577015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abSelected="1" topLeftCell="A86" zoomScale="90" zoomScaleNormal="90" workbookViewId="0">
      <selection activeCell="E111" sqref="E111"/>
    </sheetView>
  </sheetViews>
  <sheetFormatPr baseColWidth="10" defaultColWidth="11.42578125" defaultRowHeight="15" x14ac:dyDescent="0.25"/>
  <cols>
    <col min="1" max="1" width="55.140625" customWidth="1"/>
    <col min="2" max="2" width="14.710937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35" t="s">
        <v>128</v>
      </c>
      <c r="B2" s="35"/>
      <c r="C2" s="35"/>
      <c r="D2" s="35"/>
      <c r="E2" s="35"/>
    </row>
    <row r="4" spans="1:8" ht="15" customHeight="1" x14ac:dyDescent="0.25">
      <c r="A4" s="36" t="s">
        <v>0</v>
      </c>
      <c r="B4" s="19"/>
      <c r="C4" s="40" t="s">
        <v>2</v>
      </c>
      <c r="D4" s="40"/>
      <c r="E4" s="40"/>
      <c r="F4" s="40"/>
    </row>
    <row r="5" spans="1:8" ht="15.75" thickBot="1" x14ac:dyDescent="0.3">
      <c r="A5" s="37"/>
      <c r="B5" s="1" t="s">
        <v>40</v>
      </c>
      <c r="C5" s="1" t="s">
        <v>41</v>
      </c>
      <c r="D5" s="1" t="s">
        <v>42</v>
      </c>
      <c r="E5" s="1" t="s">
        <v>3</v>
      </c>
      <c r="F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39</v>
      </c>
    </row>
    <row r="10" spans="1:8" x14ac:dyDescent="0.25">
      <c r="A10" s="4" t="s">
        <v>71</v>
      </c>
      <c r="B10" s="32">
        <f>SUM(C10:F10)</f>
        <v>4609.75</v>
      </c>
      <c r="C10" s="5">
        <f>(+'I Trimestre'!C10+'II Trimestre'!C10+'III Trimestre'!C10+'IV Trimestre'!C10)/4</f>
        <v>1715</v>
      </c>
      <c r="D10" s="5">
        <f>(+'I Trimestre'!D10+'II Trimestre'!D10+'III Trimestre'!D10+'IV Trimestre'!D10)/4</f>
        <v>951.75</v>
      </c>
      <c r="E10" s="5">
        <f>(+'I Trimestre'!E10+'II Trimestre'!E10+'III Trimestre'!E10+'IV Trimestre'!E10)/4</f>
        <v>1943</v>
      </c>
      <c r="F10" s="5">
        <f>+'I Trimestre'!F10+'II Trimestre'!F10+'III Trimestre'!F10+'IV Trimestre'!F10/4</f>
        <v>0</v>
      </c>
      <c r="G10" s="3"/>
      <c r="H10" s="11"/>
    </row>
    <row r="11" spans="1:8" x14ac:dyDescent="0.25">
      <c r="A11" s="6" t="s">
        <v>129</v>
      </c>
      <c r="B11" s="32">
        <f t="shared" ref="B11:B13" si="0">SUM(C11:F11)</f>
        <v>5650.5</v>
      </c>
      <c r="C11" s="5">
        <f>(+'I Trimestre'!C11+'II Trimestre'!C11+'III Trimestre'!C11+'IV Trimestre'!C11)/4</f>
        <v>1790.75</v>
      </c>
      <c r="D11" s="5">
        <f>(+'I Trimestre'!D11+'II Trimestre'!D11+'III Trimestre'!D11+'IV Trimestre'!D11)/4</f>
        <v>1145</v>
      </c>
      <c r="E11" s="5">
        <f>(+'I Trimestre'!E11+'II Trimestre'!E11+'III Trimestre'!E11+'IV Trimestre'!E11)/4</f>
        <v>2714.75</v>
      </c>
      <c r="F11" s="5">
        <f>+'I Trimestre'!F11+'II Trimestre'!F11+'III Trimestre'!F11+'IV Trimestre'!F11/4</f>
        <v>0</v>
      </c>
      <c r="G11" s="20"/>
      <c r="H11" s="11"/>
    </row>
    <row r="12" spans="1:8" x14ac:dyDescent="0.25">
      <c r="A12" s="6" t="s">
        <v>130</v>
      </c>
      <c r="B12" s="32">
        <f t="shared" si="0"/>
        <v>5370.583333333333</v>
      </c>
      <c r="C12" s="5">
        <f>(+'I Trimestre'!C12+'II Trimestre'!C12+'III Trimestre'!C12+'IV Trimestre'!C12)/4</f>
        <v>1685.3333333333333</v>
      </c>
      <c r="D12" s="5">
        <f>(+'I Trimestre'!D12+'II Trimestre'!D12+'III Trimestre'!D12+'IV Trimestre'!D12)/4</f>
        <v>1009.5833333333334</v>
      </c>
      <c r="E12" s="5">
        <f>(+'I Trimestre'!E12+'II Trimestre'!E12+'III Trimestre'!E12+'IV Trimestre'!E12)/4</f>
        <v>2675.6666666666665</v>
      </c>
      <c r="F12" s="5">
        <f>+'I Trimestre'!F12+'II Trimestre'!F12+'III Trimestre'!F12+'IV Trimestre'!F12/4</f>
        <v>0</v>
      </c>
      <c r="H12" s="11"/>
    </row>
    <row r="13" spans="1:8" x14ac:dyDescent="0.25">
      <c r="A13" s="6" t="s">
        <v>84</v>
      </c>
      <c r="B13" s="32">
        <f t="shared" si="0"/>
        <v>5649</v>
      </c>
      <c r="C13" s="5">
        <f>+'IV Trimestre'!C13</f>
        <v>1790</v>
      </c>
      <c r="D13" s="5">
        <f>+'IV Trimestre'!D13</f>
        <v>1145</v>
      </c>
      <c r="E13" s="5">
        <f>+'IV Trimestre'!E13</f>
        <v>2714</v>
      </c>
      <c r="F13" s="5">
        <f>+'IV Trimestre'!F13</f>
        <v>0</v>
      </c>
      <c r="G13" s="20"/>
      <c r="H13" s="11"/>
    </row>
    <row r="14" spans="1:8" x14ac:dyDescent="0.25">
      <c r="B14" s="34"/>
      <c r="F14" s="7"/>
      <c r="G14" s="20"/>
    </row>
    <row r="15" spans="1:8" x14ac:dyDescent="0.25">
      <c r="A15" s="8" t="s">
        <v>6</v>
      </c>
      <c r="B15" s="34"/>
      <c r="F15" s="7"/>
      <c r="G15" s="21"/>
    </row>
    <row r="16" spans="1:8" x14ac:dyDescent="0.25">
      <c r="A16" s="4" t="s">
        <v>71</v>
      </c>
      <c r="B16" s="32">
        <f>SUM(C16:F16)</f>
        <v>8346432798.6900005</v>
      </c>
      <c r="C16" s="5">
        <f>+'I Trimestre'!C16+'II Trimestre'!C16+'III Trimestre'!C16+'IV Trimestre'!C16</f>
        <v>2638240884</v>
      </c>
      <c r="D16" s="5">
        <f>+'I Trimestre'!D16+'II Trimestre'!D16+'III Trimestre'!D16+'IV Trimestre'!D16</f>
        <v>604911138</v>
      </c>
      <c r="E16" s="5">
        <f>+'I Trimestre'!E16+'II Trimestre'!E16+'III Trimestre'!E16+'IV Trimestre'!E16</f>
        <v>4878275906.6900005</v>
      </c>
      <c r="F16" s="5">
        <f>+'I Trimestre'!F16+'II Trimestre'!F16+'III Trimestre'!F16+'IV Trimestre'!F16</f>
        <v>225004870</v>
      </c>
      <c r="H16" s="11"/>
    </row>
    <row r="17" spans="1:8" x14ac:dyDescent="0.25">
      <c r="A17" s="6" t="s">
        <v>129</v>
      </c>
      <c r="B17" s="32">
        <f>SUM(C17:F17)</f>
        <v>11282241848</v>
      </c>
      <c r="C17" s="5">
        <f>+'I Trimestre'!C17+'II Trimestre'!C17+'III Trimestre'!C17+'IV Trimestre'!C17</f>
        <v>3307414968</v>
      </c>
      <c r="D17" s="5">
        <f>+'I Trimestre'!D17+'II Trimestre'!D17+'III Trimestre'!D17+'IV Trimestre'!D17</f>
        <v>845889360</v>
      </c>
      <c r="E17" s="5">
        <f>+'I Trimestre'!E17+'II Trimestre'!E17+'III Trimestre'!E17+'IV Trimestre'!E17</f>
        <v>7128937520</v>
      </c>
      <c r="F17" s="5">
        <f>+'I Trimestre'!F17+'II Trimestre'!F17+'III Trimestre'!F17+'IV Trimestre'!F17</f>
        <v>0</v>
      </c>
      <c r="G17" s="20"/>
    </row>
    <row r="18" spans="1:8" x14ac:dyDescent="0.25">
      <c r="A18" s="6" t="s">
        <v>130</v>
      </c>
      <c r="B18" s="31">
        <f>SUM(C18:F18)</f>
        <v>11002136466.620001</v>
      </c>
      <c r="C18" s="5">
        <f>+'I Trimestre'!C18+'II Trimestre'!C18+'III Trimestre'!C18+'IV Trimestre'!C18</f>
        <v>3166359249.6500001</v>
      </c>
      <c r="D18" s="5">
        <f>+'I Trimestre'!D18+'II Trimestre'!D18+'III Trimestre'!D18+'IV Trimestre'!D18</f>
        <v>769686444</v>
      </c>
      <c r="E18" s="5">
        <f>+'I Trimestre'!E18+'II Trimestre'!E18+'III Trimestre'!E18+'IV Trimestre'!E18</f>
        <v>7066090772.9700003</v>
      </c>
      <c r="F18" s="5">
        <f>+'I Trimestre'!F18+'II Trimestre'!F18+'III Trimestre'!F18+'IV Trimestre'!F18</f>
        <v>0</v>
      </c>
    </row>
    <row r="19" spans="1:8" x14ac:dyDescent="0.25">
      <c r="A19" s="6" t="s">
        <v>84</v>
      </c>
      <c r="B19" s="31">
        <f>SUM(C19:F19)</f>
        <v>11282241848</v>
      </c>
      <c r="C19" s="3">
        <f>+'IV Trimestre'!C19</f>
        <v>3307414968</v>
      </c>
      <c r="D19" s="3">
        <f>+'IV Trimestre'!D19</f>
        <v>845889360</v>
      </c>
      <c r="E19" s="3">
        <f>+'IV Trimestre'!E19</f>
        <v>7128937520</v>
      </c>
      <c r="F19" s="3">
        <f>+'IV Trimestre'!F19</f>
        <v>0</v>
      </c>
      <c r="H19" s="11"/>
    </row>
    <row r="20" spans="1:8" x14ac:dyDescent="0.25">
      <c r="A20" s="6" t="s">
        <v>131</v>
      </c>
      <c r="B20" s="5">
        <f>SUM(C20:E20)</f>
        <v>11002136466.620001</v>
      </c>
      <c r="C20" s="5">
        <f>+C18</f>
        <v>3166359249.6500001</v>
      </c>
      <c r="D20" s="5">
        <f t="shared" ref="D20:F20" si="1">+D18</f>
        <v>769686444</v>
      </c>
      <c r="E20" s="5">
        <f t="shared" si="1"/>
        <v>7066090772.9700003</v>
      </c>
      <c r="F20" s="5">
        <f t="shared" si="1"/>
        <v>0</v>
      </c>
    </row>
    <row r="21" spans="1:8" x14ac:dyDescent="0.25">
      <c r="B21" s="3"/>
      <c r="C21" s="3"/>
      <c r="D21" s="3"/>
      <c r="E21" s="3"/>
      <c r="F21" s="5"/>
      <c r="G21" s="20"/>
    </row>
    <row r="22" spans="1:8" x14ac:dyDescent="0.25">
      <c r="A22" s="10" t="s">
        <v>7</v>
      </c>
      <c r="B22" s="5"/>
      <c r="C22" s="5"/>
      <c r="D22" s="5"/>
      <c r="E22" s="5"/>
      <c r="F22" s="5"/>
    </row>
    <row r="23" spans="1:8" x14ac:dyDescent="0.25">
      <c r="A23" s="4" t="s">
        <v>129</v>
      </c>
      <c r="B23" s="5">
        <f>B17</f>
        <v>11282241848</v>
      </c>
      <c r="C23" s="5"/>
      <c r="D23" s="5"/>
      <c r="E23" s="5"/>
      <c r="F23" s="5"/>
      <c r="G23" s="11"/>
    </row>
    <row r="24" spans="1:8" x14ac:dyDescent="0.25">
      <c r="A24" s="4" t="s">
        <v>130</v>
      </c>
      <c r="B24" s="5">
        <f>'I Trimestre'!B24+'II Trimestre'!B24+'III Trimestre'!B24+'IV Trimestre'!B24</f>
        <v>11065648890.01</v>
      </c>
      <c r="C24" s="41"/>
      <c r="D24" s="41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8</v>
      </c>
      <c r="B26" s="7"/>
      <c r="C26" s="7"/>
      <c r="D26" s="7"/>
      <c r="E26" s="7"/>
      <c r="F26" s="7"/>
    </row>
    <row r="27" spans="1:8" x14ac:dyDescent="0.25">
      <c r="A27" s="4" t="s">
        <v>72</v>
      </c>
      <c r="B27" s="18">
        <v>1.61</v>
      </c>
      <c r="C27" s="18">
        <v>1.61</v>
      </c>
      <c r="D27" s="18">
        <v>1.61</v>
      </c>
      <c r="E27" s="18">
        <v>1.61</v>
      </c>
      <c r="F27" s="28"/>
    </row>
    <row r="28" spans="1:8" x14ac:dyDescent="0.25">
      <c r="A28" s="4" t="s">
        <v>132</v>
      </c>
      <c r="B28" s="18">
        <v>1.69</v>
      </c>
      <c r="C28" s="18">
        <v>1.69</v>
      </c>
      <c r="D28" s="18">
        <v>1.69</v>
      </c>
      <c r="E28" s="18">
        <v>1.69</v>
      </c>
      <c r="F28" s="28"/>
    </row>
    <row r="29" spans="1:8" x14ac:dyDescent="0.25">
      <c r="A29" s="4" t="s">
        <v>9</v>
      </c>
      <c r="B29" s="5">
        <v>118571</v>
      </c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3" t="s">
        <v>10</v>
      </c>
      <c r="B31" s="7"/>
      <c r="C31" s="7"/>
      <c r="D31" s="7"/>
      <c r="E31" s="7"/>
      <c r="F31" s="7"/>
    </row>
    <row r="32" spans="1:8" x14ac:dyDescent="0.25">
      <c r="A32" s="7" t="s">
        <v>73</v>
      </c>
      <c r="B32" s="5">
        <f>B16/B27</f>
        <v>5184119750.73913</v>
      </c>
      <c r="C32" s="5">
        <f>C16/C27</f>
        <v>1638658934.1614907</v>
      </c>
      <c r="D32" s="5">
        <f>D16/D27</f>
        <v>375721203.72670805</v>
      </c>
      <c r="E32" s="5">
        <f>E16/E27</f>
        <v>3029985035.2111802</v>
      </c>
      <c r="F32" s="5" t="e">
        <f>F16/F27</f>
        <v>#DIV/0!</v>
      </c>
    </row>
    <row r="33" spans="1:8" x14ac:dyDescent="0.25">
      <c r="A33" s="7" t="s">
        <v>133</v>
      </c>
      <c r="B33" s="5">
        <f>B18/B28</f>
        <v>6510139921.0769234</v>
      </c>
      <c r="C33" s="5">
        <f>C18/C28</f>
        <v>1873585354.8224852</v>
      </c>
      <c r="D33" s="5">
        <f>D18/D28</f>
        <v>455435765.68047339</v>
      </c>
      <c r="E33" s="5">
        <f>E18/E28</f>
        <v>4181118800.5739646</v>
      </c>
      <c r="F33" s="5" t="e">
        <f>F18/F28</f>
        <v>#DIV/0!</v>
      </c>
      <c r="G33" s="5"/>
    </row>
    <row r="34" spans="1:8" x14ac:dyDescent="0.25">
      <c r="A34" s="7" t="s">
        <v>74</v>
      </c>
      <c r="B34" s="32">
        <f>$B$32/(B10)</f>
        <v>1124598.8938096708</v>
      </c>
      <c r="C34" s="32">
        <f>C32/(C10)</f>
        <v>955486.25898629194</v>
      </c>
      <c r="D34" s="32">
        <f>D32/(D10)</f>
        <v>394768.79824187869</v>
      </c>
      <c r="E34" s="32">
        <f>E32/(E10)</f>
        <v>1559436.4566192385</v>
      </c>
      <c r="F34" s="32"/>
      <c r="H34" s="11"/>
    </row>
    <row r="35" spans="1:8" x14ac:dyDescent="0.25">
      <c r="A35" s="7" t="s">
        <v>134</v>
      </c>
      <c r="B35" s="32">
        <f>$B$33/(B12)</f>
        <v>1212184.8814207502</v>
      </c>
      <c r="C35" s="32">
        <f>C33/(C12)</f>
        <v>1111700.1709785317</v>
      </c>
      <c r="D35" s="32">
        <f>D33/(D12)</f>
        <v>451112.60323282547</v>
      </c>
      <c r="E35" s="32">
        <f>E33/(E12)</f>
        <v>1562645.62124354</v>
      </c>
      <c r="F35" s="32" t="e">
        <f>F33/(F12)</f>
        <v>#DIV/0!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11</v>
      </c>
      <c r="F37" s="7"/>
    </row>
    <row r="38" spans="1:8" x14ac:dyDescent="0.25">
      <c r="F38" s="7"/>
    </row>
    <row r="39" spans="1:8" x14ac:dyDescent="0.25">
      <c r="A39" t="s">
        <v>12</v>
      </c>
      <c r="F39" s="7"/>
    </row>
    <row r="40" spans="1:8" x14ac:dyDescent="0.25">
      <c r="A40" t="s">
        <v>13</v>
      </c>
      <c r="B40" s="14">
        <f>B11/B29*100</f>
        <v>4.7654991524065746</v>
      </c>
      <c r="C40" s="14"/>
      <c r="D40" s="14"/>
      <c r="E40" s="14"/>
      <c r="F40" s="14"/>
    </row>
    <row r="41" spans="1:8" x14ac:dyDescent="0.25">
      <c r="A41" t="s">
        <v>14</v>
      </c>
      <c r="B41" s="14">
        <f>B12/B29*100</f>
        <v>4.5294240019341432</v>
      </c>
      <c r="C41" s="14"/>
      <c r="D41" s="14"/>
      <c r="E41" s="14"/>
      <c r="F41" s="14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15</v>
      </c>
      <c r="B43" s="7"/>
      <c r="C43" s="7"/>
      <c r="D43" s="7"/>
      <c r="E43" s="7"/>
      <c r="F43" s="7"/>
    </row>
    <row r="44" spans="1:8" x14ac:dyDescent="0.25">
      <c r="A44" t="s">
        <v>16</v>
      </c>
      <c r="B44" s="14">
        <f>B12/B11*100</f>
        <v>95.046161106686725</v>
      </c>
      <c r="C44" s="14">
        <f>C12/C11*100</f>
        <v>94.113267253013163</v>
      </c>
      <c r="D44" s="14">
        <f>D12/D11*100</f>
        <v>88.173216885007278</v>
      </c>
      <c r="E44" s="14">
        <f>E12/E11*100</f>
        <v>98.5603339779599</v>
      </c>
      <c r="F44" s="14" t="e">
        <f>F12/F11*100</f>
        <v>#DIV/0!</v>
      </c>
    </row>
    <row r="45" spans="1:8" x14ac:dyDescent="0.25">
      <c r="A45" t="s">
        <v>17</v>
      </c>
      <c r="B45" s="14">
        <f>B18/B17*100</f>
        <v>97.517289691590392</v>
      </c>
      <c r="C45" s="14">
        <f>C18/C17*100</f>
        <v>95.735167201129983</v>
      </c>
      <c r="D45" s="14">
        <f>D18/D17*100</f>
        <v>90.991384972616274</v>
      </c>
      <c r="E45" s="14">
        <f>E18/E17*100</f>
        <v>99.118427579794528</v>
      </c>
      <c r="F45" s="14" t="e">
        <f>F18/F17*100</f>
        <v>#DIV/0!</v>
      </c>
    </row>
    <row r="46" spans="1:8" x14ac:dyDescent="0.25">
      <c r="A46" s="7" t="s">
        <v>18</v>
      </c>
      <c r="B46" s="14">
        <f>AVERAGE(B44:B45)</f>
        <v>96.281725399138566</v>
      </c>
      <c r="C46" s="14">
        <f>AVERAGE(C44:C45)</f>
        <v>94.92421722707158</v>
      </c>
      <c r="D46" s="14">
        <f>AVERAGE(D44:D45)</f>
        <v>89.582300928811776</v>
      </c>
      <c r="E46" s="14">
        <f>AVERAGE(E44:E45)</f>
        <v>98.839380778877214</v>
      </c>
      <c r="F46" s="14" t="e">
        <f>AVERAGE(F44:F45)</f>
        <v>#DIV/0!</v>
      </c>
    </row>
    <row r="47" spans="1:8" x14ac:dyDescent="0.25">
      <c r="A47" s="7"/>
      <c r="B47" s="14"/>
      <c r="C47" s="14"/>
      <c r="D47" s="14"/>
      <c r="E47" s="14"/>
      <c r="F47" s="14"/>
    </row>
    <row r="48" spans="1:8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33">
        <f>(B12/B13)*100</f>
        <v>95.071399067681597</v>
      </c>
      <c r="C49" s="33">
        <f t="shared" ref="C49:F49" si="2">(C12/C13)*100</f>
        <v>94.152700186219747</v>
      </c>
      <c r="D49" s="33">
        <f t="shared" si="2"/>
        <v>88.173216885007278</v>
      </c>
      <c r="E49" s="33">
        <f t="shared" si="2"/>
        <v>98.587570621468927</v>
      </c>
      <c r="F49" s="33" t="e">
        <f t="shared" si="2"/>
        <v>#DIV/0!</v>
      </c>
      <c r="G49" s="11"/>
    </row>
    <row r="50" spans="1:7" x14ac:dyDescent="0.25">
      <c r="A50" s="7" t="s">
        <v>21</v>
      </c>
      <c r="B50" s="14">
        <f>B18/B19*100</f>
        <v>97.517289691590392</v>
      </c>
      <c r="C50" s="14">
        <f>C18/C19*100</f>
        <v>95.735167201129983</v>
      </c>
      <c r="D50" s="14">
        <f>D18/D19*100</f>
        <v>90.991384972616274</v>
      </c>
      <c r="E50" s="14">
        <f>E18/E19*100</f>
        <v>99.118427579794528</v>
      </c>
      <c r="F50" s="14" t="e">
        <f>F18/F19*100</f>
        <v>#DIV/0!</v>
      </c>
    </row>
    <row r="51" spans="1:7" x14ac:dyDescent="0.25">
      <c r="A51" s="7" t="s">
        <v>22</v>
      </c>
      <c r="B51" s="14">
        <f>(B49+B50)/2</f>
        <v>96.294344379635987</v>
      </c>
      <c r="C51" s="14">
        <f>(C49+C50)/2</f>
        <v>94.943933693674865</v>
      </c>
      <c r="D51" s="14">
        <f>(D49+D50)/2</f>
        <v>89.582300928811776</v>
      </c>
      <c r="E51" s="14">
        <f>(E49+E50)/2</f>
        <v>98.852999100631735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14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16.504871920024588</v>
      </c>
      <c r="C57" s="14">
        <f>((C12/C10)-1)*100</f>
        <v>-1.7298347910592815</v>
      </c>
      <c r="D57" s="14">
        <f>((D12/D10)-1)*100</f>
        <v>6.0765256982751037</v>
      </c>
      <c r="E57" s="14">
        <f>((E12/E10)-1)*100</f>
        <v>37.708011665808883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25.578501926942089</v>
      </c>
      <c r="C58" s="14">
        <f>((C33/C32)-1)*100</f>
        <v>14.33650503856725</v>
      </c>
      <c r="D58" s="14">
        <f>((D33/D32)-1)*100</f>
        <v>21.216412904859116</v>
      </c>
      <c r="E58" s="14">
        <f>((E33/E32)-1)*100</f>
        <v>37.991401013059935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7.7881979160031589</v>
      </c>
      <c r="C59" s="14">
        <f>((C35/C34)-1)*100</f>
        <v>16.349153169190789</v>
      </c>
      <c r="D59" s="14">
        <f>((D35/D34)-1)*100</f>
        <v>14.272608484225845</v>
      </c>
      <c r="E59" s="14">
        <f>((E35/E34)-1)*100</f>
        <v>0.20579002181715378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75</v>
      </c>
      <c r="B62" s="17">
        <f>B17/(B11*12)</f>
        <v>166390.02223991978</v>
      </c>
      <c r="C62" s="17">
        <f t="shared" ref="C62:F62" si="3">C17/(C11*12)</f>
        <v>153912</v>
      </c>
      <c r="D62" s="17">
        <f t="shared" si="3"/>
        <v>61564</v>
      </c>
      <c r="E62" s="17">
        <f t="shared" si="3"/>
        <v>218833.45673327809</v>
      </c>
      <c r="F62" s="17" t="e">
        <f t="shared" si="3"/>
        <v>#DIV/0!</v>
      </c>
    </row>
    <row r="63" spans="1:7" x14ac:dyDescent="0.25">
      <c r="A63" s="7" t="s">
        <v>76</v>
      </c>
      <c r="B63" s="5">
        <f>B18/(B12*12)</f>
        <v>170716.03746675563</v>
      </c>
      <c r="C63" s="5">
        <f t="shared" ref="C63:F63" si="4">C18/(C12*12)</f>
        <v>156564.4407461432</v>
      </c>
      <c r="D63" s="5">
        <f t="shared" si="4"/>
        <v>63531.691621956255</v>
      </c>
      <c r="E63" s="5">
        <f t="shared" si="4"/>
        <v>220072.59165846519</v>
      </c>
      <c r="F63" s="5" t="e">
        <f t="shared" si="4"/>
        <v>#DIV/0!</v>
      </c>
    </row>
    <row r="64" spans="1:7" x14ac:dyDescent="0.25">
      <c r="A64" s="7" t="s">
        <v>30</v>
      </c>
      <c r="B64" s="14">
        <f>(B62/B63)*B46</f>
        <v>93.841906526094419</v>
      </c>
      <c r="C64" s="14">
        <f>(C62/C63)*C46</f>
        <v>93.316056010074192</v>
      </c>
      <c r="D64" s="14">
        <f>(D62/D63)*D46</f>
        <v>86.807774727587997</v>
      </c>
      <c r="E64" s="14">
        <f>E62/E63*E46</f>
        <v>98.282858370593644</v>
      </c>
      <c r="F64" s="14" t="e">
        <f>(F62/F63)*F46</f>
        <v>#DIV/0!</v>
      </c>
    </row>
    <row r="65" spans="1:7" x14ac:dyDescent="0.25">
      <c r="A65" s="7" t="s">
        <v>79</v>
      </c>
      <c r="B65" s="27">
        <f>B17/B11</f>
        <v>1996680.2668790373</v>
      </c>
      <c r="C65" s="27">
        <f t="shared" ref="C65:E66" si="5">C17/C11</f>
        <v>1846944</v>
      </c>
      <c r="D65" s="27">
        <f t="shared" si="5"/>
        <v>738768</v>
      </c>
      <c r="E65" s="27">
        <f t="shared" si="5"/>
        <v>2626001.4807993369</v>
      </c>
      <c r="F65" s="14"/>
    </row>
    <row r="66" spans="1:7" x14ac:dyDescent="0.25">
      <c r="A66" s="7" t="s">
        <v>80</v>
      </c>
      <c r="B66" s="27">
        <f>B18/B12</f>
        <v>2048592.4496010679</v>
      </c>
      <c r="C66" s="27">
        <f t="shared" si="5"/>
        <v>1878773.2889537185</v>
      </c>
      <c r="D66" s="27">
        <f t="shared" si="5"/>
        <v>762380.29946347501</v>
      </c>
      <c r="E66" s="27">
        <f t="shared" si="5"/>
        <v>2640871.0999015826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98.080231208406559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99.426039773886757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88</v>
      </c>
    </row>
    <row r="75" spans="1:7" x14ac:dyDescent="0.25">
      <c r="A75" t="s">
        <v>89</v>
      </c>
      <c r="B75" s="16"/>
      <c r="C75" s="16"/>
      <c r="D75" s="16"/>
    </row>
    <row r="76" spans="1:7" x14ac:dyDescent="0.25">
      <c r="A76" t="s">
        <v>90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136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2012-05-29T14:39:16Z</dcterms:created>
  <dcterms:modified xsi:type="dcterms:W3CDTF">2015-08-06T15:57:45Z</dcterms:modified>
</cp:coreProperties>
</file>