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CCSS-RNC\Indicadores\"/>
    </mc:Choice>
  </mc:AlternateContent>
  <bookViews>
    <workbookView xWindow="0" yWindow="0" windowWidth="21600" windowHeight="9735" activeTab="6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52511"/>
</workbook>
</file>

<file path=xl/calcChain.xml><?xml version="1.0" encoding="utf-8"?>
<calcChain xmlns="http://schemas.openxmlformats.org/spreadsheetml/2006/main">
  <c r="F41" i="1" l="1"/>
  <c r="D41" i="1"/>
  <c r="C19" i="7" l="1"/>
  <c r="C13" i="7"/>
  <c r="C11" i="7"/>
  <c r="D66" i="1"/>
  <c r="E66" i="1"/>
  <c r="F66" i="1"/>
  <c r="F65" i="1"/>
  <c r="D63" i="1"/>
  <c r="D64" i="1" s="1"/>
  <c r="E63" i="1"/>
  <c r="E64" i="1" s="1"/>
  <c r="F63" i="1"/>
  <c r="D57" i="1"/>
  <c r="E57" i="1"/>
  <c r="F57" i="1"/>
  <c r="F50" i="1"/>
  <c r="G50" i="1"/>
  <c r="G51" i="1" s="1"/>
  <c r="H50" i="1"/>
  <c r="H51" i="1" s="1"/>
  <c r="F49" i="1"/>
  <c r="F51" i="1" l="1"/>
  <c r="D33" i="6"/>
  <c r="D35" i="6" s="1"/>
  <c r="E33" i="6"/>
  <c r="E35" i="6" s="1"/>
  <c r="F33" i="6"/>
  <c r="F35" i="6" s="1"/>
  <c r="G33" i="6"/>
  <c r="G35" i="6" s="1"/>
  <c r="H33" i="6"/>
  <c r="H35" i="6" s="1"/>
  <c r="D32" i="6"/>
  <c r="D34" i="6" s="1"/>
  <c r="E32" i="6"/>
  <c r="E34" i="6" s="1"/>
  <c r="F32" i="6"/>
  <c r="F34" i="6" s="1"/>
  <c r="G32" i="6"/>
  <c r="G34" i="6" s="1"/>
  <c r="H32" i="6"/>
  <c r="H34" i="6" s="1"/>
  <c r="D40" i="1"/>
  <c r="B11" i="1" l="1"/>
  <c r="D66" i="6" l="1"/>
  <c r="F49" i="6"/>
  <c r="E66" i="5"/>
  <c r="D66" i="5"/>
  <c r="F49" i="5"/>
  <c r="D66" i="4"/>
  <c r="F49" i="4"/>
  <c r="D41" i="5"/>
  <c r="F40" i="5"/>
  <c r="C18" i="6" l="1"/>
  <c r="C33" i="6" s="1"/>
  <c r="C18" i="5" l="1"/>
  <c r="C19" i="3" l="1"/>
  <c r="C17" i="3"/>
  <c r="C13" i="3"/>
  <c r="C11" i="3"/>
  <c r="C19" i="2"/>
  <c r="C17" i="2"/>
  <c r="C13" i="2"/>
  <c r="C11" i="2"/>
  <c r="C20" i="6" l="1"/>
  <c r="C20" i="5" l="1"/>
  <c r="H50" i="4" l="1"/>
  <c r="H51" i="4" s="1"/>
  <c r="B19" i="4" l="1"/>
  <c r="C17" i="1" l="1"/>
  <c r="C18" i="1"/>
  <c r="C12" i="1"/>
  <c r="C12" i="6"/>
  <c r="C12" i="5"/>
  <c r="C49" i="5" s="1"/>
  <c r="C18" i="4"/>
  <c r="C12" i="4"/>
  <c r="C49" i="4" s="1"/>
  <c r="C49" i="6" l="1"/>
  <c r="C35" i="6"/>
  <c r="C49" i="1"/>
  <c r="C44" i="1"/>
  <c r="C66" i="1"/>
  <c r="C50" i="1"/>
  <c r="C63" i="1"/>
  <c r="C65" i="1"/>
  <c r="C17" i="7"/>
  <c r="C62" i="1"/>
  <c r="B29" i="3"/>
  <c r="B29" i="2"/>
  <c r="B29" i="1"/>
  <c r="B29" i="6"/>
  <c r="B29" i="5"/>
  <c r="B29" i="4"/>
  <c r="D41" i="6"/>
  <c r="D40" i="6"/>
  <c r="D40" i="5"/>
  <c r="D41" i="4"/>
  <c r="D40" i="4"/>
  <c r="B29" i="7"/>
  <c r="C51" i="1" l="1"/>
  <c r="B19" i="1"/>
  <c r="G20" i="1" l="1"/>
  <c r="G20" i="6"/>
  <c r="G20" i="5"/>
  <c r="G20" i="4"/>
  <c r="F40" i="1" l="1"/>
  <c r="B40" i="1" s="1"/>
  <c r="F41" i="6"/>
  <c r="F40" i="6"/>
  <c r="B40" i="6" s="1"/>
  <c r="F41" i="5"/>
  <c r="D40" i="7"/>
  <c r="D40" i="2" l="1"/>
  <c r="C62" i="7"/>
  <c r="B40" i="5" l="1"/>
  <c r="C62" i="2"/>
  <c r="F62" i="1"/>
  <c r="H45" i="1"/>
  <c r="H46" i="1" s="1"/>
  <c r="G45" i="1"/>
  <c r="G46" i="1" s="1"/>
  <c r="F45" i="1"/>
  <c r="F44" i="1"/>
  <c r="F66" i="6"/>
  <c r="E66" i="6"/>
  <c r="F65" i="6"/>
  <c r="F63" i="6"/>
  <c r="E63" i="6"/>
  <c r="E64" i="6" s="1"/>
  <c r="D63" i="6"/>
  <c r="D64" i="6" s="1"/>
  <c r="F62" i="6"/>
  <c r="F57" i="6"/>
  <c r="E57" i="6"/>
  <c r="D57" i="6"/>
  <c r="H50" i="6"/>
  <c r="H51" i="6" s="1"/>
  <c r="G50" i="6"/>
  <c r="G51" i="6" s="1"/>
  <c r="F50" i="6"/>
  <c r="H45" i="6"/>
  <c r="H46" i="6" s="1"/>
  <c r="G45" i="6"/>
  <c r="G46" i="6" s="1"/>
  <c r="F45" i="6"/>
  <c r="F44" i="6"/>
  <c r="F46" i="6" s="1"/>
  <c r="F66" i="5"/>
  <c r="F65" i="5"/>
  <c r="F63" i="5"/>
  <c r="E63" i="5"/>
  <c r="E64" i="5" s="1"/>
  <c r="D63" i="5"/>
  <c r="D64" i="5" s="1"/>
  <c r="F62" i="5"/>
  <c r="F57" i="5"/>
  <c r="E57" i="5"/>
  <c r="D57" i="5"/>
  <c r="H50" i="5"/>
  <c r="H51" i="5" s="1"/>
  <c r="G50" i="5"/>
  <c r="G51" i="5" s="1"/>
  <c r="F50" i="5"/>
  <c r="F51" i="5" s="1"/>
  <c r="H45" i="5"/>
  <c r="H46" i="5" s="1"/>
  <c r="G45" i="5"/>
  <c r="G46" i="5" s="1"/>
  <c r="F45" i="5"/>
  <c r="F44" i="5"/>
  <c r="F46" i="5" s="1"/>
  <c r="B17" i="1"/>
  <c r="B13" i="1"/>
  <c r="B19" i="6"/>
  <c r="B13" i="6"/>
  <c r="B11" i="6"/>
  <c r="B13" i="5"/>
  <c r="B11" i="5"/>
  <c r="B17" i="4"/>
  <c r="B11" i="4"/>
  <c r="B13" i="4"/>
  <c r="C62" i="4"/>
  <c r="C65" i="4"/>
  <c r="F64" i="5" l="1"/>
  <c r="B62" i="1"/>
  <c r="B65" i="4"/>
  <c r="F46" i="1"/>
  <c r="F64" i="1" s="1"/>
  <c r="B65" i="1"/>
  <c r="F51" i="6"/>
  <c r="F64" i="6"/>
  <c r="C16" i="1" l="1"/>
  <c r="C10" i="1"/>
  <c r="C16" i="6"/>
  <c r="C32" i="6" s="1"/>
  <c r="C10" i="6"/>
  <c r="B10" i="6" s="1"/>
  <c r="C33" i="5"/>
  <c r="C16" i="5"/>
  <c r="B16" i="5" s="1"/>
  <c r="B41" i="5"/>
  <c r="C10" i="5"/>
  <c r="B10" i="5" s="1"/>
  <c r="C16" i="4"/>
  <c r="B16" i="4" s="1"/>
  <c r="C45" i="4"/>
  <c r="C10" i="4"/>
  <c r="B10" i="4" s="1"/>
  <c r="D57" i="4"/>
  <c r="E57" i="4"/>
  <c r="F57" i="4"/>
  <c r="C34" i="6" l="1"/>
  <c r="B10" i="1"/>
  <c r="C57" i="1"/>
  <c r="C33" i="1"/>
  <c r="B41" i="1"/>
  <c r="B41" i="6"/>
  <c r="C33" i="4"/>
  <c r="C35" i="4" s="1"/>
  <c r="C32" i="4"/>
  <c r="C34" i="4" s="1"/>
  <c r="C44" i="4"/>
  <c r="C46" i="4" s="1"/>
  <c r="C32" i="5"/>
  <c r="C34" i="5" s="1"/>
  <c r="B12" i="4"/>
  <c r="B49" i="4" s="1"/>
  <c r="C57" i="4"/>
  <c r="C35" i="5"/>
  <c r="C32" i="1"/>
  <c r="C34" i="1" s="1"/>
  <c r="B16" i="1"/>
  <c r="C44" i="5"/>
  <c r="C57" i="5"/>
  <c r="B12" i="5"/>
  <c r="B49" i="5" s="1"/>
  <c r="C66" i="4"/>
  <c r="C63" i="4"/>
  <c r="B18" i="4"/>
  <c r="C50" i="4"/>
  <c r="B18" i="5"/>
  <c r="C66" i="5"/>
  <c r="C63" i="5"/>
  <c r="B16" i="6"/>
  <c r="B18" i="1"/>
  <c r="B70" i="1" s="1"/>
  <c r="C45" i="1"/>
  <c r="C46" i="1" s="1"/>
  <c r="C64" i="1" s="1"/>
  <c r="B12" i="1"/>
  <c r="B49" i="1" s="1"/>
  <c r="C50" i="6"/>
  <c r="B18" i="6"/>
  <c r="B12" i="6"/>
  <c r="B49" i="6" s="1"/>
  <c r="C66" i="6"/>
  <c r="C63" i="6"/>
  <c r="C57" i="6"/>
  <c r="C44" i="6"/>
  <c r="B17" i="5"/>
  <c r="C62" i="5"/>
  <c r="C65" i="5"/>
  <c r="C45" i="5"/>
  <c r="C50" i="5"/>
  <c r="C51" i="5" s="1"/>
  <c r="B19" i="5"/>
  <c r="C62" i="6"/>
  <c r="C65" i="6"/>
  <c r="B17" i="6"/>
  <c r="C45" i="6"/>
  <c r="C35" i="1" l="1"/>
  <c r="C59" i="1" s="1"/>
  <c r="C58" i="1"/>
  <c r="C51" i="4"/>
  <c r="B66" i="4"/>
  <c r="C46" i="5"/>
  <c r="C64" i="5" s="1"/>
  <c r="C58" i="6"/>
  <c r="B50" i="5"/>
  <c r="B51" i="5" s="1"/>
  <c r="C59" i="4"/>
  <c r="C58" i="4"/>
  <c r="C58" i="5"/>
  <c r="C59" i="5"/>
  <c r="B66" i="5"/>
  <c r="B63" i="5"/>
  <c r="B70" i="5"/>
  <c r="C59" i="6"/>
  <c r="B44" i="5"/>
  <c r="B57" i="5"/>
  <c r="B63" i="4"/>
  <c r="C64" i="4"/>
  <c r="C46" i="6"/>
  <c r="C64" i="6" s="1"/>
  <c r="B45" i="1"/>
  <c r="B50" i="1"/>
  <c r="B51" i="1" s="1"/>
  <c r="B66" i="1"/>
  <c r="B63" i="1"/>
  <c r="B57" i="1"/>
  <c r="B44" i="1"/>
  <c r="B70" i="6"/>
  <c r="B50" i="6"/>
  <c r="C51" i="6"/>
  <c r="B63" i="6"/>
  <c r="B66" i="6"/>
  <c r="B57" i="6"/>
  <c r="B44" i="6"/>
  <c r="B45" i="5"/>
  <c r="B62" i="5"/>
  <c r="B65" i="5"/>
  <c r="B45" i="6"/>
  <c r="B46" i="6" s="1"/>
  <c r="B65" i="6"/>
  <c r="B62" i="6"/>
  <c r="E20" i="4"/>
  <c r="F20" i="4"/>
  <c r="D20" i="4"/>
  <c r="B46" i="5" l="1"/>
  <c r="B46" i="1"/>
  <c r="B64" i="1" s="1"/>
  <c r="C20" i="4"/>
  <c r="B20" i="4" s="1"/>
  <c r="B64" i="5"/>
  <c r="B51" i="6"/>
  <c r="B64" i="6"/>
  <c r="M114" i="4" l="1"/>
  <c r="L114" i="4"/>
  <c r="K114" i="4"/>
  <c r="D63" i="4" l="1"/>
  <c r="E63" i="4"/>
  <c r="F63" i="4"/>
  <c r="F13" i="7"/>
  <c r="B13" i="7" s="1"/>
  <c r="F12" i="7"/>
  <c r="F11" i="7"/>
  <c r="F10" i="7"/>
  <c r="E12" i="7"/>
  <c r="E10" i="7"/>
  <c r="D12" i="7"/>
  <c r="D10" i="7"/>
  <c r="F12" i="3"/>
  <c r="F11" i="3"/>
  <c r="F10" i="3"/>
  <c r="E12" i="3"/>
  <c r="E11" i="3"/>
  <c r="E10" i="3"/>
  <c r="D12" i="3"/>
  <c r="D10" i="3"/>
  <c r="E13" i="3"/>
  <c r="F13" i="3"/>
  <c r="F13" i="2"/>
  <c r="B13" i="2" s="1"/>
  <c r="G13" i="2"/>
  <c r="H13" i="2"/>
  <c r="D57" i="7" l="1"/>
  <c r="F57" i="7"/>
  <c r="E57" i="7"/>
  <c r="C10" i="7"/>
  <c r="B10" i="7" s="1"/>
  <c r="C12" i="3"/>
  <c r="D40" i="3"/>
  <c r="C62" i="3"/>
  <c r="C12" i="7"/>
  <c r="C57" i="7" s="1"/>
  <c r="C10" i="3"/>
  <c r="B10" i="3" s="1"/>
  <c r="D41" i="7"/>
  <c r="F41" i="3"/>
  <c r="F41" i="7"/>
  <c r="F40" i="7"/>
  <c r="B11" i="7"/>
  <c r="F40" i="3"/>
  <c r="D41" i="3"/>
  <c r="D57" i="3"/>
  <c r="F57" i="3"/>
  <c r="E57" i="3"/>
  <c r="F49" i="7"/>
  <c r="B13" i="3"/>
  <c r="F49" i="3"/>
  <c r="F44" i="3"/>
  <c r="B11" i="3"/>
  <c r="F44" i="7"/>
  <c r="B12" i="7" l="1"/>
  <c r="C49" i="7"/>
  <c r="C44" i="7"/>
  <c r="C49" i="3"/>
  <c r="B12" i="3"/>
  <c r="B44" i="3" s="1"/>
  <c r="C57" i="3"/>
  <c r="C44" i="3"/>
  <c r="F11" i="2"/>
  <c r="F12" i="2"/>
  <c r="D12" i="2"/>
  <c r="E12" i="2"/>
  <c r="E10" i="2"/>
  <c r="D10" i="2"/>
  <c r="F10" i="2"/>
  <c r="C12" i="2" l="1"/>
  <c r="C10" i="2"/>
  <c r="B10" i="2" s="1"/>
  <c r="E57" i="2"/>
  <c r="B44" i="7"/>
  <c r="D41" i="2"/>
  <c r="F40" i="2"/>
  <c r="B11" i="2"/>
  <c r="F41" i="2"/>
  <c r="F49" i="2"/>
  <c r="F44" i="2"/>
  <c r="F57" i="2"/>
  <c r="D57" i="2"/>
  <c r="B57" i="3"/>
  <c r="B49" i="7"/>
  <c r="B57" i="7"/>
  <c r="B49" i="3"/>
  <c r="D32" i="1"/>
  <c r="D34" i="1" s="1"/>
  <c r="D33" i="1"/>
  <c r="D58" i="1" s="1"/>
  <c r="D33" i="5"/>
  <c r="D32" i="5"/>
  <c r="D34" i="5" s="1"/>
  <c r="D33" i="4"/>
  <c r="D35" i="4" s="1"/>
  <c r="D32" i="4"/>
  <c r="D34" i="4" s="1"/>
  <c r="B70" i="4"/>
  <c r="D59" i="4" l="1"/>
  <c r="D35" i="5"/>
  <c r="D59" i="5" s="1"/>
  <c r="D58" i="5"/>
  <c r="D58" i="6"/>
  <c r="B12" i="2"/>
  <c r="C49" i="2"/>
  <c r="C57" i="2"/>
  <c r="C44" i="2"/>
  <c r="D35" i="1"/>
  <c r="D59" i="1" s="1"/>
  <c r="D59" i="6"/>
  <c r="D64" i="4"/>
  <c r="D58" i="4"/>
  <c r="B50" i="4"/>
  <c r="B45" i="4"/>
  <c r="B57" i="4"/>
  <c r="B44" i="4"/>
  <c r="B62" i="4"/>
  <c r="B23" i="4"/>
  <c r="B69" i="4" s="1"/>
  <c r="E20" i="5"/>
  <c r="F20" i="5"/>
  <c r="D20" i="5"/>
  <c r="E20" i="6"/>
  <c r="F20" i="6"/>
  <c r="D20" i="6"/>
  <c r="E20" i="1"/>
  <c r="F20" i="1"/>
  <c r="D20" i="1"/>
  <c r="D18" i="2"/>
  <c r="D16" i="2"/>
  <c r="D32" i="2" s="1"/>
  <c r="D18" i="3"/>
  <c r="D16" i="3"/>
  <c r="D32" i="3" s="1"/>
  <c r="D18" i="7"/>
  <c r="D16" i="7"/>
  <c r="D32" i="7" s="1"/>
  <c r="D34" i="7" s="1"/>
  <c r="D33" i="3" l="1"/>
  <c r="D66" i="3"/>
  <c r="D63" i="7"/>
  <c r="D64" i="7" s="1"/>
  <c r="D66" i="7"/>
  <c r="D33" i="7"/>
  <c r="D33" i="2"/>
  <c r="D66" i="2"/>
  <c r="C20" i="1"/>
  <c r="B20" i="1" s="1"/>
  <c r="D63" i="2"/>
  <c r="D64" i="2" s="1"/>
  <c r="D63" i="3"/>
  <c r="D64" i="3" s="1"/>
  <c r="B20" i="6"/>
  <c r="B54" i="6" s="1"/>
  <c r="B57" i="2"/>
  <c r="B44" i="2"/>
  <c r="B49" i="2"/>
  <c r="B51" i="4"/>
  <c r="D34" i="3"/>
  <c r="D34" i="2"/>
  <c r="B46" i="4"/>
  <c r="B64" i="4" s="1"/>
  <c r="D20" i="7"/>
  <c r="D20" i="2"/>
  <c r="B54" i="4"/>
  <c r="D20" i="3"/>
  <c r="F19" i="2"/>
  <c r="G19" i="2"/>
  <c r="H19" i="2"/>
  <c r="F19" i="3"/>
  <c r="G19" i="3"/>
  <c r="H19" i="3"/>
  <c r="F19" i="7"/>
  <c r="G19" i="7"/>
  <c r="H19" i="7"/>
  <c r="D58" i="7" l="1"/>
  <c r="D35" i="7"/>
  <c r="D59" i="7" s="1"/>
  <c r="B19" i="2"/>
  <c r="B19" i="7"/>
  <c r="B20" i="5"/>
  <c r="B54" i="5" s="1"/>
  <c r="B54" i="1"/>
  <c r="D58" i="2"/>
  <c r="C65" i="2"/>
  <c r="B19" i="3"/>
  <c r="D35" i="3"/>
  <c r="D59" i="3" s="1"/>
  <c r="D58" i="3"/>
  <c r="D35" i="2"/>
  <c r="D59" i="2" s="1"/>
  <c r="F17" i="7"/>
  <c r="G17" i="7"/>
  <c r="H17" i="7"/>
  <c r="E18" i="7"/>
  <c r="F18" i="7"/>
  <c r="G18" i="7"/>
  <c r="G33" i="7" s="1"/>
  <c r="H18" i="7"/>
  <c r="F16" i="7"/>
  <c r="F32" i="7" s="1"/>
  <c r="F34" i="7" s="1"/>
  <c r="G16" i="7"/>
  <c r="G32" i="7" s="1"/>
  <c r="H16" i="7"/>
  <c r="H32" i="7" s="1"/>
  <c r="E16" i="7"/>
  <c r="F17" i="3"/>
  <c r="G17" i="3"/>
  <c r="H17" i="3"/>
  <c r="E18" i="3"/>
  <c r="E33" i="3" s="1"/>
  <c r="F18" i="3"/>
  <c r="F33" i="3" s="1"/>
  <c r="G18" i="3"/>
  <c r="H18" i="3"/>
  <c r="F16" i="3"/>
  <c r="F32" i="3" s="1"/>
  <c r="G16" i="3"/>
  <c r="G32" i="3" s="1"/>
  <c r="H16" i="3"/>
  <c r="H32" i="3" s="1"/>
  <c r="E16" i="3"/>
  <c r="F17" i="2"/>
  <c r="G17" i="2"/>
  <c r="H17" i="2"/>
  <c r="E18" i="2"/>
  <c r="E33" i="2" s="1"/>
  <c r="F18" i="2"/>
  <c r="G18" i="2"/>
  <c r="G33" i="2" s="1"/>
  <c r="H18" i="2"/>
  <c r="H33" i="2" s="1"/>
  <c r="F16" i="2"/>
  <c r="F32" i="2" s="1"/>
  <c r="G16" i="2"/>
  <c r="G32" i="2" s="1"/>
  <c r="H16" i="2"/>
  <c r="H32" i="2" s="1"/>
  <c r="E16" i="2"/>
  <c r="G11" i="2"/>
  <c r="H11" i="2"/>
  <c r="G12" i="2"/>
  <c r="H12" i="2"/>
  <c r="G10" i="2"/>
  <c r="H10" i="2"/>
  <c r="G58" i="7" l="1"/>
  <c r="C16" i="7"/>
  <c r="C32" i="7" s="1"/>
  <c r="C34" i="7" s="1"/>
  <c r="E32" i="7"/>
  <c r="E34" i="7" s="1"/>
  <c r="H50" i="7"/>
  <c r="H51" i="7" s="1"/>
  <c r="H33" i="7"/>
  <c r="H58" i="7" s="1"/>
  <c r="F63" i="7"/>
  <c r="F33" i="7"/>
  <c r="E63" i="7"/>
  <c r="E64" i="7" s="1"/>
  <c r="E33" i="7"/>
  <c r="C16" i="2"/>
  <c r="C32" i="2" s="1"/>
  <c r="C34" i="2" s="1"/>
  <c r="E32" i="2"/>
  <c r="G20" i="3"/>
  <c r="G33" i="3"/>
  <c r="H50" i="3"/>
  <c r="H51" i="3" s="1"/>
  <c r="H33" i="3"/>
  <c r="C16" i="3"/>
  <c r="C32" i="3" s="1"/>
  <c r="C34" i="3" s="1"/>
  <c r="E32" i="3"/>
  <c r="F63" i="2"/>
  <c r="F33" i="2"/>
  <c r="C18" i="7"/>
  <c r="E63" i="3"/>
  <c r="C18" i="3"/>
  <c r="C33" i="3" s="1"/>
  <c r="E63" i="2"/>
  <c r="C18" i="2"/>
  <c r="C33" i="2" s="1"/>
  <c r="B17" i="2"/>
  <c r="B62" i="2" s="1"/>
  <c r="F62" i="3"/>
  <c r="B40" i="3"/>
  <c r="F50" i="3"/>
  <c r="F51" i="3" s="1"/>
  <c r="F63" i="3"/>
  <c r="F62" i="7"/>
  <c r="B40" i="7"/>
  <c r="F62" i="2"/>
  <c r="B40" i="2"/>
  <c r="B16" i="7"/>
  <c r="B32" i="7" s="1"/>
  <c r="F66" i="2"/>
  <c r="F50" i="2"/>
  <c r="F51" i="2" s="1"/>
  <c r="F45" i="2"/>
  <c r="F46" i="2" s="1"/>
  <c r="G20" i="2"/>
  <c r="G45" i="2"/>
  <c r="G46" i="2" s="1"/>
  <c r="G50" i="2"/>
  <c r="G51" i="2" s="1"/>
  <c r="H45" i="2"/>
  <c r="H46" i="2" s="1"/>
  <c r="H50" i="2"/>
  <c r="H51" i="2" s="1"/>
  <c r="E66" i="2"/>
  <c r="E64" i="2"/>
  <c r="F65" i="2"/>
  <c r="G45" i="7"/>
  <c r="G46" i="7" s="1"/>
  <c r="H45" i="7"/>
  <c r="H46" i="7" s="1"/>
  <c r="G50" i="3"/>
  <c r="G51" i="3" s="1"/>
  <c r="G45" i="3"/>
  <c r="G46" i="3" s="1"/>
  <c r="H45" i="3"/>
  <c r="H46" i="3" s="1"/>
  <c r="G20" i="7"/>
  <c r="G50" i="7"/>
  <c r="G51" i="7" s="1"/>
  <c r="E66" i="7"/>
  <c r="F50" i="7"/>
  <c r="F51" i="7" s="1"/>
  <c r="F66" i="7"/>
  <c r="E64" i="3"/>
  <c r="E66" i="3"/>
  <c r="F66" i="3"/>
  <c r="F45" i="3"/>
  <c r="F46" i="3" s="1"/>
  <c r="F65" i="3"/>
  <c r="F45" i="7"/>
  <c r="F46" i="7" s="1"/>
  <c r="F65" i="7"/>
  <c r="B17" i="7"/>
  <c r="B17" i="3"/>
  <c r="C65" i="7"/>
  <c r="C65" i="3"/>
  <c r="F20" i="2"/>
  <c r="F20" i="3"/>
  <c r="F20" i="7"/>
  <c r="E20" i="2"/>
  <c r="C20" i="2" s="1"/>
  <c r="E20" i="3"/>
  <c r="E20" i="7"/>
  <c r="C20" i="7" s="1"/>
  <c r="F64" i="7" l="1"/>
  <c r="B16" i="3"/>
  <c r="B32" i="3" s="1"/>
  <c r="E58" i="7"/>
  <c r="E35" i="7"/>
  <c r="E59" i="7" s="1"/>
  <c r="F58" i="7"/>
  <c r="F35" i="7"/>
  <c r="F59" i="7" s="1"/>
  <c r="C63" i="7"/>
  <c r="C33" i="7"/>
  <c r="B16" i="2"/>
  <c r="B32" i="2" s="1"/>
  <c r="B20" i="7"/>
  <c r="C20" i="3"/>
  <c r="B20" i="3" s="1"/>
  <c r="B65" i="2"/>
  <c r="B41" i="3"/>
  <c r="C63" i="3"/>
  <c r="B65" i="3"/>
  <c r="B62" i="3"/>
  <c r="B65" i="7"/>
  <c r="B62" i="7"/>
  <c r="B41" i="7"/>
  <c r="B41" i="2"/>
  <c r="C63" i="2"/>
  <c r="B20" i="2"/>
  <c r="C66" i="2"/>
  <c r="B18" i="2"/>
  <c r="C50" i="2"/>
  <c r="C51" i="2" s="1"/>
  <c r="C45" i="2"/>
  <c r="C46" i="2" s="1"/>
  <c r="F64" i="3"/>
  <c r="F64" i="2"/>
  <c r="C45" i="3"/>
  <c r="C46" i="3" s="1"/>
  <c r="C50" i="7"/>
  <c r="C51" i="7" s="1"/>
  <c r="B18" i="7"/>
  <c r="C66" i="7"/>
  <c r="B18" i="3"/>
  <c r="B33" i="3" s="1"/>
  <c r="C66" i="3"/>
  <c r="C50" i="3"/>
  <c r="C51" i="3" s="1"/>
  <c r="C45" i="7"/>
  <c r="C46" i="7" s="1"/>
  <c r="F40" i="4"/>
  <c r="B40" i="4" s="1"/>
  <c r="C58" i="7" l="1"/>
  <c r="C35" i="7"/>
  <c r="C59" i="7" s="1"/>
  <c r="C64" i="7"/>
  <c r="B63" i="7"/>
  <c r="B33" i="7"/>
  <c r="B63" i="2"/>
  <c r="B33" i="2"/>
  <c r="C64" i="2"/>
  <c r="B45" i="3"/>
  <c r="B46" i="3" s="1"/>
  <c r="B63" i="3"/>
  <c r="C35" i="2"/>
  <c r="C59" i="2" s="1"/>
  <c r="C58" i="2"/>
  <c r="B66" i="2"/>
  <c r="B50" i="2"/>
  <c r="B51" i="2" s="1"/>
  <c r="B45" i="2"/>
  <c r="B46" i="2" s="1"/>
  <c r="C35" i="3"/>
  <c r="C59" i="3" s="1"/>
  <c r="C58" i="3"/>
  <c r="C64" i="3"/>
  <c r="B54" i="2"/>
  <c r="B54" i="3"/>
  <c r="B50" i="7"/>
  <c r="B51" i="7" s="1"/>
  <c r="B66" i="7"/>
  <c r="B66" i="3"/>
  <c r="B50" i="3"/>
  <c r="B51" i="3" s="1"/>
  <c r="B45" i="7"/>
  <c r="B46" i="7" s="1"/>
  <c r="B54" i="7"/>
  <c r="G45" i="4"/>
  <c r="G46" i="4" s="1"/>
  <c r="B64" i="2" l="1"/>
  <c r="B64" i="3"/>
  <c r="B64" i="7"/>
  <c r="B32" i="5"/>
  <c r="F62" i="4"/>
  <c r="E66" i="4"/>
  <c r="F66" i="4"/>
  <c r="F65" i="4"/>
  <c r="F41" i="4" l="1"/>
  <c r="B41" i="4" s="1"/>
  <c r="B33" i="4" l="1"/>
  <c r="B32" i="4"/>
  <c r="B34" i="4" s="1"/>
  <c r="B58" i="4" l="1"/>
  <c r="B24" i="7"/>
  <c r="B70" i="7" s="1"/>
  <c r="B24" i="3"/>
  <c r="B70" i="3" s="1"/>
  <c r="B24" i="2"/>
  <c r="B70" i="2" s="1"/>
  <c r="B23" i="2" l="1"/>
  <c r="B69" i="2" s="1"/>
  <c r="B23" i="7"/>
  <c r="B69" i="7" s="1"/>
  <c r="B23" i="1" l="1"/>
  <c r="B69" i="1" s="1"/>
  <c r="G58" i="3" l="1"/>
  <c r="H58" i="3"/>
  <c r="H58" i="2"/>
  <c r="G58" i="2"/>
  <c r="E35" i="2"/>
  <c r="F35" i="3"/>
  <c r="F35" i="2"/>
  <c r="E35" i="3"/>
  <c r="B23" i="3"/>
  <c r="B69" i="3" s="1"/>
  <c r="B35" i="2"/>
  <c r="B35" i="7" l="1"/>
  <c r="B35" i="3"/>
  <c r="H33" i="1" l="1"/>
  <c r="G33" i="1"/>
  <c r="F33" i="1"/>
  <c r="E33" i="1"/>
  <c r="E58" i="1" s="1"/>
  <c r="B33" i="1"/>
  <c r="H32" i="1"/>
  <c r="G32" i="1"/>
  <c r="F32" i="1"/>
  <c r="F34" i="1" s="1"/>
  <c r="E32" i="1"/>
  <c r="E34" i="1" s="1"/>
  <c r="B32" i="1"/>
  <c r="B32" i="6"/>
  <c r="H33" i="5"/>
  <c r="G33" i="5"/>
  <c r="F33" i="5"/>
  <c r="E33" i="5"/>
  <c r="H32" i="5"/>
  <c r="G32" i="5"/>
  <c r="G50" i="4"/>
  <c r="G51" i="4" s="1"/>
  <c r="F50" i="4"/>
  <c r="H45" i="4"/>
  <c r="H46" i="4" s="1"/>
  <c r="F45" i="4"/>
  <c r="F44" i="4"/>
  <c r="H33" i="4"/>
  <c r="G33" i="4"/>
  <c r="F33" i="4"/>
  <c r="E33" i="4"/>
  <c r="B35" i="4"/>
  <c r="B59" i="4" s="1"/>
  <c r="H32" i="4"/>
  <c r="G32" i="4"/>
  <c r="F32" i="4"/>
  <c r="F34" i="4" s="1"/>
  <c r="E32" i="4"/>
  <c r="E34" i="4" s="1"/>
  <c r="G58" i="1" l="1"/>
  <c r="F58" i="1"/>
  <c r="H58" i="1"/>
  <c r="H58" i="6"/>
  <c r="H58" i="5"/>
  <c r="G58" i="6"/>
  <c r="G58" i="5"/>
  <c r="E58" i="6"/>
  <c r="F58" i="6"/>
  <c r="B58" i="1"/>
  <c r="B34" i="1"/>
  <c r="E64" i="4"/>
  <c r="F46" i="4"/>
  <c r="F64" i="4" s="1"/>
  <c r="F35" i="4"/>
  <c r="F59" i="4" s="1"/>
  <c r="F58" i="4"/>
  <c r="B23" i="6"/>
  <c r="B69" i="6" s="1"/>
  <c r="B35" i="1"/>
  <c r="F35" i="1"/>
  <c r="F59" i="1" s="1"/>
  <c r="E35" i="4"/>
  <c r="E59" i="4" s="1"/>
  <c r="E58" i="4"/>
  <c r="B33" i="5"/>
  <c r="B58" i="5" s="1"/>
  <c r="E59" i="6"/>
  <c r="E35" i="1"/>
  <c r="E59" i="1" s="1"/>
  <c r="G58" i="4"/>
  <c r="H58" i="4"/>
  <c r="E35" i="5"/>
  <c r="F51" i="4"/>
  <c r="B34" i="6"/>
  <c r="B33" i="6"/>
  <c r="B58" i="6" s="1"/>
  <c r="F59" i="6"/>
  <c r="B23" i="5"/>
  <c r="B69" i="5" s="1"/>
  <c r="E32" i="5"/>
  <c r="E58" i="5" s="1"/>
  <c r="F35" i="5"/>
  <c r="B59" i="1" l="1"/>
  <c r="B34" i="5"/>
  <c r="E34" i="5"/>
  <c r="E59" i="5" s="1"/>
  <c r="B35" i="5"/>
  <c r="E58" i="3"/>
  <c r="F32" i="5"/>
  <c r="F58" i="5" s="1"/>
  <c r="E58" i="2"/>
  <c r="B35" i="6"/>
  <c r="B59" i="6" s="1"/>
  <c r="B59" i="5" l="1"/>
  <c r="E34" i="3"/>
  <c r="E59" i="3" s="1"/>
  <c r="E34" i="2"/>
  <c r="E59" i="2" s="1"/>
  <c r="B58" i="2"/>
  <c r="F58" i="2"/>
  <c r="F34" i="5"/>
  <c r="F59" i="5" s="1"/>
  <c r="B58" i="7"/>
  <c r="F58" i="3"/>
  <c r="F34" i="3" l="1"/>
  <c r="F59" i="3" s="1"/>
  <c r="F34" i="2"/>
  <c r="F59" i="2" s="1"/>
  <c r="B34" i="7"/>
  <c r="B59" i="7" s="1"/>
  <c r="B34" i="2"/>
  <c r="B59" i="2" s="1"/>
  <c r="B58" i="3"/>
  <c r="B34" i="3" l="1"/>
  <c r="B59" i="3" s="1"/>
</calcChain>
</file>

<file path=xl/sharedStrings.xml><?xml version="1.0" encoding="utf-8"?>
<sst xmlns="http://schemas.openxmlformats.org/spreadsheetml/2006/main" count="519" uniqueCount="132">
  <si>
    <t>Indicador</t>
  </si>
  <si>
    <t>Productos</t>
  </si>
  <si>
    <t>Cuotas SS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</si>
  <si>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</si>
  <si>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</si>
  <si>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</si>
  <si>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</si>
  <si>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</si>
  <si>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</si>
  <si>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</si>
  <si>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</si>
  <si>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</si>
  <si>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</si>
  <si>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</si>
  <si>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</si>
  <si>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</si>
  <si>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</si>
  <si>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</si>
  <si>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</si>
  <si>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</si>
  <si>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</si>
  <si>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</si>
  <si>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</si>
  <si>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</si>
  <si>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</si>
  <si>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</si>
  <si>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</si>
  <si>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</si>
  <si>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</si>
  <si>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</si>
  <si>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</si>
  <si>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</si>
  <si>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</si>
  <si>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</si>
  <si>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</si>
  <si>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</si>
  <si>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</si>
  <si>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</si>
  <si>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</si>
  <si>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</si>
  <si>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</si>
  <si>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</si>
  <si>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</si>
  <si>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</si>
  <si>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</si>
  <si>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</si>
  <si>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</si>
  <si>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</si>
  <si>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</si>
  <si>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</si>
  <si>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</si>
  <si>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Adultos Mayores</t>
  </si>
  <si>
    <t>Otros</t>
  </si>
  <si>
    <t>n.d.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</si>
  <si>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</si>
  <si>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</si>
  <si>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</si>
  <si>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Pensión Especial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</si>
  <si>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</si>
  <si>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</si>
  <si>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</si>
  <si>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</si>
  <si>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</si>
  <si>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</si>
  <si>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</si>
  <si>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</si>
  <si>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Efectivos 3T 2013</t>
  </si>
  <si>
    <t>IPC (3T 2013)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</si>
  <si>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</si>
  <si>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</si>
  <si>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</si>
  <si>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</si>
  <si>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</si>
  <si>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</si>
  <si>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</si>
  <si>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</si>
  <si>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</si>
  <si>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</si>
  <si>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 2013</t>
  </si>
  <si>
    <t>IPC ( 2013)</t>
  </si>
  <si>
    <t>Gasto efectivo real  2013</t>
  </si>
  <si>
    <t>Gasto efectivo real por beneficiario  2013</t>
  </si>
  <si>
    <t>Total</t>
  </si>
  <si>
    <t>Indicadores propuestos aplicado a RNC. Primer trimestre 2014</t>
  </si>
  <si>
    <t>Programados 1T 2014</t>
  </si>
  <si>
    <t>Efectivos 1T 2014</t>
  </si>
  <si>
    <t>Programados año 2014</t>
  </si>
  <si>
    <t>En transferencias 1T 2014</t>
  </si>
  <si>
    <t>IPC (1T 2014)</t>
  </si>
  <si>
    <t>Gasto efectivo real 1T 2014</t>
  </si>
  <si>
    <t>Gasto efectivo real por beneficiario 1T 2014</t>
  </si>
  <si>
    <t>Metas RNC 2014</t>
  </si>
  <si>
    <t>Indicadores propuestos aplicado a RNC. Segundo trimestre 2014</t>
  </si>
  <si>
    <t>Programados 2T 2014</t>
  </si>
  <si>
    <t>Efectivos 2T 2014</t>
  </si>
  <si>
    <t>En transferencias 2T 2014</t>
  </si>
  <si>
    <t>IPC (2T 2014)</t>
  </si>
  <si>
    <t>Gasto efectivo real 2T 2014</t>
  </si>
  <si>
    <t>Gasto efectivo real por beneficiario 2T 2014</t>
  </si>
  <si>
    <t>Indicadores propuestos aplicado a RNC. Tercer trimestre 2014</t>
  </si>
  <si>
    <t>Programados 3T 2014</t>
  </si>
  <si>
    <t>Efectivos 3T 2014</t>
  </si>
  <si>
    <t>En transferencias 3T 2014</t>
  </si>
  <si>
    <t>IPC (3T 2014)</t>
  </si>
  <si>
    <t>Gasto efectivo real 3T 2014</t>
  </si>
  <si>
    <t>Gasto efectivo real por beneficiario 3T 2014</t>
  </si>
  <si>
    <t>Indicadores propuestos aplicado a RNC. Cuarto trimestre 2014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</si>
  <si>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</si>
  <si>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</si>
  <si>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</si>
  <si>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</si>
  <si>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</si>
  <si>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</si>
  <si>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Indicadores propuestos aplicado a RNC. Primer Semestre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</si>
  <si>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</si>
  <si>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</si>
  <si>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</si>
  <si>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</si>
  <si>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</si>
  <si>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</si>
  <si>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Indicadores propuestos aplicado a RNC. Tercer trimestre ACUMULADO 2014</t>
  </si>
  <si>
    <t>Indicadores propuestos aplicado a RNC. Año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</si>
  <si>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</si>
  <si>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</si>
  <si>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</si>
  <si>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</si>
  <si>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</si>
  <si>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</si>
  <si>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Informes trimestrales RNC 2013 y 2014</t>
  </si>
  <si>
    <t>ENAHO 2013</t>
  </si>
  <si>
    <t>Fecha de actualización: 09/02/2015</t>
  </si>
  <si>
    <t>Fecha de actualización: 14/04/2015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</si>
</sst>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 applyFill="1"/>
    <xf numFmtId="3" fontId="0" fillId="0" borderId="0" xfId="0" applyNumberFormat="1" applyFill="1"/>
    <xf numFmtId="2" fontId="0" fillId="3" borderId="0" xfId="0" applyNumberFormat="1" applyFill="1"/>
    <xf numFmtId="166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165" fontId="0" fillId="3" borderId="0" xfId="0" applyNumberFormat="1" applyFill="1"/>
    <xf numFmtId="166" fontId="4" fillId="0" borderId="0" xfId="1" applyNumberFormat="1" applyFont="1" applyAlignment="1">
      <alignment horizontal="center"/>
    </xf>
    <xf numFmtId="0" fontId="0" fillId="0" borderId="2" xfId="0" applyBorder="1" applyAlignment="1"/>
    <xf numFmtId="0" fontId="5" fillId="0" borderId="0" xfId="0" applyFont="1" applyFill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6" fontId="0" fillId="0" borderId="0" xfId="1" applyNumberFormat="1" applyFont="1"/>
    <xf numFmtId="166" fontId="0" fillId="0" borderId="0" xfId="1" applyNumberFormat="1" applyFont="1" applyAlignment="1">
      <alignment horizontal="left" indent="3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0" xfId="0" applyFont="1" applyAlignment="1">
      <alignment horizontal="center"/>
    </xf>
    <xf numFmtId="166" fontId="5" fillId="0" borderId="0" xfId="1" applyNumberFormat="1" applyFont="1" applyFill="1"/>
    <xf numFmtId="164" fontId="5" fillId="0" borderId="0" xfId="0" applyNumberFormat="1" applyFont="1"/>
    <xf numFmtId="3" fontId="6" fillId="0" borderId="0" xfId="0" applyNumberFormat="1" applyFont="1"/>
    <xf numFmtId="165" fontId="0" fillId="0" borderId="0" xfId="0" applyNumberFormat="1" applyFill="1"/>
    <xf numFmtId="0" fontId="5" fillId="0" borderId="0" xfId="0" applyFont="1"/>
    <xf numFmtId="3" fontId="6" fillId="0" borderId="0" xfId="0" applyNumberFormat="1" applyFont="1" applyFill="1"/>
    <xf numFmtId="0" fontId="0" fillId="3" borderId="0" xfId="0" applyFill="1" applyAlignment="1">
      <alignment horizontal="right" indent="1"/>
    </xf>
    <xf numFmtId="164" fontId="6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cobertura potencial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(Anual!$B$40,Anual!$D$40,Anual!$F$40)</c:f>
              <c:numCache>
                <c:formatCode>#,##0.0____</c:formatCode>
                <c:ptCount val="3"/>
                <c:pt idx="0">
                  <c:v>106.34542433984915</c:v>
                </c:pt>
                <c:pt idx="1">
                  <c:v>106.33250913781981</c:v>
                </c:pt>
                <c:pt idx="2">
                  <c:v>106.45299145299145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(Anual!$B$41,Anual!$D$41,Anual!$F$41)</c:f>
              <c:numCache>
                <c:formatCode>#,##0.0____</c:formatCode>
                <c:ptCount val="3"/>
                <c:pt idx="0">
                  <c:v>78.198569764543166</c:v>
                </c:pt>
                <c:pt idx="1">
                  <c:v>76.368881244176876</c:v>
                </c:pt>
                <c:pt idx="2">
                  <c:v>95.496201329534657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86482272"/>
        <c:axId val="350982304"/>
      </c:barChart>
      <c:catAx>
        <c:axId val="2864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0982304"/>
        <c:crosses val="autoZero"/>
        <c:auto val="1"/>
        <c:lblAlgn val="ctr"/>
        <c:lblOffset val="100"/>
        <c:noMultiLvlLbl val="0"/>
      </c:catAx>
      <c:valAx>
        <c:axId val="35098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8648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resultado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(Anual!$B$44:$C$44,Anual!$F$44:$H$44)</c:f>
              <c:numCache>
                <c:formatCode>#,##0.0____</c:formatCode>
                <c:ptCount val="5"/>
                <c:pt idx="0">
                  <c:v>99.223146641726828</c:v>
                </c:pt>
                <c:pt idx="1">
                  <c:v>99.582619303983549</c:v>
                </c:pt>
                <c:pt idx="2">
                  <c:v>89.707391052232481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(Anual!$B$45:$C$45,Anual!$F$45:$H$45)</c:f>
              <c:numCache>
                <c:formatCode>#,##0.0____</c:formatCode>
                <c:ptCount val="5"/>
                <c:pt idx="0">
                  <c:v>100.56292779527571</c:v>
                </c:pt>
                <c:pt idx="1">
                  <c:v>96.257339886642654</c:v>
                </c:pt>
                <c:pt idx="2">
                  <c:v>84.801334271771395</c:v>
                </c:pt>
                <c:pt idx="3">
                  <c:v>172.28861149678403</c:v>
                </c:pt>
                <c:pt idx="4">
                  <c:v>108.95008581837178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(Anual!$B$46:$C$46,Anual!$F$46:$H$46)</c:f>
              <c:numCache>
                <c:formatCode>#,##0.0____</c:formatCode>
                <c:ptCount val="5"/>
                <c:pt idx="0">
                  <c:v>99.893037218501263</c:v>
                </c:pt>
                <c:pt idx="1">
                  <c:v>97.919979595313094</c:v>
                </c:pt>
                <c:pt idx="2">
                  <c:v>87.254362662001938</c:v>
                </c:pt>
                <c:pt idx="3">
                  <c:v>172.28861149678403</c:v>
                </c:pt>
                <c:pt idx="4">
                  <c:v>108.95008581837178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30770304"/>
        <c:axId val="430770696"/>
      </c:barChart>
      <c:catAx>
        <c:axId val="4307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0770696"/>
        <c:crosses val="autoZero"/>
        <c:auto val="1"/>
        <c:lblAlgn val="ctr"/>
        <c:lblOffset val="100"/>
        <c:noMultiLvlLbl val="0"/>
      </c:catAx>
      <c:valAx>
        <c:axId val="43077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07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avance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(Anual!$B$49:$C$49,Anual!$F$49:$H$49)</c:f>
              <c:numCache>
                <c:formatCode>#,##0.0____</c:formatCode>
                <c:ptCount val="5"/>
                <c:pt idx="0">
                  <c:v>99.223146641726828</c:v>
                </c:pt>
                <c:pt idx="1">
                  <c:v>99.582619303983549</c:v>
                </c:pt>
                <c:pt idx="2">
                  <c:v>89.707391052232481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(Anual!$B$50:$C$50,Anual!$F$50:$H$50)</c:f>
              <c:numCache>
                <c:formatCode>#,##0.0____</c:formatCode>
                <c:ptCount val="5"/>
                <c:pt idx="0">
                  <c:v>100.56292779527571</c:v>
                </c:pt>
                <c:pt idx="1">
                  <c:v>96.257339886642654</c:v>
                </c:pt>
                <c:pt idx="2">
                  <c:v>84.801334271771395</c:v>
                </c:pt>
                <c:pt idx="3">
                  <c:v>172.28861149678406</c:v>
                </c:pt>
                <c:pt idx="4">
                  <c:v>108.95008581837178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(Anual!$B$51:$C$51,Anual!$F$51:$H$51)</c:f>
              <c:numCache>
                <c:formatCode>#,##0.0____</c:formatCode>
                <c:ptCount val="5"/>
                <c:pt idx="0">
                  <c:v>99.893037218501263</c:v>
                </c:pt>
                <c:pt idx="1">
                  <c:v>97.919979595313094</c:v>
                </c:pt>
                <c:pt idx="2">
                  <c:v>87.254362662001938</c:v>
                </c:pt>
                <c:pt idx="3">
                  <c:v>172.28861149678406</c:v>
                </c:pt>
                <c:pt idx="4">
                  <c:v>108.95008581837178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50437080"/>
        <c:axId val="350437472"/>
      </c:barChart>
      <c:catAx>
        <c:axId val="35043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0437472"/>
        <c:crosses val="autoZero"/>
        <c:auto val="1"/>
        <c:lblAlgn val="ctr"/>
        <c:lblOffset val="100"/>
        <c:noMultiLvlLbl val="0"/>
      </c:catAx>
      <c:valAx>
        <c:axId val="3504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04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transferencia efectiva del gasto (ITG)</a:t>
            </a:r>
            <a:r>
              <a:rPr lang="en-US" baseline="0"/>
              <a:t> 2014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96.259896089969686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3025992"/>
        <c:axId val="353026776"/>
      </c:barChart>
      <c:catAx>
        <c:axId val="35302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3026776"/>
        <c:crosses val="autoZero"/>
        <c:auto val="1"/>
        <c:lblAlgn val="ctr"/>
        <c:lblOffset val="100"/>
        <c:noMultiLvlLbl val="0"/>
      </c:catAx>
      <c:valAx>
        <c:axId val="35302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302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expansión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4.0998756451970042</c:v>
                </c:pt>
                <c:pt idx="1">
                  <c:v>4.0732157448367001</c:v>
                </c:pt>
                <c:pt idx="2">
                  <c:v>4.5682203187118908</c:v>
                </c:pt>
                <c:pt idx="3">
                  <c:v>2.8141020240691539</c:v>
                </c:pt>
                <c:pt idx="4">
                  <c:v>4.8894336080108403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2.3456110182898948</c:v>
                </c:pt>
                <c:pt idx="1">
                  <c:v>1.3624647683907254</c:v>
                </c:pt>
                <c:pt idx="2">
                  <c:v>1.8255495014642298</c:v>
                </c:pt>
                <c:pt idx="3">
                  <c:v>0.18351718912628101</c:v>
                </c:pt>
                <c:pt idx="4">
                  <c:v>9.5823647839761161</c:v>
                </c:pt>
                <c:pt idx="5">
                  <c:v>3.2462286553560205</c:v>
                </c:pt>
                <c:pt idx="6">
                  <c:v>5.4760628617859464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-1.6851745653243211</c:v>
                </c:pt>
                <c:pt idx="1">
                  <c:v>-2.6046576509100139</c:v>
                </c:pt>
                <c:pt idx="2">
                  <c:v>-2.622853108610157</c:v>
                </c:pt>
                <c:pt idx="3">
                  <c:v>-2.5585836798214912</c:v>
                </c:pt>
                <c:pt idx="4">
                  <c:v>4.4741696227510452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32667144"/>
        <c:axId val="432665576"/>
      </c:barChart>
      <c:catAx>
        <c:axId val="43266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2665576"/>
        <c:crosses val="autoZero"/>
        <c:auto val="1"/>
        <c:lblAlgn val="ctr"/>
        <c:lblOffset val="100"/>
        <c:noMultiLvlLbl val="0"/>
      </c:catAx>
      <c:valAx>
        <c:axId val="43266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266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1169895.6714662875</c:v>
                </c:pt>
                <c:pt idx="1">
                  <c:v>975630.99974219117</c:v>
                </c:pt>
                <c:pt idx="4">
                  <c:v>3100878.0915295063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1185692.4308445051</c:v>
                </c:pt>
                <c:pt idx="1">
                  <c:v>943052.5668285205</c:v>
                </c:pt>
                <c:pt idx="2">
                  <c:v>943108.10312773183</c:v>
                </c:pt>
                <c:pt idx="3">
                  <c:v>942908.8923231134</c:v>
                </c:pt>
                <c:pt idx="4">
                  <c:v>2931292.4664445715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51275824"/>
        <c:axId val="350438648"/>
      </c:barChart>
      <c:catAx>
        <c:axId val="35127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0438648"/>
        <c:crosses val="autoZero"/>
        <c:auto val="1"/>
        <c:lblAlgn val="ctr"/>
        <c:lblOffset val="100"/>
        <c:noMultiLvlLbl val="0"/>
      </c:catAx>
      <c:valAx>
        <c:axId val="35043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127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de eficiencia (IE) 2014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(Anual!$B$64:$C$64,Anual!$F$64)</c:f>
              <c:numCache>
                <c:formatCode>#,##0.0</c:formatCode>
                <c:ptCount val="3"/>
                <c:pt idx="0">
                  <c:v>98.562180892315482</c:v>
                </c:pt>
                <c:pt idx="1">
                  <c:v>101.30269610377043</c:v>
                </c:pt>
                <c:pt idx="2">
                  <c:v>92.302335801089939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2262776"/>
        <c:axId val="432263952"/>
      </c:barChart>
      <c:catAx>
        <c:axId val="43226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2263952"/>
        <c:crosses val="autoZero"/>
        <c:auto val="1"/>
        <c:lblAlgn val="ctr"/>
        <c:lblOffset val="100"/>
        <c:noMultiLvlLbl val="0"/>
      </c:catAx>
      <c:valAx>
        <c:axId val="4322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2262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giro de recursos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#,##0.0____</c:formatCode>
                <c:ptCount val="2"/>
                <c:pt idx="0">
                  <c:v>101.71500280356642</c:v>
                </c:pt>
                <c:pt idx="1">
                  <c:v>98.867349971453464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8488240"/>
        <c:axId val="438488632"/>
      </c:barChart>
      <c:catAx>
        <c:axId val="4384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488632"/>
        <c:crosses val="autoZero"/>
        <c:auto val="1"/>
        <c:lblAlgn val="ctr"/>
        <c:lblOffset val="100"/>
        <c:noMultiLvlLbl val="0"/>
      </c:catAx>
      <c:valAx>
        <c:axId val="43848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48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</xdr:colOff>
      <xdr:row>16</xdr:row>
      <xdr:rowOff>189440</xdr:rowOff>
    </xdr:from>
    <xdr:to>
      <xdr:col>15</xdr:col>
      <xdr:colOff>21166</xdr:colOff>
      <xdr:row>31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761999</xdr:colOff>
      <xdr:row>32</xdr:row>
      <xdr:rowOff>189441</xdr:rowOff>
    </xdr:from>
    <xdr:to>
      <xdr:col>14</xdr:col>
      <xdr:colOff>761999</xdr:colOff>
      <xdr:row>47</xdr:row>
      <xdr:rowOff>75141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20108</xdr:rowOff>
    </xdr:from>
    <xdr:to>
      <xdr:col>15</xdr:col>
      <xdr:colOff>0</xdr:colOff>
      <xdr:row>62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10583</xdr:colOff>
      <xdr:row>63</xdr:row>
      <xdr:rowOff>189440</xdr:rowOff>
    </xdr:from>
    <xdr:to>
      <xdr:col>15</xdr:col>
      <xdr:colOff>10583</xdr:colOff>
      <xdr:row>78</xdr:row>
      <xdr:rowOff>53973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3672416</xdr:colOff>
      <xdr:row>84</xdr:row>
      <xdr:rowOff>9524</xdr:rowOff>
    </xdr:from>
    <xdr:to>
      <xdr:col>5</xdr:col>
      <xdr:colOff>201083</xdr:colOff>
      <xdr:row>98</xdr:row>
      <xdr:rowOff>85724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814916</xdr:colOff>
      <xdr:row>83</xdr:row>
      <xdr:rowOff>189440</xdr:rowOff>
    </xdr:from>
    <xdr:to>
      <xdr:col>10</xdr:col>
      <xdr:colOff>603249</xdr:colOff>
      <xdr:row>98</xdr:row>
      <xdr:rowOff>75140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84666</xdr:colOff>
      <xdr:row>83</xdr:row>
      <xdr:rowOff>157690</xdr:rowOff>
    </xdr:from>
    <xdr:to>
      <xdr:col>17</xdr:col>
      <xdr:colOff>84666</xdr:colOff>
      <xdr:row>98</xdr:row>
      <xdr:rowOff>43390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10583</xdr:colOff>
      <xdr:row>101</xdr:row>
      <xdr:rowOff>20108</xdr:rowOff>
    </xdr:from>
    <xdr:to>
      <xdr:col>5</xdr:col>
      <xdr:colOff>211667</xdr:colOff>
      <xdr:row>115</xdr:row>
      <xdr:rowOff>96308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zoomScale="70" zoomScaleNormal="70" workbookViewId="0">
      <selection activeCell="H46" sqref="H46"/>
    </sheetView>
  </sheetViews>
  <sheetFormatPr baseColWidth="10" defaultColWidth="11.42578125" defaultRowHeight="15" x14ac:dyDescent="0.25"/>
  <cols>
    <col min="1" max="1" width="55.140625" style="1" customWidth="1"/>
    <col min="2" max="3" width="20.5703125" style="1" customWidth="1"/>
    <col min="4" max="4" width="16.140625" style="1" customWidth="1"/>
    <col min="5" max="5" width="17" style="1" customWidth="1"/>
    <col min="6" max="6" width="20.28515625" style="1" customWidth="1"/>
    <col min="7" max="7" width="14.7109375" style="1" bestFit="1" customWidth="1"/>
    <col min="8" max="8" width="17.5703125" style="1" bestFit="1" customWidth="1"/>
    <col min="9" max="9" width="17.85546875" style="1" bestFit="1" customWidth="1"/>
    <col min="10" max="16384" width="11.42578125" style="1"/>
  </cols>
  <sheetData>
    <row r="1" spans="1:13" x14ac:dyDescent="0.25">
      <c r="F1" s="30"/>
      <c r="G1" s="25"/>
      <c r="H1" s="25"/>
      <c r="I1" s="21"/>
      <c r="J1" s="25"/>
      <c r="K1" s="25"/>
      <c r="L1" s="25"/>
      <c r="M1" s="25"/>
    </row>
    <row r="2" spans="1:13" ht="15.75" x14ac:dyDescent="0.25">
      <c r="A2" s="51" t="s">
        <v>83</v>
      </c>
      <c r="B2" s="51"/>
      <c r="C2" s="51"/>
      <c r="D2" s="51"/>
      <c r="E2" s="51"/>
      <c r="F2" s="51"/>
      <c r="G2" s="51"/>
      <c r="H2" s="51"/>
    </row>
    <row r="3" spans="1:13" x14ac:dyDescent="0.25">
      <c r="I3" s="43"/>
    </row>
    <row r="4" spans="1:13" x14ac:dyDescent="0.25">
      <c r="A4" s="49" t="s">
        <v>0</v>
      </c>
      <c r="B4" s="31"/>
      <c r="C4" s="31"/>
      <c r="D4" s="36"/>
      <c r="E4" s="37" t="s">
        <v>1</v>
      </c>
      <c r="F4" s="29"/>
      <c r="G4" s="49" t="s">
        <v>2</v>
      </c>
      <c r="H4" s="49" t="s">
        <v>3</v>
      </c>
      <c r="I4" s="43"/>
      <c r="J4" s="43"/>
    </row>
    <row r="5" spans="1:13" ht="15.75" thickBot="1" x14ac:dyDescent="0.3">
      <c r="A5" s="50"/>
      <c r="B5" s="32" t="s">
        <v>38</v>
      </c>
      <c r="C5" s="52" t="s">
        <v>39</v>
      </c>
      <c r="D5" s="52"/>
      <c r="E5" s="52"/>
      <c r="F5" s="2" t="s">
        <v>57</v>
      </c>
      <c r="G5" s="50"/>
      <c r="H5" s="50"/>
    </row>
    <row r="6" spans="1:13" ht="15.75" thickTop="1" x14ac:dyDescent="0.25">
      <c r="C6" s="38" t="s">
        <v>82</v>
      </c>
      <c r="D6" s="28" t="s">
        <v>51</v>
      </c>
      <c r="E6" s="28" t="s">
        <v>52</v>
      </c>
    </row>
    <row r="7" spans="1:13" x14ac:dyDescent="0.25">
      <c r="A7" s="3" t="s">
        <v>4</v>
      </c>
    </row>
    <row r="9" spans="1:13" x14ac:dyDescent="0.25">
      <c r="A9" s="1" t="s">
        <v>46</v>
      </c>
    </row>
    <row r="10" spans="1:13" x14ac:dyDescent="0.25">
      <c r="A10" s="4" t="s">
        <v>58</v>
      </c>
      <c r="B10" s="22">
        <f>+C10+F10</f>
        <v>96456.666666666672</v>
      </c>
      <c r="C10" s="22">
        <f>SUM(D10:E10)</f>
        <v>93314.666666666672</v>
      </c>
      <c r="D10" s="22">
        <v>66859.666666666672</v>
      </c>
      <c r="E10" s="5">
        <v>26455</v>
      </c>
      <c r="F10" s="5">
        <v>3142</v>
      </c>
      <c r="G10" s="5"/>
    </row>
    <row r="11" spans="1:13" x14ac:dyDescent="0.25">
      <c r="A11" s="4" t="s">
        <v>84</v>
      </c>
      <c r="B11" s="22">
        <f t="shared" ref="B11:B13" si="0">+C11+F11</f>
        <v>101711</v>
      </c>
      <c r="C11" s="22">
        <v>98078</v>
      </c>
      <c r="D11" s="22"/>
      <c r="E11" s="22"/>
      <c r="F11" s="22">
        <v>3633</v>
      </c>
      <c r="G11" s="5"/>
    </row>
    <row r="12" spans="1:13" x14ac:dyDescent="0.25">
      <c r="A12" s="4" t="s">
        <v>85</v>
      </c>
      <c r="B12" s="22">
        <f t="shared" si="0"/>
        <v>100465.66666666667</v>
      </c>
      <c r="C12" s="22">
        <f t="shared" ref="C12" si="1">SUM(D12:E12)</f>
        <v>97178.666666666672</v>
      </c>
      <c r="D12" s="22">
        <v>70010.666666666672</v>
      </c>
      <c r="E12" s="5">
        <v>27168</v>
      </c>
      <c r="F12" s="5">
        <v>3287</v>
      </c>
      <c r="G12" s="5"/>
    </row>
    <row r="13" spans="1:13" x14ac:dyDescent="0.25">
      <c r="A13" s="4" t="s">
        <v>86</v>
      </c>
      <c r="B13" s="22">
        <f t="shared" si="0"/>
        <v>102647</v>
      </c>
      <c r="C13" s="22">
        <v>98910.5</v>
      </c>
      <c r="D13" s="22"/>
      <c r="E13" s="22"/>
      <c r="F13" s="22">
        <v>3736.5</v>
      </c>
      <c r="G13" s="5"/>
    </row>
    <row r="14" spans="1:13" x14ac:dyDescent="0.25">
      <c r="C14" s="22"/>
    </row>
    <row r="15" spans="1:13" x14ac:dyDescent="0.25">
      <c r="A15" s="6" t="s">
        <v>5</v>
      </c>
      <c r="C15" s="22"/>
    </row>
    <row r="16" spans="1:13" x14ac:dyDescent="0.25">
      <c r="A16" s="4" t="s">
        <v>58</v>
      </c>
      <c r="B16" s="5">
        <f>+C16+F16+G16+H16</f>
        <v>23116897567.299999</v>
      </c>
      <c r="C16" s="22">
        <f t="shared" ref="C16:C20" si="2">SUM(D16:E16)</f>
        <v>17943967149.649998</v>
      </c>
      <c r="D16" s="5">
        <v>12858037663.169933</v>
      </c>
      <c r="E16" s="22">
        <v>5085929486.4800644</v>
      </c>
      <c r="F16" s="22">
        <v>2108571497.6500001</v>
      </c>
      <c r="G16" s="22">
        <v>2041858920</v>
      </c>
      <c r="H16" s="22">
        <v>1022500000</v>
      </c>
    </row>
    <row r="17" spans="1:8" x14ac:dyDescent="0.25">
      <c r="A17" s="4" t="s">
        <v>84</v>
      </c>
      <c r="B17" s="5">
        <f t="shared" ref="B17:B18" si="3">+C17+F17+G17+H17</f>
        <v>27636554583</v>
      </c>
      <c r="C17" s="22">
        <v>22067550000</v>
      </c>
      <c r="D17" s="5"/>
      <c r="E17" s="22"/>
      <c r="F17" s="22">
        <v>2569079583</v>
      </c>
      <c r="G17" s="22">
        <v>1963524999.9900002</v>
      </c>
      <c r="H17" s="22">
        <v>1036400000.01</v>
      </c>
    </row>
    <row r="18" spans="1:8" x14ac:dyDescent="0.25">
      <c r="A18" s="4" t="s">
        <v>85</v>
      </c>
      <c r="B18" s="5">
        <f t="shared" si="3"/>
        <v>26952764971.850002</v>
      </c>
      <c r="C18" s="22">
        <f t="shared" si="2"/>
        <v>20909066523.080002</v>
      </c>
      <c r="D18" s="5">
        <v>15059626163.111042</v>
      </c>
      <c r="E18" s="22">
        <v>5849440359.9689589</v>
      </c>
      <c r="F18" s="22">
        <v>2355942437</v>
      </c>
      <c r="G18" s="22">
        <v>2371839670.8599997</v>
      </c>
      <c r="H18" s="22">
        <v>1315916340.9099998</v>
      </c>
    </row>
    <row r="19" spans="1:8" x14ac:dyDescent="0.25">
      <c r="A19" s="4" t="s">
        <v>86</v>
      </c>
      <c r="B19" s="5">
        <f>+C19+F19+G19+H19</f>
        <v>120086280989</v>
      </c>
      <c r="C19" s="22">
        <v>96500150000</v>
      </c>
      <c r="D19" s="22"/>
      <c r="E19" s="22"/>
      <c r="F19" s="22">
        <v>11586430989</v>
      </c>
      <c r="G19" s="22">
        <v>7854099999.96</v>
      </c>
      <c r="H19" s="22">
        <v>4145600000.0400004</v>
      </c>
    </row>
    <row r="20" spans="1:8" x14ac:dyDescent="0.25">
      <c r="A20" s="4" t="s">
        <v>87</v>
      </c>
      <c r="B20" s="41">
        <f>C20+F20+G20</f>
        <v>25636848630.940002</v>
      </c>
      <c r="C20" s="22">
        <f t="shared" si="2"/>
        <v>20909066523.080002</v>
      </c>
      <c r="D20" s="5">
        <f>D18</f>
        <v>15059626163.111042</v>
      </c>
      <c r="E20" s="5">
        <f t="shared" ref="E20:G20" si="4">E18</f>
        <v>5849440359.9689589</v>
      </c>
      <c r="F20" s="5">
        <f t="shared" si="4"/>
        <v>2355942437</v>
      </c>
      <c r="G20" s="41">
        <f t="shared" si="4"/>
        <v>2371839670.8599997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84</v>
      </c>
      <c r="B23" s="8">
        <f>+B17</f>
        <v>27636554583</v>
      </c>
      <c r="C23" s="8"/>
      <c r="D23" s="8"/>
      <c r="E23" s="8"/>
      <c r="F23" s="8"/>
      <c r="G23" s="8"/>
      <c r="H23" s="8"/>
    </row>
    <row r="24" spans="1:8" x14ac:dyDescent="0.25">
      <c r="A24" s="9" t="s">
        <v>85</v>
      </c>
      <c r="B24" s="8">
        <v>30554152548.349998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59</v>
      </c>
      <c r="B27" s="23">
        <v>1.6</v>
      </c>
      <c r="C27" s="23">
        <v>1.6</v>
      </c>
      <c r="D27" s="23">
        <v>1.6</v>
      </c>
      <c r="E27" s="23">
        <v>1.6</v>
      </c>
      <c r="F27" s="23">
        <v>1.6</v>
      </c>
      <c r="G27" s="23">
        <v>1.6</v>
      </c>
      <c r="H27" s="23">
        <v>1.6</v>
      </c>
    </row>
    <row r="28" spans="1:8" x14ac:dyDescent="0.25">
      <c r="A28" s="10" t="s">
        <v>88</v>
      </c>
      <c r="B28" s="23">
        <v>1.6472333333333333</v>
      </c>
      <c r="C28" s="23">
        <v>1.6472333333333333</v>
      </c>
      <c r="D28" s="23">
        <v>1.6472333333333333</v>
      </c>
      <c r="E28" s="23">
        <v>1.6472333333333333</v>
      </c>
      <c r="F28" s="23">
        <v>1.6472333333333333</v>
      </c>
      <c r="G28" s="23">
        <v>1.6472333333333333</v>
      </c>
      <c r="H28" s="23">
        <v>1.6472333333333333</v>
      </c>
    </row>
    <row r="29" spans="1:8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60</v>
      </c>
      <c r="B32" s="13">
        <f>B16/B27</f>
        <v>14448060979.562498</v>
      </c>
      <c r="C32" s="13">
        <f t="shared" ref="C32:D32" si="5">C16/C27</f>
        <v>11214979468.531248</v>
      </c>
      <c r="D32" s="13">
        <f t="shared" si="5"/>
        <v>8036273539.4812078</v>
      </c>
      <c r="E32" s="13">
        <f t="shared" ref="E32:H32" si="6">E16/E27</f>
        <v>3178705929.0500402</v>
      </c>
      <c r="F32" s="13">
        <f t="shared" si="6"/>
        <v>1317857186.03125</v>
      </c>
      <c r="G32" s="13">
        <f t="shared" si="6"/>
        <v>1276161825</v>
      </c>
      <c r="H32" s="13">
        <f t="shared" si="6"/>
        <v>639062500</v>
      </c>
    </row>
    <row r="33" spans="1:8" x14ac:dyDescent="0.25">
      <c r="A33" s="12" t="s">
        <v>89</v>
      </c>
      <c r="B33" s="13">
        <f>B18/B28</f>
        <v>16362445092.893135</v>
      </c>
      <c r="C33" s="13">
        <f t="shared" ref="C33:D33" si="7">C18/C28</f>
        <v>12693445488.240891</v>
      </c>
      <c r="D33" s="13">
        <f t="shared" si="7"/>
        <v>9142375799.6910229</v>
      </c>
      <c r="E33" s="13">
        <f t="shared" ref="E33:H33" si="8">E18/E28</f>
        <v>3551069688.5498667</v>
      </c>
      <c r="F33" s="13">
        <f t="shared" si="8"/>
        <v>1430242084.9100511</v>
      </c>
      <c r="G33" s="13">
        <f t="shared" si="8"/>
        <v>1439892954.3638828</v>
      </c>
      <c r="H33" s="13">
        <f t="shared" si="8"/>
        <v>798864565.37831104</v>
      </c>
    </row>
    <row r="34" spans="1:8" x14ac:dyDescent="0.25">
      <c r="A34" s="12" t="s">
        <v>61</v>
      </c>
      <c r="B34" s="13">
        <f>B32/B10</f>
        <v>149788.10152637624</v>
      </c>
      <c r="C34" s="13">
        <f t="shared" ref="C34:D34" si="9">C32/C10</f>
        <v>120184.53121193433</v>
      </c>
      <c r="D34" s="13">
        <f t="shared" si="9"/>
        <v>120196.13528058083</v>
      </c>
      <c r="E34" s="13">
        <f t="shared" ref="E34:F34" si="10">E32/E10</f>
        <v>120155.20427329579</v>
      </c>
      <c r="F34" s="13">
        <f t="shared" si="10"/>
        <v>419432.58626074158</v>
      </c>
      <c r="G34" s="13"/>
      <c r="H34" s="13"/>
    </row>
    <row r="35" spans="1:8" x14ac:dyDescent="0.25">
      <c r="A35" s="12" t="s">
        <v>90</v>
      </c>
      <c r="B35" s="13">
        <f>B33/B12</f>
        <v>162866.03807828017</v>
      </c>
      <c r="C35" s="13">
        <f t="shared" ref="C35:D35" si="11">C33/C12</f>
        <v>130619.67120603517</v>
      </c>
      <c r="D35" s="13">
        <f t="shared" si="11"/>
        <v>130585.46982875498</v>
      </c>
      <c r="E35" s="13">
        <f t="shared" ref="E35:F35" si="12">E33/E12</f>
        <v>130707.80655734197</v>
      </c>
      <c r="F35" s="13">
        <f t="shared" si="12"/>
        <v>435120.80465775816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105.23594145996069</v>
      </c>
      <c r="C40" s="14"/>
      <c r="D40" s="14">
        <f>(C11)/D29*100</f>
        <v>105.437540313911</v>
      </c>
      <c r="E40" s="14"/>
      <c r="F40" s="14">
        <f>(F11)/F29*100</f>
        <v>103.50427350427351</v>
      </c>
      <c r="G40" s="14"/>
    </row>
    <row r="41" spans="1:8" x14ac:dyDescent="0.25">
      <c r="A41" s="1" t="s">
        <v>13</v>
      </c>
      <c r="B41" s="14">
        <f>((D41*C18+F41*F18)/(C18+F18))</f>
        <v>77.125626133878967</v>
      </c>
      <c r="C41" s="40"/>
      <c r="D41" s="14">
        <f>(D12)/D29*100</f>
        <v>75.264100910198522</v>
      </c>
      <c r="E41" s="14"/>
      <c r="F41" s="14">
        <f t="shared" ref="F41" si="13">(F12)/F29*100</f>
        <v>93.646723646723657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98.775615878977376</v>
      </c>
      <c r="C44" s="14">
        <f>C12/C11*100</f>
        <v>99.08304274828879</v>
      </c>
      <c r="D44" s="14"/>
      <c r="E44" s="14"/>
      <c r="F44" s="14">
        <f>F12/F11*100</f>
        <v>90.476190476190482</v>
      </c>
      <c r="G44" s="14"/>
      <c r="H44" s="14"/>
    </row>
    <row r="45" spans="1:8" x14ac:dyDescent="0.25">
      <c r="A45" s="1" t="s">
        <v>16</v>
      </c>
      <c r="B45" s="14">
        <f>B18/B17*100</f>
        <v>97.525778370468018</v>
      </c>
      <c r="C45" s="14">
        <f>C18/C17*100</f>
        <v>94.750285025206708</v>
      </c>
      <c r="D45" s="14"/>
      <c r="E45" s="14"/>
      <c r="F45" s="14">
        <f>F18/F17*100</f>
        <v>91.703754628297162</v>
      </c>
      <c r="G45" s="14">
        <f>G18/G17*100</f>
        <v>120.79498202834591</v>
      </c>
      <c r="H45" s="14">
        <f>H18/H17*100</f>
        <v>126.96992868557535</v>
      </c>
    </row>
    <row r="46" spans="1:8" x14ac:dyDescent="0.25">
      <c r="A46" s="12" t="s">
        <v>17</v>
      </c>
      <c r="B46" s="15">
        <f>AVERAGE(B44:B45)</f>
        <v>98.150697124722697</v>
      </c>
      <c r="C46" s="15">
        <f>AVERAGE(C44:C45)</f>
        <v>96.916663886747756</v>
      </c>
      <c r="D46" s="15"/>
      <c r="E46" s="15"/>
      <c r="F46" s="15">
        <f t="shared" ref="F46:H46" si="14">AVERAGE(F44:F45)</f>
        <v>91.089972552243822</v>
      </c>
      <c r="G46" s="15">
        <f>AVERAGE(G44:G45)</f>
        <v>120.79498202834591</v>
      </c>
      <c r="H46" s="15">
        <f t="shared" si="14"/>
        <v>126.96992868557535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9" x14ac:dyDescent="0.25">
      <c r="A49" s="1" t="s">
        <v>19</v>
      </c>
      <c r="B49" s="16">
        <f>B12/(B13)*100</f>
        <v>97.874917597851535</v>
      </c>
      <c r="C49" s="16">
        <f t="shared" ref="C49:F49" si="15">C12/(C13)*100</f>
        <v>98.249090507748591</v>
      </c>
      <c r="D49" s="16"/>
      <c r="E49" s="16"/>
      <c r="F49" s="16">
        <f t="shared" si="15"/>
        <v>87.97002542486284</v>
      </c>
      <c r="G49" s="16"/>
      <c r="H49" s="16"/>
      <c r="I49" s="43"/>
    </row>
    <row r="50" spans="1:9" x14ac:dyDescent="0.25">
      <c r="A50" s="1" t="s">
        <v>20</v>
      </c>
      <c r="B50" s="14">
        <f>B18/B19*100</f>
        <v>22.444499696279959</v>
      </c>
      <c r="C50" s="14">
        <f>C18/C19*100</f>
        <v>21.667392768902431</v>
      </c>
      <c r="D50" s="14"/>
      <c r="E50" s="14"/>
      <c r="F50" s="14">
        <f>F18/F19*100</f>
        <v>20.333633706848119</v>
      </c>
      <c r="G50" s="14">
        <f>G18/G19*100</f>
        <v>30.198745507086478</v>
      </c>
      <c r="H50" s="14">
        <f>H18/H19*100</f>
        <v>31.742482171393831</v>
      </c>
    </row>
    <row r="51" spans="1:9" x14ac:dyDescent="0.25">
      <c r="A51" s="1" t="s">
        <v>21</v>
      </c>
      <c r="B51" s="14">
        <f>(B49+B50)/2</f>
        <v>60.159708647065749</v>
      </c>
      <c r="C51" s="14">
        <f t="shared" ref="C51" si="16">(C49+C50)/2</f>
        <v>59.958241638325511</v>
      </c>
      <c r="D51" s="14"/>
      <c r="E51" s="14"/>
      <c r="F51" s="14">
        <f t="shared" ref="F51" si="17">(F49+F50)/2</f>
        <v>54.151829565855479</v>
      </c>
      <c r="G51" s="16">
        <f>AVERAGE(G49:G50)</f>
        <v>30.198745507086478</v>
      </c>
      <c r="H51" s="16">
        <f t="shared" ref="H51" si="18">AVERAGE(H49:H50)</f>
        <v>31.742482171393831</v>
      </c>
    </row>
    <row r="53" spans="1:9" x14ac:dyDescent="0.25">
      <c r="A53" s="1" t="s">
        <v>33</v>
      </c>
    </row>
    <row r="54" spans="1:9" x14ac:dyDescent="0.25">
      <c r="A54" s="1" t="s">
        <v>22</v>
      </c>
      <c r="B54" s="14">
        <f>(B20/B18)*100</f>
        <v>95.117694446991365</v>
      </c>
      <c r="C54" s="14"/>
      <c r="D54" s="14"/>
      <c r="E54" s="14"/>
      <c r="F54" s="14"/>
      <c r="G54" s="14"/>
      <c r="H54" s="14"/>
    </row>
    <row r="56" spans="1:9" x14ac:dyDescent="0.25">
      <c r="A56" s="1" t="s">
        <v>23</v>
      </c>
    </row>
    <row r="57" spans="1:9" x14ac:dyDescent="0.25">
      <c r="A57" s="1" t="s">
        <v>24</v>
      </c>
      <c r="B57" s="14">
        <f>((B12/B10)-1)*100</f>
        <v>4.1562705187130566</v>
      </c>
      <c r="C57" s="14">
        <f>((C12/C10)-1)*100</f>
        <v>4.1408281656331258</v>
      </c>
      <c r="D57" s="14">
        <f t="shared" ref="D57:F57" si="19">((D12/D10)-1)*100</f>
        <v>4.7128562810663022</v>
      </c>
      <c r="E57" s="14">
        <f t="shared" si="19"/>
        <v>2.6951426951427049</v>
      </c>
      <c r="F57" s="14">
        <f t="shared" si="19"/>
        <v>4.6148949713558318</v>
      </c>
      <c r="G57" s="14"/>
      <c r="H57" s="14"/>
    </row>
    <row r="58" spans="1:9" x14ac:dyDescent="0.25">
      <c r="A58" s="1" t="s">
        <v>25</v>
      </c>
      <c r="B58" s="14">
        <f>((B33/B32)-1)*100</f>
        <v>13.250110973636042</v>
      </c>
      <c r="C58" s="14">
        <f>((C33/C32)-1)*100</f>
        <v>13.182957881092472</v>
      </c>
      <c r="D58" s="14">
        <f t="shared" ref="D58" si="20">((D33/D32)-1)*100</f>
        <v>13.763870216409035</v>
      </c>
      <c r="E58" s="14">
        <f t="shared" ref="E58:G58" si="21">((E33/E32)-1)*100</f>
        <v>11.714319217037716</v>
      </c>
      <c r="F58" s="14">
        <f t="shared" si="21"/>
        <v>8.527851126057918</v>
      </c>
      <c r="G58" s="14">
        <f t="shared" si="21"/>
        <v>12.829966087089527</v>
      </c>
      <c r="H58" s="14">
        <f>((H33/H32)-1)*100</f>
        <v>25.00570216188731</v>
      </c>
    </row>
    <row r="59" spans="1:9" x14ac:dyDescent="0.25">
      <c r="A59" s="12" t="s">
        <v>26</v>
      </c>
      <c r="B59" s="15">
        <f>((B35/B34)-1)*100</f>
        <v>8.7309582127262928</v>
      </c>
      <c r="C59" s="15">
        <f>((C35/C34)-1)*100</f>
        <v>8.6825982419479928</v>
      </c>
      <c r="D59" s="15">
        <f t="shared" ref="D59:F59" si="22">((D35/D34)-1)*100</f>
        <v>8.6436510823927328</v>
      </c>
      <c r="E59" s="15">
        <f t="shared" si="22"/>
        <v>8.782476254664795</v>
      </c>
      <c r="F59" s="15">
        <f t="shared" si="22"/>
        <v>3.7403432424928384</v>
      </c>
      <c r="G59" s="15"/>
      <c r="H59" s="15"/>
    </row>
    <row r="60" spans="1:9" x14ac:dyDescent="0.25">
      <c r="B60" s="16"/>
      <c r="C60" s="16"/>
      <c r="D60" s="16"/>
      <c r="E60" s="16"/>
      <c r="F60" s="16"/>
      <c r="G60" s="16"/>
      <c r="H60" s="16"/>
    </row>
    <row r="61" spans="1:9" x14ac:dyDescent="0.25">
      <c r="A61" s="1" t="s">
        <v>27</v>
      </c>
    </row>
    <row r="62" spans="1:9" x14ac:dyDescent="0.25">
      <c r="A62" s="1" t="s">
        <v>34</v>
      </c>
      <c r="B62" s="5">
        <f>B17/(B11*3)</f>
        <v>90572.158970022909</v>
      </c>
      <c r="C62" s="5">
        <f>C17/(C11*3)</f>
        <v>75000</v>
      </c>
      <c r="D62" s="5"/>
      <c r="E62" s="5"/>
      <c r="F62" s="5">
        <f t="shared" ref="F62" si="23">F17/(F11*3)</f>
        <v>235717</v>
      </c>
      <c r="G62" s="5"/>
      <c r="H62" s="5"/>
    </row>
    <row r="63" spans="1:9" x14ac:dyDescent="0.25">
      <c r="A63" s="1" t="s">
        <v>35</v>
      </c>
      <c r="B63" s="5">
        <f>B18/(B12*3)</f>
        <v>89426.122263493002</v>
      </c>
      <c r="C63" s="5">
        <f>C18/(C12*3)</f>
        <v>71720.358799873778</v>
      </c>
      <c r="D63" s="5">
        <f t="shared" ref="D63:F63" si="24">D18/(D12*3)</f>
        <v>71701.579583639832</v>
      </c>
      <c r="E63" s="5">
        <f t="shared" si="24"/>
        <v>71768.75196271298</v>
      </c>
      <c r="F63" s="5">
        <f t="shared" si="24"/>
        <v>238915.16448636042</v>
      </c>
      <c r="G63" s="5"/>
      <c r="H63" s="5"/>
    </row>
    <row r="64" spans="1:9" x14ac:dyDescent="0.25">
      <c r="A64" s="12" t="s">
        <v>28</v>
      </c>
      <c r="B64" s="15">
        <f>(B62/B63)*B46</f>
        <v>99.408543253228629</v>
      </c>
      <c r="C64" s="15">
        <f>(C62/C63)*C46</f>
        <v>101.34848616399943</v>
      </c>
      <c r="D64" s="15">
        <f t="shared" ref="D64" si="25">(D62/D63)*D46</f>
        <v>0</v>
      </c>
      <c r="E64" s="15">
        <f t="shared" ref="E64:F64" si="26">(E62/E63)*E46</f>
        <v>0</v>
      </c>
      <c r="F64" s="15">
        <f t="shared" si="26"/>
        <v>89.870624605425817</v>
      </c>
      <c r="G64" s="15"/>
      <c r="H64" s="15"/>
    </row>
    <row r="65" spans="1:9" x14ac:dyDescent="0.25">
      <c r="A65" s="16" t="s">
        <v>36</v>
      </c>
      <c r="B65" s="5">
        <f>B17/B11</f>
        <v>271716.47691006871</v>
      </c>
      <c r="C65" s="5">
        <f>C17/C11</f>
        <v>225000</v>
      </c>
      <c r="D65" s="5"/>
      <c r="E65" s="5"/>
      <c r="F65" s="5">
        <f t="shared" ref="F65" si="27">F17/F11</f>
        <v>707151</v>
      </c>
      <c r="G65" s="16"/>
      <c r="H65" s="16"/>
    </row>
    <row r="66" spans="1:9" x14ac:dyDescent="0.25">
      <c r="A66" s="16" t="s">
        <v>37</v>
      </c>
      <c r="B66" s="5">
        <f>B18/B12</f>
        <v>268278.36679047899</v>
      </c>
      <c r="C66" s="5">
        <f>C18/C12</f>
        <v>215161.07639962132</v>
      </c>
      <c r="D66" s="44">
        <f>D18/D12</f>
        <v>215104.7387509195</v>
      </c>
      <c r="E66" s="5">
        <f t="shared" ref="E66:F66" si="28">E18/E12</f>
        <v>215306.25588813896</v>
      </c>
      <c r="F66" s="5">
        <f t="shared" si="28"/>
        <v>716745.49345908128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110.55702495977806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88.213099444335668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128</v>
      </c>
    </row>
    <row r="75" spans="1:9" x14ac:dyDescent="0.25">
      <c r="A75" s="1" t="s">
        <v>91</v>
      </c>
      <c r="B75" s="20"/>
      <c r="C75" s="20"/>
      <c r="D75" s="20"/>
      <c r="E75" s="20"/>
      <c r="F75" s="20"/>
    </row>
    <row r="76" spans="1:9" x14ac:dyDescent="0.25">
      <c r="A76" s="1" t="s">
        <v>129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  <row r="114" spans="11:13" x14ac:dyDescent="0.25">
      <c r="K114" s="1">
        <f>(25+100)/2</f>
        <v>62.5</v>
      </c>
      <c r="L114" s="1">
        <f>(100+50)/2</f>
        <v>75</v>
      </c>
      <c r="M114" s="1">
        <f>(100+75)/2</f>
        <v>87.5</v>
      </c>
    </row>
    <row r="148" spans="2:6" x14ac:dyDescent="0.25">
      <c r="B148" s="26"/>
      <c r="C148" s="26"/>
      <c r="D148" s="26"/>
      <c r="E148" s="26"/>
      <c r="F148" s="26"/>
    </row>
    <row r="149" spans="2:6" x14ac:dyDescent="0.25">
      <c r="B149" s="26"/>
      <c r="C149" s="26"/>
      <c r="D149" s="26"/>
      <c r="E149" s="26"/>
      <c r="F149" s="26"/>
    </row>
  </sheetData>
  <mergeCells count="5">
    <mergeCell ref="A4:A5"/>
    <mergeCell ref="A2:H2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zoomScale="90" zoomScaleNormal="90" workbookViewId="0">
      <selection activeCell="H51" sqref="H51"/>
    </sheetView>
  </sheetViews>
  <sheetFormatPr baseColWidth="10" defaultColWidth="11.42578125" defaultRowHeight="15" x14ac:dyDescent="0.25"/>
  <cols>
    <col min="1" max="1" width="55.140625" style="1" customWidth="1"/>
    <col min="2" max="2" width="20.85546875" style="1" customWidth="1"/>
    <col min="3" max="3" width="20.140625" style="1" customWidth="1"/>
    <col min="4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9" width="11.42578125" style="1"/>
    <col min="10" max="12" width="13.5703125" style="1" bestFit="1" customWidth="1"/>
    <col min="13" max="14" width="11.5703125" style="1" bestFit="1" customWidth="1"/>
    <col min="15" max="16384" width="11.42578125" style="1"/>
  </cols>
  <sheetData>
    <row r="2" spans="1:8" ht="15.75" x14ac:dyDescent="0.25">
      <c r="A2" s="51" t="s">
        <v>92</v>
      </c>
      <c r="B2" s="51"/>
      <c r="C2" s="51"/>
      <c r="D2" s="51"/>
      <c r="E2" s="51"/>
      <c r="F2" s="51"/>
      <c r="G2" s="51"/>
      <c r="H2" s="51"/>
    </row>
    <row r="4" spans="1:8" x14ac:dyDescent="0.25">
      <c r="A4" s="49" t="s">
        <v>0</v>
      </c>
      <c r="B4" s="49" t="s">
        <v>38</v>
      </c>
      <c r="C4" s="36"/>
      <c r="D4" s="36"/>
      <c r="E4" s="37" t="s">
        <v>1</v>
      </c>
      <c r="F4" s="29"/>
      <c r="G4" s="49" t="s">
        <v>2</v>
      </c>
      <c r="H4" s="49" t="s">
        <v>3</v>
      </c>
    </row>
    <row r="5" spans="1:8" ht="15.75" thickBot="1" x14ac:dyDescent="0.3">
      <c r="A5" s="50"/>
      <c r="B5" s="50"/>
      <c r="C5" s="52" t="s">
        <v>39</v>
      </c>
      <c r="D5" s="52"/>
      <c r="E5" s="52"/>
      <c r="F5" s="35" t="s">
        <v>57</v>
      </c>
      <c r="G5" s="50"/>
      <c r="H5" s="50"/>
    </row>
    <row r="6" spans="1:8" ht="15.75" thickTop="1" x14ac:dyDescent="0.25">
      <c r="C6" s="38" t="s">
        <v>82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62</v>
      </c>
      <c r="B10" s="22">
        <f>+C10+F10</f>
        <v>97053.333333333343</v>
      </c>
      <c r="C10" s="22">
        <f>SUM(D10:E10)</f>
        <v>93879.666666666672</v>
      </c>
      <c r="D10" s="22">
        <v>67277</v>
      </c>
      <c r="E10" s="5">
        <v>26602.666666666668</v>
      </c>
      <c r="F10" s="5">
        <v>3173.6666666666665</v>
      </c>
      <c r="G10" s="5"/>
    </row>
    <row r="11" spans="1:8" x14ac:dyDescent="0.25">
      <c r="A11" s="4" t="s">
        <v>93</v>
      </c>
      <c r="B11" s="22">
        <f t="shared" ref="B11:B12" si="0">+C11+F11</f>
        <v>102335</v>
      </c>
      <c r="C11" s="22">
        <v>98633</v>
      </c>
      <c r="D11" s="22"/>
      <c r="E11" s="22"/>
      <c r="F11" s="22">
        <v>3702</v>
      </c>
      <c r="G11" s="5"/>
    </row>
    <row r="12" spans="1:8" x14ac:dyDescent="0.25">
      <c r="A12" s="4" t="s">
        <v>94</v>
      </c>
      <c r="B12" s="22">
        <f t="shared" si="0"/>
        <v>101387</v>
      </c>
      <c r="C12" s="22">
        <f t="shared" ref="C12" si="1">SUM(D12:E12)</f>
        <v>98065.333333333328</v>
      </c>
      <c r="D12" s="22">
        <v>70693.333333333328</v>
      </c>
      <c r="E12" s="5">
        <v>27372</v>
      </c>
      <c r="F12" s="5">
        <v>3321.6666666666665</v>
      </c>
      <c r="G12" s="5"/>
    </row>
    <row r="13" spans="1:8" x14ac:dyDescent="0.25">
      <c r="A13" s="4" t="s">
        <v>86</v>
      </c>
      <c r="B13" s="22">
        <f>+C13+F13</f>
        <v>102647</v>
      </c>
      <c r="C13" s="22">
        <v>98910.5</v>
      </c>
      <c r="D13" s="22"/>
      <c r="E13" s="22"/>
      <c r="F13" s="22">
        <v>3736.5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62</v>
      </c>
      <c r="B16" s="5">
        <f>+C16+F16+G16+H16</f>
        <v>26522421867.070004</v>
      </c>
      <c r="C16" s="22">
        <f t="shared" ref="C16" si="2">SUM(D16:E16)</f>
        <v>20299645624.640003</v>
      </c>
      <c r="D16" s="5">
        <v>14545896040.53932</v>
      </c>
      <c r="E16" s="22">
        <v>5753749584.1006832</v>
      </c>
      <c r="F16" s="22">
        <v>2125828118.8499999</v>
      </c>
      <c r="G16" s="22">
        <v>3074448123.54</v>
      </c>
      <c r="H16" s="24">
        <v>1022500000.04</v>
      </c>
    </row>
    <row r="17" spans="1:8" x14ac:dyDescent="0.25">
      <c r="A17" s="4" t="s">
        <v>93</v>
      </c>
      <c r="B17" s="5">
        <f t="shared" ref="B17:B19" si="3">+C17+F17+G17+H17</f>
        <v>27810223002</v>
      </c>
      <c r="C17" s="22">
        <v>22192425000</v>
      </c>
      <c r="D17" s="5"/>
      <c r="E17" s="22"/>
      <c r="F17" s="22">
        <v>2617873002</v>
      </c>
      <c r="G17" s="22">
        <v>1963524999.9900002</v>
      </c>
      <c r="H17" s="22">
        <v>1036400000.01</v>
      </c>
    </row>
    <row r="18" spans="1:8" x14ac:dyDescent="0.25">
      <c r="A18" s="4" t="s">
        <v>94</v>
      </c>
      <c r="B18" s="5">
        <f t="shared" si="3"/>
        <v>29547403936.639999</v>
      </c>
      <c r="C18" s="42">
        <f>D18+E18</f>
        <v>22767745618.18</v>
      </c>
      <c r="D18" s="22">
        <v>16412829250.658417</v>
      </c>
      <c r="E18" s="22">
        <v>6354916367.5215845</v>
      </c>
      <c r="F18" s="22">
        <v>2393023781.8499999</v>
      </c>
      <c r="G18" s="22">
        <v>3351352991.79</v>
      </c>
      <c r="H18" s="24">
        <v>1035281544.8200001</v>
      </c>
    </row>
    <row r="19" spans="1:8" x14ac:dyDescent="0.25">
      <c r="A19" s="4" t="s">
        <v>86</v>
      </c>
      <c r="B19" s="5">
        <f t="shared" si="3"/>
        <v>120086280989</v>
      </c>
      <c r="C19" s="22">
        <v>96500150000</v>
      </c>
      <c r="D19" s="22"/>
      <c r="E19" s="22"/>
      <c r="F19" s="22">
        <v>11586430989</v>
      </c>
      <c r="G19" s="22">
        <v>7854099999.96</v>
      </c>
      <c r="H19" s="22">
        <v>4145600000.0400004</v>
      </c>
    </row>
    <row r="20" spans="1:8" x14ac:dyDescent="0.25">
      <c r="A20" s="4" t="s">
        <v>95</v>
      </c>
      <c r="B20" s="41">
        <f>C20+F20+G20</f>
        <v>28512122391.82</v>
      </c>
      <c r="C20" s="22">
        <f>C18</f>
        <v>22767745618.18</v>
      </c>
      <c r="D20" s="22">
        <f>+D18</f>
        <v>16412829250.658417</v>
      </c>
      <c r="E20" s="22">
        <f t="shared" ref="E20:G20" si="4">+E18</f>
        <v>6354916367.5215845</v>
      </c>
      <c r="F20" s="5">
        <f t="shared" si="4"/>
        <v>2393023781.8499999</v>
      </c>
      <c r="G20" s="41">
        <f t="shared" si="4"/>
        <v>3351352991.79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93</v>
      </c>
      <c r="B23" s="8">
        <f>B17</f>
        <v>27810223002</v>
      </c>
      <c r="C23" s="8"/>
      <c r="D23" s="8"/>
      <c r="E23" s="8"/>
      <c r="F23" s="8"/>
      <c r="G23" s="8"/>
      <c r="H23" s="8"/>
    </row>
    <row r="24" spans="1:8" x14ac:dyDescent="0.25">
      <c r="A24" s="9" t="s">
        <v>94</v>
      </c>
      <c r="B24" s="8">
        <v>28381234427.849998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63</v>
      </c>
      <c r="B27" s="23">
        <v>1.62</v>
      </c>
      <c r="C27" s="23">
        <v>1.62</v>
      </c>
      <c r="D27" s="23">
        <v>1.62</v>
      </c>
      <c r="E27" s="23">
        <v>1.62</v>
      </c>
      <c r="F27" s="23">
        <v>1.62</v>
      </c>
      <c r="G27" s="23">
        <v>1.62</v>
      </c>
      <c r="H27" s="23">
        <v>1.62</v>
      </c>
    </row>
    <row r="28" spans="1:8" x14ac:dyDescent="0.25">
      <c r="A28" s="10" t="s">
        <v>96</v>
      </c>
      <c r="B28" s="23">
        <v>1.6846000000000001</v>
      </c>
      <c r="C28" s="23">
        <v>1.6846000000000001</v>
      </c>
      <c r="D28" s="23">
        <v>1.6846000000000001</v>
      </c>
      <c r="E28" s="23">
        <v>1.6846000000000001</v>
      </c>
      <c r="F28" s="23">
        <v>1.6846000000000001</v>
      </c>
      <c r="G28" s="23">
        <v>1.6846000000000001</v>
      </c>
      <c r="H28" s="23">
        <v>1.6846000000000001</v>
      </c>
    </row>
    <row r="29" spans="1:8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64</v>
      </c>
      <c r="B32" s="13">
        <f t="shared" ref="B32:H32" si="5">B16/B27</f>
        <v>16371865350.043211</v>
      </c>
      <c r="C32" s="13">
        <f t="shared" ref="C32" si="6">C16/C27</f>
        <v>12530645447.308643</v>
      </c>
      <c r="D32" s="13">
        <f t="shared" si="5"/>
        <v>8978948173.1724186</v>
      </c>
      <c r="E32" s="13">
        <f t="shared" si="5"/>
        <v>3551697274.1362238</v>
      </c>
      <c r="F32" s="13">
        <f t="shared" si="5"/>
        <v>1312239579.5370369</v>
      </c>
      <c r="G32" s="13">
        <f t="shared" si="5"/>
        <v>1897807483.6666665</v>
      </c>
      <c r="H32" s="13">
        <f t="shared" si="5"/>
        <v>631172839.53086412</v>
      </c>
    </row>
    <row r="33" spans="1:14" x14ac:dyDescent="0.25">
      <c r="A33" s="12" t="s">
        <v>97</v>
      </c>
      <c r="B33" s="13">
        <f>B18/B28</f>
        <v>17539715028.279709</v>
      </c>
      <c r="C33" s="13">
        <f>C18/C28</f>
        <v>13515223565.344889</v>
      </c>
      <c r="D33" s="13">
        <f t="shared" ref="D33" si="7">D18/D28</f>
        <v>9742864330.202076</v>
      </c>
      <c r="E33" s="13">
        <f>E18/E28</f>
        <v>3772359235.1428137</v>
      </c>
      <c r="F33" s="13">
        <f>F18/F28</f>
        <v>1420529373.0559182</v>
      </c>
      <c r="G33" s="13">
        <f>G18/G28</f>
        <v>1989405788.7866554</v>
      </c>
      <c r="H33" s="13">
        <f>H18/H28</f>
        <v>614556301.09224737</v>
      </c>
    </row>
    <row r="34" spans="1:14" x14ac:dyDescent="0.25">
      <c r="A34" s="12" t="s">
        <v>65</v>
      </c>
      <c r="B34" s="13">
        <f>B32/B10</f>
        <v>168689.36684341816</v>
      </c>
      <c r="C34" s="13">
        <f>C32/C10</f>
        <v>133475.60651019897</v>
      </c>
      <c r="D34" s="13">
        <f>D32/D10</f>
        <v>133462.37455850319</v>
      </c>
      <c r="E34" s="13">
        <f>E32/E10</f>
        <v>133509.06954702124</v>
      </c>
      <c r="F34" s="13">
        <f>F32/F10</f>
        <v>413477.4433999696</v>
      </c>
      <c r="G34" s="13"/>
      <c r="H34" s="13"/>
    </row>
    <row r="35" spans="1:14" x14ac:dyDescent="0.25">
      <c r="A35" s="12" t="s">
        <v>98</v>
      </c>
      <c r="B35" s="13">
        <f>B33/B12</f>
        <v>172997.67256432984</v>
      </c>
      <c r="C35" s="13">
        <f>C33/C12</f>
        <v>137818.56550066848</v>
      </c>
      <c r="D35" s="13">
        <f>D33/D12</f>
        <v>137818.7145916929</v>
      </c>
      <c r="E35" s="13">
        <f>E33/E12</f>
        <v>137818.18044508307</v>
      </c>
      <c r="F35" s="13">
        <f>F33/F12</f>
        <v>427655.60653966432</v>
      </c>
      <c r="G35" s="13"/>
      <c r="H35" s="13"/>
    </row>
    <row r="37" spans="1:14" x14ac:dyDescent="0.25">
      <c r="A37" s="3" t="s">
        <v>10</v>
      </c>
    </row>
    <row r="39" spans="1:14" x14ac:dyDescent="0.25">
      <c r="A39" s="1" t="s">
        <v>11</v>
      </c>
    </row>
    <row r="40" spans="1:14" x14ac:dyDescent="0.25">
      <c r="A40" s="1" t="s">
        <v>12</v>
      </c>
      <c r="B40" s="14">
        <f>((D40*C17+F40*F17)/(C17+F17))</f>
        <v>105.97466478077192</v>
      </c>
      <c r="C40" s="14"/>
      <c r="D40" s="14">
        <f>(C11)/D29*100</f>
        <v>106.03418619651688</v>
      </c>
      <c r="E40" s="14"/>
      <c r="F40" s="14">
        <f>(F11)/F29*100</f>
        <v>105.47008547008548</v>
      </c>
      <c r="G40" s="14"/>
      <c r="J40" s="26"/>
      <c r="K40" s="26"/>
      <c r="L40" s="26"/>
      <c r="M40" s="26"/>
      <c r="N40" s="26"/>
    </row>
    <row r="41" spans="1:14" x14ac:dyDescent="0.25">
      <c r="A41" s="1" t="s">
        <v>13</v>
      </c>
      <c r="B41" s="14">
        <f>((D41*C18+F41*F18)/(C18+F18))</f>
        <v>77.770487223707235</v>
      </c>
      <c r="C41" s="40"/>
      <c r="D41" s="14">
        <f>(D12)/D29*100</f>
        <v>75.997993263097541</v>
      </c>
      <c r="E41" s="14"/>
      <c r="F41" s="14">
        <f t="shared" ref="F41" si="8">(F12)/F29*100</f>
        <v>94.634377967711288</v>
      </c>
      <c r="G41" s="14"/>
      <c r="J41" s="26"/>
      <c r="K41" s="26"/>
      <c r="L41" s="26"/>
      <c r="M41" s="26"/>
      <c r="N41" s="26"/>
    </row>
    <row r="42" spans="1:14" x14ac:dyDescent="0.25">
      <c r="J42" s="26"/>
      <c r="K42" s="26"/>
      <c r="L42" s="26"/>
      <c r="M42" s="26"/>
      <c r="N42" s="26"/>
    </row>
    <row r="43" spans="1:14" x14ac:dyDescent="0.25">
      <c r="A43" s="1" t="s">
        <v>14</v>
      </c>
      <c r="J43" s="26"/>
      <c r="K43" s="26"/>
      <c r="L43" s="26"/>
      <c r="M43" s="26"/>
      <c r="N43" s="26"/>
    </row>
    <row r="44" spans="1:14" x14ac:dyDescent="0.25">
      <c r="A44" s="1" t="s">
        <v>15</v>
      </c>
      <c r="B44" s="14">
        <f>B12/B11*100</f>
        <v>99.073630722626675</v>
      </c>
      <c r="C44" s="14">
        <f>C12/C11*100</f>
        <v>99.42446578055349</v>
      </c>
      <c r="D44" s="14"/>
      <c r="E44" s="14"/>
      <c r="F44" s="14">
        <f>F12/F11*100</f>
        <v>89.726274086079599</v>
      </c>
      <c r="G44" s="14"/>
      <c r="J44" s="26"/>
      <c r="K44" s="26"/>
      <c r="L44" s="26"/>
      <c r="M44" s="26"/>
      <c r="N44" s="26"/>
    </row>
    <row r="45" spans="1:14" x14ac:dyDescent="0.25">
      <c r="A45" s="1" t="s">
        <v>16</v>
      </c>
      <c r="B45" s="14">
        <f>B18/B17*100</f>
        <v>106.24655521286208</v>
      </c>
      <c r="C45" s="14">
        <f>C18/C17*100</f>
        <v>102.59241889149114</v>
      </c>
      <c r="D45" s="14"/>
      <c r="E45" s="14"/>
      <c r="F45" s="14">
        <f>F18/F17*100</f>
        <v>91.410995874199401</v>
      </c>
      <c r="G45" s="14">
        <f>G18/G17*100</f>
        <v>170.68043400552921</v>
      </c>
      <c r="H45" s="14">
        <f>H18/H17*100</f>
        <v>99.892082671749407</v>
      </c>
      <c r="J45" s="26"/>
      <c r="K45" s="26"/>
      <c r="L45" s="26"/>
      <c r="M45" s="26"/>
      <c r="N45" s="26"/>
    </row>
    <row r="46" spans="1:14" x14ac:dyDescent="0.25">
      <c r="A46" s="12" t="s">
        <v>17</v>
      </c>
      <c r="B46" s="15">
        <f>AVERAGE(B44:B45)</f>
        <v>102.66009296774438</v>
      </c>
      <c r="C46" s="15">
        <f>AVERAGE(C44:C45)</f>
        <v>101.00844233602231</v>
      </c>
      <c r="D46" s="15"/>
      <c r="E46" s="15"/>
      <c r="F46" s="15">
        <f t="shared" ref="F46:H46" si="9">AVERAGE(F44:F45)</f>
        <v>90.568634980139507</v>
      </c>
      <c r="G46" s="15">
        <f>AVERAGE(G44:G45)</f>
        <v>170.68043400552921</v>
      </c>
      <c r="H46" s="15">
        <f t="shared" si="9"/>
        <v>99.892082671749407</v>
      </c>
      <c r="J46" s="26"/>
      <c r="K46" s="26"/>
      <c r="L46" s="26"/>
      <c r="M46" s="26"/>
      <c r="N46" s="26"/>
    </row>
    <row r="47" spans="1:14" x14ac:dyDescent="0.25">
      <c r="B47" s="14"/>
      <c r="C47" s="14"/>
      <c r="D47" s="14"/>
      <c r="E47" s="14"/>
      <c r="F47" s="14"/>
      <c r="G47" s="14"/>
      <c r="H47" s="14"/>
      <c r="J47" s="26"/>
      <c r="K47" s="26"/>
      <c r="L47" s="26"/>
      <c r="M47" s="26"/>
      <c r="N47" s="26"/>
    </row>
    <row r="48" spans="1:14" x14ac:dyDescent="0.25">
      <c r="A48" s="1" t="s">
        <v>18</v>
      </c>
      <c r="J48" s="26"/>
      <c r="K48" s="26"/>
      <c r="L48" s="26"/>
      <c r="M48" s="26"/>
      <c r="N48" s="26"/>
    </row>
    <row r="49" spans="1:14" x14ac:dyDescent="0.25">
      <c r="A49" s="1" t="s">
        <v>19</v>
      </c>
      <c r="B49" s="16">
        <f>B12/(B13)*100</f>
        <v>98.772492133233314</v>
      </c>
      <c r="C49" s="16">
        <f t="shared" ref="C49:F49" si="10">C12/(C13)*100</f>
        <v>99.145523815301033</v>
      </c>
      <c r="D49" s="16"/>
      <c r="E49" s="16"/>
      <c r="F49" s="16">
        <f t="shared" si="10"/>
        <v>88.897809893393998</v>
      </c>
      <c r="G49" s="16"/>
      <c r="H49" s="16"/>
      <c r="I49" s="43"/>
      <c r="J49" s="26"/>
      <c r="K49" s="26"/>
      <c r="L49" s="26"/>
      <c r="M49" s="26"/>
      <c r="N49" s="26"/>
    </row>
    <row r="50" spans="1:14" x14ac:dyDescent="0.25">
      <c r="A50" s="1" t="s">
        <v>20</v>
      </c>
      <c r="B50" s="14">
        <f>B18/B19*100</f>
        <v>24.605145311600218</v>
      </c>
      <c r="C50" s="14">
        <f>C18/C19*100</f>
        <v>23.593482101509686</v>
      </c>
      <c r="D50" s="14"/>
      <c r="E50" s="14"/>
      <c r="F50" s="14">
        <f>F18/F19*100</f>
        <v>20.653674838454602</v>
      </c>
      <c r="G50" s="14">
        <f>G18/G19*100</f>
        <v>42.670108501382309</v>
      </c>
      <c r="H50" s="14">
        <f>H18/H19*100</f>
        <v>24.973020667937348</v>
      </c>
      <c r="J50" s="26"/>
      <c r="K50" s="26"/>
      <c r="L50" s="26"/>
      <c r="M50" s="26"/>
      <c r="N50" s="26"/>
    </row>
    <row r="51" spans="1:14" x14ac:dyDescent="0.25">
      <c r="A51" s="1" t="s">
        <v>21</v>
      </c>
      <c r="B51" s="14">
        <f>(B49+B50)/2</f>
        <v>61.688818722416769</v>
      </c>
      <c r="C51" s="14">
        <f t="shared" ref="C51" si="11">(C49+C50)/2</f>
        <v>61.369502958405363</v>
      </c>
      <c r="D51" s="14"/>
      <c r="E51" s="14"/>
      <c r="F51" s="14">
        <f t="shared" ref="F51" si="12">(F49+F50)/2</f>
        <v>54.775742365924302</v>
      </c>
      <c r="G51" s="16">
        <f>AVERAGE(G49:G50)</f>
        <v>42.670108501382309</v>
      </c>
      <c r="H51" s="16">
        <f t="shared" ref="H51" si="13">AVERAGE(H49:H50)</f>
        <v>24.973020667937348</v>
      </c>
      <c r="J51" s="26"/>
      <c r="K51" s="26"/>
      <c r="L51" s="26"/>
      <c r="M51" s="26"/>
      <c r="N51" s="26"/>
    </row>
    <row r="52" spans="1:14" x14ac:dyDescent="0.25">
      <c r="J52" s="26"/>
      <c r="K52" s="26"/>
      <c r="L52" s="26"/>
      <c r="M52" s="26"/>
      <c r="N52" s="26"/>
    </row>
    <row r="53" spans="1:14" x14ac:dyDescent="0.25">
      <c r="A53" s="1" t="s">
        <v>33</v>
      </c>
      <c r="J53" s="26"/>
      <c r="K53" s="26"/>
      <c r="L53" s="26"/>
      <c r="M53" s="26"/>
      <c r="N53" s="26"/>
    </row>
    <row r="54" spans="1:14" x14ac:dyDescent="0.25">
      <c r="A54" s="1" t="s">
        <v>22</v>
      </c>
      <c r="B54" s="14">
        <f>(B20/B18)*100</f>
        <v>96.496201334506381</v>
      </c>
      <c r="C54" s="14"/>
      <c r="D54" s="14"/>
      <c r="E54" s="14"/>
      <c r="F54" s="14"/>
      <c r="G54" s="14"/>
      <c r="H54" s="14"/>
      <c r="J54" s="26"/>
      <c r="K54" s="26"/>
      <c r="L54" s="26"/>
      <c r="M54" s="26"/>
      <c r="N54" s="26"/>
    </row>
    <row r="55" spans="1:14" x14ac:dyDescent="0.25">
      <c r="J55" s="26"/>
      <c r="K55" s="26"/>
      <c r="L55" s="26"/>
      <c r="M55" s="26"/>
      <c r="N55" s="26"/>
    </row>
    <row r="56" spans="1:14" x14ac:dyDescent="0.25">
      <c r="A56" s="1" t="s">
        <v>23</v>
      </c>
      <c r="J56" s="26"/>
      <c r="K56" s="26"/>
      <c r="L56" s="26"/>
      <c r="M56" s="26"/>
      <c r="N56" s="26"/>
    </row>
    <row r="57" spans="1:14" x14ac:dyDescent="0.25">
      <c r="A57" s="1" t="s">
        <v>24</v>
      </c>
      <c r="B57" s="14">
        <f>((B12/B10)-1)*100</f>
        <v>4.4652424783623967</v>
      </c>
      <c r="C57" s="14">
        <f>((C12/C10)-1)*100</f>
        <v>4.4585444487446502</v>
      </c>
      <c r="D57" s="14">
        <f t="shared" ref="D57:F57" si="14">((D12/D10)-1)*100</f>
        <v>5.0780108110250577</v>
      </c>
      <c r="E57" s="14">
        <f t="shared" si="14"/>
        <v>2.8919406575781847</v>
      </c>
      <c r="F57" s="14">
        <f t="shared" si="14"/>
        <v>4.663375695830263</v>
      </c>
      <c r="G57" s="14"/>
      <c r="H57" s="14"/>
      <c r="J57" s="26"/>
      <c r="K57" s="26"/>
      <c r="L57" s="26"/>
      <c r="M57" s="26"/>
      <c r="N57" s="26"/>
    </row>
    <row r="58" spans="1:14" x14ac:dyDescent="0.25">
      <c r="A58" s="1" t="s">
        <v>25</v>
      </c>
      <c r="B58" s="16">
        <f>((B33/B32)-1)*100</f>
        <v>7.1332719471298045</v>
      </c>
      <c r="C58" s="16">
        <f>((C33/C32)-1)*100</f>
        <v>7.8573615555271648</v>
      </c>
      <c r="D58" s="16">
        <f t="shared" ref="D58:G58" si="15">((D33/D32)-1)*100</f>
        <v>8.5078579617166028</v>
      </c>
      <c r="E58" s="16">
        <f t="shared" si="15"/>
        <v>6.2128594858990471</v>
      </c>
      <c r="F58" s="16">
        <f t="shared" si="15"/>
        <v>8.2522883174340969</v>
      </c>
      <c r="G58" s="16">
        <f t="shared" si="15"/>
        <v>4.8265330339522183</v>
      </c>
      <c r="H58" s="16">
        <f>((H33/H32)-1)*100</f>
        <v>-2.6326447207340897</v>
      </c>
      <c r="J58" s="26"/>
      <c r="K58" s="26"/>
      <c r="L58" s="26"/>
      <c r="M58" s="26"/>
      <c r="N58" s="26"/>
    </row>
    <row r="59" spans="1:14" x14ac:dyDescent="0.25">
      <c r="A59" s="12" t="s">
        <v>26</v>
      </c>
      <c r="B59" s="15">
        <f>((B35/B34)-1)*100</f>
        <v>2.5539877240221998</v>
      </c>
      <c r="C59" s="15">
        <f>((C35/C34)-1)*100</f>
        <v>3.2537473355760183</v>
      </c>
      <c r="D59" s="15">
        <f t="shared" ref="D59:F59" si="16">((D35/D34)-1)*100</f>
        <v>3.2640960027877419</v>
      </c>
      <c r="E59" s="15">
        <f t="shared" si="16"/>
        <v>3.2275791544964516</v>
      </c>
      <c r="F59" s="15">
        <f t="shared" si="16"/>
        <v>3.4290052253176384</v>
      </c>
      <c r="G59" s="15"/>
      <c r="H59" s="15"/>
      <c r="J59" s="26"/>
      <c r="K59" s="26"/>
      <c r="L59" s="26"/>
      <c r="M59" s="26"/>
      <c r="N59" s="26"/>
    </row>
    <row r="60" spans="1:14" x14ac:dyDescent="0.25">
      <c r="A60" s="25"/>
      <c r="B60" s="16"/>
      <c r="C60" s="16"/>
      <c r="D60" s="16"/>
      <c r="E60" s="16"/>
      <c r="F60" s="16"/>
      <c r="G60" s="16"/>
      <c r="H60" s="16"/>
      <c r="J60" s="26"/>
      <c r="K60" s="26"/>
      <c r="L60" s="26"/>
      <c r="M60" s="26"/>
      <c r="N60" s="26"/>
    </row>
    <row r="61" spans="1:14" x14ac:dyDescent="0.25">
      <c r="A61" s="1" t="s">
        <v>27</v>
      </c>
      <c r="J61" s="26"/>
      <c r="K61" s="26"/>
      <c r="L61" s="26"/>
      <c r="M61" s="26"/>
      <c r="N61" s="26"/>
    </row>
    <row r="62" spans="1:14" x14ac:dyDescent="0.25">
      <c r="A62" s="1" t="s">
        <v>34</v>
      </c>
      <c r="B62" s="5">
        <f>B17/(B11*3)</f>
        <v>90585.570274099766</v>
      </c>
      <c r="C62" s="5">
        <f>C17/(C11*3)</f>
        <v>75000</v>
      </c>
      <c r="D62" s="5"/>
      <c r="E62" s="5"/>
      <c r="F62" s="5">
        <f t="shared" ref="F62" si="17">F17/(F11*3)</f>
        <v>235717</v>
      </c>
      <c r="G62" s="5"/>
      <c r="H62" s="5"/>
      <c r="J62" s="26"/>
      <c r="K62" s="26"/>
      <c r="L62" s="26"/>
      <c r="M62" s="26"/>
      <c r="N62" s="26"/>
    </row>
    <row r="63" spans="1:14" x14ac:dyDescent="0.25">
      <c r="A63" s="1" t="s">
        <v>35</v>
      </c>
      <c r="B63" s="5">
        <f>B18/(B12*3)</f>
        <v>97143.959733956683</v>
      </c>
      <c r="C63" s="5">
        <f>C18/(C12*3)</f>
        <v>77389.718480808719</v>
      </c>
      <c r="D63" s="5">
        <f t="shared" ref="D63:F63" si="18">D18/(D12*3)</f>
        <v>77389.802200388614</v>
      </c>
      <c r="E63" s="5">
        <f t="shared" si="18"/>
        <v>77389.502259262314</v>
      </c>
      <c r="F63" s="5">
        <f t="shared" si="18"/>
        <v>240142.87825890616</v>
      </c>
      <c r="G63" s="5"/>
      <c r="H63" s="5"/>
      <c r="J63" s="26"/>
      <c r="K63" s="26"/>
      <c r="L63" s="26"/>
      <c r="M63" s="26"/>
      <c r="N63" s="26"/>
    </row>
    <row r="64" spans="1:14" x14ac:dyDescent="0.25">
      <c r="A64" s="12" t="s">
        <v>28</v>
      </c>
      <c r="B64" s="15">
        <f>(B62/B63)*B46</f>
        <v>95.729297954740204</v>
      </c>
      <c r="C64" s="15">
        <f>(C62/C63)*C46</f>
        <v>97.889400865055435</v>
      </c>
      <c r="D64" s="15">
        <f t="shared" ref="D64:F64" si="19">(D62/D63)*D46</f>
        <v>0</v>
      </c>
      <c r="E64" s="15">
        <f t="shared" si="19"/>
        <v>0</v>
      </c>
      <c r="F64" s="15">
        <f t="shared" si="19"/>
        <v>88.899438061190097</v>
      </c>
      <c r="G64" s="15"/>
      <c r="H64" s="15"/>
      <c r="J64" s="26"/>
      <c r="K64" s="26"/>
      <c r="L64" s="26"/>
      <c r="M64" s="26"/>
      <c r="N64" s="26"/>
    </row>
    <row r="65" spans="1:14" x14ac:dyDescent="0.25">
      <c r="A65" s="16" t="s">
        <v>36</v>
      </c>
      <c r="B65" s="5">
        <f>B17/B11</f>
        <v>271756.7108222993</v>
      </c>
      <c r="C65" s="5">
        <f>C17/C11</f>
        <v>225000</v>
      </c>
      <c r="D65" s="5"/>
      <c r="E65" s="5"/>
      <c r="F65" s="5">
        <f t="shared" ref="F65" si="20">F17/F11</f>
        <v>707151</v>
      </c>
      <c r="G65" s="16"/>
      <c r="H65" s="16"/>
      <c r="J65" s="26"/>
      <c r="K65" s="26"/>
      <c r="L65" s="26"/>
      <c r="M65" s="26"/>
      <c r="N65" s="26"/>
    </row>
    <row r="66" spans="1:14" x14ac:dyDescent="0.25">
      <c r="A66" s="16" t="s">
        <v>37</v>
      </c>
      <c r="B66" s="5">
        <f>B18/B12</f>
        <v>291431.87920187006</v>
      </c>
      <c r="C66" s="5">
        <f>C18/C12</f>
        <v>232169.15544242616</v>
      </c>
      <c r="D66" s="22">
        <f>D18/D12</f>
        <v>232169.40660116586</v>
      </c>
      <c r="E66" s="22">
        <f>E18/E12</f>
        <v>232168.50677778694</v>
      </c>
      <c r="F66" s="5">
        <f t="shared" ref="F66" si="21">F18/F12</f>
        <v>720428.63477671857</v>
      </c>
      <c r="G66" s="16"/>
      <c r="H66" s="16"/>
      <c r="I66" s="43"/>
      <c r="J66" s="26"/>
      <c r="K66" s="26"/>
      <c r="L66" s="26"/>
      <c r="M66" s="26"/>
      <c r="N66" s="26"/>
    </row>
    <row r="67" spans="1:14" x14ac:dyDescent="0.25">
      <c r="B67" s="14"/>
      <c r="C67" s="14"/>
      <c r="D67" s="14"/>
      <c r="E67" s="14"/>
      <c r="F67" s="14"/>
      <c r="G67" s="14"/>
      <c r="H67" s="14"/>
      <c r="J67" s="26"/>
      <c r="K67" s="26"/>
      <c r="L67" s="26"/>
      <c r="M67" s="26"/>
      <c r="N67" s="26"/>
    </row>
    <row r="68" spans="1:14" x14ac:dyDescent="0.25">
      <c r="A68" s="1" t="s">
        <v>29</v>
      </c>
      <c r="B68" s="14"/>
      <c r="C68" s="14"/>
      <c r="D68" s="14"/>
      <c r="E68" s="14"/>
      <c r="F68" s="14"/>
      <c r="G68" s="14"/>
      <c r="H68" s="14"/>
      <c r="J68" s="26"/>
      <c r="K68" s="26"/>
      <c r="L68" s="26"/>
      <c r="M68" s="26"/>
      <c r="N68" s="26"/>
    </row>
    <row r="69" spans="1:14" x14ac:dyDescent="0.25">
      <c r="A69" s="17" t="s">
        <v>30</v>
      </c>
      <c r="B69" s="18">
        <f>(B24/B23)*100</f>
        <v>102.0532428877285</v>
      </c>
      <c r="C69" s="18"/>
      <c r="D69" s="18"/>
      <c r="E69" s="18"/>
      <c r="F69" s="18"/>
      <c r="G69" s="18"/>
      <c r="H69" s="18"/>
      <c r="J69" s="26"/>
      <c r="K69" s="26"/>
      <c r="L69" s="26"/>
      <c r="M69" s="26"/>
      <c r="N69" s="26"/>
    </row>
    <row r="70" spans="1:14" x14ac:dyDescent="0.25">
      <c r="A70" s="17" t="s">
        <v>31</v>
      </c>
      <c r="B70" s="18">
        <f>(B18/B24)*100</f>
        <v>104.10894568999318</v>
      </c>
      <c r="C70" s="18"/>
      <c r="D70" s="18"/>
      <c r="E70" s="18"/>
      <c r="F70" s="18"/>
      <c r="G70" s="18"/>
      <c r="H70" s="18"/>
      <c r="J70" s="26"/>
      <c r="K70" s="26"/>
      <c r="L70" s="26"/>
      <c r="M70" s="26"/>
      <c r="N70" s="26"/>
    </row>
    <row r="71" spans="1:14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14" ht="15.75" thickTop="1" x14ac:dyDescent="0.25"/>
    <row r="73" spans="1:14" x14ac:dyDescent="0.25">
      <c r="A73" s="1" t="s">
        <v>32</v>
      </c>
    </row>
    <row r="74" spans="1:14" x14ac:dyDescent="0.25">
      <c r="A74" s="1" t="s">
        <v>128</v>
      </c>
    </row>
    <row r="75" spans="1:14" x14ac:dyDescent="0.25">
      <c r="A75" s="1" t="s">
        <v>91</v>
      </c>
      <c r="B75" s="20"/>
      <c r="C75" s="20"/>
      <c r="D75" s="20"/>
      <c r="E75" s="20"/>
      <c r="F75" s="20"/>
    </row>
    <row r="76" spans="1:14" x14ac:dyDescent="0.25">
      <c r="A76" s="1" t="s">
        <v>129</v>
      </c>
    </row>
    <row r="78" spans="1:14" x14ac:dyDescent="0.25">
      <c r="A78" s="1" t="s">
        <v>48</v>
      </c>
    </row>
    <row r="79" spans="1:14" x14ac:dyDescent="0.25">
      <c r="A79" s="1" t="s">
        <v>50</v>
      </c>
    </row>
    <row r="80" spans="1:14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="80" zoomScaleNormal="80" workbookViewId="0">
      <selection activeCell="H51" sqref="H51"/>
    </sheetView>
  </sheetViews>
  <sheetFormatPr baseColWidth="10" defaultColWidth="11.42578125" defaultRowHeight="15" x14ac:dyDescent="0.25"/>
  <cols>
    <col min="1" max="1" width="55.140625" style="1" customWidth="1"/>
    <col min="2" max="2" width="20.42578125" style="1" customWidth="1"/>
    <col min="3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1" t="s">
        <v>99</v>
      </c>
      <c r="B2" s="51"/>
      <c r="C2" s="51"/>
      <c r="D2" s="51"/>
      <c r="E2" s="51"/>
      <c r="F2" s="51"/>
      <c r="G2" s="51"/>
      <c r="H2" s="51"/>
    </row>
    <row r="4" spans="1:8" x14ac:dyDescent="0.25">
      <c r="A4" s="49" t="s">
        <v>0</v>
      </c>
      <c r="B4" s="49" t="s">
        <v>38</v>
      </c>
      <c r="C4" s="36"/>
      <c r="D4" s="53" t="s">
        <v>1</v>
      </c>
      <c r="E4" s="53"/>
      <c r="F4" s="54"/>
      <c r="G4" s="49" t="s">
        <v>2</v>
      </c>
      <c r="H4" s="49" t="s">
        <v>3</v>
      </c>
    </row>
    <row r="5" spans="1:8" ht="15.75" thickBot="1" x14ac:dyDescent="0.3">
      <c r="A5" s="50"/>
      <c r="B5" s="50"/>
      <c r="C5" s="52" t="s">
        <v>39</v>
      </c>
      <c r="D5" s="52"/>
      <c r="E5" s="52"/>
      <c r="F5" s="35" t="s">
        <v>57</v>
      </c>
      <c r="G5" s="50"/>
      <c r="H5" s="50"/>
    </row>
    <row r="6" spans="1:8" ht="15.75" thickTop="1" x14ac:dyDescent="0.25">
      <c r="C6" s="38" t="s">
        <v>82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66</v>
      </c>
      <c r="B10" s="22">
        <f>+C10+F10</f>
        <v>98156</v>
      </c>
      <c r="C10" s="22">
        <f>SUM(D10:E10)</f>
        <v>94950</v>
      </c>
      <c r="D10" s="5">
        <v>68163.333333333328</v>
      </c>
      <c r="E10" s="5">
        <v>26786.666666666668</v>
      </c>
      <c r="F10" s="5">
        <v>3206</v>
      </c>
      <c r="G10" s="5"/>
    </row>
    <row r="11" spans="1:8" x14ac:dyDescent="0.25">
      <c r="A11" s="4" t="s">
        <v>100</v>
      </c>
      <c r="B11" s="22">
        <f t="shared" ref="B11:B13" si="0">+C11+F11</f>
        <v>102959</v>
      </c>
      <c r="C11" s="22">
        <v>99188</v>
      </c>
      <c r="D11" s="22"/>
      <c r="E11" s="22"/>
      <c r="F11" s="22">
        <v>3771</v>
      </c>
      <c r="G11" s="5"/>
    </row>
    <row r="12" spans="1:8" x14ac:dyDescent="0.25">
      <c r="A12" s="4" t="s">
        <v>101</v>
      </c>
      <c r="B12" s="22">
        <f t="shared" si="0"/>
        <v>102121.99999999999</v>
      </c>
      <c r="C12" s="22">
        <f t="shared" ref="C12" si="1">SUM(D12:E12)</f>
        <v>98748.666666666657</v>
      </c>
      <c r="D12" s="5">
        <v>71200.333333333328</v>
      </c>
      <c r="E12" s="5">
        <v>27548.333333333332</v>
      </c>
      <c r="F12" s="5">
        <v>3373.3333333333335</v>
      </c>
      <c r="G12" s="5"/>
    </row>
    <row r="13" spans="1:8" x14ac:dyDescent="0.25">
      <c r="A13" s="4" t="s">
        <v>86</v>
      </c>
      <c r="B13" s="22">
        <f t="shared" si="0"/>
        <v>102647</v>
      </c>
      <c r="C13" s="22">
        <v>98910.5</v>
      </c>
      <c r="D13" s="22"/>
      <c r="E13" s="22"/>
      <c r="F13" s="22">
        <v>3736.5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66</v>
      </c>
      <c r="B16" s="5">
        <f>+C16+F16+G16+H16</f>
        <v>33075897184.230003</v>
      </c>
      <c r="C16" s="22">
        <f t="shared" ref="C16" si="2">SUM(D16:E16)</f>
        <v>26796328920.360004</v>
      </c>
      <c r="D16" s="5">
        <v>19244370230.935547</v>
      </c>
      <c r="E16" s="22">
        <v>7551958689.4244566</v>
      </c>
      <c r="F16" s="22">
        <v>2072789067.0000002</v>
      </c>
      <c r="G16" s="22">
        <v>3184279196.8499999</v>
      </c>
      <c r="H16" s="24">
        <v>1022500000.02</v>
      </c>
    </row>
    <row r="17" spans="1:8" x14ac:dyDescent="0.25">
      <c r="A17" s="4" t="s">
        <v>100</v>
      </c>
      <c r="B17" s="5">
        <f t="shared" ref="B17:B19" si="3">+C17+F17+G17+H17</f>
        <v>28063885644</v>
      </c>
      <c r="C17" s="22">
        <v>22317300000</v>
      </c>
      <c r="D17" s="5"/>
      <c r="E17" s="22"/>
      <c r="F17" s="22">
        <v>2746660644</v>
      </c>
      <c r="G17" s="22">
        <v>1963524999.9900002</v>
      </c>
      <c r="H17" s="22">
        <v>1036400000.01</v>
      </c>
    </row>
    <row r="18" spans="1:8" x14ac:dyDescent="0.25">
      <c r="A18" s="4" t="s">
        <v>101</v>
      </c>
      <c r="B18" s="5">
        <f t="shared" si="3"/>
        <v>27759058514.529999</v>
      </c>
      <c r="C18" s="22">
        <f>D18+E18</f>
        <v>20828197396.739998</v>
      </c>
      <c r="D18" s="22">
        <v>15017767019.760778</v>
      </c>
      <c r="E18" s="22">
        <v>5810430376.9792194</v>
      </c>
      <c r="F18" s="22">
        <v>2511354893.9499998</v>
      </c>
      <c r="G18" s="22">
        <v>3383106224.8499999</v>
      </c>
      <c r="H18" s="24">
        <v>1036399998.9900001</v>
      </c>
    </row>
    <row r="19" spans="1:8" x14ac:dyDescent="0.25">
      <c r="A19" s="4" t="s">
        <v>86</v>
      </c>
      <c r="B19" s="5">
        <f t="shared" si="3"/>
        <v>120086280989</v>
      </c>
      <c r="C19" s="22">
        <v>96500150000</v>
      </c>
      <c r="D19" s="22"/>
      <c r="E19" s="22"/>
      <c r="F19" s="22">
        <v>11586430989</v>
      </c>
      <c r="G19" s="22">
        <v>7854099999.96</v>
      </c>
      <c r="H19" s="22">
        <v>4145600000.0400004</v>
      </c>
    </row>
    <row r="20" spans="1:8" x14ac:dyDescent="0.25">
      <c r="A20" s="4" t="s">
        <v>102</v>
      </c>
      <c r="B20" s="41">
        <f>C20+F20+G20</f>
        <v>26722658515.539997</v>
      </c>
      <c r="C20" s="22">
        <f>C18</f>
        <v>20828197396.739998</v>
      </c>
      <c r="D20" s="22">
        <f>+D18</f>
        <v>15017767019.760778</v>
      </c>
      <c r="E20" s="22">
        <f t="shared" ref="E20:G20" si="4">+E18</f>
        <v>5810430376.9792194</v>
      </c>
      <c r="F20" s="5">
        <f t="shared" si="4"/>
        <v>2511354893.9499998</v>
      </c>
      <c r="G20" s="41">
        <f t="shared" si="4"/>
        <v>3383106224.8499999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100</v>
      </c>
      <c r="B23" s="8">
        <f>B17</f>
        <v>28063885644</v>
      </c>
      <c r="C23" s="8"/>
      <c r="D23" s="8"/>
      <c r="E23" s="8"/>
      <c r="F23" s="8"/>
      <c r="G23" s="8"/>
      <c r="H23" s="8"/>
    </row>
    <row r="24" spans="1:8" x14ac:dyDescent="0.25">
      <c r="A24" s="9" t="s">
        <v>101</v>
      </c>
      <c r="B24" s="8">
        <v>34490934331.25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67</v>
      </c>
      <c r="B27" s="23">
        <v>1.6242666666666665</v>
      </c>
      <c r="C27" s="23">
        <v>1.6242666666666665</v>
      </c>
      <c r="D27" s="23">
        <v>1.6242666666666665</v>
      </c>
      <c r="E27" s="23">
        <v>1.6242666666666665</v>
      </c>
      <c r="F27" s="23">
        <v>1.6242666666666665</v>
      </c>
      <c r="G27" s="23">
        <v>1.6242666666666665</v>
      </c>
      <c r="H27" s="23">
        <v>1.6242666666666665</v>
      </c>
    </row>
    <row r="28" spans="1:8" x14ac:dyDescent="0.25">
      <c r="A28" s="10" t="s">
        <v>103</v>
      </c>
      <c r="B28" s="23">
        <v>1.71</v>
      </c>
      <c r="C28" s="23">
        <v>1.71</v>
      </c>
      <c r="D28" s="23">
        <v>1.71</v>
      </c>
      <c r="E28" s="23">
        <v>1.71</v>
      </c>
      <c r="F28" s="23">
        <v>1.71</v>
      </c>
      <c r="G28" s="23">
        <v>1.71</v>
      </c>
      <c r="H28" s="23">
        <v>1.71</v>
      </c>
    </row>
    <row r="29" spans="1:8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68</v>
      </c>
      <c r="B32" s="13">
        <f t="shared" ref="B32:H32" si="5">B16/B27</f>
        <v>20363587988.977592</v>
      </c>
      <c r="C32" s="13">
        <f t="shared" si="5"/>
        <v>16497493589.123301</v>
      </c>
      <c r="D32" s="13">
        <f t="shared" si="5"/>
        <v>11848036178.953917</v>
      </c>
      <c r="E32" s="13">
        <f t="shared" si="5"/>
        <v>4649457410.169383</v>
      </c>
      <c r="F32" s="13">
        <f t="shared" si="5"/>
        <v>1276138401.1246104</v>
      </c>
      <c r="G32" s="13">
        <f t="shared" si="5"/>
        <v>1960441140.7301757</v>
      </c>
      <c r="H32" s="13">
        <f t="shared" si="5"/>
        <v>629514857.99950755</v>
      </c>
    </row>
    <row r="33" spans="1:8" x14ac:dyDescent="0.25">
      <c r="A33" s="12" t="s">
        <v>104</v>
      </c>
      <c r="B33" s="13">
        <f t="shared" ref="B33:H33" si="6">B18/B28</f>
        <v>16233367552.356726</v>
      </c>
      <c r="C33" s="13">
        <f t="shared" si="6"/>
        <v>12180232395.754385</v>
      </c>
      <c r="D33" s="13">
        <f t="shared" si="6"/>
        <v>8782319894.5969467</v>
      </c>
      <c r="E33" s="13">
        <f t="shared" si="6"/>
        <v>3397912501.1574383</v>
      </c>
      <c r="F33" s="13">
        <f t="shared" si="6"/>
        <v>1468628592.9532163</v>
      </c>
      <c r="G33" s="13">
        <f t="shared" si="6"/>
        <v>1978424692.8947368</v>
      </c>
      <c r="H33" s="13">
        <f t="shared" si="6"/>
        <v>606081870.75438607</v>
      </c>
    </row>
    <row r="34" spans="1:8" x14ac:dyDescent="0.25">
      <c r="A34" s="12" t="s">
        <v>69</v>
      </c>
      <c r="B34" s="13">
        <f>B32/B10</f>
        <v>207461.46938523973</v>
      </c>
      <c r="C34" s="13">
        <f t="shared" ref="C34:H34" si="7">C32/C10</f>
        <v>173749.27424037177</v>
      </c>
      <c r="D34" s="13">
        <f t="shared" si="7"/>
        <v>173818.32136956209</v>
      </c>
      <c r="E34" s="13">
        <f t="shared" si="7"/>
        <v>173573.57180821488</v>
      </c>
      <c r="F34" s="13">
        <f t="shared" si="7"/>
        <v>398046.91239070817</v>
      </c>
      <c r="G34" s="13" t="e">
        <f t="shared" si="7"/>
        <v>#DIV/0!</v>
      </c>
      <c r="H34" s="13" t="e">
        <f t="shared" si="7"/>
        <v>#DIV/0!</v>
      </c>
    </row>
    <row r="35" spans="1:8" x14ac:dyDescent="0.25">
      <c r="A35" s="12" t="s">
        <v>105</v>
      </c>
      <c r="B35" s="13">
        <f>B33/B12</f>
        <v>158960.53301303077</v>
      </c>
      <c r="C35" s="13">
        <f t="shared" ref="C35:H35" si="8">C33/C12</f>
        <v>123345.79095502777</v>
      </c>
      <c r="D35" s="13">
        <f t="shared" si="8"/>
        <v>123346.61206544371</v>
      </c>
      <c r="E35" s="13">
        <f t="shared" si="8"/>
        <v>123343.66874550567</v>
      </c>
      <c r="F35" s="13">
        <f t="shared" si="8"/>
        <v>435364.20739719848</v>
      </c>
      <c r="G35" s="13" t="e">
        <f t="shared" si="8"/>
        <v>#DIV/0!</v>
      </c>
      <c r="H35" s="13" t="e">
        <f t="shared" si="8"/>
        <v>#DIV/0!</v>
      </c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106.719056017977</v>
      </c>
      <c r="C40" s="14"/>
      <c r="D40" s="14">
        <f>(C11)/D29*100</f>
        <v>106.63083207912277</v>
      </c>
      <c r="E40" s="14"/>
      <c r="F40" s="14">
        <f>(F11)/F29*100</f>
        <v>107.43589743589743</v>
      </c>
      <c r="G40" s="14"/>
    </row>
    <row r="41" spans="1:8" x14ac:dyDescent="0.25">
      <c r="A41" s="1" t="s">
        <v>13</v>
      </c>
      <c r="B41" s="14">
        <f>((D41*C18+F41*F18)/(C18+F18))</f>
        <v>78.648067138719796</v>
      </c>
      <c r="C41" s="40"/>
      <c r="D41" s="14">
        <f>(D12)/D29*100</f>
        <v>76.543037339640222</v>
      </c>
      <c r="E41" s="14"/>
      <c r="F41" s="14">
        <f t="shared" ref="F41" si="9">(F12)/F29*100</f>
        <v>96.106362773029446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99.187055041327127</v>
      </c>
      <c r="C44" s="14">
        <f>C12/C11*100</f>
        <v>99.557070075681182</v>
      </c>
      <c r="D44" s="14"/>
      <c r="E44" s="14"/>
      <c r="F44" s="14">
        <f>F12/F11*100</f>
        <v>89.454609741005925</v>
      </c>
      <c r="G44" s="14"/>
    </row>
    <row r="45" spans="1:8" x14ac:dyDescent="0.25">
      <c r="A45" s="1" t="s">
        <v>16</v>
      </c>
      <c r="B45" s="14">
        <f>B18/B17*100</f>
        <v>98.913809964390396</v>
      </c>
      <c r="C45" s="14">
        <f>C18/C17*100</f>
        <v>93.327586207740183</v>
      </c>
      <c r="D45" s="14"/>
      <c r="E45" s="14"/>
      <c r="F45" s="14">
        <f>F18/F17*100</f>
        <v>91.433024295738221</v>
      </c>
      <c r="G45" s="14">
        <f>G18/G17*100</f>
        <v>172.29758851388343</v>
      </c>
      <c r="H45" s="14">
        <f>H18/H17*100</f>
        <v>99.999999901582413</v>
      </c>
    </row>
    <row r="46" spans="1:8" x14ac:dyDescent="0.25">
      <c r="A46" s="12" t="s">
        <v>17</v>
      </c>
      <c r="B46" s="15">
        <f>AVERAGE(B44:B45)</f>
        <v>99.050432502858769</v>
      </c>
      <c r="C46" s="15">
        <f>AVERAGE(C44:C45)</f>
        <v>96.442328141710675</v>
      </c>
      <c r="D46" s="15"/>
      <c r="E46" s="15"/>
      <c r="F46" s="15">
        <f t="shared" ref="F46:H46" si="10">AVERAGE(F44:F45)</f>
        <v>90.443817018372073</v>
      </c>
      <c r="G46" s="15">
        <f>AVERAGE(G44:G45)</f>
        <v>172.29758851388343</v>
      </c>
      <c r="H46" s="15">
        <f t="shared" si="10"/>
        <v>99.999999901582413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9" s="25" customFormat="1" x14ac:dyDescent="0.25">
      <c r="A49" s="25" t="s">
        <v>19</v>
      </c>
      <c r="B49" s="16">
        <f>B12/(B13)*100</f>
        <v>99.488538388847203</v>
      </c>
      <c r="C49" s="16">
        <f t="shared" ref="C49:F49" si="11">C12/(C13)*100</f>
        <v>99.836384071121529</v>
      </c>
      <c r="D49" s="16"/>
      <c r="E49" s="16"/>
      <c r="F49" s="16">
        <f t="shared" si="11"/>
        <v>90.28056559168563</v>
      </c>
      <c r="G49" s="16"/>
      <c r="H49" s="16"/>
      <c r="I49" s="30"/>
    </row>
    <row r="50" spans="1:9" x14ac:dyDescent="0.25">
      <c r="A50" s="1" t="s">
        <v>20</v>
      </c>
      <c r="B50" s="14">
        <f>B18/B19*100</f>
        <v>23.11592821920495</v>
      </c>
      <c r="C50" s="14">
        <f>C18/C19*100</f>
        <v>21.583590695703581</v>
      </c>
      <c r="D50" s="14"/>
      <c r="E50" s="14"/>
      <c r="F50" s="14">
        <f>F18/F19*100</f>
        <v>21.674965279077277</v>
      </c>
      <c r="G50" s="14">
        <f>G18/G19*100</f>
        <v>43.074397128470856</v>
      </c>
      <c r="H50" s="14">
        <f>H18/H19*100</f>
        <v>24.9999999753956</v>
      </c>
    </row>
    <row r="51" spans="1:9" x14ac:dyDescent="0.25">
      <c r="A51" s="1" t="s">
        <v>21</v>
      </c>
      <c r="B51" s="14">
        <f>(B49+B50)/2</f>
        <v>61.302233304026075</v>
      </c>
      <c r="C51" s="14">
        <f t="shared" ref="C51" si="12">(C49+C50)/2</f>
        <v>60.709987383412553</v>
      </c>
      <c r="D51" s="14"/>
      <c r="E51" s="14"/>
      <c r="F51" s="14">
        <f t="shared" ref="F51" si="13">(F49+F50)/2</f>
        <v>55.977765435381457</v>
      </c>
      <c r="G51" s="14">
        <f>AVERAGE(G49:G50)</f>
        <v>43.074397128470856</v>
      </c>
      <c r="H51" s="14">
        <f t="shared" ref="H51" si="14">AVERAGE(H49:H50)</f>
        <v>24.9999999753956</v>
      </c>
    </row>
    <row r="53" spans="1:9" x14ac:dyDescent="0.25">
      <c r="A53" s="1" t="s">
        <v>33</v>
      </c>
    </row>
    <row r="54" spans="1:9" x14ac:dyDescent="0.25">
      <c r="A54" s="1" t="s">
        <v>22</v>
      </c>
      <c r="B54" s="14">
        <f>(B20/B18)*100</f>
        <v>96.266443984591504</v>
      </c>
      <c r="C54" s="14"/>
      <c r="D54" s="14"/>
      <c r="E54" s="14"/>
      <c r="F54" s="14"/>
      <c r="G54" s="14"/>
      <c r="H54" s="14"/>
    </row>
    <row r="56" spans="1:9" x14ac:dyDescent="0.25">
      <c r="A56" s="1" t="s">
        <v>23</v>
      </c>
    </row>
    <row r="57" spans="1:9" x14ac:dyDescent="0.25">
      <c r="A57" s="1" t="s">
        <v>24</v>
      </c>
      <c r="B57" s="14">
        <f>((B12/B10)-1)*100</f>
        <v>4.0405069481233902</v>
      </c>
      <c r="C57" s="14">
        <f>((C12/C10)-1)*100</f>
        <v>4.0007021239248708</v>
      </c>
      <c r="D57" s="14">
        <f t="shared" ref="D57:F57" si="15">((D12/D10)-1)*100</f>
        <v>4.4554745953347297</v>
      </c>
      <c r="E57" s="14">
        <f t="shared" si="15"/>
        <v>2.8434544549527097</v>
      </c>
      <c r="F57" s="14">
        <f t="shared" si="15"/>
        <v>5.219380328550649</v>
      </c>
      <c r="G57" s="14"/>
      <c r="H57" s="14"/>
    </row>
    <row r="58" spans="1:9" x14ac:dyDescent="0.25">
      <c r="A58" s="1" t="s">
        <v>25</v>
      </c>
      <c r="B58" s="14">
        <f>((B33/B32)-1)*100</f>
        <v>-20.282380682895727</v>
      </c>
      <c r="C58" s="14">
        <f>((C33/C32)-1)*100</f>
        <v>-26.169194550954455</v>
      </c>
      <c r="D58" s="14">
        <f t="shared" ref="D58:G58" si="16">((D33/D32)-1)*100</f>
        <v>-25.875311638587917</v>
      </c>
      <c r="E58" s="14">
        <f t="shared" si="16"/>
        <v>-26.918085243119805</v>
      </c>
      <c r="F58" s="14">
        <f t="shared" si="16"/>
        <v>15.083802169025851</v>
      </c>
      <c r="G58" s="14">
        <f t="shared" si="16"/>
        <v>0.91732170841216654</v>
      </c>
      <c r="H58" s="14">
        <f>((H33/H32)-1)*100</f>
        <v>-3.7223882720715418</v>
      </c>
    </row>
    <row r="59" spans="1:9" x14ac:dyDescent="0.25">
      <c r="A59" s="12" t="s">
        <v>26</v>
      </c>
      <c r="B59" s="15">
        <f>((B35/B34)-1)*100</f>
        <v>-23.378286346823518</v>
      </c>
      <c r="C59" s="15">
        <f>((C35/C34)-1)*100</f>
        <v>-29.009320186059472</v>
      </c>
      <c r="D59" s="15">
        <f t="shared" ref="D59:F59" si="17">((D35/D34)-1)*100</f>
        <v>-29.037047939732695</v>
      </c>
      <c r="E59" s="15">
        <f t="shared" si="17"/>
        <v>-28.938681470592364</v>
      </c>
      <c r="F59" s="15">
        <f t="shared" si="17"/>
        <v>9.3750997294160818</v>
      </c>
      <c r="G59" s="15"/>
      <c r="H59" s="15"/>
    </row>
    <row r="60" spans="1:9" x14ac:dyDescent="0.25">
      <c r="A60" s="25"/>
      <c r="B60" s="16"/>
      <c r="C60" s="16"/>
      <c r="D60" s="16"/>
      <c r="E60" s="16"/>
      <c r="F60" s="16"/>
      <c r="G60" s="16"/>
      <c r="H60" s="16"/>
    </row>
    <row r="61" spans="1:9" x14ac:dyDescent="0.25">
      <c r="A61" s="1" t="s">
        <v>27</v>
      </c>
    </row>
    <row r="62" spans="1:9" x14ac:dyDescent="0.25">
      <c r="A62" s="1" t="s">
        <v>34</v>
      </c>
      <c r="B62" s="5">
        <f>B17/(B11*3)</f>
        <v>90857.803086665561</v>
      </c>
      <c r="C62" s="5">
        <f>C17/(C11*3)</f>
        <v>75000</v>
      </c>
      <c r="D62" s="5"/>
      <c r="E62" s="5"/>
      <c r="F62" s="5">
        <f t="shared" ref="F62" si="18">F17/(F11*3)</f>
        <v>242788</v>
      </c>
      <c r="G62" s="5"/>
      <c r="H62" s="5"/>
    </row>
    <row r="63" spans="1:9" x14ac:dyDescent="0.25">
      <c r="A63" s="1" t="s">
        <v>35</v>
      </c>
      <c r="B63" s="5">
        <f>B18/(B12*3)</f>
        <v>90607.50381742754</v>
      </c>
      <c r="C63" s="5">
        <f>C18/(C12*3)</f>
        <v>70307.100844365821</v>
      </c>
      <c r="D63" s="5">
        <f t="shared" ref="D63:F63" si="19">D18/(D12*3)</f>
        <v>70307.568877302911</v>
      </c>
      <c r="E63" s="5">
        <f t="shared" si="19"/>
        <v>70305.891184938228</v>
      </c>
      <c r="F63" s="5">
        <f t="shared" si="19"/>
        <v>248157.59821640313</v>
      </c>
      <c r="G63" s="5"/>
      <c r="H63" s="5"/>
    </row>
    <row r="64" spans="1:9" x14ac:dyDescent="0.25">
      <c r="A64" s="12" t="s">
        <v>28</v>
      </c>
      <c r="B64" s="15">
        <f>(B62/B63)*B46</f>
        <v>99.324054993586827</v>
      </c>
      <c r="C64" s="15">
        <f>(C62/C63)*C46</f>
        <v>102.87971661126947</v>
      </c>
      <c r="D64" s="15">
        <f t="shared" ref="D64:F64" si="20">(D62/D63)*D46</f>
        <v>0</v>
      </c>
      <c r="E64" s="15">
        <f t="shared" si="20"/>
        <v>0</v>
      </c>
      <c r="F64" s="15">
        <f t="shared" si="20"/>
        <v>88.486806787627344</v>
      </c>
      <c r="G64" s="15"/>
      <c r="H64" s="15"/>
    </row>
    <row r="65" spans="1:9" x14ac:dyDescent="0.25">
      <c r="A65" s="16" t="s">
        <v>36</v>
      </c>
      <c r="B65" s="5">
        <f>B17/B11</f>
        <v>272573.40925999673</v>
      </c>
      <c r="C65" s="5">
        <f>C17/C11</f>
        <v>225000</v>
      </c>
      <c r="D65" s="5"/>
      <c r="E65" s="5"/>
      <c r="F65" s="5">
        <f t="shared" ref="F65" si="21">F17/F11</f>
        <v>728364</v>
      </c>
      <c r="G65" s="16"/>
      <c r="H65" s="16"/>
    </row>
    <row r="66" spans="1:9" x14ac:dyDescent="0.25">
      <c r="A66" s="16" t="s">
        <v>37</v>
      </c>
      <c r="B66" s="5">
        <f>B18/B12</f>
        <v>271822.5114522826</v>
      </c>
      <c r="C66" s="5">
        <f>C18/C12</f>
        <v>210921.30253309748</v>
      </c>
      <c r="D66" s="22">
        <f>D18/D12</f>
        <v>210922.70663190875</v>
      </c>
      <c r="E66" s="5">
        <f t="shared" ref="E66:F66" si="22">E18/E12</f>
        <v>210917.67355481468</v>
      </c>
      <c r="F66" s="5">
        <f t="shared" si="22"/>
        <v>744472.79464920936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122.90149257582972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80.482187719047431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128</v>
      </c>
    </row>
    <row r="75" spans="1:9" x14ac:dyDescent="0.25">
      <c r="A75" s="1" t="s">
        <v>91</v>
      </c>
      <c r="B75" s="20"/>
      <c r="C75" s="20"/>
      <c r="D75" s="20"/>
      <c r="E75" s="20"/>
      <c r="F75" s="20"/>
    </row>
    <row r="76" spans="1:9" x14ac:dyDescent="0.25">
      <c r="A76" s="1" t="s">
        <v>129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</sheetData>
  <mergeCells count="7">
    <mergeCell ref="A2:H2"/>
    <mergeCell ref="A4:A5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opLeftCell="A70" zoomScale="90" zoomScaleNormal="90" workbookViewId="0">
      <selection activeCell="K30" sqref="K30"/>
    </sheetView>
  </sheetViews>
  <sheetFormatPr baseColWidth="10" defaultColWidth="11.42578125" defaultRowHeight="15" x14ac:dyDescent="0.25"/>
  <cols>
    <col min="1" max="1" width="55.140625" style="1" customWidth="1"/>
    <col min="2" max="2" width="21" style="1" customWidth="1"/>
    <col min="3" max="3" width="27" style="1" customWidth="1"/>
    <col min="4" max="4" width="22.28515625" style="1" customWidth="1"/>
    <col min="5" max="5" width="17" style="1" bestFit="1" customWidth="1"/>
    <col min="6" max="6" width="20.7109375" style="1" customWidth="1"/>
    <col min="7" max="7" width="21.28515625" style="1" customWidth="1"/>
    <col min="8" max="8" width="17.5703125" style="1" bestFit="1" customWidth="1"/>
    <col min="9" max="16384" width="11.42578125" style="1"/>
  </cols>
  <sheetData>
    <row r="2" spans="1:8" ht="15.75" x14ac:dyDescent="0.25">
      <c r="A2" s="51" t="s">
        <v>106</v>
      </c>
      <c r="B2" s="51"/>
      <c r="C2" s="51"/>
      <c r="D2" s="51"/>
      <c r="E2" s="51"/>
      <c r="F2" s="51"/>
      <c r="G2" s="51"/>
      <c r="H2" s="51"/>
    </row>
    <row r="4" spans="1:8" x14ac:dyDescent="0.25">
      <c r="A4" s="49" t="s">
        <v>0</v>
      </c>
      <c r="B4" s="49" t="s">
        <v>38</v>
      </c>
      <c r="C4" s="36"/>
      <c r="D4" s="53" t="s">
        <v>1</v>
      </c>
      <c r="E4" s="53"/>
      <c r="F4" s="54"/>
      <c r="G4" s="49" t="s">
        <v>2</v>
      </c>
      <c r="H4" s="49" t="s">
        <v>3</v>
      </c>
    </row>
    <row r="5" spans="1:8" ht="15.75" thickBot="1" x14ac:dyDescent="0.3">
      <c r="A5" s="50"/>
      <c r="B5" s="50"/>
      <c r="C5" s="52" t="s">
        <v>39</v>
      </c>
      <c r="D5" s="52"/>
      <c r="E5" s="52"/>
      <c r="F5" s="35" t="s">
        <v>57</v>
      </c>
      <c r="G5" s="50"/>
      <c r="H5" s="50"/>
    </row>
    <row r="6" spans="1:8" ht="15.75" thickTop="1" x14ac:dyDescent="0.25">
      <c r="C6" s="38" t="s">
        <v>82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70</v>
      </c>
      <c r="B10" s="22">
        <f>+C10+F10</f>
        <v>99687.333333333343</v>
      </c>
      <c r="C10" s="22">
        <f>SUM(D10:E10)</f>
        <v>96426.333333333343</v>
      </c>
      <c r="D10" s="22">
        <v>69439.666666666672</v>
      </c>
      <c r="E10" s="5">
        <v>26986.666666666668</v>
      </c>
      <c r="F10" s="5">
        <v>3261</v>
      </c>
      <c r="G10" s="5"/>
    </row>
    <row r="11" spans="1:8" x14ac:dyDescent="0.25">
      <c r="A11" s="4" t="s">
        <v>107</v>
      </c>
      <c r="B11" s="22">
        <f>C11+F11</f>
        <v>103583</v>
      </c>
      <c r="C11" s="22">
        <v>99743</v>
      </c>
      <c r="E11" s="22"/>
      <c r="F11" s="22">
        <v>3840</v>
      </c>
      <c r="G11" s="5"/>
    </row>
    <row r="12" spans="1:8" x14ac:dyDescent="0.25">
      <c r="A12" s="4" t="s">
        <v>108</v>
      </c>
      <c r="B12" s="22">
        <f t="shared" ref="B12:B13" si="0">+C12+F12</f>
        <v>103423.66666666667</v>
      </c>
      <c r="C12" s="22">
        <f t="shared" ref="C12" si="1">SUM(D12:E12)</f>
        <v>99998</v>
      </c>
      <c r="D12" s="22">
        <v>72249</v>
      </c>
      <c r="E12" s="5">
        <v>27749</v>
      </c>
      <c r="F12" s="5">
        <v>3425.6666666666665</v>
      </c>
      <c r="G12" s="5"/>
    </row>
    <row r="13" spans="1:8" x14ac:dyDescent="0.25">
      <c r="A13" s="4" t="s">
        <v>86</v>
      </c>
      <c r="B13" s="22">
        <f t="shared" si="0"/>
        <v>102647</v>
      </c>
      <c r="C13" s="22">
        <v>98910.5</v>
      </c>
      <c r="D13" s="22"/>
      <c r="E13" s="22"/>
      <c r="F13" s="22">
        <v>3736.5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70</v>
      </c>
      <c r="B16" s="5">
        <f>+C16+F16+G16+H16</f>
        <v>29984890030.880001</v>
      </c>
      <c r="C16" s="22">
        <f t="shared" ref="C16:C20" si="2">SUM(D16:E16)</f>
        <v>22488042702.220001</v>
      </c>
      <c r="D16" s="5">
        <v>16195103315.763773</v>
      </c>
      <c r="E16" s="22">
        <v>6292939386.4562292</v>
      </c>
      <c r="F16" s="22">
        <v>2256757758.2999997</v>
      </c>
      <c r="G16" s="22">
        <v>4217589570.3400002</v>
      </c>
      <c r="H16" s="24">
        <v>1022500000.02</v>
      </c>
    </row>
    <row r="17" spans="1:9" x14ac:dyDescent="0.25">
      <c r="A17" s="4" t="s">
        <v>107</v>
      </c>
      <c r="B17" s="5">
        <f t="shared" ref="B17:B18" si="3">+C17+F17+G17+H17</f>
        <v>36575617760</v>
      </c>
      <c r="C17" s="22">
        <f t="shared" si="2"/>
        <v>29922875000</v>
      </c>
      <c r="D17" s="5">
        <v>29922875000</v>
      </c>
      <c r="E17" s="22"/>
      <c r="F17" s="22">
        <v>3652817760</v>
      </c>
      <c r="G17" s="22">
        <v>1963524999.9900002</v>
      </c>
      <c r="H17" s="24">
        <v>1036400000.01</v>
      </c>
    </row>
    <row r="18" spans="1:9" x14ac:dyDescent="0.25">
      <c r="A18" s="4" t="s">
        <v>108</v>
      </c>
      <c r="B18" s="47">
        <f t="shared" si="3"/>
        <v>36503052619.980003</v>
      </c>
      <c r="C18" s="48">
        <f t="shared" si="2"/>
        <v>28383467838.619999</v>
      </c>
      <c r="D18" s="47">
        <v>20506605365.825287</v>
      </c>
      <c r="E18" s="48">
        <v>7876862472.794713</v>
      </c>
      <c r="F18" s="48">
        <v>2565126960.3499999</v>
      </c>
      <c r="G18" s="48">
        <v>4425420948</v>
      </c>
      <c r="H18" s="24">
        <v>1129036873.01</v>
      </c>
      <c r="I18" s="43"/>
    </row>
    <row r="19" spans="1:9" x14ac:dyDescent="0.25">
      <c r="A19" s="4" t="s">
        <v>86</v>
      </c>
      <c r="B19" s="5">
        <f>+C19+F19+G19+H19</f>
        <v>120086280989</v>
      </c>
      <c r="C19" s="22">
        <v>96500150000</v>
      </c>
      <c r="D19" s="22"/>
      <c r="E19" s="22"/>
      <c r="F19" s="22">
        <v>11586430989</v>
      </c>
      <c r="G19" s="22">
        <v>7854099999.96</v>
      </c>
      <c r="H19" s="22">
        <v>4145600000.0400004</v>
      </c>
    </row>
    <row r="20" spans="1:9" x14ac:dyDescent="0.25">
      <c r="A20" s="4" t="s">
        <v>109</v>
      </c>
      <c r="B20" s="41">
        <f>C20+F20+G20</f>
        <v>35374015746.970001</v>
      </c>
      <c r="C20" s="22">
        <f t="shared" si="2"/>
        <v>28383467838.619999</v>
      </c>
      <c r="D20" s="5">
        <f>+D18</f>
        <v>20506605365.825287</v>
      </c>
      <c r="E20" s="5">
        <f t="shared" ref="E20:G20" si="4">+E18</f>
        <v>7876862472.794713</v>
      </c>
      <c r="F20" s="5">
        <f t="shared" si="4"/>
        <v>2565126960.3499999</v>
      </c>
      <c r="G20" s="41">
        <f t="shared" si="4"/>
        <v>4425420948</v>
      </c>
      <c r="H20" s="5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107</v>
      </c>
      <c r="B23" s="8">
        <f>B17</f>
        <v>36575617760</v>
      </c>
      <c r="C23" s="8"/>
      <c r="D23" s="8"/>
      <c r="E23" s="8"/>
      <c r="F23" s="8"/>
      <c r="G23" s="8"/>
      <c r="H23" s="8"/>
    </row>
    <row r="24" spans="1:9" x14ac:dyDescent="0.25">
      <c r="A24" s="9" t="s">
        <v>108</v>
      </c>
      <c r="B24" s="8">
        <v>28719442767.209999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71</v>
      </c>
      <c r="B27" s="23">
        <v>1.6181333333333334</v>
      </c>
      <c r="C27" s="23">
        <v>1.6181333333333334</v>
      </c>
      <c r="D27" s="23">
        <v>1.6181333333333334</v>
      </c>
      <c r="E27" s="23">
        <v>1.6181333333333334</v>
      </c>
      <c r="F27" s="23">
        <v>1.6181333333333334</v>
      </c>
      <c r="G27" s="23">
        <v>1.6181333333333334</v>
      </c>
      <c r="H27" s="23">
        <v>1.6181333333333334</v>
      </c>
    </row>
    <row r="28" spans="1:9" x14ac:dyDescent="0.25">
      <c r="A28" s="10" t="s">
        <v>110</v>
      </c>
      <c r="B28" s="23">
        <v>1.71</v>
      </c>
      <c r="C28" s="23">
        <v>1.71</v>
      </c>
      <c r="D28" s="23">
        <v>1.71</v>
      </c>
      <c r="E28" s="23">
        <v>1.71</v>
      </c>
      <c r="F28" s="23">
        <v>1.71</v>
      </c>
      <c r="G28" s="23">
        <v>1.71</v>
      </c>
      <c r="H28" s="23">
        <v>1.71</v>
      </c>
    </row>
    <row r="29" spans="1:9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72</v>
      </c>
      <c r="B32" s="13">
        <f>B16/B27</f>
        <v>18530543443.605801</v>
      </c>
      <c r="C32" s="13">
        <f>C16/C27</f>
        <v>13897521445.834707</v>
      </c>
      <c r="D32" s="13">
        <f>D16/D27</f>
        <v>10008509794.679325</v>
      </c>
      <c r="E32" s="13">
        <f t="shared" ref="E32:H32" si="5">E16/E27</f>
        <v>3889011651.1553822</v>
      </c>
      <c r="F32" s="13">
        <f t="shared" si="5"/>
        <v>1394667368.7582397</v>
      </c>
      <c r="G32" s="13">
        <f t="shared" si="5"/>
        <v>2606453673.1666117</v>
      </c>
      <c r="H32" s="13">
        <f t="shared" si="5"/>
        <v>631900955.84624255</v>
      </c>
    </row>
    <row r="33" spans="1:8" x14ac:dyDescent="0.25">
      <c r="A33" s="12" t="s">
        <v>111</v>
      </c>
      <c r="B33" s="13">
        <f>B18/B28</f>
        <v>21346814397.649124</v>
      </c>
      <c r="C33" s="13">
        <f>C18/C28</f>
        <v>16598519203.871346</v>
      </c>
      <c r="D33" s="13">
        <f>D18/D28</f>
        <v>11992166880.599583</v>
      </c>
      <c r="E33" s="13">
        <f t="shared" ref="E33:H33" si="6">E18/E28</f>
        <v>4606352323.2717619</v>
      </c>
      <c r="F33" s="13">
        <f t="shared" si="6"/>
        <v>1500074245.8187134</v>
      </c>
      <c r="G33" s="13">
        <f t="shared" si="6"/>
        <v>2587965466.6666665</v>
      </c>
      <c r="H33" s="13">
        <f t="shared" si="6"/>
        <v>660255481.29239762</v>
      </c>
    </row>
    <row r="34" spans="1:8" x14ac:dyDescent="0.25">
      <c r="A34" s="12" t="s">
        <v>73</v>
      </c>
      <c r="B34" s="13">
        <f>B32/B10</f>
        <v>185886.63999711565</v>
      </c>
      <c r="C34" s="13">
        <f>C32/C10</f>
        <v>144125.78976525817</v>
      </c>
      <c r="D34" s="13">
        <f>D32/D10</f>
        <v>144132.4573564484</v>
      </c>
      <c r="E34" s="13">
        <f t="shared" ref="E34:F34" si="7">E32/E10</f>
        <v>144108.63331850476</v>
      </c>
      <c r="F34" s="13">
        <f t="shared" si="7"/>
        <v>427680.88585042616</v>
      </c>
      <c r="G34" s="13"/>
      <c r="H34" s="13"/>
    </row>
    <row r="35" spans="1:8" x14ac:dyDescent="0.25">
      <c r="A35" s="12" t="s">
        <v>112</v>
      </c>
      <c r="B35" s="13">
        <f>B33/B12</f>
        <v>206401.63983403982</v>
      </c>
      <c r="C35" s="13">
        <f>C33/C12</f>
        <v>165988.51180894964</v>
      </c>
      <c r="D35" s="13">
        <f>D33/D12</f>
        <v>165983.84587467762</v>
      </c>
      <c r="E35" s="13">
        <f t="shared" ref="E35:F35" si="8">E33/E12</f>
        <v>166000.6603218769</v>
      </c>
      <c r="F35" s="13">
        <f t="shared" si="8"/>
        <v>437892.64741229353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107.46402025067209</v>
      </c>
      <c r="C40" s="14"/>
      <c r="D40" s="14">
        <f>C11/D29*100</f>
        <v>107.22747796172867</v>
      </c>
      <c r="E40" s="14"/>
      <c r="F40" s="14">
        <f>(F11)/F29*100</f>
        <v>109.40170940170941</v>
      </c>
      <c r="G40" s="14"/>
    </row>
    <row r="41" spans="1:8" x14ac:dyDescent="0.25">
      <c r="A41" s="1" t="s">
        <v>13</v>
      </c>
      <c r="B41" s="14">
        <f>((D41*C18+F41*F18)/(C18+F18))</f>
        <v>79.322008036802913</v>
      </c>
      <c r="C41" s="40"/>
      <c r="D41" s="14">
        <f>(D12)/D29*100</f>
        <v>77.670393463771234</v>
      </c>
      <c r="E41" s="14"/>
      <c r="F41" s="14">
        <f>(F12)/F29*100</f>
        <v>97.597340930674264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99.846178105158828</v>
      </c>
      <c r="C44" s="14">
        <f>C12/C11*100</f>
        <v>100.25565703858916</v>
      </c>
      <c r="D44" s="14"/>
      <c r="E44" s="14"/>
      <c r="F44" s="14">
        <f>F12/F11*100</f>
        <v>89.210069444444443</v>
      </c>
      <c r="G44" s="14"/>
    </row>
    <row r="45" spans="1:8" x14ac:dyDescent="0.25">
      <c r="A45" s="1" t="s">
        <v>16</v>
      </c>
      <c r="B45" s="14">
        <f>B18/B17*100</f>
        <v>99.801602421328468</v>
      </c>
      <c r="C45" s="14">
        <f>C18/C17*100</f>
        <v>94.855416929756913</v>
      </c>
      <c r="D45" s="14"/>
      <c r="E45" s="14"/>
      <c r="F45" s="14">
        <f>F18/F17*100</f>
        <v>70.223239397248221</v>
      </c>
      <c r="G45" s="14">
        <f>G18/G17*100</f>
        <v>225.38144143937751</v>
      </c>
      <c r="H45" s="14">
        <f>H18/H17*100</f>
        <v>108.9383320145799</v>
      </c>
    </row>
    <row r="46" spans="1:8" x14ac:dyDescent="0.25">
      <c r="A46" s="12" t="s">
        <v>17</v>
      </c>
      <c r="B46" s="15">
        <f>AVERAGE(B44:B45)</f>
        <v>99.823890263243641</v>
      </c>
      <c r="C46" s="15">
        <f>AVERAGE(C44:C45)</f>
        <v>97.555536984173045</v>
      </c>
      <c r="D46" s="15"/>
      <c r="E46" s="15"/>
      <c r="F46" s="15">
        <f t="shared" ref="F46:H46" si="9">AVERAGE(F44:F45)</f>
        <v>79.716654420846339</v>
      </c>
      <c r="G46" s="15">
        <f>AVERAGE(G44:G45)</f>
        <v>225.38144143937751</v>
      </c>
      <c r="H46" s="15">
        <f t="shared" si="9"/>
        <v>108.9383320145799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100.75663844697524</v>
      </c>
      <c r="C49" s="16">
        <f t="shared" ref="C49:F49" si="10">C12/C13*100</f>
        <v>101.09947882176311</v>
      </c>
      <c r="D49" s="16"/>
      <c r="E49" s="16"/>
      <c r="F49" s="16">
        <f t="shared" si="10"/>
        <v>91.681163298987471</v>
      </c>
      <c r="G49" s="16"/>
      <c r="H49" s="16"/>
    </row>
    <row r="50" spans="1:8" x14ac:dyDescent="0.25">
      <c r="A50" s="1" t="s">
        <v>20</v>
      </c>
      <c r="B50" s="14">
        <f>B18/B19*100</f>
        <v>30.397354568190611</v>
      </c>
      <c r="C50" s="14">
        <f t="shared" ref="C50:H50" si="11">C18/C19*100</f>
        <v>29.41287432052696</v>
      </c>
      <c r="D50" s="14"/>
      <c r="E50" s="14"/>
      <c r="F50" s="14">
        <f t="shared" si="11"/>
        <v>22.139060447391408</v>
      </c>
      <c r="G50" s="14">
        <f t="shared" si="11"/>
        <v>56.345360359844385</v>
      </c>
      <c r="H50" s="14">
        <f t="shared" si="11"/>
        <v>27.234583003644975</v>
      </c>
    </row>
    <row r="51" spans="1:8" x14ac:dyDescent="0.25">
      <c r="A51" s="1" t="s">
        <v>21</v>
      </c>
      <c r="B51" s="14">
        <f>(B49+B50)/2</f>
        <v>65.576996507582933</v>
      </c>
      <c r="C51" s="14">
        <f t="shared" ref="C51:F51" si="12">(C49+C50)/2</f>
        <v>65.256176571145033</v>
      </c>
      <c r="D51" s="14"/>
      <c r="E51" s="14"/>
      <c r="F51" s="14">
        <f t="shared" si="12"/>
        <v>56.910111873189436</v>
      </c>
      <c r="G51" s="14">
        <f>AVERAGE(G49:G50)</f>
        <v>56.345360359844385</v>
      </c>
      <c r="H51" s="14">
        <f>AVERAGE(H49:H50)</f>
        <v>27.234583003644975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96.907006970721071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3.7480522433475327</v>
      </c>
      <c r="C57" s="14">
        <f t="shared" ref="C57:F57" si="13">((C12/C10)-1)*100</f>
        <v>3.7040365875158576</v>
      </c>
      <c r="D57" s="14">
        <f t="shared" si="13"/>
        <v>4.0457183454221557</v>
      </c>
      <c r="E57" s="14">
        <f t="shared" si="13"/>
        <v>2.8248517786561234</v>
      </c>
      <c r="F57" s="14">
        <f t="shared" si="13"/>
        <v>5.0495757947459863</v>
      </c>
      <c r="G57" s="14"/>
      <c r="H57" s="14"/>
    </row>
    <row r="58" spans="1:8" x14ac:dyDescent="0.25">
      <c r="A58" s="1" t="s">
        <v>25</v>
      </c>
      <c r="B58" s="14">
        <f>((B33/B32)-1)*100</f>
        <v>15.197994395653369</v>
      </c>
      <c r="C58" s="14">
        <f t="shared" ref="C58:H58" si="14">((C33/C32)-1)*100</f>
        <v>19.435104083585841</v>
      </c>
      <c r="D58" s="14">
        <f t="shared" si="14"/>
        <v>19.819704697444564</v>
      </c>
      <c r="E58" s="14">
        <f t="shared" si="14"/>
        <v>18.445320725723867</v>
      </c>
      <c r="F58" s="14">
        <f t="shared" si="14"/>
        <v>7.5578506690325842</v>
      </c>
      <c r="G58" s="14">
        <f t="shared" si="14"/>
        <v>-0.7093241936459771</v>
      </c>
      <c r="H58" s="14">
        <f t="shared" si="14"/>
        <v>4.4871787554400244</v>
      </c>
    </row>
    <row r="59" spans="1:8" x14ac:dyDescent="0.25">
      <c r="A59" s="12" t="s">
        <v>26</v>
      </c>
      <c r="B59" s="15">
        <f>((B35/B34)-1)*100</f>
        <v>11.036296012043945</v>
      </c>
      <c r="C59" s="15">
        <f t="shared" ref="C59:F59" si="15">((C35/C34)-1)*100</f>
        <v>15.16919496455138</v>
      </c>
      <c r="D59" s="15">
        <f t="shared" si="15"/>
        <v>15.160629964276119</v>
      </c>
      <c r="E59" s="15">
        <f t="shared" si="15"/>
        <v>15.19133621577482</v>
      </c>
      <c r="F59" s="15">
        <f t="shared" si="15"/>
        <v>2.387705857268263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B17/(B11*3)</f>
        <v>117701.48177467988</v>
      </c>
      <c r="C62" s="5">
        <f>C17/(C11*3)</f>
        <v>99999.916451948171</v>
      </c>
      <c r="D62" s="5"/>
      <c r="E62" s="5"/>
      <c r="F62" s="5">
        <f t="shared" ref="F62:F63" si="16">F17/(F11*3)</f>
        <v>317084.875</v>
      </c>
      <c r="G62" s="5"/>
      <c r="H62" s="5"/>
    </row>
    <row r="63" spans="1:8" x14ac:dyDescent="0.25">
      <c r="A63" s="1" t="s">
        <v>35</v>
      </c>
      <c r="B63" s="5">
        <f>B18/(B12*3)</f>
        <v>117648.9347054027</v>
      </c>
      <c r="C63" s="5">
        <f t="shared" ref="C63:E63" si="17">C18/(C12*3)</f>
        <v>94613.45173110129</v>
      </c>
      <c r="D63" s="5">
        <f t="shared" si="17"/>
        <v>94610.792148566237</v>
      </c>
      <c r="E63" s="5">
        <f t="shared" si="17"/>
        <v>94620.376383469833</v>
      </c>
      <c r="F63" s="5">
        <f t="shared" si="16"/>
        <v>249598.8090250073</v>
      </c>
      <c r="G63" s="5"/>
      <c r="H63" s="5"/>
    </row>
    <row r="64" spans="1:8" x14ac:dyDescent="0.25">
      <c r="A64" s="12" t="s">
        <v>28</v>
      </c>
      <c r="B64" s="15">
        <f>(B62/B63)*B46</f>
        <v>99.868475901781849</v>
      </c>
      <c r="C64" s="15">
        <f t="shared" ref="C64:F64" si="18">(C62/C63)*C46</f>
        <v>103.10949837839397</v>
      </c>
      <c r="D64" s="15">
        <f t="shared" si="18"/>
        <v>0</v>
      </c>
      <c r="E64" s="15">
        <f t="shared" si="18"/>
        <v>0</v>
      </c>
      <c r="F64" s="15">
        <f t="shared" si="18"/>
        <v>101.27029652581301</v>
      </c>
      <c r="G64" s="15"/>
      <c r="H64" s="15"/>
    </row>
    <row r="65" spans="1:8" x14ac:dyDescent="0.25">
      <c r="A65" s="16" t="s">
        <v>36</v>
      </c>
      <c r="B65" s="5">
        <f>B17/B11</f>
        <v>353104.44532403967</v>
      </c>
      <c r="C65" s="5">
        <f t="shared" ref="C65:F65" si="19">C17/C11</f>
        <v>299999.74935584451</v>
      </c>
      <c r="D65" s="5"/>
      <c r="E65" s="5"/>
      <c r="F65" s="5">
        <f t="shared" si="19"/>
        <v>951254.625</v>
      </c>
      <c r="G65" s="16"/>
      <c r="H65" s="16"/>
    </row>
    <row r="66" spans="1:8" x14ac:dyDescent="0.25">
      <c r="A66" s="16" t="s">
        <v>37</v>
      </c>
      <c r="B66" s="5">
        <f>B18/B12</f>
        <v>352946.80411620811</v>
      </c>
      <c r="C66" s="5">
        <f t="shared" ref="C66:F66" si="20">C18/C12</f>
        <v>283840.35519330384</v>
      </c>
      <c r="D66" s="5">
        <f t="shared" si="20"/>
        <v>283832.37644569873</v>
      </c>
      <c r="E66" s="5">
        <f t="shared" si="20"/>
        <v>283861.12915040948</v>
      </c>
      <c r="F66" s="5">
        <f t="shared" si="20"/>
        <v>748796.4270750219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78.520731913975467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127.10223145992521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4" spans="1:8" x14ac:dyDescent="0.25">
      <c r="A74" s="1" t="s">
        <v>32</v>
      </c>
    </row>
    <row r="75" spans="1:8" x14ac:dyDescent="0.25">
      <c r="A75" s="1" t="s">
        <v>128</v>
      </c>
      <c r="B75" s="20"/>
      <c r="C75" s="20"/>
      <c r="D75" s="20"/>
      <c r="E75" s="20"/>
      <c r="F75" s="20"/>
    </row>
    <row r="76" spans="1:8" x14ac:dyDescent="0.25">
      <c r="A76" s="1" t="s">
        <v>91</v>
      </c>
    </row>
    <row r="77" spans="1:8" x14ac:dyDescent="0.25">
      <c r="A77" s="1" t="s">
        <v>129</v>
      </c>
    </row>
    <row r="79" spans="1:8" x14ac:dyDescent="0.25">
      <c r="A79" s="1" t="s">
        <v>48</v>
      </c>
    </row>
    <row r="80" spans="1:8" x14ac:dyDescent="0.25">
      <c r="A80" s="1" t="s">
        <v>50</v>
      </c>
    </row>
    <row r="81" spans="1:1" x14ac:dyDescent="0.25">
      <c r="A81" s="1" t="s">
        <v>49</v>
      </c>
    </row>
    <row r="82" spans="1:1" x14ac:dyDescent="0.25">
      <c r="A82" s="1" t="s">
        <v>47</v>
      </c>
    </row>
    <row r="83" spans="1:1" x14ac:dyDescent="0.25">
      <c r="A83" s="33" t="s">
        <v>54</v>
      </c>
    </row>
    <row r="84" spans="1:1" x14ac:dyDescent="0.25">
      <c r="A84" s="34" t="s">
        <v>55</v>
      </c>
    </row>
    <row r="85" spans="1:1" x14ac:dyDescent="0.25">
      <c r="A85" s="34" t="s">
        <v>56</v>
      </c>
    </row>
    <row r="87" spans="1:1" x14ac:dyDescent="0.25">
      <c r="A87" s="1" t="s">
        <v>131</v>
      </c>
    </row>
  </sheetData>
  <mergeCells count="7">
    <mergeCell ref="A4:A5"/>
    <mergeCell ref="A2:H2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workbookViewId="0">
      <selection activeCell="H51" sqref="H51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1" t="s">
        <v>113</v>
      </c>
      <c r="B2" s="51"/>
      <c r="C2" s="51"/>
      <c r="D2" s="51"/>
      <c r="E2" s="51"/>
      <c r="F2" s="51"/>
      <c r="G2" s="51"/>
      <c r="H2" s="51"/>
    </row>
    <row r="4" spans="1:8" x14ac:dyDescent="0.25">
      <c r="A4" s="49" t="s">
        <v>0</v>
      </c>
      <c r="B4" s="49" t="s">
        <v>38</v>
      </c>
      <c r="C4" s="36"/>
      <c r="D4" s="36"/>
      <c r="E4" s="37" t="s">
        <v>1</v>
      </c>
      <c r="F4" s="29"/>
      <c r="G4" s="49" t="s">
        <v>2</v>
      </c>
      <c r="H4" s="49" t="s">
        <v>3</v>
      </c>
    </row>
    <row r="5" spans="1:8" ht="15.75" thickBot="1" x14ac:dyDescent="0.3">
      <c r="A5" s="50"/>
      <c r="B5" s="50"/>
      <c r="C5" s="52" t="s">
        <v>39</v>
      </c>
      <c r="D5" s="52"/>
      <c r="E5" s="52"/>
      <c r="F5" s="35" t="s">
        <v>57</v>
      </c>
      <c r="G5" s="50"/>
      <c r="H5" s="50"/>
    </row>
    <row r="6" spans="1:8" ht="15.75" thickTop="1" x14ac:dyDescent="0.25">
      <c r="C6" s="38" t="s">
        <v>82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74</v>
      </c>
      <c r="B10" s="22">
        <f>+C10+F10</f>
        <v>96755.000000000015</v>
      </c>
      <c r="C10" s="22">
        <f>SUM(D10:E10)</f>
        <v>93597.166666666686</v>
      </c>
      <c r="D10" s="22">
        <f>(+'I Trimestre'!D10+'II Trimestre'!D10)/2</f>
        <v>67068.333333333343</v>
      </c>
      <c r="E10" s="5">
        <f>(+'I Trimestre'!E10+'II Trimestre'!E10)/2</f>
        <v>26528.833333333336</v>
      </c>
      <c r="F10" s="5">
        <f>(+'I Trimestre'!F10+'II Trimestre'!F10)/2</f>
        <v>3157.833333333333</v>
      </c>
      <c r="G10" s="5">
        <f>+'I Trimestre'!G10+'II Trimestre'!G10/2</f>
        <v>0</v>
      </c>
      <c r="H10" s="5">
        <f>+'I Trimestre'!H10+'II Trimestre'!H10/2</f>
        <v>0</v>
      </c>
    </row>
    <row r="11" spans="1:8" x14ac:dyDescent="0.25">
      <c r="A11" s="4" t="s">
        <v>114</v>
      </c>
      <c r="B11" s="22">
        <f t="shared" ref="B11:B13" si="0">+C11+F11</f>
        <v>102023</v>
      </c>
      <c r="C11" s="22">
        <f>('I Trimestre'!C11+'II Trimestre'!C11)/2</f>
        <v>98355.5</v>
      </c>
      <c r="D11" s="22"/>
      <c r="E11" s="5"/>
      <c r="F11" s="5">
        <f>(+'I Trimestre'!F11+'II Trimestre'!F11)/2</f>
        <v>3667.5</v>
      </c>
      <c r="G11" s="5">
        <f>+'I Trimestre'!G11+'II Trimestre'!G11/2</f>
        <v>0</v>
      </c>
      <c r="H11" s="5">
        <f>+'I Trimestre'!H11+'II Trimestre'!H11/2</f>
        <v>0</v>
      </c>
    </row>
    <row r="12" spans="1:8" x14ac:dyDescent="0.25">
      <c r="A12" s="4" t="s">
        <v>115</v>
      </c>
      <c r="B12" s="22">
        <f t="shared" si="0"/>
        <v>100926.33333333333</v>
      </c>
      <c r="C12" s="22">
        <f t="shared" ref="C12" si="1">SUM(D12:E12)</f>
        <v>97622</v>
      </c>
      <c r="D12" s="22">
        <f>(+'I Trimestre'!D12+'II Trimestre'!D12)/2</f>
        <v>70352</v>
      </c>
      <c r="E12" s="5">
        <f>(+'I Trimestre'!E12+'II Trimestre'!E12)/2</f>
        <v>27270</v>
      </c>
      <c r="F12" s="5">
        <f>(+'I Trimestre'!F12+'II Trimestre'!F12)/2</f>
        <v>3304.333333333333</v>
      </c>
      <c r="G12" s="5">
        <f>+'I Trimestre'!G12+'II Trimestre'!G12/2</f>
        <v>0</v>
      </c>
      <c r="H12" s="5">
        <f>+'I Trimestre'!H12+'II Trimestre'!H12/2</f>
        <v>0</v>
      </c>
    </row>
    <row r="13" spans="1:8" x14ac:dyDescent="0.25">
      <c r="A13" s="4" t="s">
        <v>86</v>
      </c>
      <c r="B13" s="22">
        <f t="shared" si="0"/>
        <v>102647</v>
      </c>
      <c r="C13" s="22">
        <f>'II Trimestre'!C13</f>
        <v>98910.5</v>
      </c>
      <c r="D13" s="22"/>
      <c r="E13" s="22"/>
      <c r="F13" s="22">
        <f>'II Trimestre'!F13</f>
        <v>3736.5</v>
      </c>
      <c r="G13" s="22">
        <f>'II Trimestre'!G13</f>
        <v>0</v>
      </c>
      <c r="H13" s="22">
        <f>'II Trimestre'!H13</f>
        <v>0</v>
      </c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74</v>
      </c>
      <c r="B16" s="5">
        <f>+C16+F16+G16+H16</f>
        <v>49639319434.370003</v>
      </c>
      <c r="C16" s="22">
        <f t="shared" ref="C16:C20" si="2">SUM(D16:E16)</f>
        <v>38243612774.290001</v>
      </c>
      <c r="D16" s="5">
        <f>+'I Trimestre'!D16+'II Trimestre'!D16</f>
        <v>27403933703.709251</v>
      </c>
      <c r="E16" s="22">
        <f>+'I Trimestre'!E16+'II Trimestre'!E16</f>
        <v>10839679070.580748</v>
      </c>
      <c r="F16" s="22">
        <f>+'I Trimestre'!F16+'II Trimestre'!F16</f>
        <v>4234399616.5</v>
      </c>
      <c r="G16" s="22">
        <f>+'I Trimestre'!G16+'II Trimestre'!G16</f>
        <v>5116307043.54</v>
      </c>
      <c r="H16" s="22">
        <f>+'I Trimestre'!H16+'II Trimestre'!H16</f>
        <v>2045000000.04</v>
      </c>
    </row>
    <row r="17" spans="1:8" x14ac:dyDescent="0.25">
      <c r="A17" s="4" t="s">
        <v>114</v>
      </c>
      <c r="B17" s="5">
        <f t="shared" ref="B17:B19" si="3">+C17+F17+G17+H17</f>
        <v>55446777585</v>
      </c>
      <c r="C17" s="22">
        <f>'I Trimestre'!C17+'II Trimestre'!C17</f>
        <v>44259975000</v>
      </c>
      <c r="D17" s="5"/>
      <c r="E17" s="22"/>
      <c r="F17" s="22">
        <f>+'I Trimestre'!F17+'II Trimestre'!F17</f>
        <v>5186952585</v>
      </c>
      <c r="G17" s="22">
        <f>+'I Trimestre'!G17+'II Trimestre'!G17</f>
        <v>3927049999.9800005</v>
      </c>
      <c r="H17" s="22">
        <f>+'I Trimestre'!H17+'II Trimestre'!H17</f>
        <v>2072800000.02</v>
      </c>
    </row>
    <row r="18" spans="1:8" x14ac:dyDescent="0.25">
      <c r="A18" s="4" t="s">
        <v>115</v>
      </c>
      <c r="B18" s="5">
        <f t="shared" si="3"/>
        <v>56500168908.490005</v>
      </c>
      <c r="C18" s="22">
        <f t="shared" si="2"/>
        <v>43676812141.260002</v>
      </c>
      <c r="D18" s="5">
        <f>+'I Trimestre'!D18+'II Trimestre'!D18</f>
        <v>31472455413.769459</v>
      </c>
      <c r="E18" s="22">
        <f>+'I Trimestre'!E18+'II Trimestre'!E18</f>
        <v>12204356727.490543</v>
      </c>
      <c r="F18" s="22">
        <f>+'I Trimestre'!F18+'II Trimestre'!F18</f>
        <v>4748966218.8500004</v>
      </c>
      <c r="G18" s="22">
        <f>+'I Trimestre'!G18+'II Trimestre'!G18</f>
        <v>5723192662.6499996</v>
      </c>
      <c r="H18" s="22">
        <f>+'I Trimestre'!H18+'II Trimestre'!H18</f>
        <v>2351197885.73</v>
      </c>
    </row>
    <row r="19" spans="1:8" x14ac:dyDescent="0.25">
      <c r="A19" s="4" t="s">
        <v>86</v>
      </c>
      <c r="B19" s="5">
        <f t="shared" si="3"/>
        <v>120086280989</v>
      </c>
      <c r="C19" s="22">
        <f>'II Trimestre'!C19</f>
        <v>96500150000</v>
      </c>
      <c r="D19" s="5"/>
      <c r="E19" s="22"/>
      <c r="F19" s="22">
        <f>+'II Trimestre'!F19</f>
        <v>11586430989</v>
      </c>
      <c r="G19" s="22">
        <f>+'II Trimestre'!G19</f>
        <v>7854099999.96</v>
      </c>
      <c r="H19" s="22">
        <f>+'II Trimestre'!H19</f>
        <v>4145600000.0400004</v>
      </c>
    </row>
    <row r="20" spans="1:8" x14ac:dyDescent="0.25">
      <c r="A20" s="4" t="s">
        <v>116</v>
      </c>
      <c r="B20" s="41">
        <f>+C20+F20+G20</f>
        <v>54148971022.760002</v>
      </c>
      <c r="C20" s="22">
        <f t="shared" si="2"/>
        <v>43676812141.260002</v>
      </c>
      <c r="D20" s="5">
        <f>+D18</f>
        <v>31472455413.769459</v>
      </c>
      <c r="E20" s="22">
        <f>+E18</f>
        <v>12204356727.490543</v>
      </c>
      <c r="F20" s="22">
        <f t="shared" ref="F20:G20" si="4">+F18</f>
        <v>4748966218.8500004</v>
      </c>
      <c r="G20" s="22">
        <f t="shared" si="4"/>
        <v>5723192662.6499996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114</v>
      </c>
      <c r="B23" s="8">
        <f>B17</f>
        <v>55446777585</v>
      </c>
      <c r="C23" s="8"/>
      <c r="D23" s="8"/>
      <c r="E23" s="8"/>
      <c r="F23" s="8"/>
      <c r="G23" s="8"/>
      <c r="H23" s="8"/>
    </row>
    <row r="24" spans="1:8" x14ac:dyDescent="0.25">
      <c r="A24" s="9" t="s">
        <v>115</v>
      </c>
      <c r="B24" s="8">
        <f>+'I Trimestre'!B24+'II Trimestre'!B24</f>
        <v>58935386976.199997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75</v>
      </c>
      <c r="B27" s="23">
        <v>1.6071376151833332</v>
      </c>
      <c r="C27" s="23">
        <v>1.6071376151833332</v>
      </c>
      <c r="D27" s="23">
        <v>1.6071376151833332</v>
      </c>
      <c r="E27" s="23">
        <v>1.6071376151833332</v>
      </c>
      <c r="F27" s="23">
        <v>1.6071376151833332</v>
      </c>
      <c r="G27" s="23">
        <v>1.6071376151833332</v>
      </c>
      <c r="H27" s="23">
        <v>1.6071376151833332</v>
      </c>
    </row>
    <row r="28" spans="1:8" x14ac:dyDescent="0.25">
      <c r="A28" s="10" t="s">
        <v>117</v>
      </c>
      <c r="B28" s="23">
        <v>1.6659166666666667</v>
      </c>
      <c r="C28" s="23">
        <v>1.6659166666666667</v>
      </c>
      <c r="D28" s="23">
        <v>1.6659166666666667</v>
      </c>
      <c r="E28" s="23">
        <v>1.6659166666666667</v>
      </c>
      <c r="F28" s="23">
        <v>1.6659166666666667</v>
      </c>
      <c r="G28" s="23">
        <v>1.6659166666666667</v>
      </c>
      <c r="H28" s="23">
        <v>1.6659166666666667</v>
      </c>
    </row>
    <row r="29" spans="1:8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76</v>
      </c>
      <c r="B32" s="13">
        <f>B16/B27</f>
        <v>30886788390.369064</v>
      </c>
      <c r="C32" s="13">
        <f>C16/C27</f>
        <v>23796103341.11145</v>
      </c>
      <c r="D32" s="13">
        <f>D16/D27</f>
        <v>17051392142.659273</v>
      </c>
      <c r="E32" s="13">
        <f t="shared" ref="E32:H32" si="5">E16/E27</f>
        <v>6744711198.4521732</v>
      </c>
      <c r="F32" s="13">
        <f t="shared" si="5"/>
        <v>2634746132.8113856</v>
      </c>
      <c r="G32" s="13">
        <f t="shared" si="5"/>
        <v>3183490321.6775002</v>
      </c>
      <c r="H32" s="13">
        <f t="shared" si="5"/>
        <v>1272448594.7687297</v>
      </c>
    </row>
    <row r="33" spans="1:8" x14ac:dyDescent="0.25">
      <c r="A33" s="12" t="s">
        <v>118</v>
      </c>
      <c r="B33" s="13">
        <f>B18/B28</f>
        <v>33915363258.560356</v>
      </c>
      <c r="C33" s="13">
        <f t="shared" ref="C33:H33" si="6">C18/C28</f>
        <v>26217885333.155922</v>
      </c>
      <c r="D33" s="13">
        <f t="shared" si="6"/>
        <v>18891974636.848255</v>
      </c>
      <c r="E33" s="13">
        <f t="shared" si="6"/>
        <v>7325910696.3076639</v>
      </c>
      <c r="F33" s="13">
        <f t="shared" si="6"/>
        <v>2850662529.4482517</v>
      </c>
      <c r="G33" s="13">
        <f t="shared" si="6"/>
        <v>3435461555.2898803</v>
      </c>
      <c r="H33" s="13">
        <f t="shared" si="6"/>
        <v>1411353840.6662998</v>
      </c>
    </row>
    <row r="34" spans="1:8" x14ac:dyDescent="0.25">
      <c r="A34" s="12" t="s">
        <v>77</v>
      </c>
      <c r="B34" s="13">
        <f>B32/B10</f>
        <v>319226.79334782762</v>
      </c>
      <c r="C34" s="13">
        <f>C32/C10</f>
        <v>254239.56930083118</v>
      </c>
      <c r="D34" s="13">
        <f>D32/D10</f>
        <v>254239.09161292121</v>
      </c>
      <c r="E34" s="13">
        <f t="shared" ref="E34:F34" si="7">E32/E10</f>
        <v>254240.77695785739</v>
      </c>
      <c r="F34" s="13">
        <f t="shared" si="7"/>
        <v>834352.49891108437</v>
      </c>
      <c r="G34" s="13"/>
      <c r="H34" s="13"/>
    </row>
    <row r="35" spans="1:8" x14ac:dyDescent="0.25">
      <c r="A35" s="12" t="s">
        <v>119</v>
      </c>
      <c r="B35" s="13">
        <f>B33/B12</f>
        <v>336040.77487435081</v>
      </c>
      <c r="C35" s="13">
        <f>C33/C12</f>
        <v>268565.33704652562</v>
      </c>
      <c r="D35" s="13">
        <f>D33/D12</f>
        <v>268535.00450375618</v>
      </c>
      <c r="E35" s="13">
        <f t="shared" ref="E35:F35" si="8">E33/E12</f>
        <v>268643.58989027003</v>
      </c>
      <c r="F35" s="13">
        <f t="shared" si="8"/>
        <v>862704.28612375224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105.60487708853412</v>
      </c>
      <c r="C40" s="14"/>
      <c r="D40" s="14">
        <f>(C11)/D29*100</f>
        <v>105.73586325521393</v>
      </c>
      <c r="E40" s="14"/>
      <c r="F40" s="14">
        <f>(F11)/F29*100</f>
        <v>104.48717948717949</v>
      </c>
      <c r="G40" s="14"/>
    </row>
    <row r="41" spans="1:8" x14ac:dyDescent="0.25">
      <c r="A41" s="1" t="s">
        <v>13</v>
      </c>
      <c r="B41" s="14">
        <f>((D41*C18+F41*F18)/(C18+F18))</f>
        <v>77.446216834524904</v>
      </c>
      <c r="C41" s="40"/>
      <c r="D41" s="14">
        <f>(D12)/D29*100</f>
        <v>75.631047086648024</v>
      </c>
      <c r="E41" s="14"/>
      <c r="F41" s="14">
        <f t="shared" ref="F41" si="9">(F12)/F29*100</f>
        <v>94.140550807217465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98.925078985457532</v>
      </c>
      <c r="C44" s="14">
        <f>C12/C11*100</f>
        <v>99.254235909532269</v>
      </c>
      <c r="D44" s="14"/>
      <c r="E44" s="14"/>
      <c r="F44" s="14">
        <f>F12/F11*100</f>
        <v>90.097705067030205</v>
      </c>
      <c r="G44" s="14"/>
    </row>
    <row r="45" spans="1:8" x14ac:dyDescent="0.25">
      <c r="A45" s="1" t="s">
        <v>16</v>
      </c>
      <c r="B45" s="14">
        <f>B18/B17*100</f>
        <v>101.89982424474562</v>
      </c>
      <c r="C45" s="14">
        <f>C18/C17*100</f>
        <v>98.682414848313854</v>
      </c>
      <c r="D45" s="14"/>
      <c r="E45" s="14"/>
      <c r="F45" s="14">
        <f>F18/F17*100</f>
        <v>91.555998267333322</v>
      </c>
      <c r="G45" s="14">
        <f>G18/G17*100</f>
        <v>145.73770801693755</v>
      </c>
      <c r="H45" s="14">
        <f>H18/H17*100</f>
        <v>113.43100567866237</v>
      </c>
    </row>
    <row r="46" spans="1:8" x14ac:dyDescent="0.25">
      <c r="A46" s="12" t="s">
        <v>17</v>
      </c>
      <c r="B46" s="15">
        <f>AVERAGE(B44:B45)</f>
        <v>100.41245161510157</v>
      </c>
      <c r="C46" s="15">
        <f>AVERAGE(C44:C45)</f>
        <v>98.968325378923055</v>
      </c>
      <c r="D46" s="15"/>
      <c r="E46" s="15"/>
      <c r="F46" s="15">
        <f t="shared" ref="F46:H46" si="10">AVERAGE(F44:F45)</f>
        <v>90.826851667181757</v>
      </c>
      <c r="G46" s="15">
        <f>AVERAGE(G44:G45)</f>
        <v>145.73770801693755</v>
      </c>
      <c r="H46" s="15">
        <f t="shared" si="10"/>
        <v>113.43100567866237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98.32370486554241</v>
      </c>
      <c r="C49" s="16">
        <f>C12/C13*100</f>
        <v>98.697307161524819</v>
      </c>
      <c r="D49" s="16"/>
      <c r="E49" s="16"/>
      <c r="F49" s="16">
        <f>F12/F13*100</f>
        <v>88.433917659128412</v>
      </c>
      <c r="G49" s="16"/>
      <c r="H49" s="16"/>
    </row>
    <row r="50" spans="1:8" x14ac:dyDescent="0.25">
      <c r="A50" s="1" t="s">
        <v>20</v>
      </c>
      <c r="B50" s="14">
        <f>B18/B19*100</f>
        <v>47.04964500788018</v>
      </c>
      <c r="C50" s="14">
        <f>C18/C19*100</f>
        <v>45.260874870412124</v>
      </c>
      <c r="D50" s="14"/>
      <c r="E50" s="14"/>
      <c r="F50" s="14">
        <f>F18/F19*100</f>
        <v>40.987308545302724</v>
      </c>
      <c r="G50" s="14">
        <f>G18/G19*100</f>
        <v>72.868854008468787</v>
      </c>
      <c r="H50" s="14">
        <f>H18/H19*100</f>
        <v>56.715502839331187</v>
      </c>
    </row>
    <row r="51" spans="1:8" x14ac:dyDescent="0.25">
      <c r="A51" s="1" t="s">
        <v>21</v>
      </c>
      <c r="B51" s="14">
        <f>(B49+B50)/2</f>
        <v>72.686674936711299</v>
      </c>
      <c r="C51" s="14">
        <f t="shared" ref="C51" si="11">(C49+C50)/2</f>
        <v>71.979091015968464</v>
      </c>
      <c r="D51" s="14"/>
      <c r="E51" s="14"/>
      <c r="F51" s="14">
        <f t="shared" ref="F51" si="12">(F49+F50)/2</f>
        <v>64.710613102215575</v>
      </c>
      <c r="G51" s="14">
        <f>AVERAGE(G49:G50)</f>
        <v>72.868854008468787</v>
      </c>
      <c r="H51" s="14">
        <f t="shared" ref="H51" si="13">AVERAGE(H49:H50)</f>
        <v>56.715502839331187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95.838600253499948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4.3112328389574905</v>
      </c>
      <c r="C57" s="14">
        <f>((C12/C10)-1)*100</f>
        <v>4.3001657813715566</v>
      </c>
      <c r="D57" s="14">
        <f t="shared" ref="D57:F57" si="14">((D12/D10)-1)*100</f>
        <v>4.8960015904177201</v>
      </c>
      <c r="E57" s="14">
        <f t="shared" si="14"/>
        <v>2.793815534041566</v>
      </c>
      <c r="F57" s="14">
        <f t="shared" si="14"/>
        <v>4.6392568744392237</v>
      </c>
      <c r="G57" s="14"/>
      <c r="H57" s="14"/>
    </row>
    <row r="58" spans="1:8" x14ac:dyDescent="0.25">
      <c r="A58" s="1" t="s">
        <v>25</v>
      </c>
      <c r="B58" s="14">
        <f>((B33/B32)-1)*100</f>
        <v>9.8054055666585427</v>
      </c>
      <c r="C58" s="14">
        <f>((C33/C32)-1)*100</f>
        <v>10.177220855569535</v>
      </c>
      <c r="D58" s="14">
        <f t="shared" ref="D58:G58" si="15">((D33/D32)-1)*100</f>
        <v>10.794323881533408</v>
      </c>
      <c r="E58" s="14">
        <f t="shared" si="15"/>
        <v>8.6171146659158371</v>
      </c>
      <c r="F58" s="14">
        <f t="shared" si="15"/>
        <v>8.1949601879280252</v>
      </c>
      <c r="G58" s="14">
        <f t="shared" si="15"/>
        <v>7.9149363796277239</v>
      </c>
      <c r="H58" s="14">
        <f>((H33/H32)-1)*100</f>
        <v>10.916373869139795</v>
      </c>
    </row>
    <row r="59" spans="1:8" x14ac:dyDescent="0.25">
      <c r="A59" s="12" t="s">
        <v>26</v>
      </c>
      <c r="B59" s="15">
        <f>((B35/B34)-1)*100</f>
        <v>5.2670959571375242</v>
      </c>
      <c r="C59" s="15">
        <f>((C35/C34)-1)*100</f>
        <v>5.6347514216968042</v>
      </c>
      <c r="D59" s="15">
        <f t="shared" ref="D59:F59" si="16">((D35/D34)-1)*100</f>
        <v>5.6230191825104914</v>
      </c>
      <c r="E59" s="15">
        <f t="shared" si="16"/>
        <v>5.6650286805880912</v>
      </c>
      <c r="F59" s="15">
        <f t="shared" si="16"/>
        <v>3.3980586442384775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B17/(B11*6)</f>
        <v>90578.885128843496</v>
      </c>
      <c r="C62" s="41">
        <f t="shared" ref="C62:F62" si="17">C17/(C11*6)</f>
        <v>75000</v>
      </c>
      <c r="D62" s="41"/>
      <c r="E62" s="41"/>
      <c r="F62" s="41">
        <f t="shared" si="17"/>
        <v>235717</v>
      </c>
      <c r="G62" s="5"/>
      <c r="H62" s="5"/>
    </row>
    <row r="63" spans="1:8" x14ac:dyDescent="0.25">
      <c r="A63" s="1" t="s">
        <v>35</v>
      </c>
      <c r="B63" s="41">
        <f>B18/(B12*6)</f>
        <v>93302.654590460384</v>
      </c>
      <c r="C63" s="41">
        <f t="shared" ref="C63:F63" si="18">C18/(C12*6)</f>
        <v>74567.911845792958</v>
      </c>
      <c r="D63" s="41">
        <f t="shared" si="18"/>
        <v>74559.489931035976</v>
      </c>
      <c r="E63" s="41">
        <f t="shared" si="18"/>
        <v>74589.638965227627</v>
      </c>
      <c r="F63" s="41">
        <f t="shared" si="18"/>
        <v>239532.24144305461</v>
      </c>
      <c r="G63" s="5"/>
      <c r="H63" s="5"/>
    </row>
    <row r="64" spans="1:8" x14ac:dyDescent="0.25">
      <c r="A64" s="12" t="s">
        <v>28</v>
      </c>
      <c r="B64" s="15">
        <f>(B62/B63)*B46</f>
        <v>97.481126986924693</v>
      </c>
      <c r="C64" s="15">
        <f>(C62/C63)*C46</f>
        <v>99.541803165539577</v>
      </c>
      <c r="D64" s="15">
        <f t="shared" ref="D64:F64" si="19">(D62/D63)*D46</f>
        <v>0</v>
      </c>
      <c r="E64" s="15">
        <f t="shared" si="19"/>
        <v>0</v>
      </c>
      <c r="F64" s="15">
        <f t="shared" si="19"/>
        <v>89.380172228392354</v>
      </c>
      <c r="G64" s="15"/>
      <c r="H64" s="15"/>
    </row>
    <row r="65" spans="1:9" s="25" customFormat="1" x14ac:dyDescent="0.25">
      <c r="A65" s="16" t="s">
        <v>40</v>
      </c>
      <c r="B65" s="5">
        <f>B17/B11</f>
        <v>543473.31077306101</v>
      </c>
      <c r="C65" s="5">
        <f>C17/C11</f>
        <v>450000</v>
      </c>
      <c r="D65" s="5"/>
      <c r="E65" s="5"/>
      <c r="F65" s="5">
        <f t="shared" ref="F65" si="20">F17/F11</f>
        <v>1414302</v>
      </c>
      <c r="G65" s="16"/>
      <c r="H65" s="16"/>
    </row>
    <row r="66" spans="1:9" s="25" customFormat="1" x14ac:dyDescent="0.25">
      <c r="A66" s="16" t="s">
        <v>41</v>
      </c>
      <c r="B66" s="5">
        <f>B18/B12</f>
        <v>559815.92754276225</v>
      </c>
      <c r="C66" s="5">
        <f>C18/C12</f>
        <v>447407.47107475775</v>
      </c>
      <c r="D66" s="22">
        <f>D18/D12</f>
        <v>447356.93958621589</v>
      </c>
      <c r="E66" s="5">
        <f t="shared" ref="E66:F66" si="21">E18/E12</f>
        <v>447537.83379136573</v>
      </c>
      <c r="F66" s="5">
        <f t="shared" si="21"/>
        <v>1437193.4486583278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106.29181630231253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95.867986633067488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128</v>
      </c>
    </row>
    <row r="75" spans="1:9" x14ac:dyDescent="0.25">
      <c r="A75" s="1" t="s">
        <v>91</v>
      </c>
      <c r="B75" s="20"/>
      <c r="C75" s="20"/>
      <c r="D75" s="20"/>
      <c r="E75" s="20"/>
      <c r="F75" s="20"/>
    </row>
    <row r="76" spans="1:9" x14ac:dyDescent="0.25">
      <c r="A76" s="1" t="s">
        <v>129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61" workbookViewId="0">
      <selection activeCell="H51" sqref="H51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1" t="s">
        <v>120</v>
      </c>
      <c r="B2" s="51"/>
      <c r="C2" s="51"/>
      <c r="D2" s="51"/>
      <c r="E2" s="51"/>
      <c r="F2" s="51"/>
      <c r="G2" s="51"/>
      <c r="H2" s="51"/>
    </row>
    <row r="4" spans="1:8" x14ac:dyDescent="0.25">
      <c r="A4" s="49" t="s">
        <v>0</v>
      </c>
      <c r="B4" s="49" t="s">
        <v>38</v>
      </c>
      <c r="C4" s="36"/>
      <c r="D4" s="36"/>
      <c r="E4" s="37" t="s">
        <v>1</v>
      </c>
      <c r="F4" s="29"/>
      <c r="G4" s="49" t="s">
        <v>2</v>
      </c>
      <c r="H4" s="49" t="s">
        <v>3</v>
      </c>
    </row>
    <row r="5" spans="1:8" ht="15.75" thickBot="1" x14ac:dyDescent="0.3">
      <c r="A5" s="50"/>
      <c r="B5" s="50"/>
      <c r="C5" s="52" t="s">
        <v>39</v>
      </c>
      <c r="D5" s="52"/>
      <c r="E5" s="52"/>
      <c r="F5" s="35" t="s">
        <v>57</v>
      </c>
      <c r="G5" s="50"/>
      <c r="H5" s="50"/>
    </row>
    <row r="6" spans="1:8" ht="15.75" thickTop="1" x14ac:dyDescent="0.25">
      <c r="C6" s="38" t="s">
        <v>82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66</v>
      </c>
      <c r="B10" s="22">
        <f>+C10+F10</f>
        <v>97222</v>
      </c>
      <c r="C10" s="22">
        <f>SUM(D10:E10)</f>
        <v>94048.111111111109</v>
      </c>
      <c r="D10" s="22">
        <f>(+'I Trimestre'!D10+'II Trimestre'!D10+'III Trimestre'!D10)/3</f>
        <v>67433.333333333328</v>
      </c>
      <c r="E10" s="5">
        <f>(+'I Trimestre'!E10+'II Trimestre'!E10+'III Trimestre'!E10)/3</f>
        <v>26614.777777777781</v>
      </c>
      <c r="F10" s="5">
        <f>(+'I Trimestre'!F10+'II Trimestre'!F10+'III Trimestre'!F10)/3</f>
        <v>3173.8888888888887</v>
      </c>
      <c r="G10" s="5"/>
      <c r="H10" s="5"/>
    </row>
    <row r="11" spans="1:8" x14ac:dyDescent="0.25">
      <c r="A11" s="4" t="s">
        <v>100</v>
      </c>
      <c r="B11" s="22">
        <f t="shared" ref="B11:B13" si="0">+C11+F11</f>
        <v>102335</v>
      </c>
      <c r="C11" s="22">
        <f>('I Trimestre'!C11+'II Trimestre'!C11+'III Trimestre'!C11)/3</f>
        <v>98633</v>
      </c>
      <c r="D11" s="22"/>
      <c r="E11" s="5">
        <f>(+'I Trimestre'!E11+'II Trimestre'!E11+'III Trimestre'!E11)/3</f>
        <v>0</v>
      </c>
      <c r="F11" s="5">
        <f>(+'I Trimestre'!F11+'II Trimestre'!F11+'III Trimestre'!F11)/3</f>
        <v>3702</v>
      </c>
      <c r="G11" s="5"/>
      <c r="H11" s="5"/>
    </row>
    <row r="12" spans="1:8" x14ac:dyDescent="0.25">
      <c r="A12" s="4" t="s">
        <v>101</v>
      </c>
      <c r="B12" s="22">
        <f t="shared" si="0"/>
        <v>101324.88888888888</v>
      </c>
      <c r="C12" s="22">
        <f t="shared" ref="C12" si="1">SUM(D12:E12)</f>
        <v>97997.555555555547</v>
      </c>
      <c r="D12" s="22">
        <f>(+'I Trimestre'!D12+'II Trimestre'!D12+'III Trimestre'!D12)/3</f>
        <v>70634.777777777766</v>
      </c>
      <c r="E12" s="5">
        <f>(+'I Trimestre'!E12+'II Trimestre'!E12+'III Trimestre'!E12)/3</f>
        <v>27362.777777777777</v>
      </c>
      <c r="F12" s="5">
        <f>(+'I Trimestre'!F12+'II Trimestre'!F12+'III Trimestre'!F12)/3</f>
        <v>3327.3333333333335</v>
      </c>
      <c r="G12" s="5"/>
      <c r="H12" s="5"/>
    </row>
    <row r="13" spans="1:8" x14ac:dyDescent="0.25">
      <c r="A13" s="4" t="s">
        <v>86</v>
      </c>
      <c r="B13" s="22">
        <f t="shared" si="0"/>
        <v>102647</v>
      </c>
      <c r="C13" s="22">
        <f>'III Trimestre'!C13</f>
        <v>98910.5</v>
      </c>
      <c r="D13" s="22"/>
      <c r="E13" s="22">
        <f>'III Trimestre'!E13</f>
        <v>0</v>
      </c>
      <c r="F13" s="22">
        <f>'III Trimestre'!F13</f>
        <v>3736.5</v>
      </c>
      <c r="G13" s="22"/>
      <c r="H13" s="22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66</v>
      </c>
      <c r="B16" s="5">
        <f>+C16+F16+G16+H16</f>
        <v>82715216618.599991</v>
      </c>
      <c r="C16" s="22">
        <f t="shared" ref="C16:C20" si="2">SUM(D16:E16)</f>
        <v>65039941694.650002</v>
      </c>
      <c r="D16" s="5">
        <f>+'I Trimestre'!D16+'II Trimestre'!D16+'III Trimestre'!D16</f>
        <v>46648303934.644798</v>
      </c>
      <c r="E16" s="22">
        <f>+'I Trimestre'!E16+'II Trimestre'!E16+'III Trimestre'!E16</f>
        <v>18391637760.005203</v>
      </c>
      <c r="F16" s="22">
        <f>+'I Trimestre'!F16+'II Trimestre'!F16+'III Trimestre'!F16</f>
        <v>6307188683.5</v>
      </c>
      <c r="G16" s="22">
        <f>+'I Trimestre'!G16+'II Trimestre'!G16+'III Trimestre'!G16</f>
        <v>8300586240.3899994</v>
      </c>
      <c r="H16" s="22">
        <f>+'I Trimestre'!H16+'II Trimestre'!H16+'III Trimestre'!H16</f>
        <v>3067500000.0599999</v>
      </c>
    </row>
    <row r="17" spans="1:9" x14ac:dyDescent="0.25">
      <c r="A17" s="4" t="s">
        <v>100</v>
      </c>
      <c r="B17" s="5">
        <f t="shared" ref="B17:B19" si="3">+C17+F17+G17+H17</f>
        <v>83510663229</v>
      </c>
      <c r="C17" s="22">
        <f>'I Trimestre'!C17+'II Trimestre'!C17+'III Trimestre'!C17</f>
        <v>66577275000</v>
      </c>
      <c r="D17" s="5"/>
      <c r="E17" s="22"/>
      <c r="F17" s="22">
        <f>+'I Trimestre'!F17+'II Trimestre'!F17+'III Trimestre'!F17</f>
        <v>7933613229</v>
      </c>
      <c r="G17" s="22">
        <f>+'I Trimestre'!G17+'II Trimestre'!G17+'III Trimestre'!G17</f>
        <v>5890574999.9700012</v>
      </c>
      <c r="H17" s="22">
        <f>+'I Trimestre'!H17+'II Trimestre'!H17+'III Trimestre'!H17</f>
        <v>3109200000.0299997</v>
      </c>
    </row>
    <row r="18" spans="1:9" x14ac:dyDescent="0.25">
      <c r="A18" s="4" t="s">
        <v>101</v>
      </c>
      <c r="B18" s="5">
        <f t="shared" si="3"/>
        <v>84259227423.020004</v>
      </c>
      <c r="C18" s="22">
        <f t="shared" si="2"/>
        <v>64505009538</v>
      </c>
      <c r="D18" s="5">
        <f>+'I Trimestre'!D18+'II Trimestre'!D18+'III Trimestre'!D18</f>
        <v>46490222433.530235</v>
      </c>
      <c r="E18" s="22">
        <f>+'I Trimestre'!E18+'II Trimestre'!E18+'III Trimestre'!E18</f>
        <v>18014787104.469765</v>
      </c>
      <c r="F18" s="22">
        <f>+'I Trimestre'!F18+'II Trimestre'!F18+'III Trimestre'!F18</f>
        <v>7260321112.8000002</v>
      </c>
      <c r="G18" s="22">
        <f>+'I Trimestre'!G18+'II Trimestre'!G18+'III Trimestre'!G18</f>
        <v>9106298887.5</v>
      </c>
      <c r="H18" s="22">
        <f>+'I Trimestre'!H18+'II Trimestre'!H18+'III Trimestre'!H18</f>
        <v>3387597884.7200003</v>
      </c>
    </row>
    <row r="19" spans="1:9" x14ac:dyDescent="0.25">
      <c r="A19" s="4" t="s">
        <v>86</v>
      </c>
      <c r="B19" s="5">
        <f t="shared" si="3"/>
        <v>120086280989</v>
      </c>
      <c r="C19" s="22">
        <f>'III Trimestre'!C19</f>
        <v>96500150000</v>
      </c>
      <c r="D19" s="22"/>
      <c r="E19" s="22"/>
      <c r="F19" s="22">
        <f>+'III Trimestre'!F19</f>
        <v>11586430989</v>
      </c>
      <c r="G19" s="22">
        <f>+'III Trimestre'!G19</f>
        <v>7854099999.96</v>
      </c>
      <c r="H19" s="22">
        <f>+'III Trimestre'!H19</f>
        <v>4145600000.0400004</v>
      </c>
    </row>
    <row r="20" spans="1:9" x14ac:dyDescent="0.25">
      <c r="A20" s="4" t="s">
        <v>102</v>
      </c>
      <c r="B20" s="41">
        <f>+C20+F20+G20</f>
        <v>80871629538.300003</v>
      </c>
      <c r="C20" s="22">
        <f t="shared" si="2"/>
        <v>64505009538</v>
      </c>
      <c r="D20" s="5">
        <f>+D18</f>
        <v>46490222433.530235</v>
      </c>
      <c r="E20" s="22">
        <f>+E18</f>
        <v>18014787104.469765</v>
      </c>
      <c r="F20" s="22">
        <f t="shared" ref="F20:G20" si="4">+F18</f>
        <v>7260321112.8000002</v>
      </c>
      <c r="G20" s="22">
        <f t="shared" si="4"/>
        <v>9106298887.5</v>
      </c>
      <c r="H20" s="22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100</v>
      </c>
      <c r="B23" s="8">
        <f>B17</f>
        <v>83510663229</v>
      </c>
      <c r="C23" s="8"/>
      <c r="D23" s="8"/>
      <c r="E23" s="8"/>
      <c r="F23" s="8"/>
      <c r="G23" s="8"/>
      <c r="H23" s="8"/>
    </row>
    <row r="24" spans="1:9" x14ac:dyDescent="0.25">
      <c r="A24" s="9" t="s">
        <v>101</v>
      </c>
      <c r="B24" s="8">
        <f>+'I Trimestre'!B24+'II Trimestre'!B24+'III Trimestre'!B24</f>
        <v>93426321307.449997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67</v>
      </c>
      <c r="B27" s="23">
        <v>1.6128472990111107</v>
      </c>
      <c r="C27" s="23">
        <v>1.6128472990111107</v>
      </c>
      <c r="D27" s="23">
        <v>1.6128472990111107</v>
      </c>
      <c r="E27" s="23">
        <v>1.6128472990111107</v>
      </c>
      <c r="F27" s="23">
        <v>1.6128472990111107</v>
      </c>
      <c r="G27" s="23">
        <v>1.6128472990111107</v>
      </c>
      <c r="H27" s="23">
        <v>1.6128472990111107</v>
      </c>
    </row>
    <row r="28" spans="1:9" x14ac:dyDescent="0.25">
      <c r="A28" s="10" t="s">
        <v>103</v>
      </c>
      <c r="B28" s="45">
        <v>1.68</v>
      </c>
      <c r="C28" s="45">
        <v>1.68</v>
      </c>
      <c r="D28" s="45">
        <v>1.68</v>
      </c>
      <c r="E28" s="45">
        <v>1.68</v>
      </c>
      <c r="F28" s="45">
        <v>1.68</v>
      </c>
      <c r="G28" s="45">
        <v>1.68</v>
      </c>
      <c r="H28" s="45">
        <v>1.68</v>
      </c>
      <c r="I28" s="43"/>
    </row>
    <row r="29" spans="1:9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68</v>
      </c>
      <c r="B32" s="13">
        <f>B16/B27</f>
        <v>51285212598.43718</v>
      </c>
      <c r="C32" s="13">
        <f t="shared" ref="C32:H32" si="5">C16/C27</f>
        <v>40326162144.753639</v>
      </c>
      <c r="D32" s="13">
        <f t="shared" si="5"/>
        <v>28922951331.627239</v>
      </c>
      <c r="E32" s="13">
        <f t="shared" si="5"/>
        <v>11403210813.126398</v>
      </c>
      <c r="F32" s="13">
        <f t="shared" si="5"/>
        <v>3910592582.0548191</v>
      </c>
      <c r="G32" s="13">
        <f t="shared" si="5"/>
        <v>5146541923.3918543</v>
      </c>
      <c r="H32" s="13">
        <f t="shared" si="5"/>
        <v>1901915948.2368755</v>
      </c>
    </row>
    <row r="33" spans="1:8" x14ac:dyDescent="0.25">
      <c r="A33" s="12" t="s">
        <v>104</v>
      </c>
      <c r="B33" s="13">
        <f>B18/B28</f>
        <v>50154302037.511909</v>
      </c>
      <c r="C33" s="13">
        <f t="shared" ref="C33:H33" si="6">C18/C28</f>
        <v>38395839010.714287</v>
      </c>
      <c r="D33" s="13">
        <f t="shared" si="6"/>
        <v>27672751448.529903</v>
      </c>
      <c r="E33" s="13">
        <f t="shared" si="6"/>
        <v>10723087562.184383</v>
      </c>
      <c r="F33" s="13">
        <f t="shared" si="6"/>
        <v>4321619710</v>
      </c>
      <c r="G33" s="13">
        <f t="shared" si="6"/>
        <v>5420416004.4642859</v>
      </c>
      <c r="H33" s="13">
        <f t="shared" si="6"/>
        <v>2016427312.3333335</v>
      </c>
    </row>
    <row r="34" spans="1:8" x14ac:dyDescent="0.25">
      <c r="A34" s="12" t="s">
        <v>69</v>
      </c>
      <c r="B34" s="13">
        <f>B32/B10</f>
        <v>527506.2495982101</v>
      </c>
      <c r="C34" s="13">
        <f>C32/C10</f>
        <v>428782.26546316454</v>
      </c>
      <c r="D34" s="13">
        <f>D32/D10</f>
        <v>428911.78445319686</v>
      </c>
      <c r="E34" s="13">
        <f t="shared" ref="E34:F34" si="7">E32/E10</f>
        <v>428454.10577305662</v>
      </c>
      <c r="F34" s="13">
        <f t="shared" si="7"/>
        <v>1232113.8889722868</v>
      </c>
      <c r="G34" s="13"/>
      <c r="H34" s="13"/>
    </row>
    <row r="35" spans="1:8" x14ac:dyDescent="0.25">
      <c r="A35" s="12" t="s">
        <v>105</v>
      </c>
      <c r="B35" s="13">
        <f>B33/B12</f>
        <v>494985.01885859703</v>
      </c>
      <c r="C35" s="13">
        <f>C33/C12</f>
        <v>391804.04850963247</v>
      </c>
      <c r="D35" s="13">
        <f>D33/D12</f>
        <v>391772.32970974193</v>
      </c>
      <c r="E35" s="13">
        <f t="shared" ref="E35:F35" si="8">E33/E12</f>
        <v>391885.92800300266</v>
      </c>
      <c r="F35" s="13">
        <f t="shared" si="8"/>
        <v>1298823.7958324985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105.97412306893813</v>
      </c>
      <c r="C40" s="14"/>
      <c r="D40" s="14">
        <f>(C11)/D29*100</f>
        <v>106.03418619651688</v>
      </c>
      <c r="E40" s="14"/>
      <c r="F40" s="14">
        <f>(F11)/F29*100</f>
        <v>105.47008547008548</v>
      </c>
      <c r="G40" s="14"/>
    </row>
    <row r="41" spans="1:8" x14ac:dyDescent="0.25">
      <c r="A41" s="1" t="s">
        <v>13</v>
      </c>
      <c r="B41" s="14">
        <f>((D41*C18+F41*F18)/(C18+F18))</f>
        <v>77.843142089986515</v>
      </c>
      <c r="C41" s="40"/>
      <c r="D41" s="14">
        <f>(D12)/D29*100</f>
        <v>75.935043837645424</v>
      </c>
      <c r="E41" s="14"/>
      <c r="F41" s="14">
        <f t="shared" ref="F41" si="9">(F12)/F29*100</f>
        <v>94.795821462488135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99.012936814275548</v>
      </c>
      <c r="C44" s="14">
        <f>C12/C11*100</f>
        <v>99.35574863945692</v>
      </c>
      <c r="D44" s="14"/>
      <c r="E44" s="14"/>
      <c r="F44" s="14">
        <f>F12/F11*100</f>
        <v>89.879344498469308</v>
      </c>
      <c r="G44" s="14"/>
    </row>
    <row r="45" spans="1:8" x14ac:dyDescent="0.25">
      <c r="A45" s="1" t="s">
        <v>16</v>
      </c>
      <c r="B45" s="14">
        <f>B18/B17*100</f>
        <v>100.89636959530223</v>
      </c>
      <c r="C45" s="14">
        <f>C18/C17*100</f>
        <v>96.88742823733773</v>
      </c>
      <c r="D45" s="14"/>
      <c r="E45" s="14"/>
      <c r="F45" s="14">
        <f>F18/F17*100</f>
        <v>91.513424000316874</v>
      </c>
      <c r="G45" s="14">
        <f>G18/G17*100</f>
        <v>154.59100151591952</v>
      </c>
      <c r="H45" s="14">
        <f>H18/H17*100</f>
        <v>108.95400375296906</v>
      </c>
    </row>
    <row r="46" spans="1:8" x14ac:dyDescent="0.25">
      <c r="A46" s="12" t="s">
        <v>17</v>
      </c>
      <c r="B46" s="15">
        <f>AVERAGE(B44:B45)</f>
        <v>99.954653204788883</v>
      </c>
      <c r="C46" s="15">
        <f>AVERAGE(C44:C45)</f>
        <v>98.121588438397325</v>
      </c>
      <c r="D46" s="15"/>
      <c r="E46" s="15"/>
      <c r="F46" s="15">
        <f t="shared" ref="F46:H46" si="10">AVERAGE(F44:F45)</f>
        <v>90.696384249393091</v>
      </c>
      <c r="G46" s="15">
        <f>AVERAGE(G44:G45)</f>
        <v>154.59100151591952</v>
      </c>
      <c r="H46" s="15">
        <f t="shared" si="10"/>
        <v>108.95400375296906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98.711982706644008</v>
      </c>
      <c r="C49" s="16">
        <f>C12/C13*100</f>
        <v>99.076999464723713</v>
      </c>
      <c r="D49" s="16"/>
      <c r="E49" s="16"/>
      <c r="F49" s="16">
        <f>F12/F13*100</f>
        <v>89.049466969980827</v>
      </c>
      <c r="G49" s="16"/>
      <c r="H49" s="16"/>
    </row>
    <row r="50" spans="1:8" x14ac:dyDescent="0.25">
      <c r="A50" s="1" t="s">
        <v>20</v>
      </c>
      <c r="B50" s="14">
        <f>B18/B19*100</f>
        <v>70.165573227085133</v>
      </c>
      <c r="C50" s="14">
        <f>C18/C19*100</f>
        <v>66.844465566115701</v>
      </c>
      <c r="D50" s="14"/>
      <c r="E50" s="14"/>
      <c r="F50" s="14">
        <f>F18/F19*100</f>
        <v>62.662273824380001</v>
      </c>
      <c r="G50" s="14">
        <f>G18/G19*100</f>
        <v>115.94325113693967</v>
      </c>
      <c r="H50" s="14">
        <f>H18/H19*100</f>
        <v>81.71550281472679</v>
      </c>
    </row>
    <row r="51" spans="1:8" x14ac:dyDescent="0.25">
      <c r="A51" s="1" t="s">
        <v>21</v>
      </c>
      <c r="B51" s="14">
        <f>(B49+B50)/2</f>
        <v>84.438777966864563</v>
      </c>
      <c r="C51" s="14">
        <f t="shared" ref="C51" si="11">(C49+C50)/2</f>
        <v>82.960732515419707</v>
      </c>
      <c r="D51" s="14"/>
      <c r="E51" s="14"/>
      <c r="F51" s="14">
        <f t="shared" ref="F51" si="12">(F49+F50)/2</f>
        <v>75.855870397180411</v>
      </c>
      <c r="G51" s="14">
        <f>AVERAGE(G49:G50)</f>
        <v>115.94325113693967</v>
      </c>
      <c r="H51" s="14">
        <f t="shared" ref="H51" si="13">AVERAGE(H49:H50)</f>
        <v>81.71550281472679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95.979552639721348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4.2201239317118278</v>
      </c>
      <c r="C57" s="14">
        <f>((C12/C10)-1)*100</f>
        <v>4.1993873112224911</v>
      </c>
      <c r="D57" s="14">
        <f t="shared" ref="D57:F57" si="14">((D12/D10)-1)*100</f>
        <v>4.7475696160817149</v>
      </c>
      <c r="E57" s="14">
        <f t="shared" si="14"/>
        <v>2.8104687036859088</v>
      </c>
      <c r="F57" s="14">
        <f t="shared" si="14"/>
        <v>4.8345877822510097</v>
      </c>
      <c r="G57" s="14"/>
      <c r="H57" s="14"/>
    </row>
    <row r="58" spans="1:8" x14ac:dyDescent="0.25">
      <c r="A58" s="1" t="s">
        <v>25</v>
      </c>
      <c r="B58" s="14">
        <f>((B33/B32)-1)*100</f>
        <v>-2.2051396564937598</v>
      </c>
      <c r="C58" s="14">
        <f>((C33/C32)-1)*100</f>
        <v>-4.7867762052593026</v>
      </c>
      <c r="D58" s="14">
        <f t="shared" ref="D58:G58" si="15">((D33/D32)-1)*100</f>
        <v>-4.3225183653033401</v>
      </c>
      <c r="E58" s="14">
        <f t="shared" si="15"/>
        <v>-5.9643135787607715</v>
      </c>
      <c r="F58" s="14">
        <f t="shared" si="15"/>
        <v>10.510609819885829</v>
      </c>
      <c r="G58" s="14">
        <f t="shared" si="15"/>
        <v>5.3215165668354825</v>
      </c>
      <c r="H58" s="14">
        <f>((H33/H32)-1)*100</f>
        <v>6.020842519492664</v>
      </c>
    </row>
    <row r="59" spans="1:8" x14ac:dyDescent="0.25">
      <c r="A59" s="12" t="s">
        <v>26</v>
      </c>
      <c r="B59" s="15">
        <f>((B35/B34)-1)*100</f>
        <v>-6.165089184134553</v>
      </c>
      <c r="C59" s="15">
        <f>((C35/C34)-1)*100</f>
        <v>-8.6240080180528764</v>
      </c>
      <c r="D59" s="15">
        <f t="shared" ref="D59:F59" si="16">((D35/D34)-1)*100</f>
        <v>-8.6589961128726305</v>
      </c>
      <c r="E59" s="15">
        <f t="shared" si="16"/>
        <v>-8.5349112722526659</v>
      </c>
      <c r="F59" s="15">
        <f t="shared" si="16"/>
        <v>5.4142646598891009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B17/(B11*9)</f>
        <v>90672.424693408902</v>
      </c>
      <c r="C62" s="41">
        <f t="shared" ref="C62:F62" si="17">C17/(C11*9)</f>
        <v>75000</v>
      </c>
      <c r="D62" s="41"/>
      <c r="E62" s="41"/>
      <c r="F62" s="41">
        <f t="shared" si="17"/>
        <v>238117.93111831442</v>
      </c>
      <c r="G62" s="5"/>
      <c r="H62" s="5"/>
    </row>
    <row r="63" spans="1:8" x14ac:dyDescent="0.25">
      <c r="A63" s="1" t="s">
        <v>35</v>
      </c>
      <c r="B63" s="41">
        <f>B18/(B12*9)</f>
        <v>92397.203520271447</v>
      </c>
      <c r="C63" s="41">
        <f t="shared" ref="C63:F63" si="18">C18/(C12*9)</f>
        <v>73136.755721798065</v>
      </c>
      <c r="D63" s="41">
        <f t="shared" si="18"/>
        <v>73130.834879151822</v>
      </c>
      <c r="E63" s="41">
        <f t="shared" si="18"/>
        <v>73152.039893893831</v>
      </c>
      <c r="F63" s="41">
        <f t="shared" si="18"/>
        <v>242447.10855539973</v>
      </c>
      <c r="G63" s="5"/>
      <c r="H63" s="5"/>
    </row>
    <row r="64" spans="1:8" x14ac:dyDescent="0.25">
      <c r="A64" s="12" t="s">
        <v>28</v>
      </c>
      <c r="B64" s="15">
        <f>(B62/B63)*B46</f>
        <v>98.088799445955317</v>
      </c>
      <c r="C64" s="15">
        <f>(C62/C63)*C46</f>
        <v>100.6213505131791</v>
      </c>
      <c r="D64" s="15">
        <f t="shared" ref="D64:F64" si="19">(D62/D63)*D46</f>
        <v>0</v>
      </c>
      <c r="E64" s="15">
        <f t="shared" si="19"/>
        <v>0</v>
      </c>
      <c r="F64" s="15">
        <f t="shared" si="19"/>
        <v>89.076893950427646</v>
      </c>
      <c r="G64" s="15"/>
      <c r="H64" s="15"/>
    </row>
    <row r="65" spans="1:9" x14ac:dyDescent="0.25">
      <c r="A65" s="16" t="s">
        <v>42</v>
      </c>
      <c r="B65" s="5">
        <f>B17/B11</f>
        <v>816051.82224068011</v>
      </c>
      <c r="C65" s="5">
        <f>C17/C11</f>
        <v>675000</v>
      </c>
      <c r="D65" s="5"/>
      <c r="E65" s="5"/>
      <c r="F65" s="5">
        <f t="shared" ref="F65" si="20">F17/F11</f>
        <v>2143061.3800648297</v>
      </c>
      <c r="G65" s="16"/>
      <c r="H65" s="16"/>
    </row>
    <row r="66" spans="1:9" x14ac:dyDescent="0.25">
      <c r="A66" s="16" t="s">
        <v>43</v>
      </c>
      <c r="B66" s="5">
        <f>B18/B12</f>
        <v>831574.83168244304</v>
      </c>
      <c r="C66" s="5">
        <f>C18/C12</f>
        <v>658230.80149618245</v>
      </c>
      <c r="D66" s="22">
        <f>D18/D12</f>
        <v>658177.51391236635</v>
      </c>
      <c r="E66" s="5">
        <f t="shared" ref="E66:F66" si="21">E18/E12</f>
        <v>658368.35904504452</v>
      </c>
      <c r="F66" s="5">
        <f t="shared" si="21"/>
        <v>2182023.9769985974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111.8735233263082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90.187889498225388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128</v>
      </c>
    </row>
    <row r="75" spans="1:9" x14ac:dyDescent="0.25">
      <c r="A75" s="1" t="s">
        <v>91</v>
      </c>
      <c r="B75" s="20"/>
      <c r="C75" s="20"/>
      <c r="D75" s="20"/>
      <c r="E75" s="20"/>
      <c r="F75" s="20"/>
    </row>
    <row r="76" spans="1:9" x14ac:dyDescent="0.25">
      <c r="A76" s="1" t="s">
        <v>129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abSelected="1" topLeftCell="A43" zoomScale="90" zoomScaleNormal="90" workbookViewId="0">
      <selection activeCell="A69" sqref="A69:B70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1" t="s">
        <v>121</v>
      </c>
      <c r="B2" s="51"/>
      <c r="C2" s="51"/>
      <c r="D2" s="51"/>
      <c r="E2" s="51"/>
      <c r="F2" s="51"/>
      <c r="G2" s="51"/>
      <c r="H2" s="51"/>
    </row>
    <row r="4" spans="1:8" x14ac:dyDescent="0.25">
      <c r="A4" s="49" t="s">
        <v>0</v>
      </c>
      <c r="B4" s="49" t="s">
        <v>38</v>
      </c>
      <c r="C4" s="36"/>
      <c r="D4" s="36"/>
      <c r="E4" s="37" t="s">
        <v>1</v>
      </c>
      <c r="F4" s="29"/>
      <c r="G4" s="49" t="s">
        <v>2</v>
      </c>
      <c r="H4" s="49" t="s">
        <v>3</v>
      </c>
    </row>
    <row r="5" spans="1:8" ht="15.75" thickBot="1" x14ac:dyDescent="0.3">
      <c r="A5" s="50"/>
      <c r="B5" s="50"/>
      <c r="C5" s="52" t="s">
        <v>39</v>
      </c>
      <c r="D5" s="52"/>
      <c r="E5" s="52"/>
      <c r="F5" s="35" t="s">
        <v>57</v>
      </c>
      <c r="G5" s="50"/>
      <c r="H5" s="50"/>
    </row>
    <row r="6" spans="1:8" ht="15.75" thickTop="1" x14ac:dyDescent="0.25">
      <c r="C6" s="38" t="s">
        <v>82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78</v>
      </c>
      <c r="B10" s="22">
        <f>+C10+F10</f>
        <v>97838.333333333343</v>
      </c>
      <c r="C10" s="22">
        <f>SUM(D10:E10)</f>
        <v>94642.666666666672</v>
      </c>
      <c r="D10" s="22">
        <f>(+'I Trimestre'!D10+'II Trimestre'!D10+'III Trimestre'!D10+'IV Trimestre'!D10)/4</f>
        <v>67934.916666666672</v>
      </c>
      <c r="E10" s="5">
        <f>(+'I Trimestre'!E10+'II Trimestre'!E10+'III Trimestre'!E10+'IV Trimestre'!E10)/4</f>
        <v>26707.750000000004</v>
      </c>
      <c r="F10" s="5">
        <f>(+'I Trimestre'!F10+'II Trimestre'!F10+'III Trimestre'!F10+'IV Trimestre'!F10)/4</f>
        <v>3195.6666666666665</v>
      </c>
      <c r="G10" s="5"/>
      <c r="H10" s="5"/>
    </row>
    <row r="11" spans="1:8" x14ac:dyDescent="0.25">
      <c r="A11" s="4" t="s">
        <v>122</v>
      </c>
      <c r="B11" s="22">
        <f>+C11+F11</f>
        <v>102647</v>
      </c>
      <c r="C11" s="22">
        <f>(+'I Trimestre'!C11+'II Trimestre'!C11+'III Trimestre'!C11+'IV Trimestre'!C11)/4</f>
        <v>98910.5</v>
      </c>
      <c r="D11" s="5"/>
      <c r="E11" s="5"/>
      <c r="F11" s="5">
        <f>(+'I Trimestre'!F11+'II Trimestre'!F11+'III Trimestre'!F11+'IV Trimestre'!F11)/4</f>
        <v>3736.5</v>
      </c>
      <c r="G11" s="5"/>
      <c r="H11" s="5"/>
    </row>
    <row r="12" spans="1:8" x14ac:dyDescent="0.25">
      <c r="A12" s="4" t="s">
        <v>123</v>
      </c>
      <c r="B12" s="22">
        <f t="shared" ref="B12" si="0">+C12+F12</f>
        <v>101849.58333333333</v>
      </c>
      <c r="C12" s="22">
        <f t="shared" ref="C12" si="1">SUM(D12:E12)</f>
        <v>98497.666666666657</v>
      </c>
      <c r="D12" s="22">
        <f>(+'I Trimestre'!D12+'II Trimestre'!D12+'III Trimestre'!D12+'IV Trimestre'!D12)/4</f>
        <v>71038.333333333328</v>
      </c>
      <c r="E12" s="5">
        <f>(+'I Trimestre'!E12+'II Trimestre'!E12+'III Trimestre'!E12+'IV Trimestre'!E12)/4</f>
        <v>27459.333333333332</v>
      </c>
      <c r="F12" s="5">
        <f>(+'I Trimestre'!F12+'II Trimestre'!F12+'III Trimestre'!F12+'IV Trimestre'!F12)/4</f>
        <v>3351.9166666666665</v>
      </c>
      <c r="G12" s="5"/>
      <c r="H12" s="5"/>
    </row>
    <row r="13" spans="1:8" x14ac:dyDescent="0.25">
      <c r="A13" s="4" t="s">
        <v>86</v>
      </c>
      <c r="B13" s="22">
        <f>+C13+F13</f>
        <v>102647</v>
      </c>
      <c r="C13" s="22">
        <f>'IV Trimestre'!C13</f>
        <v>98910.5</v>
      </c>
      <c r="D13" s="22"/>
      <c r="E13" s="22"/>
      <c r="F13" s="22">
        <f>'IV Trimestre'!F13</f>
        <v>3736.5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78</v>
      </c>
      <c r="B16" s="5">
        <f>+C16+F16+G16+H16</f>
        <v>112700106649.48</v>
      </c>
      <c r="C16" s="22">
        <f t="shared" ref="C16:C18" si="2">SUM(D16:E16)</f>
        <v>87527984396.869995</v>
      </c>
      <c r="D16" s="5">
        <f>+'I Trimestre'!D16+'II Trimestre'!D16+'III Trimestre'!D16+'IV Trimestre'!D16</f>
        <v>62843407250.408569</v>
      </c>
      <c r="E16" s="22">
        <f>+'I Trimestre'!E16+'II Trimestre'!E16+'III Trimestre'!E16+'IV Trimestre'!E16</f>
        <v>24684577146.461433</v>
      </c>
      <c r="F16" s="22">
        <f>+'I Trimestre'!F16+'II Trimestre'!F16+'III Trimestre'!F16+'IV Trimestre'!F16</f>
        <v>8563946441.7999992</v>
      </c>
      <c r="G16" s="22">
        <f>+'I Trimestre'!G16+'II Trimestre'!G16+'III Trimestre'!G16+'IV Trimestre'!G16</f>
        <v>12518175810.73</v>
      </c>
      <c r="H16" s="22">
        <f>+'I Trimestre'!H16+'II Trimestre'!H16+'III Trimestre'!H16+'IV Trimestre'!H16</f>
        <v>4090000000.0799999</v>
      </c>
    </row>
    <row r="17" spans="1:8" x14ac:dyDescent="0.25">
      <c r="A17" s="4" t="s">
        <v>122</v>
      </c>
      <c r="B17" s="5">
        <f t="shared" ref="B17:B18" si="3">+C17+F17+G17+H17</f>
        <v>120086280989</v>
      </c>
      <c r="C17" s="22">
        <f>'I Trimestre'!C17+'II Trimestre'!C17+'III Trimestre'!C17+'IV Trimestre'!C17</f>
        <v>96500150000</v>
      </c>
      <c r="D17" s="5"/>
      <c r="E17" s="22"/>
      <c r="F17" s="22">
        <f>+'I Trimestre'!F17+'II Trimestre'!F17+'III Trimestre'!F17+'IV Trimestre'!F17</f>
        <v>11586430989</v>
      </c>
      <c r="G17" s="22">
        <f>+'I Trimestre'!G17+'II Trimestre'!G17+'III Trimestre'!G17+'IV Trimestre'!G17</f>
        <v>7854099999.960001</v>
      </c>
      <c r="H17" s="22">
        <f>+'I Trimestre'!H17+'II Trimestre'!H17+'III Trimestre'!H17+'IV Trimestre'!H17</f>
        <v>4145600000.04</v>
      </c>
    </row>
    <row r="18" spans="1:8" x14ac:dyDescent="0.25">
      <c r="A18" s="4" t="s">
        <v>123</v>
      </c>
      <c r="B18" s="5">
        <f t="shared" si="3"/>
        <v>120762280042.99998</v>
      </c>
      <c r="C18" s="22">
        <f t="shared" si="2"/>
        <v>92888477376.619995</v>
      </c>
      <c r="D18" s="5">
        <f>+'I Trimestre'!D18+'II Trimestre'!D18+'III Trimestre'!D18+'IV Trimestre'!D18</f>
        <v>66996827799.355522</v>
      </c>
      <c r="E18" s="22">
        <f>+'I Trimestre'!E18+'II Trimestre'!E18+'III Trimestre'!E18+'IV Trimestre'!E18</f>
        <v>25891649577.264477</v>
      </c>
      <c r="F18" s="22">
        <f>+'I Trimestre'!F18+'II Trimestre'!F18+'III Trimestre'!F18+'IV Trimestre'!F18</f>
        <v>9825448073.1499996</v>
      </c>
      <c r="G18" s="22">
        <f>+'I Trimestre'!G18+'II Trimestre'!G18+'III Trimestre'!G18+'IV Trimestre'!G18</f>
        <v>13531719835.5</v>
      </c>
      <c r="H18" s="22">
        <f>+'I Trimestre'!H18+'II Trimestre'!H18+'III Trimestre'!H18+'IV Trimestre'!H18</f>
        <v>4516634757.7300005</v>
      </c>
    </row>
    <row r="19" spans="1:8" x14ac:dyDescent="0.25">
      <c r="A19" s="4" t="s">
        <v>86</v>
      </c>
      <c r="B19" s="5">
        <f>+C19+F19+G19+H19</f>
        <v>120086280989</v>
      </c>
      <c r="C19" s="22">
        <f>'IV Trimestre'!C19</f>
        <v>96500150000</v>
      </c>
      <c r="D19" s="5"/>
      <c r="E19" s="22"/>
      <c r="F19" s="22">
        <f>+'IV Trimestre'!F19</f>
        <v>11586430989</v>
      </c>
      <c r="G19" s="22">
        <f>+'IV Trimestre'!G19</f>
        <v>7854099999.96</v>
      </c>
      <c r="H19" s="22">
        <f>+'IV Trimestre'!H19</f>
        <v>4145600000.0400004</v>
      </c>
    </row>
    <row r="20" spans="1:8" x14ac:dyDescent="0.25">
      <c r="A20" s="4" t="s">
        <v>124</v>
      </c>
      <c r="B20" s="41">
        <f>C20+F20+G20</f>
        <v>116245645285.26999</v>
      </c>
      <c r="C20" s="22">
        <f>SUM(D20:E20)</f>
        <v>92888477376.619995</v>
      </c>
      <c r="D20" s="5">
        <f>+D18</f>
        <v>66996827799.355522</v>
      </c>
      <c r="E20" s="22">
        <f>+E18</f>
        <v>25891649577.264477</v>
      </c>
      <c r="F20" s="22">
        <f t="shared" ref="F20:G20" si="4">+F18</f>
        <v>9825448073.1499996</v>
      </c>
      <c r="G20" s="22">
        <f t="shared" si="4"/>
        <v>13531719835.5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122</v>
      </c>
      <c r="B23" s="8">
        <f>B17</f>
        <v>120086280989</v>
      </c>
      <c r="C23" s="8"/>
      <c r="D23" s="8"/>
      <c r="E23" s="8"/>
      <c r="F23" s="8"/>
      <c r="G23" s="8"/>
      <c r="H23" s="8"/>
    </row>
    <row r="24" spans="1:8" x14ac:dyDescent="0.25">
      <c r="A24" s="9" t="s">
        <v>123</v>
      </c>
      <c r="B24" s="8">
        <f>+'I Trimestre'!B24+'II Trimestre'!B24+'III Trimestre'!B24+'IV Trimestre'!B24</f>
        <v>122145764074.66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79</v>
      </c>
      <c r="B27" s="23">
        <v>1.6141688075916665</v>
      </c>
      <c r="C27" s="23">
        <v>1.6141688075916665</v>
      </c>
      <c r="D27" s="23">
        <v>1.6141688075916665</v>
      </c>
      <c r="E27" s="23">
        <v>1.6141688075916665</v>
      </c>
      <c r="F27" s="23">
        <v>1.6141688075916665</v>
      </c>
      <c r="G27" s="23">
        <v>1.6141688075916665</v>
      </c>
      <c r="H27" s="23">
        <v>1.6141688075916665</v>
      </c>
    </row>
    <row r="28" spans="1:8" x14ac:dyDescent="0.25">
      <c r="A28" s="10" t="s">
        <v>125</v>
      </c>
      <c r="B28" s="12">
        <v>1.69</v>
      </c>
      <c r="C28" s="12">
        <v>1.69</v>
      </c>
      <c r="D28" s="12">
        <v>1.69</v>
      </c>
      <c r="E28" s="12">
        <v>1.69</v>
      </c>
      <c r="F28" s="12">
        <v>1.69</v>
      </c>
      <c r="G28" s="12">
        <v>1.69</v>
      </c>
      <c r="H28" s="12">
        <v>1.69</v>
      </c>
    </row>
    <row r="29" spans="1:8" x14ac:dyDescent="0.25">
      <c r="A29" s="4" t="s">
        <v>8</v>
      </c>
      <c r="B29" s="24">
        <f>+D29+F29</f>
        <v>96530</v>
      </c>
      <c r="C29" s="39"/>
      <c r="D29" s="24">
        <v>93020</v>
      </c>
      <c r="E29" s="24" t="s">
        <v>53</v>
      </c>
      <c r="F29" s="24">
        <v>3510</v>
      </c>
      <c r="G29" s="21"/>
      <c r="H29" s="21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80</v>
      </c>
      <c r="B32" s="13">
        <f>B16/B27</f>
        <v>69819281675.767303</v>
      </c>
      <c r="C32" s="13">
        <f t="shared" ref="C32:H32" si="5">C16/C27</f>
        <v>54224802254.394569</v>
      </c>
      <c r="D32" s="13">
        <f t="shared" si="5"/>
        <v>38932363799.155983</v>
      </c>
      <c r="E32" s="13">
        <f t="shared" si="5"/>
        <v>15292438455.238598</v>
      </c>
      <c r="F32" s="13">
        <f t="shared" si="5"/>
        <v>5305483789.2558298</v>
      </c>
      <c r="G32" s="13">
        <f t="shared" si="5"/>
        <v>7755183814.6389837</v>
      </c>
      <c r="H32" s="13">
        <f t="shared" si="5"/>
        <v>2533811817.4779153</v>
      </c>
    </row>
    <row r="33" spans="1:9" x14ac:dyDescent="0.25">
      <c r="A33" s="12" t="s">
        <v>126</v>
      </c>
      <c r="B33" s="13">
        <f>B18/B28</f>
        <v>71456970439.644958</v>
      </c>
      <c r="C33" s="13">
        <f t="shared" ref="C33:H33" si="6">C18/C28</f>
        <v>54963596080.840233</v>
      </c>
      <c r="D33" s="13">
        <f t="shared" si="6"/>
        <v>39643093372.399719</v>
      </c>
      <c r="E33" s="13">
        <f t="shared" si="6"/>
        <v>15320502708.440519</v>
      </c>
      <c r="F33" s="13">
        <f t="shared" si="6"/>
        <v>5813874599.4970417</v>
      </c>
      <c r="G33" s="13">
        <f t="shared" si="6"/>
        <v>8006934813.9053259</v>
      </c>
      <c r="H33" s="13">
        <f t="shared" si="6"/>
        <v>2672564945.4023671</v>
      </c>
    </row>
    <row r="34" spans="1:9" x14ac:dyDescent="0.25">
      <c r="A34" s="12" t="s">
        <v>81</v>
      </c>
      <c r="B34" s="13">
        <f>B32/B10</f>
        <v>713618.87817420543</v>
      </c>
      <c r="C34" s="13">
        <f t="shared" ref="C34:F34" si="7">C32/C10</f>
        <v>572942.45993062924</v>
      </c>
      <c r="D34" s="13">
        <f t="shared" si="7"/>
        <v>573083.26423926791</v>
      </c>
      <c r="E34" s="13">
        <f t="shared" si="7"/>
        <v>572584.30437751568</v>
      </c>
      <c r="F34" s="13">
        <f t="shared" si="7"/>
        <v>1660211.8877404288</v>
      </c>
      <c r="G34" s="13"/>
      <c r="H34" s="13"/>
    </row>
    <row r="35" spans="1:9" x14ac:dyDescent="0.25">
      <c r="A35" s="12" t="s">
        <v>127</v>
      </c>
      <c r="B35" s="13">
        <f>B33/B12</f>
        <v>701593.15434586094</v>
      </c>
      <c r="C35" s="13">
        <f t="shared" ref="C35:F35" si="8">C33/C12</f>
        <v>558019.27031273406</v>
      </c>
      <c r="D35" s="13">
        <f t="shared" si="8"/>
        <v>558052.13202824374</v>
      </c>
      <c r="E35" s="13">
        <f t="shared" si="8"/>
        <v>557934.25581249315</v>
      </c>
      <c r="F35" s="13">
        <f t="shared" si="8"/>
        <v>1734492.5836950128</v>
      </c>
      <c r="G35" s="13"/>
      <c r="H35" s="13"/>
    </row>
    <row r="37" spans="1:9" x14ac:dyDescent="0.25">
      <c r="A37" s="3" t="s">
        <v>10</v>
      </c>
    </row>
    <row r="39" spans="1:9" x14ac:dyDescent="0.25">
      <c r="A39" s="1" t="s">
        <v>11</v>
      </c>
    </row>
    <row r="40" spans="1:9" x14ac:dyDescent="0.25">
      <c r="A40" s="1" t="s">
        <v>12</v>
      </c>
      <c r="B40" s="14">
        <f>((D40*C17+F40*F17)/(C17+F17))</f>
        <v>106.34542433984915</v>
      </c>
      <c r="C40" s="14"/>
      <c r="D40" s="14">
        <f>(C11)/D29*100</f>
        <v>106.33250913781981</v>
      </c>
      <c r="E40" s="14"/>
      <c r="F40" s="14">
        <f>(F11)/F29*100</f>
        <v>106.45299145299145</v>
      </c>
      <c r="G40" s="14"/>
      <c r="I40" s="30"/>
    </row>
    <row r="41" spans="1:9" x14ac:dyDescent="0.25">
      <c r="A41" s="1" t="s">
        <v>13</v>
      </c>
      <c r="B41" s="14">
        <f>((D41*C18+F41*F18)/(C18+F18))</f>
        <v>78.198569764543166</v>
      </c>
      <c r="C41" s="40"/>
      <c r="D41" s="14">
        <f>(D12)/D29*100</f>
        <v>76.368881244176876</v>
      </c>
      <c r="E41" s="14"/>
      <c r="F41" s="14">
        <f>(F12)/F29*100</f>
        <v>95.496201329534657</v>
      </c>
      <c r="G41" s="14"/>
      <c r="I41" s="30"/>
    </row>
    <row r="43" spans="1:9" x14ac:dyDescent="0.25">
      <c r="A43" s="1" t="s">
        <v>14</v>
      </c>
    </row>
    <row r="44" spans="1:9" x14ac:dyDescent="0.25">
      <c r="A44" s="1" t="s">
        <v>15</v>
      </c>
      <c r="B44" s="14">
        <f>B12/B11*100</f>
        <v>99.223146641726828</v>
      </c>
      <c r="C44" s="14">
        <f>C12/C11*100</f>
        <v>99.582619303983549</v>
      </c>
      <c r="D44" s="14"/>
      <c r="E44" s="14"/>
      <c r="F44" s="14">
        <f>F12/F11*100</f>
        <v>89.707391052232481</v>
      </c>
      <c r="G44" s="14"/>
    </row>
    <row r="45" spans="1:9" x14ac:dyDescent="0.25">
      <c r="A45" s="1" t="s">
        <v>16</v>
      </c>
      <c r="B45" s="14">
        <f>B18/B17*100</f>
        <v>100.56292779527571</v>
      </c>
      <c r="C45" s="14">
        <f>C18/C17*100</f>
        <v>96.257339886642654</v>
      </c>
      <c r="D45" s="14"/>
      <c r="E45" s="14"/>
      <c r="F45" s="14">
        <f>F18/F17*100</f>
        <v>84.801334271771395</v>
      </c>
      <c r="G45" s="14">
        <f>G18/G17*100</f>
        <v>172.28861149678403</v>
      </c>
      <c r="H45" s="14">
        <f>H18/H17*100</f>
        <v>108.95008581837178</v>
      </c>
    </row>
    <row r="46" spans="1:9" x14ac:dyDescent="0.25">
      <c r="A46" s="12" t="s">
        <v>17</v>
      </c>
      <c r="B46" s="15">
        <f>AVERAGE(B44:B45)</f>
        <v>99.893037218501263</v>
      </c>
      <c r="C46" s="15">
        <f>AVERAGE(C44:C45)</f>
        <v>97.919979595313094</v>
      </c>
      <c r="D46" s="15"/>
      <c r="E46" s="15"/>
      <c r="F46" s="15">
        <f t="shared" ref="F46:H46" si="9">AVERAGE(F44:F45)</f>
        <v>87.254362662001938</v>
      </c>
      <c r="G46" s="15">
        <f>AVERAGE(G44:G45)</f>
        <v>172.28861149678403</v>
      </c>
      <c r="H46" s="15">
        <f t="shared" si="9"/>
        <v>108.95008581837178</v>
      </c>
    </row>
    <row r="47" spans="1:9" x14ac:dyDescent="0.25">
      <c r="B47" s="14"/>
      <c r="C47" s="14"/>
      <c r="D47" s="14"/>
      <c r="E47" s="14"/>
      <c r="F47" s="14"/>
      <c r="G47" s="14"/>
      <c r="H47" s="14"/>
    </row>
    <row r="48" spans="1:9" x14ac:dyDescent="0.25">
      <c r="A48" s="1" t="s">
        <v>18</v>
      </c>
    </row>
    <row r="49" spans="1:16" x14ac:dyDescent="0.25">
      <c r="A49" s="1" t="s">
        <v>19</v>
      </c>
      <c r="B49" s="16">
        <f>B12/B13*100</f>
        <v>99.223146641726828</v>
      </c>
      <c r="C49" s="16">
        <f>C12/C13*100</f>
        <v>99.582619303983549</v>
      </c>
      <c r="D49" s="16"/>
      <c r="E49" s="16"/>
      <c r="F49" s="16">
        <f>F12/F13*100</f>
        <v>89.707391052232481</v>
      </c>
      <c r="G49" s="16"/>
      <c r="H49" s="16"/>
    </row>
    <row r="50" spans="1:16" x14ac:dyDescent="0.25">
      <c r="A50" s="1" t="s">
        <v>20</v>
      </c>
      <c r="B50" s="14">
        <f>B18/B19*100</f>
        <v>100.56292779527571</v>
      </c>
      <c r="C50" s="14">
        <f>C18/C19*100</f>
        <v>96.257339886642654</v>
      </c>
      <c r="D50" s="14"/>
      <c r="E50" s="14"/>
      <c r="F50" s="14">
        <f>F18/F19*100</f>
        <v>84.801334271771395</v>
      </c>
      <c r="G50" s="14">
        <f>G18/G19*100</f>
        <v>172.28861149678406</v>
      </c>
      <c r="H50" s="14">
        <f>H18/H19*100</f>
        <v>108.95008581837178</v>
      </c>
    </row>
    <row r="51" spans="1:16" x14ac:dyDescent="0.25">
      <c r="A51" s="1" t="s">
        <v>21</v>
      </c>
      <c r="B51" s="14">
        <f>(B49+B50)/2</f>
        <v>99.893037218501263</v>
      </c>
      <c r="C51" s="14">
        <f>(C49+C50)/2</f>
        <v>97.919979595313094</v>
      </c>
      <c r="D51" s="14"/>
      <c r="E51" s="14"/>
      <c r="F51" s="14">
        <f>(F49+F50)/2</f>
        <v>87.254362662001938</v>
      </c>
      <c r="G51" s="46">
        <f>AVERAGE(G49:G50)</f>
        <v>172.28861149678406</v>
      </c>
      <c r="H51" s="46">
        <f t="shared" ref="H51" si="10">AVERAGE(H49:H50)</f>
        <v>108.95008581837178</v>
      </c>
      <c r="I51" s="30"/>
      <c r="J51" s="25"/>
      <c r="K51" s="25"/>
      <c r="L51" s="25"/>
      <c r="M51" s="25"/>
      <c r="N51" s="25"/>
      <c r="O51" s="25"/>
      <c r="P51" s="25"/>
    </row>
    <row r="53" spans="1:16" x14ac:dyDescent="0.25">
      <c r="A53" s="1" t="s">
        <v>33</v>
      </c>
    </row>
    <row r="54" spans="1:16" x14ac:dyDescent="0.25">
      <c r="A54" s="1" t="s">
        <v>22</v>
      </c>
      <c r="B54" s="14">
        <f>(B20/B18)*100</f>
        <v>96.259896089969686</v>
      </c>
      <c r="C54" s="14"/>
      <c r="D54" s="14"/>
      <c r="E54" s="14"/>
      <c r="F54" s="14"/>
      <c r="G54" s="14"/>
      <c r="H54" s="14"/>
    </row>
    <row r="56" spans="1:16" x14ac:dyDescent="0.25">
      <c r="A56" s="25" t="s">
        <v>23</v>
      </c>
    </row>
    <row r="57" spans="1:16" x14ac:dyDescent="0.25">
      <c r="A57" s="1" t="s">
        <v>24</v>
      </c>
      <c r="B57" s="14">
        <f>((B12/B10)-1)*100</f>
        <v>4.0998756451970042</v>
      </c>
      <c r="C57" s="14">
        <f t="shared" ref="C57:F57" si="11">((C12/C10)-1)*100</f>
        <v>4.0732157448367001</v>
      </c>
      <c r="D57" s="14">
        <f t="shared" si="11"/>
        <v>4.5682203187118908</v>
      </c>
      <c r="E57" s="14">
        <f t="shared" si="11"/>
        <v>2.8141020240691539</v>
      </c>
      <c r="F57" s="14">
        <f t="shared" si="11"/>
        <v>4.8894336080108403</v>
      </c>
      <c r="G57" s="14"/>
      <c r="H57" s="14"/>
    </row>
    <row r="58" spans="1:16" x14ac:dyDescent="0.25">
      <c r="A58" s="1" t="s">
        <v>25</v>
      </c>
      <c r="B58" s="14">
        <f>((B33/B32)-1)*100</f>
        <v>2.3456110182898948</v>
      </c>
      <c r="C58" s="14">
        <f t="shared" ref="C58:H58" si="12">((C33/C32)-1)*100</f>
        <v>1.3624647683907254</v>
      </c>
      <c r="D58" s="14">
        <f t="shared" si="12"/>
        <v>1.8255495014642298</v>
      </c>
      <c r="E58" s="14">
        <f t="shared" si="12"/>
        <v>0.18351718912628101</v>
      </c>
      <c r="F58" s="14">
        <f t="shared" si="12"/>
        <v>9.5823647839761161</v>
      </c>
      <c r="G58" s="14">
        <f t="shared" si="12"/>
        <v>3.2462286553560205</v>
      </c>
      <c r="H58" s="14">
        <f t="shared" si="12"/>
        <v>5.4760628617859464</v>
      </c>
    </row>
    <row r="59" spans="1:16" x14ac:dyDescent="0.25">
      <c r="A59" s="12" t="s">
        <v>26</v>
      </c>
      <c r="B59" s="15">
        <f>((B35/B34)-1)*100</f>
        <v>-1.6851745653243211</v>
      </c>
      <c r="C59" s="15">
        <f t="shared" ref="C59:F59" si="13">((C35/C34)-1)*100</f>
        <v>-2.6046576509100139</v>
      </c>
      <c r="D59" s="15">
        <f t="shared" si="13"/>
        <v>-2.622853108610157</v>
      </c>
      <c r="E59" s="15">
        <f t="shared" si="13"/>
        <v>-2.5585836798214912</v>
      </c>
      <c r="F59" s="15">
        <f t="shared" si="13"/>
        <v>4.4741696227510452</v>
      </c>
      <c r="G59" s="15"/>
      <c r="H59" s="15"/>
    </row>
    <row r="60" spans="1:16" x14ac:dyDescent="0.25">
      <c r="A60" s="25"/>
      <c r="B60" s="16"/>
      <c r="C60" s="16"/>
      <c r="D60" s="16"/>
      <c r="E60" s="16"/>
      <c r="F60" s="16"/>
      <c r="G60" s="16"/>
      <c r="H60" s="16"/>
    </row>
    <row r="61" spans="1:16" x14ac:dyDescent="0.25">
      <c r="A61" s="1" t="s">
        <v>27</v>
      </c>
    </row>
    <row r="62" spans="1:16" x14ac:dyDescent="0.25">
      <c r="A62" s="1" t="s">
        <v>34</v>
      </c>
      <c r="B62" s="5">
        <f>B17/(B11*12)</f>
        <v>97491.305955523945</v>
      </c>
      <c r="C62" s="5">
        <f t="shared" ref="C62:F62" si="14">C17/(C11*12)</f>
        <v>81302.583311849259</v>
      </c>
      <c r="D62" s="5"/>
      <c r="E62" s="5"/>
      <c r="F62" s="5">
        <f t="shared" si="14"/>
        <v>258406.50762745886</v>
      </c>
      <c r="G62" s="5"/>
      <c r="H62" s="5"/>
    </row>
    <row r="63" spans="1:16" x14ac:dyDescent="0.25">
      <c r="A63" s="1" t="s">
        <v>35</v>
      </c>
      <c r="B63" s="5">
        <f>B18/(B12*12)</f>
        <v>98807.702570375419</v>
      </c>
      <c r="C63" s="5">
        <f t="shared" ref="C63:F63" si="15">C18/(C12*12)</f>
        <v>78587.713902376709</v>
      </c>
      <c r="D63" s="5">
        <f t="shared" si="15"/>
        <v>78592.34192731099</v>
      </c>
      <c r="E63" s="5">
        <f t="shared" si="15"/>
        <v>78575.741026926116</v>
      </c>
      <c r="F63" s="5">
        <f t="shared" si="15"/>
        <v>244274.37220371427</v>
      </c>
      <c r="G63" s="5"/>
      <c r="H63" s="5"/>
    </row>
    <row r="64" spans="1:16" x14ac:dyDescent="0.25">
      <c r="A64" s="12" t="s">
        <v>28</v>
      </c>
      <c r="B64" s="27">
        <f>(B62/B63)*B46</f>
        <v>98.562180892315482</v>
      </c>
      <c r="C64" s="27">
        <f t="shared" ref="C64:F64" si="16">(C62/C63)*C46</f>
        <v>101.30269610377043</v>
      </c>
      <c r="D64" s="27">
        <f t="shared" si="16"/>
        <v>0</v>
      </c>
      <c r="E64" s="27">
        <f t="shared" si="16"/>
        <v>0</v>
      </c>
      <c r="F64" s="27">
        <f t="shared" si="16"/>
        <v>92.302335801089939</v>
      </c>
      <c r="G64" s="15"/>
      <c r="H64" s="15"/>
    </row>
    <row r="65" spans="1:8" x14ac:dyDescent="0.25">
      <c r="A65" s="16" t="s">
        <v>44</v>
      </c>
      <c r="B65" s="5">
        <f>B17/B11</f>
        <v>1169895.6714662875</v>
      </c>
      <c r="C65" s="5">
        <f>C17/C11</f>
        <v>975630.99974219117</v>
      </c>
      <c r="D65" s="5"/>
      <c r="E65" s="5"/>
      <c r="F65" s="5">
        <f t="shared" ref="F65" si="17">F17/F11</f>
        <v>3100878.0915295063</v>
      </c>
      <c r="G65" s="16"/>
      <c r="H65" s="16"/>
    </row>
    <row r="66" spans="1:8" x14ac:dyDescent="0.25">
      <c r="A66" s="16" t="s">
        <v>45</v>
      </c>
      <c r="B66" s="5">
        <f>B18/B12</f>
        <v>1185692.4308445051</v>
      </c>
      <c r="C66" s="5">
        <f>C18/C12</f>
        <v>943052.5668285205</v>
      </c>
      <c r="D66" s="5">
        <f>D18/(D12)</f>
        <v>943108.10312773183</v>
      </c>
      <c r="E66" s="5">
        <f t="shared" ref="E66:F66" si="18">E18/E12</f>
        <v>942908.8923231134</v>
      </c>
      <c r="F66" s="5">
        <f t="shared" si="18"/>
        <v>2931292.4664445715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101.71500280356642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98.867349971453464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128</v>
      </c>
    </row>
    <row r="75" spans="1:8" x14ac:dyDescent="0.25">
      <c r="A75" s="1" t="s">
        <v>91</v>
      </c>
      <c r="B75" s="20"/>
      <c r="C75" s="20"/>
      <c r="D75" s="20"/>
      <c r="E75" s="20"/>
      <c r="F75" s="20"/>
    </row>
    <row r="76" spans="1:8" x14ac:dyDescent="0.25">
      <c r="A76" s="1" t="s">
        <v>129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131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2012-04-23T14:39:07Z</dcterms:created>
  <dcterms:modified xsi:type="dcterms:W3CDTF">2015-05-15T15:18:41Z</dcterms:modified>
</cp:coreProperties>
</file>