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6515" windowHeight="9495" tabRatio="73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</sheets>
  <calcPr calcId="125725"/>
</workbook>
</file>

<file path=xl/calcChain.xml><?xml version="1.0" encoding="utf-8"?>
<calcChain xmlns="http://schemas.openxmlformats.org/spreadsheetml/2006/main">
  <c r="B11" i="5"/>
  <c r="B12"/>
  <c r="B13"/>
  <c r="B10"/>
  <c r="B11" i="7"/>
  <c r="B12"/>
  <c r="B13"/>
  <c r="B10"/>
  <c r="B11" i="6"/>
  <c r="B12"/>
  <c r="B13"/>
  <c r="B10"/>
  <c r="D44" i="2" l="1"/>
  <c r="D45"/>
  <c r="D46"/>
  <c r="F66" i="5"/>
  <c r="E66"/>
  <c r="D66"/>
  <c r="C66"/>
  <c r="B66"/>
  <c r="F65"/>
  <c r="E65"/>
  <c r="D65"/>
  <c r="C65"/>
  <c r="B65"/>
  <c r="F66" i="7"/>
  <c r="E66"/>
  <c r="D66"/>
  <c r="C66"/>
  <c r="B66"/>
  <c r="F65"/>
  <c r="E65"/>
  <c r="D65"/>
  <c r="C65"/>
  <c r="B65"/>
  <c r="F66" i="6"/>
  <c r="E66"/>
  <c r="D66"/>
  <c r="C66"/>
  <c r="B66"/>
  <c r="F65"/>
  <c r="E65"/>
  <c r="D65"/>
  <c r="C65"/>
  <c r="B65"/>
  <c r="F66" i="4"/>
  <c r="E66"/>
  <c r="D66"/>
  <c r="C66"/>
  <c r="B66"/>
  <c r="F65"/>
  <c r="E65"/>
  <c r="D65"/>
  <c r="C65"/>
  <c r="B65"/>
  <c r="F66" i="3"/>
  <c r="E66"/>
  <c r="D66"/>
  <c r="C66"/>
  <c r="B66"/>
  <c r="F65"/>
  <c r="E65"/>
  <c r="D65"/>
  <c r="C65"/>
  <c r="B65"/>
  <c r="F66" i="2"/>
  <c r="E66"/>
  <c r="D66"/>
  <c r="C66"/>
  <c r="B66"/>
  <c r="F65"/>
  <c r="E65"/>
  <c r="D65"/>
  <c r="C65"/>
  <c r="B65"/>
  <c r="C62" i="5"/>
  <c r="D62"/>
  <c r="E62"/>
  <c r="F62"/>
  <c r="C63"/>
  <c r="D63"/>
  <c r="E63"/>
  <c r="F63"/>
  <c r="B63"/>
  <c r="B62"/>
  <c r="C62" i="7"/>
  <c r="D62"/>
  <c r="E62"/>
  <c r="F62"/>
  <c r="C63"/>
  <c r="D63"/>
  <c r="E63"/>
  <c r="F63"/>
  <c r="B63"/>
  <c r="B62"/>
  <c r="C62" i="6"/>
  <c r="D62"/>
  <c r="E62"/>
  <c r="F62"/>
  <c r="C63"/>
  <c r="D63"/>
  <c r="E63"/>
  <c r="F63"/>
  <c r="B63"/>
  <c r="B62"/>
  <c r="F63" i="4"/>
  <c r="E63"/>
  <c r="D63"/>
  <c r="C63"/>
  <c r="B63"/>
  <c r="F62"/>
  <c r="E62"/>
  <c r="D62"/>
  <c r="C62"/>
  <c r="B62"/>
  <c r="F63" i="3"/>
  <c r="E63"/>
  <c r="D63"/>
  <c r="C63"/>
  <c r="B63"/>
  <c r="F62"/>
  <c r="E62"/>
  <c r="D62"/>
  <c r="C62"/>
  <c r="B62"/>
  <c r="F63" i="2"/>
  <c r="E63"/>
  <c r="D63"/>
  <c r="C63"/>
  <c r="B63"/>
  <c r="F62"/>
  <c r="E62"/>
  <c r="D62"/>
  <c r="C62"/>
  <c r="B62"/>
  <c r="G58" i="1"/>
  <c r="G50"/>
  <c r="G45"/>
  <c r="G32"/>
  <c r="G33"/>
  <c r="D20"/>
  <c r="E20"/>
  <c r="F20"/>
  <c r="C20"/>
  <c r="D20" i="3"/>
  <c r="E20"/>
  <c r="F20"/>
  <c r="C20"/>
  <c r="D20" i="2"/>
  <c r="E20"/>
  <c r="F20"/>
  <c r="C20"/>
  <c r="G58"/>
  <c r="G50"/>
  <c r="G45"/>
  <c r="G32"/>
  <c r="G33"/>
  <c r="G58" i="3"/>
  <c r="G50"/>
  <c r="G45"/>
  <c r="D44"/>
  <c r="D45"/>
  <c r="D46" s="1"/>
  <c r="G32"/>
  <c r="G33"/>
  <c r="G58" i="4"/>
  <c r="G50"/>
  <c r="G45"/>
  <c r="D44"/>
  <c r="D45"/>
  <c r="D46"/>
  <c r="G32"/>
  <c r="G33"/>
  <c r="G16" i="6"/>
  <c r="G32" s="1"/>
  <c r="G17"/>
  <c r="G18"/>
  <c r="G50" s="1"/>
  <c r="G19"/>
  <c r="G16" i="7"/>
  <c r="G32" s="1"/>
  <c r="G17"/>
  <c r="G18"/>
  <c r="G33" s="1"/>
  <c r="G19"/>
  <c r="E18" i="4"/>
  <c r="E19"/>
  <c r="G16" i="5"/>
  <c r="G32" s="1"/>
  <c r="G17"/>
  <c r="G18"/>
  <c r="G33" s="1"/>
  <c r="G19"/>
  <c r="F13" i="7"/>
  <c r="E13"/>
  <c r="D13"/>
  <c r="C13"/>
  <c r="C11"/>
  <c r="D11"/>
  <c r="E11"/>
  <c r="F11"/>
  <c r="C12"/>
  <c r="D12"/>
  <c r="E12"/>
  <c r="F12"/>
  <c r="F10"/>
  <c r="E10"/>
  <c r="D10"/>
  <c r="C10"/>
  <c r="G58" l="1"/>
  <c r="G58" i="5"/>
  <c r="G45" i="6"/>
  <c r="G33"/>
  <c r="G58" s="1"/>
  <c r="G50" i="5"/>
  <c r="G45" i="7"/>
  <c r="G45" i="5"/>
  <c r="G50" i="7"/>
  <c r="D13" i="5"/>
  <c r="E13"/>
  <c r="F13"/>
  <c r="C13"/>
  <c r="D11"/>
  <c r="E11"/>
  <c r="F11"/>
  <c r="D12"/>
  <c r="E12"/>
  <c r="F12"/>
  <c r="C11"/>
  <c r="C12"/>
  <c r="F10"/>
  <c r="E10"/>
  <c r="D10"/>
  <c r="C10"/>
  <c r="B20" i="1"/>
  <c r="B18"/>
  <c r="B17"/>
  <c r="B16"/>
  <c r="B20" i="2"/>
  <c r="B18"/>
  <c r="B16"/>
  <c r="B20" i="3"/>
  <c r="B19"/>
  <c r="B18"/>
  <c r="B17"/>
  <c r="B23" s="1"/>
  <c r="B16"/>
  <c r="B18" i="4"/>
  <c r="B16"/>
  <c r="D20"/>
  <c r="E20"/>
  <c r="F20"/>
  <c r="C20"/>
  <c r="B19"/>
  <c r="B19" i="2"/>
  <c r="B19" i="1"/>
  <c r="B17" i="4"/>
  <c r="B23" s="1"/>
  <c r="B17" i="2"/>
  <c r="B20" i="4" l="1"/>
  <c r="F12" i="6"/>
  <c r="F11"/>
  <c r="F10"/>
  <c r="E12"/>
  <c r="E11"/>
  <c r="E10"/>
  <c r="D12"/>
  <c r="D11"/>
  <c r="D10"/>
  <c r="D13"/>
  <c r="E13"/>
  <c r="F13"/>
  <c r="C13"/>
  <c r="C12"/>
  <c r="C11"/>
  <c r="C10"/>
  <c r="B11" i="4" l="1"/>
  <c r="B12"/>
  <c r="B13"/>
  <c r="B10"/>
  <c r="B11" i="3"/>
  <c r="B12"/>
  <c r="B13"/>
  <c r="B10"/>
  <c r="B11" i="2" l="1"/>
  <c r="B12"/>
  <c r="B13"/>
  <c r="B10"/>
  <c r="B11" i="1"/>
  <c r="B12"/>
  <c r="B13"/>
  <c r="B10"/>
  <c r="C62" l="1"/>
  <c r="D62"/>
  <c r="E62"/>
  <c r="F62"/>
  <c r="C63"/>
  <c r="E63"/>
  <c r="F63"/>
  <c r="C65"/>
  <c r="D65"/>
  <c r="E65"/>
  <c r="F65"/>
  <c r="C66"/>
  <c r="E66"/>
  <c r="F66"/>
  <c r="C49" l="1"/>
  <c r="E49"/>
  <c r="F49"/>
  <c r="D49" l="1"/>
  <c r="D66"/>
  <c r="D63" l="1"/>
  <c r="C17" i="5" l="1"/>
  <c r="E17"/>
  <c r="F17"/>
  <c r="C18"/>
  <c r="D18"/>
  <c r="D20" s="1"/>
  <c r="E18"/>
  <c r="F18"/>
  <c r="F20" s="1"/>
  <c r="C16"/>
  <c r="D16"/>
  <c r="E16"/>
  <c r="F16"/>
  <c r="D19"/>
  <c r="E19"/>
  <c r="F19"/>
  <c r="C19"/>
  <c r="C19" i="7"/>
  <c r="D19"/>
  <c r="E19"/>
  <c r="F19"/>
  <c r="C19" i="6"/>
  <c r="D19"/>
  <c r="E19"/>
  <c r="F19"/>
  <c r="B19" i="5" l="1"/>
  <c r="B16"/>
  <c r="E20"/>
  <c r="B18"/>
  <c r="B19" i="6"/>
  <c r="B19" i="7"/>
  <c r="C20" i="5"/>
  <c r="C17" i="7"/>
  <c r="E17"/>
  <c r="F17"/>
  <c r="C18"/>
  <c r="D18"/>
  <c r="D20" s="1"/>
  <c r="E18"/>
  <c r="E20" s="1"/>
  <c r="F18"/>
  <c r="F20" s="1"/>
  <c r="C16"/>
  <c r="D16"/>
  <c r="E16"/>
  <c r="F16"/>
  <c r="C17" i="6"/>
  <c r="E17"/>
  <c r="F17"/>
  <c r="C18"/>
  <c r="D18"/>
  <c r="D20" s="1"/>
  <c r="E18"/>
  <c r="E20" s="1"/>
  <c r="F18"/>
  <c r="F20" s="1"/>
  <c r="C16"/>
  <c r="D16"/>
  <c r="E16"/>
  <c r="F16"/>
  <c r="D17" i="5"/>
  <c r="B17" s="1"/>
  <c r="B65" i="1"/>
  <c r="B20" i="5" l="1"/>
  <c r="B16" i="7"/>
  <c r="C20" i="6"/>
  <c r="B20" s="1"/>
  <c r="B18"/>
  <c r="B16"/>
  <c r="C20" i="7"/>
  <c r="B20" s="1"/>
  <c r="B18"/>
  <c r="B23" i="2"/>
  <c r="B62" i="1"/>
  <c r="B63"/>
  <c r="B66"/>
  <c r="B49"/>
  <c r="D17" i="7"/>
  <c r="B17" s="1"/>
  <c r="D17" i="6"/>
  <c r="B17" s="1"/>
  <c r="B23" i="1"/>
  <c r="B32" i="4" l="1"/>
  <c r="B24" i="5"/>
  <c r="B23"/>
  <c r="B24" i="7"/>
  <c r="B23"/>
  <c r="B24" i="6"/>
  <c r="B23"/>
  <c r="D33" i="2"/>
  <c r="D33" i="3"/>
  <c r="D35" s="1"/>
  <c r="D33" i="4"/>
  <c r="D33" i="1"/>
  <c r="F49" i="4"/>
  <c r="E49"/>
  <c r="C49"/>
  <c r="F49" i="3"/>
  <c r="E49"/>
  <c r="C49"/>
  <c r="F49" i="2"/>
  <c r="E49"/>
  <c r="C49"/>
  <c r="D44" i="1" l="1"/>
  <c r="D49" i="2"/>
  <c r="F49" i="7"/>
  <c r="D35" i="1"/>
  <c r="D35" i="4"/>
  <c r="D35" i="2"/>
  <c r="D45" i="1"/>
  <c r="D49" i="4"/>
  <c r="D50" i="1"/>
  <c r="D50" i="4"/>
  <c r="D50" i="3"/>
  <c r="D50" i="2"/>
  <c r="D49" i="3"/>
  <c r="F49" i="6"/>
  <c r="E49"/>
  <c r="C49"/>
  <c r="E49" i="7"/>
  <c r="C49"/>
  <c r="E33" i="1"/>
  <c r="E35" s="1"/>
  <c r="E44"/>
  <c r="E45"/>
  <c r="E50"/>
  <c r="E45" i="5"/>
  <c r="E33"/>
  <c r="E50"/>
  <c r="E45" i="7"/>
  <c r="E33"/>
  <c r="E50" i="6"/>
  <c r="E33" i="4"/>
  <c r="E35" s="1"/>
  <c r="E44"/>
  <c r="E45"/>
  <c r="E50"/>
  <c r="E51" s="1"/>
  <c r="E58"/>
  <c r="E33" i="3"/>
  <c r="E35" s="1"/>
  <c r="E44"/>
  <c r="E45"/>
  <c r="E50"/>
  <c r="E51" s="1"/>
  <c r="E58"/>
  <c r="E32" i="2"/>
  <c r="E33"/>
  <c r="E35" s="1"/>
  <c r="E44"/>
  <c r="E45"/>
  <c r="E50"/>
  <c r="E51" s="1"/>
  <c r="E58"/>
  <c r="E46" i="1" l="1"/>
  <c r="E64" s="1"/>
  <c r="D51" i="2"/>
  <c r="E46" i="3"/>
  <c r="E64" s="1"/>
  <c r="D51" i="1"/>
  <c r="D64" i="2"/>
  <c r="E46"/>
  <c r="E64" s="1"/>
  <c r="D51" i="4"/>
  <c r="E32" i="3"/>
  <c r="E32" i="1"/>
  <c r="E58" s="1"/>
  <c r="D51" i="3"/>
  <c r="D50" i="6"/>
  <c r="D33"/>
  <c r="D45"/>
  <c r="D45" i="5"/>
  <c r="D50"/>
  <c r="D33"/>
  <c r="B49" i="4"/>
  <c r="D64"/>
  <c r="D44" i="6"/>
  <c r="D49" i="5"/>
  <c r="D44"/>
  <c r="E32"/>
  <c r="E58" s="1"/>
  <c r="E32" i="4"/>
  <c r="E33" i="6"/>
  <c r="E50" i="7"/>
  <c r="E51" s="1"/>
  <c r="D64" i="3"/>
  <c r="D33" i="7"/>
  <c r="D45"/>
  <c r="D50"/>
  <c r="B49" i="3"/>
  <c r="D49" i="6"/>
  <c r="B49" i="2"/>
  <c r="D46" i="1"/>
  <c r="D64" s="1"/>
  <c r="D44" i="7"/>
  <c r="D49"/>
  <c r="E45" i="6"/>
  <c r="E46" i="4"/>
  <c r="E64" s="1"/>
  <c r="E51" i="1"/>
  <c r="E35" i="5"/>
  <c r="E49"/>
  <c r="E51" s="1"/>
  <c r="E44"/>
  <c r="E46" s="1"/>
  <c r="E32" i="6"/>
  <c r="E32" i="7"/>
  <c r="D46" i="6" l="1"/>
  <c r="D64" s="1"/>
  <c r="D51"/>
  <c r="D51" i="7"/>
  <c r="D46"/>
  <c r="D64" s="1"/>
  <c r="B49"/>
  <c r="D35"/>
  <c r="D35" i="5"/>
  <c r="B49" i="6"/>
  <c r="D46" i="5"/>
  <c r="D64" s="1"/>
  <c r="D51"/>
  <c r="D35" i="6"/>
  <c r="E64" i="5"/>
  <c r="E58" i="6"/>
  <c r="E35" i="7"/>
  <c r="E44"/>
  <c r="E46" s="1"/>
  <c r="E35" i="6"/>
  <c r="E51"/>
  <c r="E44"/>
  <c r="E46" s="1"/>
  <c r="E58" i="7"/>
  <c r="D32" i="6" l="1"/>
  <c r="D32" i="5"/>
  <c r="D32" i="7"/>
  <c r="D32" i="1"/>
  <c r="D32" i="2"/>
  <c r="D58"/>
  <c r="D32" i="3"/>
  <c r="D58"/>
  <c r="D32" i="4"/>
  <c r="D58"/>
  <c r="E64" i="7"/>
  <c r="E64" i="6"/>
  <c r="B69" i="1"/>
  <c r="C58" i="4"/>
  <c r="F50"/>
  <c r="C50"/>
  <c r="F45"/>
  <c r="C45"/>
  <c r="F58" i="3"/>
  <c r="C58"/>
  <c r="F50"/>
  <c r="C50"/>
  <c r="F45"/>
  <c r="C45"/>
  <c r="C50" i="2"/>
  <c r="F50"/>
  <c r="C45"/>
  <c r="F45"/>
  <c r="C58"/>
  <c r="C50" i="1"/>
  <c r="F50"/>
  <c r="C45"/>
  <c r="F45"/>
  <c r="D58" l="1"/>
  <c r="D58" i="5"/>
  <c r="D58" i="7"/>
  <c r="D58" i="6"/>
  <c r="F32"/>
  <c r="F58" i="4" l="1"/>
  <c r="F58" i="2"/>
  <c r="C32" i="6" l="1"/>
  <c r="B32"/>
  <c r="B69"/>
  <c r="C33" l="1"/>
  <c r="C58" s="1"/>
  <c r="C45"/>
  <c r="C50"/>
  <c r="F33"/>
  <c r="F58" s="1"/>
  <c r="F45"/>
  <c r="F50"/>
  <c r="F32" i="7" l="1"/>
  <c r="C32"/>
  <c r="B32"/>
  <c r="B69"/>
  <c r="F33"/>
  <c r="C33"/>
  <c r="C50" l="1"/>
  <c r="C51" s="1"/>
  <c r="F50"/>
  <c r="F51" s="1"/>
  <c r="F50" i="5"/>
  <c r="F45"/>
  <c r="C50"/>
  <c r="C45"/>
  <c r="B70"/>
  <c r="F45" i="7"/>
  <c r="C45"/>
  <c r="C58"/>
  <c r="F58"/>
  <c r="F32" i="5" l="1"/>
  <c r="C32"/>
  <c r="B32"/>
  <c r="B69"/>
  <c r="F33"/>
  <c r="C33"/>
  <c r="F33" i="4"/>
  <c r="C33"/>
  <c r="F32"/>
  <c r="C32"/>
  <c r="B69"/>
  <c r="F33" i="3"/>
  <c r="C33"/>
  <c r="F32"/>
  <c r="C32"/>
  <c r="B32"/>
  <c r="B69"/>
  <c r="F33" i="2"/>
  <c r="C33"/>
  <c r="F32"/>
  <c r="C32"/>
  <c r="B32"/>
  <c r="B69"/>
  <c r="F33" i="1"/>
  <c r="C33"/>
  <c r="F32"/>
  <c r="C32"/>
  <c r="B32"/>
  <c r="E57" i="2" l="1"/>
  <c r="E34"/>
  <c r="E59" s="1"/>
  <c r="E57" i="3"/>
  <c r="E34"/>
  <c r="E59" s="1"/>
  <c r="E57" i="4"/>
  <c r="E34"/>
  <c r="E59" s="1"/>
  <c r="E57" i="1"/>
  <c r="E34"/>
  <c r="E59" s="1"/>
  <c r="B57" i="3"/>
  <c r="B44"/>
  <c r="F51" i="1"/>
  <c r="F44"/>
  <c r="F46" s="1"/>
  <c r="F35" i="5"/>
  <c r="B34" i="6"/>
  <c r="B34" i="7"/>
  <c r="B34" i="5"/>
  <c r="C57" i="1"/>
  <c r="C51"/>
  <c r="C44"/>
  <c r="C46" s="1"/>
  <c r="B34"/>
  <c r="F34"/>
  <c r="C34" i="2"/>
  <c r="C57"/>
  <c r="C51"/>
  <c r="C44"/>
  <c r="C46" s="1"/>
  <c r="B45"/>
  <c r="B70"/>
  <c r="B50"/>
  <c r="B54"/>
  <c r="F34"/>
  <c r="F35"/>
  <c r="F51" i="3"/>
  <c r="F44"/>
  <c r="F46" s="1"/>
  <c r="C57" i="4"/>
  <c r="C51"/>
  <c r="C44"/>
  <c r="C46" s="1"/>
  <c r="B50"/>
  <c r="B51" s="1"/>
  <c r="B45"/>
  <c r="B70"/>
  <c r="B44" i="2"/>
  <c r="B46" s="1"/>
  <c r="B57"/>
  <c r="F57"/>
  <c r="F51"/>
  <c r="F44"/>
  <c r="F46" s="1"/>
  <c r="C35"/>
  <c r="C34" i="3"/>
  <c r="F57"/>
  <c r="C51"/>
  <c r="C44"/>
  <c r="C46" s="1"/>
  <c r="B50"/>
  <c r="B45"/>
  <c r="B70"/>
  <c r="B57" i="4"/>
  <c r="B44"/>
  <c r="B46" s="1"/>
  <c r="F51"/>
  <c r="F44"/>
  <c r="F46" s="1"/>
  <c r="C34"/>
  <c r="B70" i="1"/>
  <c r="C58" i="5"/>
  <c r="F58"/>
  <c r="B34" i="4"/>
  <c r="B34" i="3"/>
  <c r="B34" i="2"/>
  <c r="C58" i="1"/>
  <c r="F58"/>
  <c r="C35" i="5"/>
  <c r="B54"/>
  <c r="B33"/>
  <c r="B45"/>
  <c r="B50"/>
  <c r="B54" i="4"/>
  <c r="B33"/>
  <c r="B58" s="1"/>
  <c r="C35"/>
  <c r="F35"/>
  <c r="B54" i="3"/>
  <c r="B33"/>
  <c r="B58" s="1"/>
  <c r="C35"/>
  <c r="F35"/>
  <c r="B33" i="2"/>
  <c r="B58" s="1"/>
  <c r="B33" i="1"/>
  <c r="C35"/>
  <c r="F35"/>
  <c r="B45"/>
  <c r="B50"/>
  <c r="B54"/>
  <c r="C64" i="3" l="1"/>
  <c r="C64" i="2"/>
  <c r="D57" i="4"/>
  <c r="D34"/>
  <c r="D59" s="1"/>
  <c r="D57" i="2"/>
  <c r="D34"/>
  <c r="D59" s="1"/>
  <c r="F59" i="1"/>
  <c r="F57" i="4"/>
  <c r="F34"/>
  <c r="F59" s="1"/>
  <c r="F34" i="5"/>
  <c r="F59" s="1"/>
  <c r="F34" i="6"/>
  <c r="C34" i="7"/>
  <c r="C64" i="1"/>
  <c r="F34" i="3"/>
  <c r="F59" s="1"/>
  <c r="E34" i="6"/>
  <c r="E59" s="1"/>
  <c r="E57"/>
  <c r="E34" i="5"/>
  <c r="E59" s="1"/>
  <c r="E57"/>
  <c r="C57" i="3"/>
  <c r="E34" i="7"/>
  <c r="E59" s="1"/>
  <c r="E57"/>
  <c r="C59" i="3"/>
  <c r="C59" i="4"/>
  <c r="C35" i="7"/>
  <c r="C44"/>
  <c r="C46" s="1"/>
  <c r="F34"/>
  <c r="C34" i="5"/>
  <c r="C59" s="1"/>
  <c r="C34" i="6"/>
  <c r="F44" i="7"/>
  <c r="F46" s="1"/>
  <c r="F35"/>
  <c r="F57" i="1"/>
  <c r="B51" i="3"/>
  <c r="F64" i="4"/>
  <c r="C59" i="2"/>
  <c r="F64"/>
  <c r="B64" i="4"/>
  <c r="C64"/>
  <c r="F64" i="3"/>
  <c r="F59" i="2"/>
  <c r="B51"/>
  <c r="B64"/>
  <c r="C49" i="5"/>
  <c r="C51" s="1"/>
  <c r="C57"/>
  <c r="C44"/>
  <c r="C46" s="1"/>
  <c r="C57" i="6"/>
  <c r="C44"/>
  <c r="C46" s="1"/>
  <c r="C51"/>
  <c r="C35"/>
  <c r="C34" i="1"/>
  <c r="C59" s="1"/>
  <c r="F57" i="5"/>
  <c r="F44"/>
  <c r="F46" s="1"/>
  <c r="F49"/>
  <c r="F51" s="1"/>
  <c r="F57" i="6"/>
  <c r="F44"/>
  <c r="F46" s="1"/>
  <c r="F51"/>
  <c r="F35"/>
  <c r="F64" i="1"/>
  <c r="B46" i="3"/>
  <c r="B64" s="1"/>
  <c r="B70" i="6"/>
  <c r="B54"/>
  <c r="B45"/>
  <c r="B50"/>
  <c r="B33"/>
  <c r="B70" i="7"/>
  <c r="B50"/>
  <c r="B33"/>
  <c r="B45"/>
  <c r="B54"/>
  <c r="B58" i="5"/>
  <c r="B35"/>
  <c r="B59" s="1"/>
  <c r="B35" i="4"/>
  <c r="B59" s="1"/>
  <c r="B35" i="3"/>
  <c r="B59" s="1"/>
  <c r="B35" i="2"/>
  <c r="B59" s="1"/>
  <c r="B58" i="1"/>
  <c r="B35"/>
  <c r="B59" s="1"/>
  <c r="B44"/>
  <c r="B46" s="1"/>
  <c r="B57"/>
  <c r="B51"/>
  <c r="C59" i="6" l="1"/>
  <c r="F64" i="5"/>
  <c r="F64" i="6"/>
  <c r="F59"/>
  <c r="D57" i="1"/>
  <c r="D34"/>
  <c r="D59" s="1"/>
  <c r="C64" i="6"/>
  <c r="D57" i="3"/>
  <c r="D34"/>
  <c r="D59" s="1"/>
  <c r="C64" i="7"/>
  <c r="F59"/>
  <c r="F57"/>
  <c r="B57" i="5"/>
  <c r="C59" i="7"/>
  <c r="C57"/>
  <c r="C64" i="5"/>
  <c r="F64" i="7"/>
  <c r="B49" i="5"/>
  <c r="B51" s="1"/>
  <c r="B44"/>
  <c r="B46" s="1"/>
  <c r="B64" s="1"/>
  <c r="B35" i="7"/>
  <c r="B59" s="1"/>
  <c r="B58"/>
  <c r="B44" i="6"/>
  <c r="B46" s="1"/>
  <c r="B64" s="1"/>
  <c r="B57"/>
  <c r="B51"/>
  <c r="B58"/>
  <c r="B35"/>
  <c r="B59" s="1"/>
  <c r="B44" i="7"/>
  <c r="B46" s="1"/>
  <c r="B64" s="1"/>
  <c r="B51"/>
  <c r="B57"/>
  <c r="B64" i="1"/>
  <c r="D57" i="7" l="1"/>
  <c r="D34"/>
  <c r="D59" s="1"/>
  <c r="D57" i="6"/>
  <c r="D34"/>
  <c r="D59" s="1"/>
  <c r="D57" i="5"/>
  <c r="D34"/>
  <c r="D59" s="1"/>
</calcChain>
</file>

<file path=xl/comments1.xml><?xml version="1.0" encoding="utf-8"?>
<comments xmlns="http://schemas.openxmlformats.org/spreadsheetml/2006/main">
  <authors>
    <author>Catherine</author>
  </authors>
  <commentList>
    <comment ref="E10" author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Lo financió otra fuente</t>
        </r>
      </text>
    </comment>
  </commentList>
</comments>
</file>

<file path=xl/comments2.xml><?xml version="1.0" encoding="utf-8"?>
<comments xmlns="http://schemas.openxmlformats.org/spreadsheetml/2006/main">
  <authors>
    <author>Catherine Mata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los Hogares Solidarios de Diciembre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Hogares Solidarios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Hogares Solidarios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Hogares Solidarios
</t>
        </r>
      </text>
    </comment>
  </commentList>
</comments>
</file>

<file path=xl/comments3.xml><?xml version="1.0" encoding="utf-8"?>
<comments xmlns="http://schemas.openxmlformats.org/spreadsheetml/2006/main">
  <authors>
    <author>Catherine Mata</author>
  </authors>
  <commentList>
    <comment ref="E11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Hogares Solidarios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Hogares Solidarios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Hogares Solidarios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Hogares Solidarios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Inlcuye Hogares Solidarios</t>
        </r>
      </text>
    </comment>
  </commentList>
</comments>
</file>

<file path=xl/sharedStrings.xml><?xml version="1.0" encoding="utf-8"?>
<sst xmlns="http://schemas.openxmlformats.org/spreadsheetml/2006/main" count="594" uniqueCount="136">
  <si>
    <t>Indicador</t>
  </si>
  <si>
    <t>Total programa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</si>
  <si>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</si>
  <si>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</si>
  <si>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</si>
  <si>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</si>
  <si>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</si>
  <si>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</si>
  <si>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</si>
  <si>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</si>
  <si>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</si>
  <si>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</si>
  <si>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</si>
  <si>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</si>
  <si>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</si>
  <si>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</si>
  <si>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</si>
  <si>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</si>
  <si>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</si>
  <si>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</si>
  <si>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</si>
  <si>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</si>
  <si>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</si>
  <si>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</si>
  <si>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</si>
  <si>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</si>
  <si>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</si>
  <si>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</si>
  <si>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</si>
  <si>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</si>
  <si>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</si>
  <si>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</si>
  <si>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</si>
  <si>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</si>
  <si>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</si>
  <si>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</si>
  <si>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Nota:</t>
  </si>
  <si>
    <t>Efectivos 1T 2012</t>
  </si>
  <si>
    <t>IPC (1T 2012)</t>
  </si>
  <si>
    <t>Gasto efectivo real 1T 2012</t>
  </si>
  <si>
    <t>Gasto efectivo real por beneficiario 1T 2012</t>
  </si>
  <si>
    <t>Efectivos 2T 2012</t>
  </si>
  <si>
    <t>IPC (2T 2012)</t>
  </si>
  <si>
    <t>Gasto efectivo real 2T 2012</t>
  </si>
  <si>
    <t>Gasto efectivo real por beneficiario 2T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</si>
  <si>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</si>
  <si>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</si>
  <si>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</si>
  <si>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</si>
  <si>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</si>
  <si>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</si>
  <si>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</si>
  <si>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</si>
  <si>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1S 2012</t>
  </si>
  <si>
    <t>IPC (1S 2012)</t>
  </si>
  <si>
    <t>Gasto efectivo real 1S 2012</t>
  </si>
  <si>
    <t>Gasto efectivo real por beneficiario 1S 2012</t>
  </si>
  <si>
    <t>Efectivos 3TA 2012</t>
  </si>
  <si>
    <t>IPC (3TA 2012)</t>
  </si>
  <si>
    <t>Gasto efectivo real 3TA 2012</t>
  </si>
  <si>
    <t>Gasto efectivo real por beneficiario 3TA 2012</t>
  </si>
  <si>
    <t>Efectivos  2012</t>
  </si>
  <si>
    <t>IPC ( 2012)</t>
  </si>
  <si>
    <t>Gasto efectivo real  2012</t>
  </si>
  <si>
    <t>Gasto efectivo real por beneficiario  2012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</si>
  <si>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</si>
  <si>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</si>
  <si>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</si>
  <si>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</si>
  <si>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</si>
  <si>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</si>
  <si>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</si>
  <si>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</si>
  <si>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</si>
  <si>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</si>
  <si>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</si>
  <si>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</si>
  <si>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</si>
  <si>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</si>
  <si>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</si>
  <si>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</si>
  <si>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</si>
  <si>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</si>
  <si>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</si>
  <si>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</si>
  <si>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</si>
  <si>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</si>
  <si>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</si>
  <si>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</si>
  <si>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</si>
  <si>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</si>
  <si>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</si>
  <si>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</si>
  <si>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</si>
  <si>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</si>
  <si>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</si>
  <si>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Programados 3TA 2013</t>
  </si>
  <si>
    <t>Efectivos 3TA 2013</t>
  </si>
  <si>
    <t>En transferencias 3TA 2013</t>
  </si>
  <si>
    <t>IPC (3TA 2013)</t>
  </si>
  <si>
    <t>Gasto efectivo real 3TA 2013</t>
  </si>
  <si>
    <t>Gasto efectivo real por beneficiario 3TA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</si>
  <si>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</si>
  <si>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</si>
  <si>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</si>
  <si>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</si>
  <si>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</si>
  <si>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</si>
  <si>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 xml:space="preserve">Gasto programado mensual por beneficiario (GPB) </t>
  </si>
  <si>
    <t xml:space="preserve">Gasto efectivo mensual por beneficiario (GEB) </t>
  </si>
  <si>
    <t xml:space="preserve">Gasto programado acumulado por beneficiario (GPB) </t>
  </si>
  <si>
    <t xml:space="preserve">Gasto efectivo acumulado por beneficiario (GEB) </t>
  </si>
  <si>
    <t>Indicadores propuestos aplicados a PANI. Primer trimestre 2013</t>
  </si>
  <si>
    <t>Indicadores propuestos aplicados a PANI. Segundo trimestre 2013</t>
  </si>
  <si>
    <t>Indicadores propuestos aplicados a PANI. Tercer trimestre 2013</t>
  </si>
  <si>
    <t>Indicadores propuestos aplicados a PANI. Cuarto trimestre 2013</t>
  </si>
  <si>
    <t>Indicadores propuestos aplicados a PANI.  2013</t>
  </si>
  <si>
    <t>Alimentación</t>
  </si>
  <si>
    <t>Atención Integral</t>
  </si>
  <si>
    <t>Red de Cuido</t>
  </si>
  <si>
    <t>n.a.</t>
  </si>
  <si>
    <t>Residencias (ONG)</t>
  </si>
  <si>
    <t>Informes Trimestrales PANI 2012 y 2013</t>
  </si>
  <si>
    <t>Metas y Modificaciones 2013, DESAF</t>
  </si>
  <si>
    <t>IPC, INEC 2012 y 2013</t>
  </si>
  <si>
    <t>Residencias ONG</t>
  </si>
  <si>
    <t>No se toman en cuenta los montos de dinero sin asignar dentro del presupuesto.</t>
  </si>
  <si>
    <t>*El rubro de construcciones pertenece a la modalidad de Alternativas de Protección Especial</t>
  </si>
  <si>
    <t>n.d.</t>
  </si>
  <si>
    <t>Fecha de actualización: 16/09/2014</t>
  </si>
  <si>
    <t>Otros Gastos</t>
  </si>
  <si>
    <t xml:space="preserve">Gasto efectivo trimestral por beneficiario (GEB) </t>
  </si>
  <si>
    <t xml:space="preserve">Gasto programado trimestral por beneficiario (GPB) </t>
  </si>
  <si>
    <t xml:space="preserve">Gasto programado anual por beneficiario (GPB) </t>
  </si>
  <si>
    <t xml:space="preserve">Gasto efectivo anual por beneficiario (GEB) </t>
  </si>
  <si>
    <t>Fecha de actualización: 07/11/2014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</si>
</sst>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,##0.0____"/>
    <numFmt numFmtId="165" formatCode="#,##0.0"/>
    <numFmt numFmtId="166" formatCode="#,##0.0000"/>
    <numFmt numFmtId="167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164" fontId="0" fillId="0" borderId="0" xfId="0" applyNumberFormat="1"/>
    <xf numFmtId="164" fontId="0" fillId="0" borderId="0" xfId="0" applyNumberFormat="1" applyFill="1"/>
    <xf numFmtId="0" fontId="0" fillId="0" borderId="3" xfId="0" applyBorder="1"/>
    <xf numFmtId="165" fontId="0" fillId="0" borderId="0" xfId="0" applyNumberFormat="1"/>
    <xf numFmtId="43" fontId="0" fillId="0" borderId="0" xfId="1" applyFont="1"/>
    <xf numFmtId="0" fontId="0" fillId="0" borderId="0" xfId="0" applyFont="1" applyAlignment="1">
      <alignment wrapText="1"/>
    </xf>
    <xf numFmtId="3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/>
    <xf numFmtId="2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1" xfId="0" applyBorder="1" applyAlignment="1"/>
    <xf numFmtId="167" fontId="0" fillId="0" borderId="0" xfId="1" applyNumberFormat="1" applyFont="1"/>
    <xf numFmtId="3" fontId="0" fillId="2" borderId="0" xfId="0" applyNumberFormat="1" applyFill="1"/>
    <xf numFmtId="164" fontId="0" fillId="0" borderId="0" xfId="0" applyNumberFormat="1" applyAlignment="1">
      <alignment horizontal="right"/>
    </xf>
    <xf numFmtId="0" fontId="0" fillId="0" borderId="0" xfId="0" applyBorder="1"/>
    <xf numFmtId="0" fontId="7" fillId="0" borderId="0" xfId="0" applyFont="1"/>
    <xf numFmtId="0" fontId="7" fillId="0" borderId="0" xfId="0" applyFont="1" applyFill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Índice de Efectividad en Beneficiarios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 Trimestre'!$B$44:$F$44</c:f>
              <c:numCache>
                <c:formatCode>#,##0.0____</c:formatCode>
                <c:ptCount val="5"/>
                <c:pt idx="0">
                  <c:v>93.82665576451349</c:v>
                </c:pt>
                <c:pt idx="1">
                  <c:v>91.655629139072843</c:v>
                </c:pt>
                <c:pt idx="2">
                  <c:v>89.300657501494314</c:v>
                </c:pt>
                <c:pt idx="3">
                  <c:v>109.76697061803445</c:v>
                </c:pt>
                <c:pt idx="4">
                  <c:v>73.056573056573058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 trimestre'!$B$44:$F$44</c:f>
              <c:numCache>
                <c:formatCode>#,##0.0____</c:formatCode>
                <c:ptCount val="5"/>
                <c:pt idx="0">
                  <c:v>97.887707822294885</c:v>
                </c:pt>
                <c:pt idx="1">
                  <c:v>103.22295805739515</c:v>
                </c:pt>
                <c:pt idx="2">
                  <c:v>108.44789798764694</c:v>
                </c:pt>
                <c:pt idx="3">
                  <c:v>100.24316109422493</c:v>
                </c:pt>
                <c:pt idx="4">
                  <c:v>66.666666666666657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'III Trimestre'!$B$44:$F$44</c:f>
              <c:numCache>
                <c:formatCode>#,##0.0____</c:formatCode>
                <c:ptCount val="5"/>
                <c:pt idx="0">
                  <c:v>120.47101449275364</c:v>
                </c:pt>
                <c:pt idx="1">
                  <c:v>97.527593818984542</c:v>
                </c:pt>
                <c:pt idx="2">
                  <c:v>94.859533771667657</c:v>
                </c:pt>
                <c:pt idx="3">
                  <c:v>220.30794839783601</c:v>
                </c:pt>
                <c:pt idx="4">
                  <c:v>96.296296296296291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'IV Trimestre'!$B$44:$F$44</c:f>
              <c:numCache>
                <c:formatCode>#,##0.0____</c:formatCode>
                <c:ptCount val="5"/>
                <c:pt idx="0">
                  <c:v>92.895049010426419</c:v>
                </c:pt>
                <c:pt idx="1">
                  <c:v>103.09050772626934</c:v>
                </c:pt>
                <c:pt idx="2">
                  <c:v>99.800757122932865</c:v>
                </c:pt>
                <c:pt idx="3">
                  <c:v>80.959209687699172</c:v>
                </c:pt>
                <c:pt idx="4">
                  <c:v>99.877899877899878</c:v>
                </c:pt>
              </c:numCache>
            </c:numRef>
          </c:val>
        </c:ser>
        <c:gapWidth val="75"/>
        <c:axId val="143659392"/>
        <c:axId val="143660928"/>
      </c:barChart>
      <c:catAx>
        <c:axId val="143659392"/>
        <c:scaling>
          <c:orientation val="minMax"/>
        </c:scaling>
        <c:axPos val="b"/>
        <c:majorTickMark val="none"/>
        <c:tickLblPos val="nextTo"/>
        <c:crossAx val="143660928"/>
        <c:crosses val="autoZero"/>
        <c:auto val="1"/>
        <c:lblAlgn val="ctr"/>
        <c:lblOffset val="100"/>
      </c:catAx>
      <c:valAx>
        <c:axId val="143660928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crossAx val="14365939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Gasto Efectivo Mensual</a:t>
            </a:r>
            <a:r>
              <a:rPr lang="es-CR" sz="1400" baseline="0"/>
              <a:t> por Beneficiario 2013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Trimestre'!$C$5:$G$5)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 Trimestre'!$B$63:$F$63</c:f>
              <c:numCache>
                <c:formatCode>#,##0</c:formatCode>
                <c:ptCount val="5"/>
                <c:pt idx="0">
                  <c:v>300717.20700145245</c:v>
                </c:pt>
                <c:pt idx="1">
                  <c:v>10234.571170520232</c:v>
                </c:pt>
                <c:pt idx="2">
                  <c:v>60081.322121820616</c:v>
                </c:pt>
                <c:pt idx="3">
                  <c:v>162944.49041905114</c:v>
                </c:pt>
                <c:pt idx="4">
                  <c:v>60801.522841225626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Trimestre'!$C$5:$G$5)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 trimestre'!$B$63:$F$63</c:f>
              <c:numCache>
                <c:formatCode>#,##0</c:formatCode>
                <c:ptCount val="5"/>
                <c:pt idx="0">
                  <c:v>252271.98665320902</c:v>
                </c:pt>
                <c:pt idx="1">
                  <c:v>12029.464071856288</c:v>
                </c:pt>
                <c:pt idx="2">
                  <c:v>67580.173534815345</c:v>
                </c:pt>
                <c:pt idx="3">
                  <c:v>183413.65221346272</c:v>
                </c:pt>
                <c:pt idx="4">
                  <c:v>65402.178571428572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Trimestre'!$C$5:$G$5)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'III Trimestre'!$B$63:$F$63</c:f>
              <c:numCache>
                <c:formatCode>#,##0</c:formatCode>
                <c:ptCount val="5"/>
                <c:pt idx="0">
                  <c:v>198868.35885167465</c:v>
                </c:pt>
                <c:pt idx="1">
                  <c:v>11582.205975554549</c:v>
                </c:pt>
                <c:pt idx="2">
                  <c:v>64389.982146607857</c:v>
                </c:pt>
                <c:pt idx="3">
                  <c:v>13044.027011711371</c:v>
                </c:pt>
                <c:pt idx="4">
                  <c:v>63700.639475908705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Trimestre'!$C$5:$G$5)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'IV Trimestre'!$B$63:$F$63</c:f>
              <c:numCache>
                <c:formatCode>#,##0</c:formatCode>
                <c:ptCount val="5"/>
                <c:pt idx="0">
                  <c:v>256737.38905773236</c:v>
                </c:pt>
                <c:pt idx="1">
                  <c:v>11725.859957173447</c:v>
                </c:pt>
                <c:pt idx="2">
                  <c:v>64984.072968656415</c:v>
                </c:pt>
                <c:pt idx="3">
                  <c:v>52401.675260775439</c:v>
                </c:pt>
                <c:pt idx="4">
                  <c:v>64493.545945395272</c:v>
                </c:pt>
              </c:numCache>
            </c:numRef>
          </c:val>
        </c:ser>
        <c:gapWidth val="75"/>
        <c:axId val="144120448"/>
        <c:axId val="144155008"/>
      </c:barChart>
      <c:catAx>
        <c:axId val="144120448"/>
        <c:scaling>
          <c:orientation val="minMax"/>
        </c:scaling>
        <c:axPos val="b"/>
        <c:majorTickMark val="none"/>
        <c:tickLblPos val="nextTo"/>
        <c:crossAx val="144155008"/>
        <c:crosses val="autoZero"/>
        <c:auto val="1"/>
        <c:lblAlgn val="ctr"/>
        <c:lblOffset val="100"/>
      </c:catAx>
      <c:valAx>
        <c:axId val="14415500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4412044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Índice de Eficiencia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 Trimestre'!$B$64:$F$64</c:f>
              <c:numCache>
                <c:formatCode>#,##0</c:formatCode>
                <c:ptCount val="5"/>
                <c:pt idx="0">
                  <c:v>89.241864586807111</c:v>
                </c:pt>
                <c:pt idx="1">
                  <c:v>97.796315803406443</c:v>
                </c:pt>
                <c:pt idx="2">
                  <c:v>90.144541944708564</c:v>
                </c:pt>
                <c:pt idx="3">
                  <c:v>107.22065778882366</c:v>
                </c:pt>
                <c:pt idx="4">
                  <c:v>73.306092949328146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 trimestre'!$B$64:$F$64</c:f>
              <c:numCache>
                <c:formatCode>#,##0</c:formatCode>
                <c:ptCount val="5"/>
                <c:pt idx="0">
                  <c:v>103.62270359615412</c:v>
                </c:pt>
                <c:pt idx="1">
                  <c:v>101.40590390540615</c:v>
                </c:pt>
                <c:pt idx="2">
                  <c:v>103.34219149511675</c:v>
                </c:pt>
                <c:pt idx="3">
                  <c:v>92.583669180377512</c:v>
                </c:pt>
                <c:pt idx="4">
                  <c:v>64.533542733668213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('III Trimestre'!$B$64:$D$64,'III Trimestre'!$F$64)</c:f>
              <c:numCache>
                <c:formatCode>#,##0</c:formatCode>
                <c:ptCount val="4"/>
                <c:pt idx="0">
                  <c:v>157.03630993886566</c:v>
                </c:pt>
                <c:pt idx="1">
                  <c:v>97.627561717009826</c:v>
                </c:pt>
                <c:pt idx="2">
                  <c:v>92.522199384986337</c:v>
                </c:pt>
                <c:pt idx="3">
                  <c:v>94.418923248886131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'IV Trimestre'!$B$64:$F$64</c:f>
              <c:numCache>
                <c:formatCode>#,##0</c:formatCode>
                <c:ptCount val="5"/>
                <c:pt idx="0">
                  <c:v>92.177585168923159</c:v>
                </c:pt>
                <c:pt idx="1">
                  <c:v>102.56340018739397</c:v>
                </c:pt>
                <c:pt idx="2">
                  <c:v>96.90795823906754</c:v>
                </c:pt>
                <c:pt idx="3">
                  <c:v>67.06020260346402</c:v>
                </c:pt>
                <c:pt idx="4">
                  <c:v>97.340673053361513</c:v>
                </c:pt>
              </c:numCache>
            </c:numRef>
          </c:val>
        </c:ser>
        <c:gapWidth val="75"/>
        <c:axId val="144169216"/>
        <c:axId val="144052224"/>
      </c:barChart>
      <c:catAx>
        <c:axId val="144169216"/>
        <c:scaling>
          <c:orientation val="minMax"/>
        </c:scaling>
        <c:axPos val="b"/>
        <c:majorTickMark val="none"/>
        <c:tickLblPos val="nextTo"/>
        <c:crossAx val="144052224"/>
        <c:crosses val="autoZero"/>
        <c:auto val="1"/>
        <c:lblAlgn val="ctr"/>
        <c:lblOffset val="100"/>
      </c:catAx>
      <c:valAx>
        <c:axId val="14405222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4416921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Indicadores de Resultado</a:t>
            </a:r>
            <a:r>
              <a:rPr lang="es-CR" sz="1400" baseline="0"/>
              <a:t> 2013</a:t>
            </a:r>
            <a:endParaRPr lang="es-CR" sz="1400"/>
          </a:p>
        </c:rich>
      </c:tx>
      <c:layout>
        <c:manualLayout>
          <c:xMode val="edge"/>
          <c:yMode val="edge"/>
          <c:x val="0.30115966754155732"/>
          <c:y val="4.1666666666666664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Anual!$B$44:$F$44</c:f>
              <c:numCache>
                <c:formatCode>#,##0.0____</c:formatCode>
                <c:ptCount val="5"/>
                <c:pt idx="0">
                  <c:v>100.22951332742163</c:v>
                </c:pt>
                <c:pt idx="1">
                  <c:v>98.874172185430481</c:v>
                </c:pt>
                <c:pt idx="2">
                  <c:v>98.102211595935444</c:v>
                </c:pt>
                <c:pt idx="3">
                  <c:v>111.80656639171924</c:v>
                </c:pt>
                <c:pt idx="4">
                  <c:v>83.974358974358978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Anual!$B$45:$G$45</c:f>
              <c:numCache>
                <c:formatCode>#,##0.0____</c:formatCode>
                <c:ptCount val="6"/>
                <c:pt idx="0">
                  <c:v>90.319858519808179</c:v>
                </c:pt>
                <c:pt idx="1">
                  <c:v>97.324701152612519</c:v>
                </c:pt>
                <c:pt idx="2">
                  <c:v>103.27096506067628</c:v>
                </c:pt>
                <c:pt idx="3">
                  <c:v>100.04607297931143</c:v>
                </c:pt>
                <c:pt idx="4">
                  <c:v>87.30321680810394</c:v>
                </c:pt>
                <c:pt idx="5">
                  <c:v>87.358490809366415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Anual!$B$46:$F$46</c:f>
              <c:numCache>
                <c:formatCode>#,##0.0____</c:formatCode>
                <c:ptCount val="5"/>
                <c:pt idx="0">
                  <c:v>95.274685923614896</c:v>
                </c:pt>
                <c:pt idx="1">
                  <c:v>98.0994366690215</c:v>
                </c:pt>
                <c:pt idx="2">
                  <c:v>100.68658832830586</c:v>
                </c:pt>
                <c:pt idx="3">
                  <c:v>105.92631968551534</c:v>
                </c:pt>
                <c:pt idx="4">
                  <c:v>85.638787891231459</c:v>
                </c:pt>
              </c:numCache>
            </c:numRef>
          </c:val>
        </c:ser>
        <c:gapWidth val="75"/>
        <c:axId val="144626816"/>
        <c:axId val="144628352"/>
      </c:barChart>
      <c:catAx>
        <c:axId val="144626816"/>
        <c:scaling>
          <c:orientation val="minMax"/>
        </c:scaling>
        <c:axPos val="b"/>
        <c:majorTickMark val="none"/>
        <c:tickLblPos val="nextTo"/>
        <c:crossAx val="144628352"/>
        <c:crosses val="autoZero"/>
        <c:auto val="1"/>
        <c:lblAlgn val="ctr"/>
        <c:lblOffset val="100"/>
      </c:catAx>
      <c:valAx>
        <c:axId val="144628352"/>
        <c:scaling>
          <c:orientation val="minMax"/>
        </c:scaling>
        <c:axPos val="l"/>
        <c:majorGridlines/>
        <c:numFmt formatCode="#,##0.0____" sourceLinked="1"/>
        <c:majorTickMark val="none"/>
        <c:tickLblPos val="nextTo"/>
        <c:crossAx val="14462681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Indicadores de Expansión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Anual!$B$57:$F$57</c:f>
              <c:numCache>
                <c:formatCode>#,##0.0____</c:formatCode>
                <c:ptCount val="5"/>
                <c:pt idx="0">
                  <c:v>28.302432727191796</c:v>
                </c:pt>
                <c:pt idx="1">
                  <c:v>4.2476434306994104</c:v>
                </c:pt>
                <c:pt idx="2">
                  <c:v>-7.2303344324069707</c:v>
                </c:pt>
                <c:pt idx="3">
                  <c:v>126.55669652610885</c:v>
                </c:pt>
                <c:pt idx="4">
                  <c:v>38.659274193548399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Anual!$B$58:$G$58</c:f>
              <c:numCache>
                <c:formatCode>#,##0.0____</c:formatCode>
                <c:ptCount val="6"/>
                <c:pt idx="0">
                  <c:v>-5.8863513515750032E-2</c:v>
                </c:pt>
                <c:pt idx="1">
                  <c:v>-0.85266242972807937</c:v>
                </c:pt>
                <c:pt idx="2">
                  <c:v>11.203530856627175</c:v>
                </c:pt>
                <c:pt idx="3">
                  <c:v>0.93054071908023062</c:v>
                </c:pt>
                <c:pt idx="4">
                  <c:v>-4.7327356771866169</c:v>
                </c:pt>
                <c:pt idx="5">
                  <c:v>-1.2170696063878328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Anual!$B$59:$F$59</c:f>
              <c:numCache>
                <c:formatCode>#,##0.0____</c:formatCode>
                <c:ptCount val="5"/>
                <c:pt idx="0">
                  <c:v>-22.105033893637771</c:v>
                </c:pt>
                <c:pt idx="1">
                  <c:v>-4.892490316884734</c:v>
                </c:pt>
                <c:pt idx="2">
                  <c:v>19.870574261802254</c:v>
                </c:pt>
                <c:pt idx="3">
                  <c:v>-55.450206386881703</c:v>
                </c:pt>
                <c:pt idx="4">
                  <c:v>-31.293983127422131</c:v>
                </c:pt>
              </c:numCache>
            </c:numRef>
          </c:val>
        </c:ser>
        <c:gapWidth val="75"/>
        <c:axId val="144859136"/>
        <c:axId val="144860672"/>
      </c:barChart>
      <c:catAx>
        <c:axId val="144859136"/>
        <c:scaling>
          <c:orientation val="minMax"/>
        </c:scaling>
        <c:axPos val="b"/>
        <c:majorTickMark val="none"/>
        <c:tickLblPos val="nextTo"/>
        <c:crossAx val="144860672"/>
        <c:crosses val="autoZero"/>
        <c:auto val="1"/>
        <c:lblAlgn val="ctr"/>
        <c:lblOffset val="100"/>
      </c:catAx>
      <c:valAx>
        <c:axId val="144860672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crossAx val="14485913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</a:t>
            </a:r>
            <a:r>
              <a:rPr lang="es-CR" sz="1400" baseline="0"/>
              <a:t> </a:t>
            </a:r>
            <a:r>
              <a:rPr lang="es-CR" sz="1400"/>
              <a:t>Indicadores</a:t>
            </a:r>
            <a:r>
              <a:rPr lang="es-CR" sz="1400" baseline="0"/>
              <a:t> de Gasto Medio 2013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Anual!$A$62</c:f>
              <c:strCache>
                <c:ptCount val="1"/>
                <c:pt idx="0">
                  <c:v>Gasto programado mensual por beneficiario (GPB) 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Anual!$B$62:$F$62</c:f>
              <c:numCache>
                <c:formatCode>#,##0</c:formatCode>
                <c:ptCount val="5"/>
                <c:pt idx="0">
                  <c:v>279031.10554652865</c:v>
                </c:pt>
                <c:pt idx="1">
                  <c:v>11605.95</c:v>
                </c:pt>
                <c:pt idx="2">
                  <c:v>61216.849985056782</c:v>
                </c:pt>
                <c:pt idx="3">
                  <c:v>114526.22153215809</c:v>
                </c:pt>
                <c:pt idx="4">
                  <c:v>61216.85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efectivo mensual por beneficiario (GEB) 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Anual!$B$63:$F$63</c:f>
              <c:numCache>
                <c:formatCode>#,##0</c:formatCode>
                <c:ptCount val="5"/>
                <c:pt idx="0">
                  <c:v>251443.40363361957</c:v>
                </c:pt>
                <c:pt idx="1">
                  <c:v>11424.071528242908</c:v>
                </c:pt>
                <c:pt idx="2">
                  <c:v>64442.208519928914</c:v>
                </c:pt>
                <c:pt idx="3">
                  <c:v>102479.6582814986</c:v>
                </c:pt>
                <c:pt idx="4">
                  <c:v>63643.569217254335</c:v>
                </c:pt>
              </c:numCache>
            </c:numRef>
          </c:val>
        </c:ser>
        <c:gapWidth val="75"/>
        <c:axId val="144885632"/>
        <c:axId val="144887168"/>
      </c:barChart>
      <c:catAx>
        <c:axId val="144885632"/>
        <c:scaling>
          <c:orientation val="minMax"/>
        </c:scaling>
        <c:axPos val="b"/>
        <c:majorTickMark val="none"/>
        <c:tickLblPos val="nextTo"/>
        <c:crossAx val="144887168"/>
        <c:crosses val="autoZero"/>
        <c:auto val="1"/>
        <c:lblAlgn val="ctr"/>
        <c:lblOffset val="100"/>
      </c:catAx>
      <c:valAx>
        <c:axId val="14488716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4488563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n-US" sz="1400"/>
              <a:t>PANI: Índice de Eficiencia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</c:strCache>
            </c:strRef>
          </c:cat>
          <c:val>
            <c:numRef>
              <c:f>Anual!$B$64:$F$64</c:f>
              <c:numCache>
                <c:formatCode>#,##0.0</c:formatCode>
                <c:ptCount val="5"/>
                <c:pt idx="0">
                  <c:v>105.72797122409787</c:v>
                </c:pt>
                <c:pt idx="1">
                  <c:v>99.661241983132442</c:v>
                </c:pt>
                <c:pt idx="2">
                  <c:v>95.647183961656509</c:v>
                </c:pt>
                <c:pt idx="3">
                  <c:v>118.3780406553101</c:v>
                </c:pt>
                <c:pt idx="4">
                  <c:v>82.373394468549606</c:v>
                </c:pt>
              </c:numCache>
            </c:numRef>
          </c:val>
        </c:ser>
        <c:dLbls>
          <c:showVal val="1"/>
        </c:dLbls>
        <c:overlap val="-25"/>
        <c:axId val="144719232"/>
        <c:axId val="144725120"/>
      </c:barChart>
      <c:catAx>
        <c:axId val="144719232"/>
        <c:scaling>
          <c:orientation val="minMax"/>
        </c:scaling>
        <c:axPos val="b"/>
        <c:majorTickMark val="none"/>
        <c:tickLblPos val="nextTo"/>
        <c:crossAx val="144725120"/>
        <c:crosses val="autoZero"/>
        <c:auto val="1"/>
        <c:lblAlgn val="ctr"/>
        <c:lblOffset val="100"/>
      </c:catAx>
      <c:valAx>
        <c:axId val="144725120"/>
        <c:scaling>
          <c:orientation val="minMax"/>
        </c:scaling>
        <c:delete val="1"/>
        <c:axPos val="l"/>
        <c:numFmt formatCode="#,##0.0" sourceLinked="1"/>
        <c:tickLblPos val="none"/>
        <c:crossAx val="144719232"/>
        <c:crosses val="autoZero"/>
        <c:crossBetween val="between"/>
      </c:valAx>
    </c:plotArea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Indicadores de Gasto</a:t>
            </a:r>
            <a:r>
              <a:rPr lang="es-CR" sz="1400" baseline="0"/>
              <a:t> Medio 2013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3348373.2665583435</c:v>
                </c:pt>
                <c:pt idx="1">
                  <c:v>139271.4</c:v>
                </c:pt>
                <c:pt idx="2">
                  <c:v>734602.19982068136</c:v>
                </c:pt>
                <c:pt idx="3">
                  <c:v>1374314.6583858971</c:v>
                </c:pt>
                <c:pt idx="4">
                  <c:v>734602.2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cat>
            <c:strRef>
              <c:f>(Anual!$B$5,Anual!$C$5,Anual!$D$5,Anual!$E$5,Anual!$F$5,Anual!$G$4)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ONG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3017320.843603435</c:v>
                </c:pt>
                <c:pt idx="1">
                  <c:v>137088.85833891493</c:v>
                </c:pt>
                <c:pt idx="2">
                  <c:v>773306.50223914697</c:v>
                </c:pt>
                <c:pt idx="3">
                  <c:v>1229755.8993779833</c:v>
                </c:pt>
                <c:pt idx="4">
                  <c:v>763722.83060705196</c:v>
                </c:pt>
              </c:numCache>
            </c:numRef>
          </c:val>
        </c:ser>
        <c:gapWidth val="75"/>
        <c:axId val="144746368"/>
        <c:axId val="144747904"/>
      </c:barChart>
      <c:catAx>
        <c:axId val="144746368"/>
        <c:scaling>
          <c:orientation val="minMax"/>
        </c:scaling>
        <c:axPos val="b"/>
        <c:majorTickMark val="none"/>
        <c:tickLblPos val="nextTo"/>
        <c:crossAx val="144747904"/>
        <c:crosses val="autoZero"/>
        <c:auto val="1"/>
        <c:lblAlgn val="ctr"/>
        <c:lblOffset val="100"/>
      </c:catAx>
      <c:valAx>
        <c:axId val="14474790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4474636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</a:t>
            </a:r>
            <a:r>
              <a:rPr lang="es-CR" sz="1400" baseline="0"/>
              <a:t> Indicadores de Giro de Recursos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100.2321599431633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90.110657668181659</c:v>
                </c:pt>
              </c:numCache>
            </c:numRef>
          </c:val>
        </c:ser>
        <c:dLbls>
          <c:showVal val="1"/>
        </c:dLbls>
        <c:overlap val="-25"/>
        <c:axId val="144937728"/>
        <c:axId val="144939264"/>
      </c:barChart>
      <c:catAx>
        <c:axId val="144937728"/>
        <c:scaling>
          <c:orientation val="minMax"/>
        </c:scaling>
        <c:axPos val="b"/>
        <c:majorTickMark val="none"/>
        <c:tickLblPos val="nextTo"/>
        <c:crossAx val="144939264"/>
        <c:crosses val="autoZero"/>
        <c:auto val="1"/>
        <c:lblAlgn val="ctr"/>
        <c:lblOffset val="100"/>
      </c:catAx>
      <c:valAx>
        <c:axId val="144939264"/>
        <c:scaling>
          <c:orientation val="minMax"/>
        </c:scaling>
        <c:delete val="1"/>
        <c:axPos val="l"/>
        <c:numFmt formatCode="#,##0.0____" sourceLinked="1"/>
        <c:tickLblPos val="none"/>
        <c:crossAx val="144937728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PAMI: Índice de Efectividad en Gasto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Trimestre'!$C$5,'I Trimestre'!$D$5,'I Trimestre'!$E$5,'I Trimestre'!$F$5,'I Trimestre'!$G$4:$G$5)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'I Trimestre'!$B$45:$G$45</c:f>
              <c:numCache>
                <c:formatCode>#,##0.0____</c:formatCode>
                <c:ptCount val="6"/>
                <c:pt idx="0">
                  <c:v>103.98943617399054</c:v>
                </c:pt>
                <c:pt idx="1">
                  <c:v>80.825443811376843</c:v>
                </c:pt>
                <c:pt idx="2">
                  <c:v>87.644195495809683</c:v>
                </c:pt>
                <c:pt idx="3">
                  <c:v>115.10736315865448</c:v>
                </c:pt>
                <c:pt idx="4">
                  <c:v>72.560919018226116</c:v>
                </c:pt>
                <c:pt idx="5">
                  <c:v>104.66042050805918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Trimestre'!$C$5,'I Trimestre'!$D$5,'I Trimestre'!$E$5,'I Trimestre'!$F$5,'I Trimestre'!$G$4:$G$5)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'II trimestre'!$B$45:$G$45</c:f>
              <c:numCache>
                <c:formatCode>#,##0.0____</c:formatCode>
                <c:ptCount val="6"/>
                <c:pt idx="0">
                  <c:v>87.620747308171971</c:v>
                </c:pt>
                <c:pt idx="1">
                  <c:v>106.98967903033905</c:v>
                </c:pt>
                <c:pt idx="2">
                  <c:v>119.72075932510629</c:v>
                </c:pt>
                <c:pt idx="3">
                  <c:v>118.32544829519433</c:v>
                </c:pt>
                <c:pt idx="4">
                  <c:v>71.224593197710078</c:v>
                </c:pt>
                <c:pt idx="5">
                  <c:v>76.720777017539831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Trimestre'!$C$5,'I Trimestre'!$D$5,'I Trimestre'!$E$5,'I Trimestre'!$F$5,'I Trimestre'!$G$4:$G$5)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'III Trimestre'!$B$45:$G$45</c:f>
              <c:numCache>
                <c:formatCode>#,##0.0____</c:formatCode>
                <c:ptCount val="6"/>
                <c:pt idx="0">
                  <c:v>74.964591869233516</c:v>
                </c:pt>
                <c:pt idx="1">
                  <c:v>97.32806706143829</c:v>
                </c:pt>
                <c:pt idx="2">
                  <c:v>99.776510698854807</c:v>
                </c:pt>
                <c:pt idx="3">
                  <c:v>18.427060152908268</c:v>
                </c:pt>
                <c:pt idx="4">
                  <c:v>100.20338604870477</c:v>
                </c:pt>
                <c:pt idx="5">
                  <c:v>78.001882221798894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Trimestre'!$C$5,'I Trimestre'!$D$5,'I Trimestre'!$E$5,'I Trimestre'!$F$5,'I Trimestre'!$G$4:$G$5)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'IV Trimestre'!$B$45:$G$45</c:f>
              <c:numCache>
                <c:formatCode>#,##0.0____</c:formatCode>
                <c:ptCount val="6"/>
                <c:pt idx="0">
                  <c:v>94.352489428224644</c:v>
                </c:pt>
                <c:pt idx="1">
                  <c:v>104.15561470729592</c:v>
                </c:pt>
                <c:pt idx="2">
                  <c:v>105.94239472253253</c:v>
                </c:pt>
                <c:pt idx="3">
                  <c:v>123.29281855382767</c:v>
                </c:pt>
                <c:pt idx="4">
                  <c:v>105.22396896777482</c:v>
                </c:pt>
                <c:pt idx="5">
                  <c:v>90.857582927179507</c:v>
                </c:pt>
              </c:numCache>
            </c:numRef>
          </c:val>
        </c:ser>
        <c:gapWidth val="75"/>
        <c:axId val="143712640"/>
        <c:axId val="143714176"/>
      </c:barChart>
      <c:catAx>
        <c:axId val="143712640"/>
        <c:scaling>
          <c:orientation val="minMax"/>
        </c:scaling>
        <c:axPos val="b"/>
        <c:majorTickMark val="none"/>
        <c:tickLblPos val="nextTo"/>
        <c:crossAx val="143714176"/>
        <c:crosses val="autoZero"/>
        <c:auto val="1"/>
        <c:lblAlgn val="ctr"/>
        <c:lblOffset val="100"/>
      </c:catAx>
      <c:valAx>
        <c:axId val="143714176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crossAx val="14371264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Índice de Efectividad Total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 Trimestre'!$B$46:$F$46</c:f>
              <c:numCache>
                <c:formatCode>#,##0.0____</c:formatCode>
                <c:ptCount val="5"/>
                <c:pt idx="0">
                  <c:v>98.908045969252015</c:v>
                </c:pt>
                <c:pt idx="1">
                  <c:v>86.240536475224843</c:v>
                </c:pt>
                <c:pt idx="2">
                  <c:v>88.472426498651998</c:v>
                </c:pt>
                <c:pt idx="3">
                  <c:v>112.43716688834446</c:v>
                </c:pt>
                <c:pt idx="4">
                  <c:v>72.808746037399587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 trimestre'!$B$46:$F$46</c:f>
              <c:numCache>
                <c:formatCode>#,##0.0____</c:formatCode>
                <c:ptCount val="5"/>
                <c:pt idx="0">
                  <c:v>92.754227565233435</c:v>
                </c:pt>
                <c:pt idx="1">
                  <c:v>105.1063185438671</c:v>
                </c:pt>
                <c:pt idx="2">
                  <c:v>114.08432865637661</c:v>
                </c:pt>
                <c:pt idx="3">
                  <c:v>109.28430469470963</c:v>
                </c:pt>
                <c:pt idx="4">
                  <c:v>68.945629932188368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'III Trimestre'!$B$46:$F$46</c:f>
              <c:numCache>
                <c:formatCode>#,##0.0____</c:formatCode>
                <c:ptCount val="5"/>
                <c:pt idx="0">
                  <c:v>97.71780318099357</c:v>
                </c:pt>
                <c:pt idx="1">
                  <c:v>97.427830440211409</c:v>
                </c:pt>
                <c:pt idx="2">
                  <c:v>97.318022235261225</c:v>
                </c:pt>
                <c:pt idx="3">
                  <c:v>119.36750427537214</c:v>
                </c:pt>
                <c:pt idx="4">
                  <c:v>98.249841172500538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'IV Trimestre'!$B$46:$F$46</c:f>
              <c:numCache>
                <c:formatCode>#,##0.0____</c:formatCode>
                <c:ptCount val="5"/>
                <c:pt idx="0">
                  <c:v>93.623769219325538</c:v>
                </c:pt>
                <c:pt idx="1">
                  <c:v>103.62306121678263</c:v>
                </c:pt>
                <c:pt idx="2">
                  <c:v>102.87157592273269</c:v>
                </c:pt>
                <c:pt idx="3">
                  <c:v>102.12601412076341</c:v>
                </c:pt>
                <c:pt idx="4">
                  <c:v>102.55093442283734</c:v>
                </c:pt>
              </c:numCache>
            </c:numRef>
          </c:val>
        </c:ser>
        <c:gapWidth val="75"/>
        <c:axId val="143745024"/>
        <c:axId val="143746560"/>
      </c:barChart>
      <c:catAx>
        <c:axId val="143745024"/>
        <c:scaling>
          <c:orientation val="minMax"/>
        </c:scaling>
        <c:axPos val="b"/>
        <c:majorTickMark val="none"/>
        <c:tickLblPos val="nextTo"/>
        <c:crossAx val="143746560"/>
        <c:crosses val="autoZero"/>
        <c:auto val="1"/>
        <c:lblAlgn val="ctr"/>
        <c:lblOffset val="100"/>
      </c:catAx>
      <c:valAx>
        <c:axId val="143746560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crossAx val="143745024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Índice</a:t>
            </a:r>
            <a:r>
              <a:rPr lang="es-CR" sz="1400" baseline="0"/>
              <a:t> de Crecimiento en Beneficiarios 2013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 Trimestre'!$B$57:$F$57</c:f>
              <c:numCache>
                <c:formatCode>#,##0.0____</c:formatCode>
                <c:ptCount val="5"/>
                <c:pt idx="0">
                  <c:v>25.398415444859303</c:v>
                </c:pt>
                <c:pt idx="1">
                  <c:v>148.62275449101796</c:v>
                </c:pt>
                <c:pt idx="2">
                  <c:v>-4.638297872340436</c:v>
                </c:pt>
                <c:pt idx="3">
                  <c:v>29.90407673860911</c:v>
                </c:pt>
                <c:pt idx="4">
                  <c:v>40.673981191222587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 trimestre'!$B$57:$F$57</c:f>
              <c:numCache>
                <c:formatCode>#,##0.0____</c:formatCode>
                <c:ptCount val="5"/>
                <c:pt idx="0">
                  <c:v>34.53830305300616</c:v>
                </c:pt>
                <c:pt idx="1">
                  <c:v>-29.641889858561544</c:v>
                </c:pt>
                <c:pt idx="2">
                  <c:v>-7.9018612521150615</c:v>
                </c:pt>
                <c:pt idx="3">
                  <c:v>0</c:v>
                </c:pt>
                <c:pt idx="4">
                  <c:v>13.35640138408305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'III Trimestre'!$B$57:$F$57</c:f>
              <c:numCache>
                <c:formatCode>#,##0.0____</c:formatCode>
                <c:ptCount val="5"/>
                <c:pt idx="0">
                  <c:v>62.393162393162442</c:v>
                </c:pt>
                <c:pt idx="1">
                  <c:v>4.7415836889521223</c:v>
                </c:pt>
                <c:pt idx="2">
                  <c:v>-3.8376085639264756</c:v>
                </c:pt>
                <c:pt idx="3">
                  <c:v>0</c:v>
                </c:pt>
                <c:pt idx="4">
                  <c:v>21.39558748075936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'IV Trimestre'!$B$57:$F$57</c:f>
              <c:numCache>
                <c:formatCode>#,##0.0____</c:formatCode>
                <c:ptCount val="5"/>
                <c:pt idx="0">
                  <c:v>4.333496949723048</c:v>
                </c:pt>
                <c:pt idx="1">
                  <c:v>0.38693035253654084</c:v>
                </c:pt>
                <c:pt idx="2">
                  <c:v>-11.642264949726577</c:v>
                </c:pt>
                <c:pt idx="3">
                  <c:v>1.9462279293740004</c:v>
                </c:pt>
                <c:pt idx="4">
                  <c:v>91.41965678627146</c:v>
                </c:pt>
              </c:numCache>
            </c:numRef>
          </c:val>
        </c:ser>
        <c:gapWidth val="75"/>
        <c:axId val="143789440"/>
        <c:axId val="143799424"/>
      </c:barChart>
      <c:catAx>
        <c:axId val="143789440"/>
        <c:scaling>
          <c:orientation val="minMax"/>
        </c:scaling>
        <c:axPos val="b"/>
        <c:majorTickMark val="none"/>
        <c:tickLblPos val="nextTo"/>
        <c:crossAx val="143799424"/>
        <c:crosses val="autoZero"/>
        <c:auto val="1"/>
        <c:lblAlgn val="ctr"/>
        <c:lblOffset val="100"/>
      </c:catAx>
      <c:valAx>
        <c:axId val="143799424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spPr>
          <a:ln w="9525">
            <a:noFill/>
          </a:ln>
        </c:spPr>
        <c:crossAx val="14378944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Índice</a:t>
            </a:r>
            <a:r>
              <a:rPr lang="es-CR" sz="1400" baseline="0"/>
              <a:t> de Crecimiento del Gasto Real 2013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Trimestre'!$C$5:$F$5,'I Trimestre'!$G$4:$G$5)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'I Trimestre'!$B$58:$G$58</c:f>
              <c:numCache>
                <c:formatCode>#,##0.0____</c:formatCode>
                <c:ptCount val="6"/>
                <c:pt idx="0">
                  <c:v>8.1629703397172904</c:v>
                </c:pt>
                <c:pt idx="1">
                  <c:v>106.44609046627292</c:v>
                </c:pt>
                <c:pt idx="2">
                  <c:v>-6.6361075719243541</c:v>
                </c:pt>
                <c:pt idx="3">
                  <c:v>35.707729469948156</c:v>
                </c:pt>
                <c:pt idx="4">
                  <c:v>36.980241400557581</c:v>
                </c:pt>
                <c:pt idx="5">
                  <c:v>2.1067376922271785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Trimestre'!$C$5:$F$5,'I Trimestre'!$G$4:$G$5)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'II trimestre'!$B$58:$G$58</c:f>
              <c:numCache>
                <c:formatCode>#,##0.0____</c:formatCode>
                <c:ptCount val="6"/>
                <c:pt idx="0">
                  <c:v>37.13520775579935</c:v>
                </c:pt>
                <c:pt idx="1">
                  <c:v>-49.418915890097118</c:v>
                </c:pt>
                <c:pt idx="2">
                  <c:v>-24.033282702338354</c:v>
                </c:pt>
                <c:pt idx="3">
                  <c:v>0</c:v>
                </c:pt>
                <c:pt idx="4">
                  <c:v>-50.942503940742668</c:v>
                </c:pt>
                <c:pt idx="5">
                  <c:v>-27.895319008109709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Trimestre'!$C$5:$F$5,'I Trimestre'!$G$4:$G$5)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'III Trimestre'!$B$58:$G$58</c:f>
              <c:numCache>
                <c:formatCode>#,##0.0____</c:formatCode>
                <c:ptCount val="6"/>
                <c:pt idx="0">
                  <c:v>-9.300901259734518</c:v>
                </c:pt>
                <c:pt idx="1">
                  <c:v>-29.088407872856202</c:v>
                </c:pt>
                <c:pt idx="2">
                  <c:v>-35.031641507105562</c:v>
                </c:pt>
                <c:pt idx="3">
                  <c:v>-91.255851811710613</c:v>
                </c:pt>
                <c:pt idx="4">
                  <c:v>-16.552694008046743</c:v>
                </c:pt>
                <c:pt idx="5">
                  <c:v>-26.130122396105591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Trimestre'!$C$5:$F$5,'I Trimestre'!$G$4:$G$5)</c:f>
              <c:strCache>
                <c:ptCount val="6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  <c:pt idx="5">
                  <c:v>Otros Gastos</c:v>
                </c:pt>
              </c:strCache>
            </c:strRef>
          </c:cat>
          <c:val>
            <c:numRef>
              <c:f>'IV Trimestre'!$B$58:$G$58</c:f>
              <c:numCache>
                <c:formatCode>#,##0.0____</c:formatCode>
                <c:ptCount val="6"/>
                <c:pt idx="0">
                  <c:v>-20.44189671438409</c:v>
                </c:pt>
                <c:pt idx="1">
                  <c:v>-38.518157238169657</c:v>
                </c:pt>
                <c:pt idx="2">
                  <c:v>10.349390824102889</c:v>
                </c:pt>
                <c:pt idx="3">
                  <c:v>-80.455079705357875</c:v>
                </c:pt>
                <c:pt idx="4">
                  <c:v>-46.161609354395793</c:v>
                </c:pt>
                <c:pt idx="5">
                  <c:v>-41.774478413153282</c:v>
                </c:pt>
              </c:numCache>
            </c:numRef>
          </c:val>
        </c:ser>
        <c:gapWidth val="75"/>
        <c:axId val="143822208"/>
        <c:axId val="143840384"/>
      </c:barChart>
      <c:catAx>
        <c:axId val="143822208"/>
        <c:scaling>
          <c:orientation val="minMax"/>
        </c:scaling>
        <c:axPos val="b"/>
        <c:majorTickMark val="none"/>
        <c:tickLblPos val="nextTo"/>
        <c:crossAx val="143840384"/>
        <c:crosses val="autoZero"/>
        <c:auto val="1"/>
        <c:lblAlgn val="ctr"/>
        <c:lblOffset val="1000"/>
      </c:catAx>
      <c:valAx>
        <c:axId val="143840384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spPr>
          <a:ln w="9525">
            <a:noFill/>
          </a:ln>
        </c:spPr>
        <c:crossAx val="14382220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Índice de Crecimiento del Gasto Real por Beneficiario 2013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 Trimestre'!$B$59:$F$59</c:f>
              <c:numCache>
                <c:formatCode>#,##0.0____</c:formatCode>
                <c:ptCount val="5"/>
                <c:pt idx="0">
                  <c:v>-13.744547763221815</c:v>
                </c:pt>
                <c:pt idx="1">
                  <c:v>-16.964120645790992</c:v>
                </c:pt>
                <c:pt idx="2">
                  <c:v>-2.0949811664534579</c:v>
                </c:pt>
                <c:pt idx="3">
                  <c:v>4.4676448014923098</c:v>
                </c:pt>
                <c:pt idx="4">
                  <c:v>-2.6257448316927778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 trimestre'!$B$59:$F$59</c:f>
              <c:numCache>
                <c:formatCode>#,##0.0____</c:formatCode>
                <c:ptCount val="5"/>
                <c:pt idx="0">
                  <c:v>1.9302344714204223</c:v>
                </c:pt>
                <c:pt idx="1">
                  <c:v>4.1417343878864754</c:v>
                </c:pt>
                <c:pt idx="2">
                  <c:v>19.48773942080042</c:v>
                </c:pt>
                <c:pt idx="3">
                  <c:v>0</c:v>
                </c:pt>
                <c:pt idx="4">
                  <c:v>-37.308282827178438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'III Trimestre'!$B$59:$F$59</c:f>
              <c:numCache>
                <c:formatCode>#,##0.0____</c:formatCode>
                <c:ptCount val="5"/>
                <c:pt idx="0">
                  <c:v>-44.148449723099695</c:v>
                </c:pt>
                <c:pt idx="1">
                  <c:v>-1.4437893293581139</c:v>
                </c:pt>
                <c:pt idx="2">
                  <c:v>-1.64814947860219</c:v>
                </c:pt>
                <c:pt idx="3">
                  <c:v>0</c:v>
                </c:pt>
                <c:pt idx="4">
                  <c:v>6.8022212057616827E-2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'IV Trimestre'!$B$59:$F$59</c:f>
              <c:numCache>
                <c:formatCode>#,##0.0____</c:formatCode>
                <c:ptCount val="5"/>
                <c:pt idx="0">
                  <c:v>-23.746346464401626</c:v>
                </c:pt>
                <c:pt idx="1">
                  <c:v>-7.8904641807253428</c:v>
                </c:pt>
                <c:pt idx="2">
                  <c:v>87.827966910907307</c:v>
                </c:pt>
                <c:pt idx="3">
                  <c:v>-71.166481965047666</c:v>
                </c:pt>
                <c:pt idx="4">
                  <c:v>-57.699994050936219</c:v>
                </c:pt>
              </c:numCache>
            </c:numRef>
          </c:val>
        </c:ser>
        <c:gapWidth val="75"/>
        <c:axId val="143859072"/>
        <c:axId val="143889536"/>
      </c:barChart>
      <c:catAx>
        <c:axId val="143859072"/>
        <c:scaling>
          <c:orientation val="minMax"/>
        </c:scaling>
        <c:axPos val="b"/>
        <c:majorTickMark val="none"/>
        <c:tickLblPos val="nextTo"/>
        <c:crossAx val="143889536"/>
        <c:crosses val="autoZero"/>
        <c:auto val="1"/>
        <c:lblAlgn val="ctr"/>
        <c:lblOffset val="1000"/>
      </c:catAx>
      <c:valAx>
        <c:axId val="143889536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crossAx val="143859072"/>
        <c:crosses val="autoZero"/>
        <c:crossBetween val="between"/>
      </c:valAx>
    </c:plotArea>
    <c:legend>
      <c:legendPos val="b"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Índice de Eficiencia 2013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 Trimestre'!$B$64:$F$64</c:f>
              <c:numCache>
                <c:formatCode>#,##0</c:formatCode>
                <c:ptCount val="5"/>
                <c:pt idx="0">
                  <c:v>89.241864586807111</c:v>
                </c:pt>
                <c:pt idx="1">
                  <c:v>97.796315803406443</c:v>
                </c:pt>
                <c:pt idx="2">
                  <c:v>90.144541944708564</c:v>
                </c:pt>
                <c:pt idx="3">
                  <c:v>107.22065778882366</c:v>
                </c:pt>
                <c:pt idx="4">
                  <c:v>73.306092949328146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 trimestre'!$B$64:$F$64</c:f>
              <c:numCache>
                <c:formatCode>#,##0</c:formatCode>
                <c:ptCount val="5"/>
                <c:pt idx="0">
                  <c:v>103.62270359615412</c:v>
                </c:pt>
                <c:pt idx="1">
                  <c:v>101.40590390540615</c:v>
                </c:pt>
                <c:pt idx="2">
                  <c:v>103.34219149511675</c:v>
                </c:pt>
                <c:pt idx="3">
                  <c:v>92.583669180377512</c:v>
                </c:pt>
                <c:pt idx="4">
                  <c:v>64.533542733668213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'III Trimestre'!$B$64:$F$64</c:f>
              <c:numCache>
                <c:formatCode>#,##0</c:formatCode>
                <c:ptCount val="5"/>
                <c:pt idx="0">
                  <c:v>157.03630993886566</c:v>
                </c:pt>
                <c:pt idx="1">
                  <c:v>97.627561717009826</c:v>
                </c:pt>
                <c:pt idx="2">
                  <c:v>92.522199384986337</c:v>
                </c:pt>
                <c:pt idx="3">
                  <c:v>1427.1191255717868</c:v>
                </c:pt>
                <c:pt idx="4">
                  <c:v>94.418923248886131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Trimestre'!$C$5:$F$5)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'IV Trimestre'!$B$64:$F$64</c:f>
              <c:numCache>
                <c:formatCode>#,##0</c:formatCode>
                <c:ptCount val="5"/>
                <c:pt idx="0">
                  <c:v>92.177585168923159</c:v>
                </c:pt>
                <c:pt idx="1">
                  <c:v>102.56340018739397</c:v>
                </c:pt>
                <c:pt idx="2">
                  <c:v>96.90795823906754</c:v>
                </c:pt>
                <c:pt idx="3">
                  <c:v>67.06020260346402</c:v>
                </c:pt>
                <c:pt idx="4">
                  <c:v>97.340673053361513</c:v>
                </c:pt>
              </c:numCache>
            </c:numRef>
          </c:val>
        </c:ser>
        <c:gapWidth val="75"/>
        <c:axId val="143923840"/>
        <c:axId val="143929728"/>
      </c:barChart>
      <c:catAx>
        <c:axId val="143923840"/>
        <c:scaling>
          <c:orientation val="minMax"/>
        </c:scaling>
        <c:axPos val="b"/>
        <c:majorTickMark val="none"/>
        <c:tickLblPos val="nextTo"/>
        <c:crossAx val="143929728"/>
        <c:crosses val="autoZero"/>
        <c:auto val="1"/>
        <c:lblAlgn val="ctr"/>
        <c:lblOffset val="100"/>
      </c:catAx>
      <c:valAx>
        <c:axId val="14392972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4392384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Gasto Programado Mensual</a:t>
            </a:r>
            <a:r>
              <a:rPr lang="es-CR" sz="1400" baseline="0"/>
              <a:t> por Beneficiario 2013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('I Trimestre'!$B$4:$B$5,'I Trimestre'!$C$5:$G$5)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 Trimestre'!$B$62:$F$62</c:f>
              <c:numCache>
                <c:formatCode>#,##0</c:formatCode>
                <c:ptCount val="5"/>
                <c:pt idx="0">
                  <c:v>271328.42432747345</c:v>
                </c:pt>
                <c:pt idx="1">
                  <c:v>11605.95</c:v>
                </c:pt>
                <c:pt idx="2">
                  <c:v>61216.85</c:v>
                </c:pt>
                <c:pt idx="3">
                  <c:v>155384.70000000001</c:v>
                </c:pt>
                <c:pt idx="4">
                  <c:v>61216.85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('I Trimestre'!$B$4:$B$5,'I Trimestre'!$C$5:$G$5)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 trimestre'!$B$62:$F$62</c:f>
              <c:numCache>
                <c:formatCode>#,##0</c:formatCode>
                <c:ptCount val="5"/>
                <c:pt idx="0">
                  <c:v>281831.95510084496</c:v>
                </c:pt>
                <c:pt idx="1">
                  <c:v>11605.95</c:v>
                </c:pt>
                <c:pt idx="2">
                  <c:v>61216.85</c:v>
                </c:pt>
                <c:pt idx="3">
                  <c:v>155384.70000000001</c:v>
                </c:pt>
                <c:pt idx="4">
                  <c:v>61216.85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('I Trimestre'!$B$4:$B$5,'I Trimestre'!$C$5:$G$5)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'III Trimestre'!$B$62:$F$62</c:f>
              <c:numCache>
                <c:formatCode>#,##0</c:formatCode>
                <c:ptCount val="5"/>
                <c:pt idx="0">
                  <c:v>319589.18662775861</c:v>
                </c:pt>
                <c:pt idx="1">
                  <c:v>11605.95</c:v>
                </c:pt>
                <c:pt idx="2">
                  <c:v>61216.849970113566</c:v>
                </c:pt>
                <c:pt idx="3">
                  <c:v>155950.15189346651</c:v>
                </c:pt>
                <c:pt idx="4">
                  <c:v>61216.85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('I Trimestre'!$B$4:$B$5,'I Trimestre'!$C$5:$G$5)</c:f>
              <c:strCache>
                <c:ptCount val="5"/>
                <c:pt idx="0">
                  <c:v>Total programa</c:v>
                </c:pt>
                <c:pt idx="1">
                  <c:v>Alimentación</c:v>
                </c:pt>
                <c:pt idx="2">
                  <c:v>Atención Integral</c:v>
                </c:pt>
                <c:pt idx="3">
                  <c:v>Residencias (ONG)</c:v>
                </c:pt>
                <c:pt idx="4">
                  <c:v>Red de Cuido</c:v>
                </c:pt>
              </c:strCache>
            </c:strRef>
          </c:cat>
          <c:val>
            <c:numRef>
              <c:f>'IV Trimestre'!$B$62:$F$62</c:f>
              <c:numCache>
                <c:formatCode>#,##0</c:formatCode>
                <c:ptCount val="5"/>
                <c:pt idx="0">
                  <c:v>252771.62779546733</c:v>
                </c:pt>
                <c:pt idx="1">
                  <c:v>11605.95</c:v>
                </c:pt>
                <c:pt idx="2">
                  <c:v>61216.849970113566</c:v>
                </c:pt>
                <c:pt idx="3">
                  <c:v>34409.126704907583</c:v>
                </c:pt>
                <c:pt idx="4">
                  <c:v>61216.85</c:v>
                </c:pt>
              </c:numCache>
            </c:numRef>
          </c:val>
        </c:ser>
        <c:gapWidth val="75"/>
        <c:axId val="143960320"/>
        <c:axId val="143970304"/>
      </c:barChart>
      <c:catAx>
        <c:axId val="143960320"/>
        <c:scaling>
          <c:orientation val="minMax"/>
        </c:scaling>
        <c:axPos val="b"/>
        <c:majorTickMark val="none"/>
        <c:tickLblPos val="nextTo"/>
        <c:crossAx val="143970304"/>
        <c:crosses val="autoZero"/>
        <c:auto val="1"/>
        <c:lblAlgn val="ctr"/>
        <c:lblOffset val="100"/>
      </c:catAx>
      <c:valAx>
        <c:axId val="14397030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14396032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R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PANI: Indicadores</a:t>
            </a:r>
            <a:r>
              <a:rPr lang="es-CR" sz="1400" baseline="0"/>
              <a:t> de Giros de Recursos 2013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Primer Trimestre</c:v>
          </c:tx>
          <c:cat>
            <c:strRef>
              <c:f>'I Trimestre'!$A$69:$A$70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'I Trimestre'!$B$69:$B$70</c:f>
              <c:numCache>
                <c:formatCode>#,##0.0____</c:formatCode>
                <c:ptCount val="2"/>
                <c:pt idx="0">
                  <c:v>66.050504283727378</c:v>
                </c:pt>
                <c:pt idx="1">
                  <c:v>157.43927665910346</c:v>
                </c:pt>
              </c:numCache>
            </c:numRef>
          </c:val>
        </c:ser>
        <c:ser>
          <c:idx val="1"/>
          <c:order val="1"/>
          <c:tx>
            <c:v>Segundo Trimestre</c:v>
          </c:tx>
          <c:cat>
            <c:strRef>
              <c:f>'I Trimestre'!$A$69:$A$70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'II trimestre'!$B$69:$B$70</c:f>
              <c:numCache>
                <c:formatCode>#,##0.0____</c:formatCode>
                <c:ptCount val="2"/>
                <c:pt idx="0">
                  <c:v>118.53444033851778</c:v>
                </c:pt>
                <c:pt idx="1">
                  <c:v>73.920075092048648</c:v>
                </c:pt>
              </c:numCache>
            </c:numRef>
          </c:val>
        </c:ser>
        <c:ser>
          <c:idx val="2"/>
          <c:order val="2"/>
          <c:tx>
            <c:v>Tercer Trimestre</c:v>
          </c:tx>
          <c:cat>
            <c:strRef>
              <c:f>'I Trimestre'!$A$69:$A$70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'III Trimestre'!$B$69:$B$70</c:f>
              <c:numCache>
                <c:formatCode>#,##0.0____</c:formatCode>
                <c:ptCount val="2"/>
                <c:pt idx="0">
                  <c:v>103.79095305800534</c:v>
                </c:pt>
                <c:pt idx="1">
                  <c:v>72.226518459020483</c:v>
                </c:pt>
              </c:numCache>
            </c:numRef>
          </c:val>
        </c:ser>
        <c:ser>
          <c:idx val="3"/>
          <c:order val="3"/>
          <c:tx>
            <c:v>Cuarto Trimestre</c:v>
          </c:tx>
          <c:cat>
            <c:strRef>
              <c:f>'I Trimestre'!$A$69:$A$70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'IV Trimestre'!$B$69:$B$70</c:f>
              <c:numCache>
                <c:formatCode>#,##0.0____</c:formatCode>
                <c:ptCount val="2"/>
                <c:pt idx="0">
                  <c:v>111.74185106370787</c:v>
                </c:pt>
                <c:pt idx="1">
                  <c:v>84.437915185807199</c:v>
                </c:pt>
              </c:numCache>
            </c:numRef>
          </c:val>
        </c:ser>
        <c:dLbls>
          <c:showVal val="1"/>
        </c:dLbls>
        <c:overlap val="-25"/>
        <c:axId val="144014336"/>
        <c:axId val="144024320"/>
      </c:barChart>
      <c:catAx>
        <c:axId val="144014336"/>
        <c:scaling>
          <c:orientation val="minMax"/>
        </c:scaling>
        <c:axPos val="b"/>
        <c:majorTickMark val="none"/>
        <c:tickLblPos val="nextTo"/>
        <c:crossAx val="144024320"/>
        <c:crosses val="autoZero"/>
        <c:auto val="1"/>
        <c:lblAlgn val="ctr"/>
        <c:lblOffset val="100"/>
      </c:catAx>
      <c:valAx>
        <c:axId val="144024320"/>
        <c:scaling>
          <c:orientation val="minMax"/>
        </c:scaling>
        <c:delete val="1"/>
        <c:axPos val="l"/>
        <c:numFmt formatCode="#,##0.0____" sourceLinked="1"/>
        <c:majorTickMark val="none"/>
        <c:tickLblPos val="none"/>
        <c:crossAx val="144014336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676275</xdr:colOff>
      <xdr:row>3</xdr:row>
      <xdr:rowOff>23132</xdr:rowOff>
    </xdr:from>
    <xdr:to>
      <xdr:col>13</xdr:col>
      <xdr:colOff>419100</xdr:colOff>
      <xdr:row>17</xdr:row>
      <xdr:rowOff>72118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84364</xdr:colOff>
      <xdr:row>3</xdr:row>
      <xdr:rowOff>69396</xdr:rowOff>
    </xdr:from>
    <xdr:to>
      <xdr:col>21</xdr:col>
      <xdr:colOff>211666</xdr:colOff>
      <xdr:row>17</xdr:row>
      <xdr:rowOff>118382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607786</xdr:colOff>
      <xdr:row>3</xdr:row>
      <xdr:rowOff>69547</xdr:rowOff>
    </xdr:from>
    <xdr:to>
      <xdr:col>27</xdr:col>
      <xdr:colOff>607786</xdr:colOff>
      <xdr:row>17</xdr:row>
      <xdr:rowOff>123975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571500</xdr:colOff>
      <xdr:row>18</xdr:row>
      <xdr:rowOff>148166</xdr:rowOff>
    </xdr:from>
    <xdr:to>
      <xdr:col>13</xdr:col>
      <xdr:colOff>529166</xdr:colOff>
      <xdr:row>33</xdr:row>
      <xdr:rowOff>158749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752929</xdr:colOff>
      <xdr:row>18</xdr:row>
      <xdr:rowOff>133048</xdr:rowOff>
    </xdr:from>
    <xdr:to>
      <xdr:col>21</xdr:col>
      <xdr:colOff>137583</xdr:colOff>
      <xdr:row>33</xdr:row>
      <xdr:rowOff>24190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456596</xdr:colOff>
      <xdr:row>18</xdr:row>
      <xdr:rowOff>158751</xdr:rowOff>
    </xdr:from>
    <xdr:to>
      <xdr:col>28</xdr:col>
      <xdr:colOff>95250</xdr:colOff>
      <xdr:row>33</xdr:row>
      <xdr:rowOff>49893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734786</xdr:colOff>
      <xdr:row>50</xdr:row>
      <xdr:rowOff>136072</xdr:rowOff>
    </xdr:from>
    <xdr:to>
      <xdr:col>13</xdr:col>
      <xdr:colOff>476250</xdr:colOff>
      <xdr:row>65</xdr:row>
      <xdr:rowOff>27214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651630</xdr:colOff>
      <xdr:row>34</xdr:row>
      <xdr:rowOff>158750</xdr:rowOff>
    </xdr:from>
    <xdr:to>
      <xdr:col>13</xdr:col>
      <xdr:colOff>397630</xdr:colOff>
      <xdr:row>49</xdr:row>
      <xdr:rowOff>49892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789215</xdr:colOff>
      <xdr:row>66</xdr:row>
      <xdr:rowOff>149680</xdr:rowOff>
    </xdr:from>
    <xdr:to>
      <xdr:col>13</xdr:col>
      <xdr:colOff>530679</xdr:colOff>
      <xdr:row>81</xdr:row>
      <xdr:rowOff>13607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0</xdr:colOff>
      <xdr:row>35</xdr:row>
      <xdr:rowOff>0</xdr:rowOff>
    </xdr:from>
    <xdr:to>
      <xdr:col>20</xdr:col>
      <xdr:colOff>0</xdr:colOff>
      <xdr:row>49</xdr:row>
      <xdr:rowOff>81642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51</xdr:row>
      <xdr:rowOff>0</xdr:rowOff>
    </xdr:from>
    <xdr:to>
      <xdr:col>19</xdr:col>
      <xdr:colOff>757464</xdr:colOff>
      <xdr:row>65</xdr:row>
      <xdr:rowOff>81642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634734</xdr:colOff>
      <xdr:row>1</xdr:row>
      <xdr:rowOff>91810</xdr:rowOff>
    </xdr:from>
    <xdr:to>
      <xdr:col>15</xdr:col>
      <xdr:colOff>116415</xdr:colOff>
      <xdr:row>17</xdr:row>
      <xdr:rowOff>63500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701675</xdr:colOff>
      <xdr:row>18</xdr:row>
      <xdr:rowOff>170392</xdr:rowOff>
    </xdr:from>
    <xdr:to>
      <xdr:col>16</xdr:col>
      <xdr:colOff>84667</xdr:colOff>
      <xdr:row>35</xdr:row>
      <xdr:rowOff>169333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10583</xdr:colOff>
      <xdr:row>37</xdr:row>
      <xdr:rowOff>53975</xdr:rowOff>
    </xdr:from>
    <xdr:to>
      <xdr:col>15</xdr:col>
      <xdr:colOff>677332</xdr:colOff>
      <xdr:row>53</xdr:row>
      <xdr:rowOff>116417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16933</xdr:colOff>
      <xdr:row>70</xdr:row>
      <xdr:rowOff>186266</xdr:rowOff>
    </xdr:from>
    <xdr:to>
      <xdr:col>15</xdr:col>
      <xdr:colOff>518583</xdr:colOff>
      <xdr:row>86</xdr:row>
      <xdr:rowOff>148166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42333</xdr:colOff>
      <xdr:row>54</xdr:row>
      <xdr:rowOff>84668</xdr:rowOff>
    </xdr:from>
    <xdr:to>
      <xdr:col>15</xdr:col>
      <xdr:colOff>656167</xdr:colOff>
      <xdr:row>70</xdr:row>
      <xdr:rowOff>10583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1047749</xdr:colOff>
      <xdr:row>74</xdr:row>
      <xdr:rowOff>42333</xdr:rowOff>
    </xdr:from>
    <xdr:to>
      <xdr:col>7</xdr:col>
      <xdr:colOff>211666</xdr:colOff>
      <xdr:row>88</xdr:row>
      <xdr:rowOff>116416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6"/>
  <sheetViews>
    <sheetView topLeftCell="A37" zoomScale="90" zoomScaleNormal="90" workbookViewId="0">
      <selection activeCell="C62" sqref="C62"/>
    </sheetView>
  </sheetViews>
  <sheetFormatPr baseColWidth="10" defaultColWidth="11.42578125" defaultRowHeight="15"/>
  <cols>
    <col min="1" max="1" width="55.140625" customWidth="1"/>
    <col min="2" max="2" width="19.7109375" customWidth="1"/>
    <col min="3" max="3" width="16.85546875" bestFit="1" customWidth="1"/>
    <col min="4" max="4" width="16.42578125" customWidth="1"/>
    <col min="5" max="5" width="17.5703125" bestFit="1" customWidth="1"/>
    <col min="6" max="6" width="15.42578125" bestFit="1" customWidth="1"/>
    <col min="7" max="7" width="15.42578125" customWidth="1"/>
    <col min="8" max="8" width="15.28515625" bestFit="1" customWidth="1"/>
  </cols>
  <sheetData>
    <row r="1" spans="1:8">
      <c r="A1" s="27"/>
    </row>
    <row r="2" spans="1:8" ht="15.75">
      <c r="A2" s="32" t="s">
        <v>112</v>
      </c>
      <c r="B2" s="32"/>
      <c r="C2" s="32"/>
      <c r="D2" s="32"/>
      <c r="E2" s="32"/>
      <c r="F2" s="32"/>
      <c r="G2" s="32"/>
    </row>
    <row r="4" spans="1:8">
      <c r="A4" s="28" t="s">
        <v>0</v>
      </c>
      <c r="B4" s="30" t="s">
        <v>1</v>
      </c>
      <c r="C4" s="33" t="s">
        <v>2</v>
      </c>
      <c r="D4" s="33"/>
      <c r="E4" s="33"/>
      <c r="F4" s="33"/>
      <c r="G4" s="28" t="s">
        <v>130</v>
      </c>
    </row>
    <row r="5" spans="1:8" ht="15.75" thickBot="1">
      <c r="A5" s="29"/>
      <c r="B5" s="31"/>
      <c r="C5" s="1" t="s">
        <v>117</v>
      </c>
      <c r="D5" s="1" t="s">
        <v>118</v>
      </c>
      <c r="E5" s="1" t="s">
        <v>121</v>
      </c>
      <c r="F5" s="1" t="s">
        <v>119</v>
      </c>
      <c r="G5" s="29"/>
    </row>
    <row r="6" spans="1:8" ht="15.75" thickTop="1"/>
    <row r="7" spans="1:8">
      <c r="A7" s="2" t="s">
        <v>3</v>
      </c>
    </row>
    <row r="9" spans="1:8">
      <c r="A9" t="s">
        <v>4</v>
      </c>
    </row>
    <row r="10" spans="1:8">
      <c r="A10" s="3" t="s">
        <v>37</v>
      </c>
      <c r="B10" s="4">
        <f>SUM(C10:G10)</f>
        <v>3660.3333333333335</v>
      </c>
      <c r="C10" s="4">
        <v>278.33333333333331</v>
      </c>
      <c r="D10" s="13">
        <v>1566.6666666666667</v>
      </c>
      <c r="E10" s="4">
        <v>1390</v>
      </c>
      <c r="F10" s="4">
        <v>425.33333333333331</v>
      </c>
      <c r="G10" s="4"/>
    </row>
    <row r="11" spans="1:8">
      <c r="A11" s="3" t="s">
        <v>65</v>
      </c>
      <c r="B11" s="4">
        <f>SUM(C11:G11)</f>
        <v>4892</v>
      </c>
      <c r="C11" s="4">
        <v>755</v>
      </c>
      <c r="D11" s="13">
        <v>1673</v>
      </c>
      <c r="E11" s="4">
        <v>1645</v>
      </c>
      <c r="F11" s="4">
        <v>819</v>
      </c>
      <c r="G11" s="4"/>
    </row>
    <row r="12" spans="1:8">
      <c r="A12" s="3" t="s">
        <v>66</v>
      </c>
      <c r="B12" s="4">
        <f>SUM(C12:G12)</f>
        <v>4590</v>
      </c>
      <c r="C12" s="4">
        <v>692</v>
      </c>
      <c r="D12" s="13">
        <v>1494</v>
      </c>
      <c r="E12" s="4">
        <v>1805.6666666666667</v>
      </c>
      <c r="F12" s="4">
        <v>598.33333333333337</v>
      </c>
      <c r="G12" s="4"/>
    </row>
    <row r="13" spans="1:8">
      <c r="A13" s="3" t="s">
        <v>67</v>
      </c>
      <c r="B13" s="4">
        <f>SUM(C13:G13)</f>
        <v>4892</v>
      </c>
      <c r="C13" s="4">
        <v>755</v>
      </c>
      <c r="D13" s="13">
        <v>1673</v>
      </c>
      <c r="E13" s="13">
        <v>1645</v>
      </c>
      <c r="F13" s="4">
        <v>819</v>
      </c>
      <c r="G13" s="4"/>
    </row>
    <row r="15" spans="1:8">
      <c r="A15" s="5" t="s">
        <v>5</v>
      </c>
      <c r="C15" s="26"/>
    </row>
    <row r="16" spans="1:8">
      <c r="A16" s="3" t="s">
        <v>37</v>
      </c>
      <c r="B16" s="4">
        <f>SUM(C16:G16)</f>
        <v>3604876976.6500006</v>
      </c>
      <c r="C16" s="13">
        <v>9690968.25</v>
      </c>
      <c r="D16" s="13">
        <v>271587150</v>
      </c>
      <c r="E16" s="13">
        <v>612450178.70000005</v>
      </c>
      <c r="F16" s="13">
        <v>75023585.599999994</v>
      </c>
      <c r="G16" s="13">
        <v>2636125094.1000004</v>
      </c>
      <c r="H16" s="6"/>
    </row>
    <row r="17" spans="1:7">
      <c r="A17" s="3" t="s">
        <v>65</v>
      </c>
      <c r="B17" s="4">
        <f>SUM(C17:G17)</f>
        <v>3982015955.4300003</v>
      </c>
      <c r="C17" s="13">
        <v>26287476.75</v>
      </c>
      <c r="D17" s="13">
        <v>307247370.14999998</v>
      </c>
      <c r="E17" s="13">
        <v>766823494.50000012</v>
      </c>
      <c r="F17" s="13">
        <v>150409800.44999999</v>
      </c>
      <c r="G17" s="13">
        <v>2731247813.5799999</v>
      </c>
    </row>
    <row r="18" spans="1:7">
      <c r="A18" s="3" t="s">
        <v>66</v>
      </c>
      <c r="B18" s="4">
        <f>SUM(C18:G18)</f>
        <v>4140875940.4099998</v>
      </c>
      <c r="C18" s="13">
        <v>21246969.75</v>
      </c>
      <c r="D18" s="13">
        <v>269284485.75</v>
      </c>
      <c r="E18" s="13">
        <v>882670304.60000002</v>
      </c>
      <c r="F18" s="13">
        <v>109138733.5</v>
      </c>
      <c r="G18" s="13">
        <v>2858535446.8099999</v>
      </c>
    </row>
    <row r="19" spans="1:7">
      <c r="A19" s="3" t="s">
        <v>67</v>
      </c>
      <c r="B19" s="4">
        <f>SUM(C19:G19)</f>
        <v>16952261537.23</v>
      </c>
      <c r="C19" s="13">
        <v>105149907</v>
      </c>
      <c r="D19" s="13">
        <v>1228989480.5999997</v>
      </c>
      <c r="E19" s="13">
        <v>1898603944</v>
      </c>
      <c r="F19" s="13">
        <v>601639201.79999983</v>
      </c>
      <c r="G19" s="13">
        <v>13117879003.83</v>
      </c>
    </row>
    <row r="20" spans="1:7">
      <c r="A20" s="3" t="s">
        <v>68</v>
      </c>
      <c r="B20" s="4">
        <f>SUM(C20:F20)</f>
        <v>1282340493.5999999</v>
      </c>
      <c r="C20" s="22">
        <f>C18</f>
        <v>21246969.75</v>
      </c>
      <c r="D20" s="22">
        <f t="shared" ref="D20:F20" si="0">D18</f>
        <v>269284485.75</v>
      </c>
      <c r="E20" s="22">
        <f t="shared" si="0"/>
        <v>882670304.60000002</v>
      </c>
      <c r="F20" s="22">
        <f t="shared" si="0"/>
        <v>109138733.5</v>
      </c>
      <c r="G20" s="22"/>
    </row>
    <row r="21" spans="1:7">
      <c r="B21" s="4"/>
      <c r="C21" s="4"/>
      <c r="D21" s="4"/>
      <c r="E21" s="4"/>
      <c r="F21" s="4"/>
      <c r="G21" s="4"/>
    </row>
    <row r="22" spans="1:7">
      <c r="A22" s="5" t="s">
        <v>6</v>
      </c>
      <c r="B22" s="4"/>
      <c r="C22" s="4"/>
      <c r="D22" s="4"/>
      <c r="E22" s="18"/>
      <c r="F22" s="4"/>
      <c r="G22" s="4"/>
    </row>
    <row r="23" spans="1:7">
      <c r="A23" s="3" t="s">
        <v>65</v>
      </c>
      <c r="B23" s="4">
        <f>B17</f>
        <v>3982015955.4300003</v>
      </c>
      <c r="E23" s="18"/>
    </row>
    <row r="24" spans="1:7">
      <c r="A24" s="3" t="s">
        <v>66</v>
      </c>
      <c r="B24" s="4">
        <v>2630141619.2200003</v>
      </c>
      <c r="E24" s="18"/>
    </row>
    <row r="25" spans="1:7">
      <c r="E25" s="18"/>
    </row>
    <row r="26" spans="1:7">
      <c r="A26" t="s">
        <v>7</v>
      </c>
    </row>
    <row r="27" spans="1:7">
      <c r="A27" s="3" t="s">
        <v>38</v>
      </c>
      <c r="B27" s="17">
        <v>1.5037478319333335</v>
      </c>
      <c r="C27" s="17">
        <v>1.5037478319333335</v>
      </c>
      <c r="D27" s="17">
        <v>1.5037478319333335</v>
      </c>
      <c r="E27" s="17">
        <v>1.5037478319333335</v>
      </c>
      <c r="F27" s="17">
        <v>1.5037478319333335</v>
      </c>
      <c r="G27" s="17">
        <v>1.5037478319333335</v>
      </c>
    </row>
    <row r="28" spans="1:7">
      <c r="A28" s="3" t="s">
        <v>69</v>
      </c>
      <c r="B28" s="17">
        <v>1.5969752303666667</v>
      </c>
      <c r="C28" s="17">
        <v>1.5969752303666667</v>
      </c>
      <c r="D28" s="17">
        <v>1.5969752303666667</v>
      </c>
      <c r="E28" s="17">
        <v>1.5969752303666667</v>
      </c>
      <c r="F28" s="17">
        <v>1.5969752303666667</v>
      </c>
      <c r="G28" s="17">
        <v>1.5969752303666667</v>
      </c>
    </row>
    <row r="29" spans="1:7">
      <c r="A29" s="3" t="s">
        <v>8</v>
      </c>
      <c r="B29" s="19" t="s">
        <v>128</v>
      </c>
      <c r="C29" s="19" t="s">
        <v>128</v>
      </c>
      <c r="D29" s="19" t="s">
        <v>128</v>
      </c>
      <c r="E29" s="19" t="s">
        <v>128</v>
      </c>
      <c r="F29" s="19" t="s">
        <v>128</v>
      </c>
      <c r="G29" s="19" t="s">
        <v>128</v>
      </c>
    </row>
    <row r="31" spans="1:7">
      <c r="A31" s="3" t="s">
        <v>9</v>
      </c>
    </row>
    <row r="32" spans="1:7">
      <c r="A32" s="3" t="s">
        <v>39</v>
      </c>
      <c r="B32" s="22">
        <f t="shared" ref="B32:F32" si="1">B16/B27</f>
        <v>2397261628.643743</v>
      </c>
      <c r="C32" s="22">
        <f t="shared" si="1"/>
        <v>6444543.4561595004</v>
      </c>
      <c r="D32" s="22">
        <f t="shared" si="1"/>
        <v>180606843.93528053</v>
      </c>
      <c r="E32" s="22">
        <f t="shared" si="1"/>
        <v>407282501.55651903</v>
      </c>
      <c r="F32" s="22">
        <f t="shared" si="1"/>
        <v>49891068.174338728</v>
      </c>
      <c r="G32" s="22">
        <f t="shared" ref="G32" si="2">G16/G27</f>
        <v>1753036671.521445</v>
      </c>
    </row>
    <row r="33" spans="1:7">
      <c r="A33" s="3" t="s">
        <v>70</v>
      </c>
      <c r="B33" s="22">
        <f>B18/B28</f>
        <v>2592949384.3553553</v>
      </c>
      <c r="C33" s="22">
        <f t="shared" ref="C33:F33" si="3">C18/C28</f>
        <v>13304508.013641315</v>
      </c>
      <c r="D33" s="22">
        <f>D18/D28</f>
        <v>168621579.48947778</v>
      </c>
      <c r="E33" s="22">
        <f t="shared" si="3"/>
        <v>552713835.39075828</v>
      </c>
      <c r="F33" s="22">
        <f t="shared" si="3"/>
        <v>68340905.622525945</v>
      </c>
      <c r="G33" s="22">
        <f t="shared" ref="G33" si="4">G18/G28</f>
        <v>1789968555.8389521</v>
      </c>
    </row>
    <row r="34" spans="1:7">
      <c r="A34" s="3" t="s">
        <v>40</v>
      </c>
      <c r="B34" s="14">
        <f>B32/B10</f>
        <v>654929.86849387386</v>
      </c>
      <c r="C34" s="14">
        <f t="shared" ref="C34:F34" si="5">C32/C10</f>
        <v>23154.048345483236</v>
      </c>
      <c r="D34" s="14">
        <f>D32/D10</f>
        <v>115280.96421400884</v>
      </c>
      <c r="E34" s="14">
        <f t="shared" si="5"/>
        <v>293008.99392555328</v>
      </c>
      <c r="F34" s="14">
        <f t="shared" si="5"/>
        <v>117298.74962618823</v>
      </c>
      <c r="G34" s="14"/>
    </row>
    <row r="35" spans="1:7">
      <c r="A35" s="3" t="s">
        <v>71</v>
      </c>
      <c r="B35" s="6">
        <f>B33/B12</f>
        <v>564912.71990312752</v>
      </c>
      <c r="C35" s="6">
        <f t="shared" ref="C35:F35" si="6">C33/C12</f>
        <v>19226.167649770687</v>
      </c>
      <c r="D35" s="6">
        <f>D33/D12</f>
        <v>112865.84972521941</v>
      </c>
      <c r="E35" s="6">
        <f t="shared" si="6"/>
        <v>306099.59501057316</v>
      </c>
      <c r="F35" s="6">
        <f t="shared" si="6"/>
        <v>114218.78377023834</v>
      </c>
      <c r="G35" s="6"/>
    </row>
    <row r="37" spans="1:7">
      <c r="A37" s="2" t="s">
        <v>10</v>
      </c>
    </row>
    <row r="39" spans="1:7">
      <c r="A39" t="s">
        <v>11</v>
      </c>
    </row>
    <row r="40" spans="1:7">
      <c r="A40" t="s">
        <v>12</v>
      </c>
      <c r="B40" s="24" t="s">
        <v>120</v>
      </c>
      <c r="C40" s="24" t="s">
        <v>120</v>
      </c>
      <c r="D40" s="24" t="s">
        <v>120</v>
      </c>
      <c r="E40" s="24" t="s">
        <v>120</v>
      </c>
      <c r="F40" s="24" t="s">
        <v>120</v>
      </c>
      <c r="G40" s="24" t="s">
        <v>120</v>
      </c>
    </row>
    <row r="41" spans="1:7">
      <c r="A41" t="s">
        <v>13</v>
      </c>
      <c r="B41" s="24" t="s">
        <v>120</v>
      </c>
      <c r="C41" s="24" t="s">
        <v>120</v>
      </c>
      <c r="D41" s="24" t="s">
        <v>120</v>
      </c>
      <c r="E41" s="24" t="s">
        <v>120</v>
      </c>
      <c r="F41" s="24" t="s">
        <v>120</v>
      </c>
      <c r="G41" s="24" t="s">
        <v>120</v>
      </c>
    </row>
    <row r="43" spans="1:7">
      <c r="A43" t="s">
        <v>14</v>
      </c>
    </row>
    <row r="44" spans="1:7">
      <c r="A44" t="s">
        <v>15</v>
      </c>
      <c r="B44" s="7">
        <f>B12/B11*100</f>
        <v>93.82665576451349</v>
      </c>
      <c r="C44" s="7">
        <f t="shared" ref="C44:F44" si="7">C12/C11*100</f>
        <v>91.655629139072843</v>
      </c>
      <c r="D44" s="7">
        <f>D12/D11*100</f>
        <v>89.300657501494314</v>
      </c>
      <c r="E44" s="7">
        <f t="shared" si="7"/>
        <v>109.76697061803445</v>
      </c>
      <c r="F44" s="7">
        <f t="shared" si="7"/>
        <v>73.056573056573058</v>
      </c>
      <c r="G44" s="7"/>
    </row>
    <row r="45" spans="1:7">
      <c r="A45" t="s">
        <v>16</v>
      </c>
      <c r="B45" s="7">
        <f>B18/B17*100</f>
        <v>103.98943617399054</v>
      </c>
      <c r="C45" s="7">
        <f t="shared" ref="C45:G45" si="8">C18/C17*100</f>
        <v>80.825443811376843</v>
      </c>
      <c r="D45" s="7">
        <f>D18/D17*100</f>
        <v>87.644195495809683</v>
      </c>
      <c r="E45" s="7">
        <f t="shared" si="8"/>
        <v>115.10736315865448</v>
      </c>
      <c r="F45" s="7">
        <f t="shared" si="8"/>
        <v>72.560919018226116</v>
      </c>
      <c r="G45" s="7">
        <f t="shared" si="8"/>
        <v>104.66042050805918</v>
      </c>
    </row>
    <row r="46" spans="1:7">
      <c r="A46" t="s">
        <v>17</v>
      </c>
      <c r="B46" s="7">
        <f>AVERAGE(B44:B45)</f>
        <v>98.908045969252015</v>
      </c>
      <c r="C46" s="7">
        <f t="shared" ref="C46:F46" si="9">AVERAGE(C44:C45)</f>
        <v>86.240536475224843</v>
      </c>
      <c r="D46" s="7">
        <f>AVERAGE(D44:D45)</f>
        <v>88.472426498651998</v>
      </c>
      <c r="E46" s="7">
        <f t="shared" si="9"/>
        <v>112.43716688834446</v>
      </c>
      <c r="F46" s="7">
        <f t="shared" si="9"/>
        <v>72.808746037399587</v>
      </c>
      <c r="G46" s="7"/>
    </row>
    <row r="47" spans="1:7">
      <c r="B47" s="7"/>
      <c r="C47" s="7"/>
      <c r="D47" s="7"/>
      <c r="E47" s="7"/>
      <c r="F47" s="7"/>
      <c r="G47" s="7"/>
    </row>
    <row r="48" spans="1:7">
      <c r="A48" t="s">
        <v>18</v>
      </c>
    </row>
    <row r="49" spans="1:16">
      <c r="A49" t="s">
        <v>19</v>
      </c>
      <c r="B49" s="7">
        <f>B12/B13*100</f>
        <v>93.82665576451349</v>
      </c>
      <c r="C49" s="7">
        <f t="shared" ref="C49:F49" si="10">C12/C13*100</f>
        <v>91.655629139072843</v>
      </c>
      <c r="D49" s="7">
        <f t="shared" si="10"/>
        <v>89.300657501494314</v>
      </c>
      <c r="E49" s="7">
        <f t="shared" si="10"/>
        <v>109.76697061803445</v>
      </c>
      <c r="F49" s="7">
        <f t="shared" si="10"/>
        <v>73.056573056573058</v>
      </c>
      <c r="G49" s="7"/>
    </row>
    <row r="50" spans="1:16">
      <c r="A50" t="s">
        <v>20</v>
      </c>
      <c r="B50" s="7">
        <f>B18/B19*100</f>
        <v>24.426687444126227</v>
      </c>
      <c r="C50" s="7">
        <f t="shared" ref="C50:G50" si="11">C18/C19*100</f>
        <v>20.206360952844211</v>
      </c>
      <c r="D50" s="7">
        <f>D18/D19*100</f>
        <v>21.911048873952428</v>
      </c>
      <c r="E50" s="7">
        <f t="shared" si="11"/>
        <v>46.490491468187955</v>
      </c>
      <c r="F50" s="7">
        <f t="shared" si="11"/>
        <v>18.140229754556533</v>
      </c>
      <c r="G50" s="7">
        <f t="shared" si="11"/>
        <v>21.791140518794229</v>
      </c>
    </row>
    <row r="51" spans="1:16">
      <c r="A51" t="s">
        <v>21</v>
      </c>
      <c r="B51" s="7">
        <f>(B49+B50)/2</f>
        <v>59.12667160431986</v>
      </c>
      <c r="C51" s="7">
        <f t="shared" ref="C51:F51" si="12">(C49+C50)/2</f>
        <v>55.930995045958525</v>
      </c>
      <c r="D51" s="7">
        <f>(D49+D50)/2</f>
        <v>55.605853187723369</v>
      </c>
      <c r="E51" s="7">
        <f t="shared" si="12"/>
        <v>78.128731043111202</v>
      </c>
      <c r="F51" s="7">
        <f t="shared" si="12"/>
        <v>45.598401405564793</v>
      </c>
      <c r="G51" s="7"/>
    </row>
    <row r="53" spans="1:16">
      <c r="A53" t="s">
        <v>35</v>
      </c>
    </row>
    <row r="54" spans="1:16">
      <c r="A54" t="s">
        <v>22</v>
      </c>
      <c r="B54" s="7">
        <f>B20/B18*100</f>
        <v>30.967855884932206</v>
      </c>
      <c r="C54" s="7"/>
      <c r="D54" s="7"/>
      <c r="E54" s="7"/>
      <c r="F54" s="7"/>
      <c r="G54" s="7"/>
    </row>
    <row r="56" spans="1:16">
      <c r="A56" t="s">
        <v>23</v>
      </c>
    </row>
    <row r="57" spans="1:16">
      <c r="A57" t="s">
        <v>24</v>
      </c>
      <c r="B57" s="7">
        <f>((B12/B10)-1)*100</f>
        <v>25.398415444859303</v>
      </c>
      <c r="C57" s="7">
        <f t="shared" ref="C57:F57" si="13">((C12/C10)-1)*100</f>
        <v>148.62275449101796</v>
      </c>
      <c r="D57" s="7">
        <f>((D12/D10)-1)*100</f>
        <v>-4.638297872340436</v>
      </c>
      <c r="E57" s="7">
        <f t="shared" si="13"/>
        <v>29.90407673860911</v>
      </c>
      <c r="F57" s="7">
        <f t="shared" si="13"/>
        <v>40.673981191222587</v>
      </c>
      <c r="G57" s="7"/>
    </row>
    <row r="58" spans="1:16">
      <c r="A58" t="s">
        <v>25</v>
      </c>
      <c r="B58" s="7">
        <f t="shared" ref="B58:G58" si="14">((B33/B32)-1)*100</f>
        <v>8.1629703397172904</v>
      </c>
      <c r="C58" s="7">
        <f t="shared" si="14"/>
        <v>106.44609046627292</v>
      </c>
      <c r="D58" s="7">
        <f t="shared" si="14"/>
        <v>-6.6361075719243541</v>
      </c>
      <c r="E58" s="7">
        <f t="shared" si="14"/>
        <v>35.707729469948156</v>
      </c>
      <c r="F58" s="7">
        <f t="shared" si="14"/>
        <v>36.980241400557581</v>
      </c>
      <c r="G58" s="7">
        <f t="shared" si="14"/>
        <v>2.1067376922271785</v>
      </c>
      <c r="H58" s="7"/>
      <c r="I58" s="7"/>
      <c r="J58" s="7"/>
      <c r="K58" s="7"/>
      <c r="L58" s="7"/>
      <c r="M58" s="7"/>
      <c r="N58" s="7"/>
      <c r="O58" s="7"/>
      <c r="P58" s="7"/>
    </row>
    <row r="59" spans="1:16">
      <c r="A59" t="s">
        <v>26</v>
      </c>
      <c r="B59" s="7">
        <f>((B35/B34)-1)*100</f>
        <v>-13.744547763221815</v>
      </c>
      <c r="C59" s="7">
        <f t="shared" ref="C59:F59" si="15">((C35/C34)-1)*100</f>
        <v>-16.964120645790992</v>
      </c>
      <c r="D59" s="7">
        <f>((D35/D34)-1)*100</f>
        <v>-2.0949811664534579</v>
      </c>
      <c r="E59" s="7">
        <f t="shared" si="15"/>
        <v>4.4676448014923098</v>
      </c>
      <c r="F59" s="7">
        <f t="shared" si="15"/>
        <v>-2.6257448316927778</v>
      </c>
      <c r="G59" s="7"/>
    </row>
    <row r="60" spans="1:16">
      <c r="B60" s="8"/>
      <c r="C60" s="8"/>
      <c r="D60" s="8"/>
      <c r="E60" s="8"/>
      <c r="F60" s="8"/>
      <c r="G60" s="8"/>
    </row>
    <row r="61" spans="1:16">
      <c r="A61" t="s">
        <v>27</v>
      </c>
    </row>
    <row r="62" spans="1:16">
      <c r="A62" t="s">
        <v>108</v>
      </c>
      <c r="B62" s="4">
        <f>B17/(B11*3)</f>
        <v>271328.42432747345</v>
      </c>
      <c r="C62" s="4">
        <f t="shared" ref="C62:F62" si="16">C17/(C11*3)</f>
        <v>11605.95</v>
      </c>
      <c r="D62" s="4">
        <f t="shared" si="16"/>
        <v>61216.85</v>
      </c>
      <c r="E62" s="4">
        <f t="shared" si="16"/>
        <v>155384.70000000001</v>
      </c>
      <c r="F62" s="4">
        <f t="shared" si="16"/>
        <v>61216.85</v>
      </c>
      <c r="G62" s="4"/>
    </row>
    <row r="63" spans="1:16">
      <c r="A63" t="s">
        <v>109</v>
      </c>
      <c r="B63" s="4">
        <f>B18/(B12*3)</f>
        <v>300717.20700145245</v>
      </c>
      <c r="C63" s="4">
        <f t="shared" ref="C63:F63" si="17">C18/(C12*3)</f>
        <v>10234.571170520232</v>
      </c>
      <c r="D63" s="4">
        <f t="shared" si="17"/>
        <v>60081.322121820616</v>
      </c>
      <c r="E63" s="4">
        <f t="shared" si="17"/>
        <v>162944.49041905114</v>
      </c>
      <c r="F63" s="4">
        <f t="shared" si="17"/>
        <v>60801.522841225626</v>
      </c>
      <c r="G63" s="4"/>
    </row>
    <row r="64" spans="1:16">
      <c r="A64" t="s">
        <v>30</v>
      </c>
      <c r="B64" s="4">
        <f>(B62/B63)*B46</f>
        <v>89.241864586807111</v>
      </c>
      <c r="C64" s="4">
        <f t="shared" ref="C64:F64" si="18">(C62/C63)*C46</f>
        <v>97.796315803406443</v>
      </c>
      <c r="D64" s="4">
        <f>(D62/D63)*D46</f>
        <v>90.144541944708564</v>
      </c>
      <c r="E64" s="4">
        <f t="shared" si="18"/>
        <v>107.22065778882366</v>
      </c>
      <c r="F64" s="4">
        <f t="shared" si="18"/>
        <v>73.306092949328146</v>
      </c>
      <c r="G64" s="4"/>
    </row>
    <row r="65" spans="1:7">
      <c r="A65" t="s">
        <v>132</v>
      </c>
      <c r="B65" s="4">
        <f>B17/B11</f>
        <v>813985.27298242028</v>
      </c>
      <c r="C65" s="4">
        <f t="shared" ref="C65:F65" si="19">C17/C11</f>
        <v>34817.85</v>
      </c>
      <c r="D65" s="4">
        <f t="shared" si="19"/>
        <v>183650.55</v>
      </c>
      <c r="E65" s="4">
        <f t="shared" si="19"/>
        <v>466154.10000000009</v>
      </c>
      <c r="F65" s="4">
        <f t="shared" si="19"/>
        <v>183650.55</v>
      </c>
      <c r="G65" s="4"/>
    </row>
    <row r="66" spans="1:7">
      <c r="A66" t="s">
        <v>131</v>
      </c>
      <c r="B66" s="4">
        <f>B18/B12</f>
        <v>902151.62100435724</v>
      </c>
      <c r="C66" s="4">
        <f t="shared" ref="C66:F66" si="20">C18/C12</f>
        <v>30703.713511560694</v>
      </c>
      <c r="D66" s="4">
        <f t="shared" si="20"/>
        <v>180243.96636546185</v>
      </c>
      <c r="E66" s="4">
        <f t="shared" si="20"/>
        <v>488833.47125715337</v>
      </c>
      <c r="F66" s="4">
        <f t="shared" si="20"/>
        <v>182404.56852367686</v>
      </c>
      <c r="G66" s="4"/>
    </row>
    <row r="67" spans="1:7">
      <c r="B67" s="7"/>
      <c r="C67" s="7"/>
      <c r="D67" s="7"/>
      <c r="E67" s="7"/>
      <c r="F67" s="7"/>
      <c r="G67" s="7"/>
    </row>
    <row r="68" spans="1:7">
      <c r="A68" t="s">
        <v>31</v>
      </c>
      <c r="B68" s="7"/>
      <c r="C68" s="7"/>
      <c r="D68" s="7"/>
      <c r="E68" s="7"/>
      <c r="F68" s="7"/>
      <c r="G68" s="7"/>
    </row>
    <row r="69" spans="1:7">
      <c r="A69" t="s">
        <v>32</v>
      </c>
      <c r="B69" s="8">
        <f>(B24/B23)*100</f>
        <v>66.050504283727378</v>
      </c>
      <c r="C69" s="7"/>
      <c r="D69" s="7"/>
      <c r="E69" s="7"/>
      <c r="F69" s="7"/>
      <c r="G69" s="7"/>
    </row>
    <row r="70" spans="1:7">
      <c r="A70" t="s">
        <v>33</v>
      </c>
      <c r="B70" s="8">
        <f>(B18/B24)*100</f>
        <v>157.43927665910346</v>
      </c>
      <c r="C70" s="7"/>
      <c r="D70" s="7"/>
      <c r="E70" s="7"/>
      <c r="F70" s="7"/>
      <c r="G70" s="7"/>
    </row>
    <row r="71" spans="1:7" ht="15.75" thickBot="1">
      <c r="A71" s="9"/>
      <c r="B71" s="9"/>
      <c r="C71" s="9"/>
      <c r="D71" s="9"/>
      <c r="E71" s="9"/>
      <c r="F71" s="9"/>
      <c r="G71" s="9"/>
    </row>
    <row r="72" spans="1:7" ht="15.75" thickTop="1"/>
    <row r="73" spans="1:7">
      <c r="A73" s="12" t="s">
        <v>34</v>
      </c>
    </row>
    <row r="74" spans="1:7">
      <c r="A74" t="s">
        <v>122</v>
      </c>
    </row>
    <row r="75" spans="1:7">
      <c r="A75" t="s">
        <v>123</v>
      </c>
      <c r="B75" s="10"/>
      <c r="C75" s="10"/>
      <c r="D75" s="10"/>
      <c r="E75" s="10"/>
    </row>
    <row r="76" spans="1:7">
      <c r="A76" t="s">
        <v>124</v>
      </c>
    </row>
    <row r="79" spans="1:7">
      <c r="A79" t="s">
        <v>36</v>
      </c>
    </row>
    <row r="80" spans="1:7">
      <c r="A80" s="20" t="s">
        <v>127</v>
      </c>
    </row>
    <row r="81" spans="1:1">
      <c r="A81" s="20"/>
    </row>
    <row r="82" spans="1:1">
      <c r="A82" s="20"/>
    </row>
    <row r="84" spans="1:1">
      <c r="A84" s="20" t="s">
        <v>129</v>
      </c>
    </row>
    <row r="144" spans="8:10">
      <c r="H144" s="22"/>
      <c r="I144" s="22"/>
      <c r="J144" s="22"/>
    </row>
    <row r="145" spans="8:10">
      <c r="H145" s="22"/>
      <c r="I145" s="22"/>
      <c r="J145" s="22"/>
    </row>
    <row r="146" spans="8:10">
      <c r="H146" s="22"/>
      <c r="I146" s="22"/>
      <c r="J146" s="22"/>
    </row>
  </sheetData>
  <mergeCells count="5">
    <mergeCell ref="A4:A5"/>
    <mergeCell ref="B4:B5"/>
    <mergeCell ref="A2:G2"/>
    <mergeCell ref="C4:F4"/>
    <mergeCell ref="G4:G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G84"/>
  <sheetViews>
    <sheetView topLeftCell="A37" zoomScale="90" zoomScaleNormal="90" workbookViewId="0">
      <selection activeCell="B63" sqref="B63"/>
    </sheetView>
  </sheetViews>
  <sheetFormatPr baseColWidth="10" defaultColWidth="11.42578125" defaultRowHeight="15"/>
  <cols>
    <col min="1" max="1" width="55.140625" customWidth="1"/>
    <col min="2" max="2" width="17.5703125" bestFit="1" customWidth="1"/>
    <col min="3" max="3" width="16.5703125" bestFit="1" customWidth="1"/>
    <col min="4" max="4" width="16.42578125" customWidth="1"/>
    <col min="5" max="5" width="16" bestFit="1" customWidth="1"/>
    <col min="6" max="7" width="15.28515625" customWidth="1"/>
  </cols>
  <sheetData>
    <row r="2" spans="1:7" ht="15.75">
      <c r="A2" s="32" t="s">
        <v>113</v>
      </c>
      <c r="B2" s="32"/>
      <c r="C2" s="32"/>
      <c r="D2" s="32"/>
      <c r="E2" s="32"/>
      <c r="F2" s="32"/>
      <c r="G2" s="32"/>
    </row>
    <row r="4" spans="1:7">
      <c r="A4" s="28" t="s">
        <v>0</v>
      </c>
      <c r="B4" s="30" t="s">
        <v>1</v>
      </c>
      <c r="C4" s="33" t="s">
        <v>2</v>
      </c>
      <c r="D4" s="33"/>
      <c r="E4" s="33"/>
      <c r="F4" s="33"/>
      <c r="G4" s="28" t="s">
        <v>130</v>
      </c>
    </row>
    <row r="5" spans="1:7" ht="15.75" thickBot="1">
      <c r="A5" s="29"/>
      <c r="B5" s="31"/>
      <c r="C5" s="1" t="s">
        <v>117</v>
      </c>
      <c r="D5" s="1" t="s">
        <v>118</v>
      </c>
      <c r="E5" s="1" t="s">
        <v>125</v>
      </c>
      <c r="F5" s="1" t="s">
        <v>119</v>
      </c>
      <c r="G5" s="29"/>
    </row>
    <row r="6" spans="1:7" ht="15.75" thickTop="1"/>
    <row r="7" spans="1:7">
      <c r="A7" s="2" t="s">
        <v>3</v>
      </c>
    </row>
    <row r="9" spans="1:7">
      <c r="A9" t="s">
        <v>4</v>
      </c>
    </row>
    <row r="10" spans="1:7">
      <c r="A10" s="3" t="s">
        <v>41</v>
      </c>
      <c r="B10" s="4">
        <f>SUM(C10:G10)</f>
        <v>3559.3333333333335</v>
      </c>
      <c r="C10" s="4">
        <v>1107.6666666666667</v>
      </c>
      <c r="D10" s="13">
        <v>1970</v>
      </c>
      <c r="E10" s="19">
        <v>0</v>
      </c>
      <c r="F10" s="4">
        <v>481.66666666666669</v>
      </c>
      <c r="G10" s="4"/>
    </row>
    <row r="11" spans="1:7">
      <c r="A11" s="3" t="s">
        <v>72</v>
      </c>
      <c r="B11" s="4">
        <f>SUM(C11:G11)</f>
        <v>4892</v>
      </c>
      <c r="C11" s="4">
        <v>755</v>
      </c>
      <c r="D11" s="13">
        <v>1673</v>
      </c>
      <c r="E11" s="4">
        <v>1645</v>
      </c>
      <c r="F11" s="4">
        <v>819</v>
      </c>
      <c r="G11" s="4"/>
    </row>
    <row r="12" spans="1:7">
      <c r="A12" s="3" t="s">
        <v>73</v>
      </c>
      <c r="B12" s="4">
        <f>SUM(C12:G12)</f>
        <v>4788.6666666666661</v>
      </c>
      <c r="C12" s="4">
        <v>779.33333333333337</v>
      </c>
      <c r="D12" s="13">
        <v>1814.3333333333333</v>
      </c>
      <c r="E12" s="4">
        <v>1649</v>
      </c>
      <c r="F12" s="4">
        <v>546</v>
      </c>
      <c r="G12" s="4"/>
    </row>
    <row r="13" spans="1:7">
      <c r="A13" s="3" t="s">
        <v>67</v>
      </c>
      <c r="B13" s="4">
        <f>SUM(C13:G13)</f>
        <v>4892</v>
      </c>
      <c r="C13" s="4">
        <v>755</v>
      </c>
      <c r="D13" s="13">
        <v>1673</v>
      </c>
      <c r="E13" s="13">
        <v>1645</v>
      </c>
      <c r="F13" s="4">
        <v>819</v>
      </c>
      <c r="G13" s="4"/>
    </row>
    <row r="15" spans="1:7">
      <c r="A15" s="5" t="s">
        <v>5</v>
      </c>
    </row>
    <row r="16" spans="1:7">
      <c r="A16" s="3" t="s">
        <v>41</v>
      </c>
      <c r="B16" s="4">
        <f>SUM(C16:G16)</f>
        <v>2499043596.04</v>
      </c>
      <c r="C16" s="4">
        <v>36296916</v>
      </c>
      <c r="D16" s="13">
        <v>316083154.25</v>
      </c>
      <c r="E16" s="4">
        <v>0</v>
      </c>
      <c r="F16" s="4">
        <v>142550192.59999999</v>
      </c>
      <c r="G16" s="4">
        <v>2004113333.1900001</v>
      </c>
    </row>
    <row r="17" spans="1:7">
      <c r="A17" s="3" t="s">
        <v>72</v>
      </c>
      <c r="B17" s="4">
        <f>SUM(C17:G17)</f>
        <v>4136165773.0600004</v>
      </c>
      <c r="C17" s="4">
        <v>26287476.75</v>
      </c>
      <c r="D17" s="13">
        <v>307247370.14999998</v>
      </c>
      <c r="E17" s="4">
        <v>766823494.50000012</v>
      </c>
      <c r="F17" s="4">
        <v>150409800.44999999</v>
      </c>
      <c r="G17" s="4">
        <v>2885397631.21</v>
      </c>
    </row>
    <row r="18" spans="1:7">
      <c r="A18" s="3" t="s">
        <v>73</v>
      </c>
      <c r="B18" s="4">
        <f>SUM(C18:G18)</f>
        <v>3624139360.2600002</v>
      </c>
      <c r="C18" s="4">
        <v>28124887</v>
      </c>
      <c r="D18" s="13">
        <v>367838884.54999995</v>
      </c>
      <c r="E18" s="4">
        <v>907347337.5</v>
      </c>
      <c r="F18" s="4">
        <v>107128768.5</v>
      </c>
      <c r="G18" s="4">
        <v>2213699482.7100005</v>
      </c>
    </row>
    <row r="19" spans="1:7">
      <c r="A19" s="3" t="s">
        <v>67</v>
      </c>
      <c r="B19" s="4">
        <f>SUM(C19:G19)</f>
        <v>16952261537.23</v>
      </c>
      <c r="C19" s="4">
        <v>105149907</v>
      </c>
      <c r="D19" s="13">
        <v>1228989480.5999997</v>
      </c>
      <c r="E19" s="4">
        <v>1898603944</v>
      </c>
      <c r="F19" s="4">
        <v>601639201.79999983</v>
      </c>
      <c r="G19" s="4">
        <v>13117879003.83</v>
      </c>
    </row>
    <row r="20" spans="1:7">
      <c r="A20" s="3" t="s">
        <v>74</v>
      </c>
      <c r="B20" s="4">
        <f>SUM(C20:F20)</f>
        <v>1410439877.55</v>
      </c>
      <c r="C20" s="6">
        <f>C18</f>
        <v>28124887</v>
      </c>
      <c r="D20" s="6">
        <f t="shared" ref="D20:F20" si="0">D18</f>
        <v>367838884.54999995</v>
      </c>
      <c r="E20" s="6">
        <f t="shared" si="0"/>
        <v>907347337.5</v>
      </c>
      <c r="F20" s="6">
        <f t="shared" si="0"/>
        <v>107128768.5</v>
      </c>
      <c r="G20" s="6"/>
    </row>
    <row r="21" spans="1:7">
      <c r="B21" s="4"/>
      <c r="C21" s="4"/>
      <c r="D21" s="4"/>
      <c r="E21" s="4"/>
      <c r="F21" s="4"/>
      <c r="G21" s="4"/>
    </row>
    <row r="22" spans="1:7">
      <c r="A22" s="3" t="s">
        <v>6</v>
      </c>
      <c r="B22" s="4"/>
      <c r="C22" s="4"/>
      <c r="D22" s="4"/>
      <c r="E22" s="4"/>
      <c r="F22" s="4"/>
      <c r="G22" s="4"/>
    </row>
    <row r="23" spans="1:7">
      <c r="A23" s="3" t="s">
        <v>72</v>
      </c>
      <c r="B23" s="4">
        <f>B17</f>
        <v>4136165773.0600004</v>
      </c>
    </row>
    <row r="24" spans="1:7">
      <c r="A24" s="3" t="s">
        <v>73</v>
      </c>
      <c r="B24" s="4">
        <v>4902780950.5699997</v>
      </c>
    </row>
    <row r="26" spans="1:7">
      <c r="A26" t="s">
        <v>7</v>
      </c>
    </row>
    <row r="27" spans="1:7">
      <c r="A27" s="3" t="s">
        <v>42</v>
      </c>
      <c r="B27" s="11">
        <v>1.5319088546000001</v>
      </c>
      <c r="C27" s="11">
        <v>1.5319088546000001</v>
      </c>
      <c r="D27" s="11">
        <v>1.5319088546000001</v>
      </c>
      <c r="E27" s="11">
        <v>1.5319088546000001</v>
      </c>
      <c r="F27" s="11">
        <v>1.5319088546000001</v>
      </c>
      <c r="G27" s="11">
        <v>1.5319088546000001</v>
      </c>
    </row>
    <row r="28" spans="1:7">
      <c r="A28" s="3" t="s">
        <v>75</v>
      </c>
      <c r="B28" s="11">
        <v>1.62</v>
      </c>
      <c r="C28" s="11">
        <v>1.62</v>
      </c>
      <c r="D28" s="11">
        <v>1.62</v>
      </c>
      <c r="E28" s="11">
        <v>1.62</v>
      </c>
      <c r="F28" s="11">
        <v>1.62</v>
      </c>
      <c r="G28" s="11">
        <v>1.62</v>
      </c>
    </row>
    <row r="29" spans="1:7">
      <c r="A29" s="3" t="s">
        <v>8</v>
      </c>
      <c r="B29" s="19" t="s">
        <v>128</v>
      </c>
      <c r="C29" s="19" t="s">
        <v>128</v>
      </c>
      <c r="D29" s="19" t="s">
        <v>128</v>
      </c>
      <c r="E29" s="19" t="s">
        <v>128</v>
      </c>
      <c r="F29" s="19" t="s">
        <v>128</v>
      </c>
      <c r="G29" s="19" t="s">
        <v>128</v>
      </c>
    </row>
    <row r="31" spans="1:7">
      <c r="A31" s="3" t="s">
        <v>9</v>
      </c>
    </row>
    <row r="32" spans="1:7">
      <c r="A32" s="3" t="s">
        <v>43</v>
      </c>
      <c r="B32" s="22">
        <f t="shared" ref="B32:F32" si="1">B16/B27</f>
        <v>1631326556.1041033</v>
      </c>
      <c r="C32" s="22">
        <f t="shared" si="1"/>
        <v>23693913.571298968</v>
      </c>
      <c r="D32" s="22">
        <f>D16/D27</f>
        <v>206332872.41657281</v>
      </c>
      <c r="E32" s="22">
        <f t="shared" si="1"/>
        <v>0</v>
      </c>
      <c r="F32" s="22">
        <f t="shared" si="1"/>
        <v>93053964.778617039</v>
      </c>
      <c r="G32" s="22">
        <f t="shared" ref="G32" si="2">G16/G27</f>
        <v>1308245805.3376148</v>
      </c>
    </row>
    <row r="33" spans="1:7">
      <c r="A33" s="3" t="s">
        <v>76</v>
      </c>
      <c r="B33" s="22">
        <f t="shared" ref="B33:F33" si="3">B18/B28</f>
        <v>2237123061.8888888</v>
      </c>
      <c r="C33" s="22">
        <f t="shared" si="3"/>
        <v>17361041.35802469</v>
      </c>
      <c r="D33" s="22">
        <f>D18/D28</f>
        <v>227061039.84567896</v>
      </c>
      <c r="E33" s="22">
        <f t="shared" si="3"/>
        <v>560090949.07407403</v>
      </c>
      <c r="F33" s="22">
        <f t="shared" si="3"/>
        <v>66128869.44444444</v>
      </c>
      <c r="G33" s="22">
        <f t="shared" ref="G33" si="4">G18/G28</f>
        <v>1366481162.166667</v>
      </c>
    </row>
    <row r="34" spans="1:7">
      <c r="A34" s="3" t="s">
        <v>44</v>
      </c>
      <c r="B34" s="14">
        <f>B32/B10</f>
        <v>458323.62505266059</v>
      </c>
      <c r="C34" s="14">
        <f t="shared" ref="C34:F34" si="5">C32/C10</f>
        <v>21390.833798945801</v>
      </c>
      <c r="D34" s="14">
        <f>D32/D10</f>
        <v>104737.49868861564</v>
      </c>
      <c r="E34" s="14" t="e">
        <f>E32/E10</f>
        <v>#DIV/0!</v>
      </c>
      <c r="F34" s="14">
        <f t="shared" si="5"/>
        <v>193191.62237775163</v>
      </c>
      <c r="G34" s="14"/>
    </row>
    <row r="35" spans="1:7">
      <c r="A35" s="3" t="s">
        <v>77</v>
      </c>
      <c r="B35" s="6">
        <f t="shared" ref="B35:F35" si="6">B33/B12</f>
        <v>467170.34565409075</v>
      </c>
      <c r="C35" s="6">
        <f t="shared" si="6"/>
        <v>22276.785318252383</v>
      </c>
      <c r="D35" s="6">
        <f>D33/D12</f>
        <v>125148.4695089173</v>
      </c>
      <c r="E35" s="6">
        <f t="shared" si="6"/>
        <v>339654.91150641238</v>
      </c>
      <c r="F35" s="6">
        <f t="shared" si="6"/>
        <v>121115.14550264549</v>
      </c>
      <c r="G35" s="6"/>
    </row>
    <row r="37" spans="1:7">
      <c r="A37" s="2" t="s">
        <v>10</v>
      </c>
    </row>
    <row r="39" spans="1:7">
      <c r="A39" t="s">
        <v>11</v>
      </c>
    </row>
    <row r="40" spans="1:7">
      <c r="A40" t="s">
        <v>12</v>
      </c>
      <c r="B40" s="24" t="s">
        <v>120</v>
      </c>
      <c r="C40" s="24" t="s">
        <v>120</v>
      </c>
      <c r="D40" s="24" t="s">
        <v>120</v>
      </c>
      <c r="E40" s="24" t="s">
        <v>120</v>
      </c>
      <c r="F40" s="24" t="s">
        <v>120</v>
      </c>
      <c r="G40" s="24" t="s">
        <v>120</v>
      </c>
    </row>
    <row r="41" spans="1:7">
      <c r="A41" t="s">
        <v>13</v>
      </c>
      <c r="B41" s="24" t="s">
        <v>120</v>
      </c>
      <c r="C41" s="24" t="s">
        <v>120</v>
      </c>
      <c r="D41" s="24" t="s">
        <v>120</v>
      </c>
      <c r="E41" s="24" t="s">
        <v>120</v>
      </c>
      <c r="F41" s="24" t="s">
        <v>120</v>
      </c>
      <c r="G41" s="24" t="s">
        <v>120</v>
      </c>
    </row>
    <row r="43" spans="1:7">
      <c r="A43" t="s">
        <v>14</v>
      </c>
    </row>
    <row r="44" spans="1:7">
      <c r="A44" t="s">
        <v>15</v>
      </c>
      <c r="B44" s="7">
        <f>B12/B11*100</f>
        <v>97.887707822294885</v>
      </c>
      <c r="C44" s="7">
        <f t="shared" ref="C44:F44" si="7">C12/C11*100</f>
        <v>103.22295805739515</v>
      </c>
      <c r="D44" s="7">
        <f t="shared" ref="D44" si="8">D12/D11*100</f>
        <v>108.44789798764694</v>
      </c>
      <c r="E44" s="7">
        <f t="shared" si="7"/>
        <v>100.24316109422493</v>
      </c>
      <c r="F44" s="7">
        <f t="shared" si="7"/>
        <v>66.666666666666657</v>
      </c>
      <c r="G44" s="7"/>
    </row>
    <row r="45" spans="1:7">
      <c r="A45" t="s">
        <v>16</v>
      </c>
      <c r="B45" s="7">
        <f>B18/B17*100</f>
        <v>87.620747308171971</v>
      </c>
      <c r="C45" s="7">
        <f t="shared" ref="C45:G45" si="9">C18/C17*100</f>
        <v>106.98967903033905</v>
      </c>
      <c r="D45" s="7">
        <f t="shared" ref="D45" si="10">D18/D17*100</f>
        <v>119.72075932510629</v>
      </c>
      <c r="E45" s="7">
        <f t="shared" si="9"/>
        <v>118.32544829519433</v>
      </c>
      <c r="F45" s="7">
        <f t="shared" si="9"/>
        <v>71.224593197710078</v>
      </c>
      <c r="G45" s="7">
        <f t="shared" si="9"/>
        <v>76.720777017539831</v>
      </c>
    </row>
    <row r="46" spans="1:7">
      <c r="A46" t="s">
        <v>17</v>
      </c>
      <c r="B46" s="7">
        <f>AVERAGE(B44:B45)</f>
        <v>92.754227565233435</v>
      </c>
      <c r="C46" s="7">
        <f t="shared" ref="C46:F46" si="11">AVERAGE(C44:C45)</f>
        <v>105.1063185438671</v>
      </c>
      <c r="D46" s="7">
        <f t="shared" ref="D46" si="12">AVERAGE(D44:D45)</f>
        <v>114.08432865637661</v>
      </c>
      <c r="E46" s="7">
        <f t="shared" si="11"/>
        <v>109.28430469470963</v>
      </c>
      <c r="F46" s="7">
        <f t="shared" si="11"/>
        <v>68.945629932188368</v>
      </c>
      <c r="G46" s="7"/>
    </row>
    <row r="47" spans="1:7">
      <c r="B47" s="7"/>
      <c r="C47" s="7"/>
      <c r="D47" s="7"/>
      <c r="E47" s="7"/>
      <c r="F47" s="7"/>
      <c r="G47" s="7"/>
    </row>
    <row r="48" spans="1:7">
      <c r="A48" t="s">
        <v>18</v>
      </c>
    </row>
    <row r="49" spans="1:7">
      <c r="A49" t="s">
        <v>19</v>
      </c>
      <c r="B49" s="7">
        <f>B12/(B13*4)*100</f>
        <v>24.471926955573721</v>
      </c>
      <c r="C49" s="7">
        <f t="shared" ref="C49:F49" si="13">C12/(C13*4)*100</f>
        <v>25.805739514348787</v>
      </c>
      <c r="D49" s="7">
        <f t="shared" si="13"/>
        <v>27.111974496911735</v>
      </c>
      <c r="E49" s="7">
        <f t="shared" si="13"/>
        <v>25.060790273556233</v>
      </c>
      <c r="F49" s="7">
        <f t="shared" si="13"/>
        <v>16.666666666666664</v>
      </c>
      <c r="G49" s="7"/>
    </row>
    <row r="50" spans="1:7">
      <c r="A50" t="s">
        <v>20</v>
      </c>
      <c r="B50" s="7">
        <f>B18/B19*100</f>
        <v>21.378500752249394</v>
      </c>
      <c r="C50" s="7">
        <f t="shared" ref="C50:G50" si="14">C18/C19*100</f>
        <v>26.747419757584762</v>
      </c>
      <c r="D50" s="7">
        <f>D18/D19*100</f>
        <v>29.930189831276582</v>
      </c>
      <c r="E50" s="7">
        <f t="shared" si="14"/>
        <v>47.79023768318897</v>
      </c>
      <c r="F50" s="7">
        <f t="shared" si="14"/>
        <v>17.806148299427523</v>
      </c>
      <c r="G50" s="7">
        <f t="shared" si="14"/>
        <v>16.875437576941145</v>
      </c>
    </row>
    <row r="51" spans="1:7">
      <c r="A51" t="s">
        <v>21</v>
      </c>
      <c r="B51" s="7">
        <f>(B49+B50)/2</f>
        <v>22.925213853911558</v>
      </c>
      <c r="C51" s="7">
        <f t="shared" ref="C51:F51" si="15">(C49+C50)/2</f>
        <v>26.276579635966776</v>
      </c>
      <c r="D51" s="7">
        <f>(D49+D50)/2</f>
        <v>28.52108216409416</v>
      </c>
      <c r="E51" s="7">
        <f t="shared" si="15"/>
        <v>36.425513978372599</v>
      </c>
      <c r="F51" s="7">
        <f t="shared" si="15"/>
        <v>17.236407483047095</v>
      </c>
      <c r="G51" s="7"/>
    </row>
    <row r="53" spans="1:7">
      <c r="A53" t="s">
        <v>35</v>
      </c>
    </row>
    <row r="54" spans="1:7">
      <c r="A54" t="s">
        <v>22</v>
      </c>
      <c r="B54" s="7">
        <f t="shared" ref="B54" si="16">B20/B18*100</f>
        <v>38.917926087941972</v>
      </c>
      <c r="C54" s="7"/>
      <c r="D54" s="7"/>
      <c r="E54" s="7"/>
      <c r="F54" s="7"/>
      <c r="G54" s="7"/>
    </row>
    <row r="56" spans="1:7">
      <c r="A56" t="s">
        <v>23</v>
      </c>
    </row>
    <row r="57" spans="1:7">
      <c r="A57" t="s">
        <v>24</v>
      </c>
      <c r="B57" s="7">
        <f>((B12/B10)-1)*100</f>
        <v>34.53830305300616</v>
      </c>
      <c r="C57" s="7">
        <f t="shared" ref="C57:F57" si="17">((C12/C10)-1)*100</f>
        <v>-29.641889858561544</v>
      </c>
      <c r="D57" s="7">
        <f>((D12/D10)-1)*100</f>
        <v>-7.9018612521150615</v>
      </c>
      <c r="E57" s="7" t="e">
        <f t="shared" si="17"/>
        <v>#DIV/0!</v>
      </c>
      <c r="F57" s="7">
        <f t="shared" si="17"/>
        <v>13.35640138408305</v>
      </c>
      <c r="G57" s="7"/>
    </row>
    <row r="58" spans="1:7">
      <c r="A58" t="s">
        <v>25</v>
      </c>
      <c r="B58" s="7">
        <f>((B33/B32)-1)*100</f>
        <v>37.13520775579935</v>
      </c>
      <c r="C58" s="7">
        <f t="shared" ref="C58:G58" si="18">(((C18/C27)/C16)-1)*100</f>
        <v>-49.418915890097118</v>
      </c>
      <c r="D58" s="7">
        <f>(((D18/D27)/D16)-1)*100</f>
        <v>-24.033282702338354</v>
      </c>
      <c r="E58" s="7" t="e">
        <f t="shared" si="18"/>
        <v>#DIV/0!</v>
      </c>
      <c r="F58" s="7">
        <f t="shared" si="18"/>
        <v>-50.942503940742668</v>
      </c>
      <c r="G58" s="7">
        <f t="shared" si="18"/>
        <v>-27.895319008109709</v>
      </c>
    </row>
    <row r="59" spans="1:7">
      <c r="A59" t="s">
        <v>26</v>
      </c>
      <c r="B59" s="7">
        <f t="shared" ref="B59:F59" si="19">((B35/B34)-1)*100</f>
        <v>1.9302344714204223</v>
      </c>
      <c r="C59" s="7">
        <f t="shared" si="19"/>
        <v>4.1417343878864754</v>
      </c>
      <c r="D59" s="7">
        <f t="shared" si="19"/>
        <v>19.48773942080042</v>
      </c>
      <c r="E59" s="7" t="e">
        <f t="shared" si="19"/>
        <v>#DIV/0!</v>
      </c>
      <c r="F59" s="7">
        <f t="shared" si="19"/>
        <v>-37.308282827178438</v>
      </c>
      <c r="G59" s="7"/>
    </row>
    <row r="60" spans="1:7">
      <c r="B60" s="8"/>
      <c r="C60" s="8"/>
      <c r="D60" s="8"/>
      <c r="E60" s="8"/>
      <c r="F60" s="8"/>
      <c r="G60" s="8"/>
    </row>
    <row r="61" spans="1:7">
      <c r="A61" t="s">
        <v>27</v>
      </c>
    </row>
    <row r="62" spans="1:7">
      <c r="A62" t="s">
        <v>28</v>
      </c>
      <c r="B62" s="4">
        <f>B17/(B11*3)</f>
        <v>281831.95510084496</v>
      </c>
      <c r="C62" s="4">
        <f t="shared" ref="C62:F63" si="20">C17/(C11*3)</f>
        <v>11605.95</v>
      </c>
      <c r="D62" s="4">
        <f t="shared" si="20"/>
        <v>61216.85</v>
      </c>
      <c r="E62" s="4">
        <f t="shared" si="20"/>
        <v>155384.70000000001</v>
      </c>
      <c r="F62" s="4">
        <f t="shared" si="20"/>
        <v>61216.85</v>
      </c>
      <c r="G62" s="4"/>
    </row>
    <row r="63" spans="1:7">
      <c r="A63" t="s">
        <v>29</v>
      </c>
      <c r="B63" s="4">
        <f>B18/(B12*3)</f>
        <v>252271.98665320902</v>
      </c>
      <c r="C63" s="4">
        <f t="shared" si="20"/>
        <v>12029.464071856288</v>
      </c>
      <c r="D63" s="4">
        <f t="shared" si="20"/>
        <v>67580.173534815345</v>
      </c>
      <c r="E63" s="4">
        <f t="shared" si="20"/>
        <v>183413.65221346272</v>
      </c>
      <c r="F63" s="4">
        <f t="shared" si="20"/>
        <v>65402.178571428572</v>
      </c>
      <c r="G63" s="4"/>
    </row>
    <row r="64" spans="1:7">
      <c r="A64" t="s">
        <v>30</v>
      </c>
      <c r="B64" s="4">
        <f>(B62/B63)*B46</f>
        <v>103.62270359615412</v>
      </c>
      <c r="C64" s="4">
        <f t="shared" ref="C64:F64" si="21">(C62/C63)*C46</f>
        <v>101.40590390540615</v>
      </c>
      <c r="D64" s="4">
        <f>(D62/D63)*D46</f>
        <v>103.34219149511675</v>
      </c>
      <c r="E64" s="4">
        <f t="shared" si="21"/>
        <v>92.583669180377512</v>
      </c>
      <c r="F64" s="4">
        <f t="shared" si="21"/>
        <v>64.533542733668213</v>
      </c>
      <c r="G64" s="4"/>
    </row>
    <row r="65" spans="1:7">
      <c r="A65" t="s">
        <v>110</v>
      </c>
      <c r="B65" s="4">
        <f>B17/B11</f>
        <v>845495.86530253489</v>
      </c>
      <c r="C65" s="4">
        <f t="shared" ref="C65:F66" si="22">C17/C11</f>
        <v>34817.85</v>
      </c>
      <c r="D65" s="4">
        <f t="shared" si="22"/>
        <v>183650.55</v>
      </c>
      <c r="E65" s="4">
        <f t="shared" si="22"/>
        <v>466154.10000000009</v>
      </c>
      <c r="F65" s="4">
        <f t="shared" si="22"/>
        <v>183650.55</v>
      </c>
      <c r="G65" s="4"/>
    </row>
    <row r="66" spans="1:7">
      <c r="A66" t="s">
        <v>111</v>
      </c>
      <c r="B66" s="4">
        <f>B18/B12</f>
        <v>756815.95995962701</v>
      </c>
      <c r="C66" s="4">
        <f t="shared" si="22"/>
        <v>36088.392215568863</v>
      </c>
      <c r="D66" s="4">
        <f t="shared" si="22"/>
        <v>202740.52060444606</v>
      </c>
      <c r="E66" s="4">
        <f t="shared" si="22"/>
        <v>550240.95664038812</v>
      </c>
      <c r="F66" s="4">
        <f t="shared" si="22"/>
        <v>196206.53571428571</v>
      </c>
      <c r="G66" s="4"/>
    </row>
    <row r="67" spans="1:7">
      <c r="B67" s="7"/>
      <c r="C67" s="7"/>
      <c r="D67" s="7"/>
      <c r="E67" s="7"/>
      <c r="F67" s="7"/>
      <c r="G67" s="7"/>
    </row>
    <row r="68" spans="1:7">
      <c r="A68" t="s">
        <v>31</v>
      </c>
      <c r="B68" s="7"/>
      <c r="C68" s="7"/>
      <c r="D68" s="7"/>
      <c r="E68" s="7"/>
      <c r="F68" s="7"/>
      <c r="G68" s="7"/>
    </row>
    <row r="69" spans="1:7">
      <c r="A69" t="s">
        <v>32</v>
      </c>
      <c r="B69" s="8">
        <f>(B24/B23)*100</f>
        <v>118.53444033851778</v>
      </c>
      <c r="C69" s="7"/>
      <c r="D69" s="7"/>
      <c r="E69" s="7"/>
      <c r="F69" s="7"/>
      <c r="G69" s="7"/>
    </row>
    <row r="70" spans="1:7">
      <c r="A70" t="s">
        <v>33</v>
      </c>
      <c r="B70" s="8">
        <f>(B18/B24)*100</f>
        <v>73.920075092048648</v>
      </c>
      <c r="C70" s="7"/>
      <c r="D70" s="7"/>
      <c r="E70" s="7"/>
      <c r="F70" s="7"/>
      <c r="G70" s="7"/>
    </row>
    <row r="71" spans="1:7" ht="15.75" thickBot="1">
      <c r="A71" s="9"/>
      <c r="B71" s="9"/>
      <c r="C71" s="9"/>
      <c r="D71" s="9"/>
      <c r="E71" s="9"/>
      <c r="F71" s="9"/>
      <c r="G71" s="9"/>
    </row>
    <row r="72" spans="1:7" ht="15.75" thickTop="1"/>
    <row r="73" spans="1:7">
      <c r="A73" s="12" t="s">
        <v>34</v>
      </c>
    </row>
    <row r="74" spans="1:7">
      <c r="A74" t="s">
        <v>122</v>
      </c>
    </row>
    <row r="75" spans="1:7">
      <c r="A75" t="s">
        <v>123</v>
      </c>
      <c r="B75" s="10"/>
      <c r="C75" s="10"/>
      <c r="D75" s="10"/>
      <c r="E75" s="10"/>
    </row>
    <row r="76" spans="1:7">
      <c r="A76" t="s">
        <v>124</v>
      </c>
    </row>
    <row r="79" spans="1:7">
      <c r="A79" t="s">
        <v>36</v>
      </c>
    </row>
    <row r="80" spans="1:7">
      <c r="A80" s="20" t="s">
        <v>127</v>
      </c>
    </row>
    <row r="81" spans="1:1">
      <c r="A81" s="20"/>
    </row>
    <row r="82" spans="1:1">
      <c r="A82" s="20"/>
    </row>
    <row r="84" spans="1:1">
      <c r="A84" s="20" t="s">
        <v>129</v>
      </c>
    </row>
  </sheetData>
  <mergeCells count="5">
    <mergeCell ref="A4:A5"/>
    <mergeCell ref="B4:B5"/>
    <mergeCell ref="A2:G2"/>
    <mergeCell ref="C4:F4"/>
    <mergeCell ref="G4:G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G84"/>
  <sheetViews>
    <sheetView topLeftCell="A40" workbookViewId="0">
      <selection activeCell="E63" sqref="E63"/>
    </sheetView>
  </sheetViews>
  <sheetFormatPr baseColWidth="10" defaultColWidth="11.42578125" defaultRowHeight="15"/>
  <cols>
    <col min="1" max="1" width="55.140625" customWidth="1"/>
    <col min="2" max="2" width="16.85546875" bestFit="1" customWidth="1"/>
    <col min="3" max="3" width="16.5703125" bestFit="1" customWidth="1"/>
    <col min="4" max="4" width="16.42578125" customWidth="1"/>
    <col min="5" max="5" width="15.42578125" bestFit="1" customWidth="1"/>
    <col min="6" max="6" width="15.28515625" customWidth="1"/>
    <col min="7" max="7" width="14.140625" customWidth="1"/>
  </cols>
  <sheetData>
    <row r="2" spans="1:7" ht="15.75">
      <c r="A2" s="32" t="s">
        <v>114</v>
      </c>
      <c r="B2" s="32"/>
      <c r="C2" s="32"/>
      <c r="D2" s="32"/>
      <c r="E2" s="32"/>
      <c r="F2" s="32"/>
      <c r="G2" s="32"/>
    </row>
    <row r="4" spans="1:7">
      <c r="A4" s="28" t="s">
        <v>0</v>
      </c>
      <c r="B4" s="30" t="s">
        <v>1</v>
      </c>
      <c r="C4" s="33" t="s">
        <v>2</v>
      </c>
      <c r="D4" s="33"/>
      <c r="E4" s="33"/>
      <c r="F4" s="33"/>
      <c r="G4" s="28" t="s">
        <v>130</v>
      </c>
    </row>
    <row r="5" spans="1:7" ht="15.75" thickBot="1">
      <c r="A5" s="29"/>
      <c r="B5" s="31"/>
      <c r="C5" s="1" t="s">
        <v>117</v>
      </c>
      <c r="D5" s="1" t="s">
        <v>118</v>
      </c>
      <c r="E5" s="1" t="s">
        <v>125</v>
      </c>
      <c r="F5" s="1" t="s">
        <v>119</v>
      </c>
      <c r="G5" s="29"/>
    </row>
    <row r="6" spans="1:7" ht="15.75" thickTop="1"/>
    <row r="7" spans="1:7">
      <c r="A7" s="2" t="s">
        <v>3</v>
      </c>
    </row>
    <row r="9" spans="1:7">
      <c r="A9" t="s">
        <v>4</v>
      </c>
    </row>
    <row r="10" spans="1:7">
      <c r="A10" s="3" t="s">
        <v>45</v>
      </c>
      <c r="B10" s="4">
        <f>SUM(C10:G10)</f>
        <v>3002.9999999999995</v>
      </c>
      <c r="C10" s="4">
        <v>703</v>
      </c>
      <c r="D10" s="13">
        <v>1650.3333333333333</v>
      </c>
      <c r="E10" s="4">
        <v>0</v>
      </c>
      <c r="F10" s="4">
        <v>649.66666666666663</v>
      </c>
      <c r="G10" s="4"/>
    </row>
    <row r="11" spans="1:7">
      <c r="A11" s="3" t="s">
        <v>78</v>
      </c>
      <c r="B11" s="4">
        <f>SUM(C11:G11)</f>
        <v>4048</v>
      </c>
      <c r="C11" s="4">
        <v>755</v>
      </c>
      <c r="D11" s="13">
        <v>1673</v>
      </c>
      <c r="E11" s="13">
        <v>801</v>
      </c>
      <c r="F11" s="4">
        <v>819</v>
      </c>
      <c r="G11" s="4"/>
    </row>
    <row r="12" spans="1:7">
      <c r="A12" s="3" t="s">
        <v>79</v>
      </c>
      <c r="B12" s="4">
        <f>SUM(C12:G12)</f>
        <v>4876.666666666667</v>
      </c>
      <c r="C12" s="4">
        <v>736.33333333333337</v>
      </c>
      <c r="D12" s="13">
        <v>1587</v>
      </c>
      <c r="E12" s="13">
        <v>1764.6666666666667</v>
      </c>
      <c r="F12" s="4">
        <v>788.66666666666663</v>
      </c>
      <c r="G12" s="4"/>
    </row>
    <row r="13" spans="1:7">
      <c r="A13" s="3" t="s">
        <v>67</v>
      </c>
      <c r="B13" s="4">
        <f>SUM(C13:G13)</f>
        <v>4283</v>
      </c>
      <c r="C13" s="4">
        <v>755</v>
      </c>
      <c r="D13" s="13">
        <v>1673</v>
      </c>
      <c r="E13" s="13">
        <v>1036</v>
      </c>
      <c r="F13" s="4">
        <v>819</v>
      </c>
      <c r="G13" s="4"/>
    </row>
    <row r="15" spans="1:7">
      <c r="A15" s="5" t="s">
        <v>5</v>
      </c>
    </row>
    <row r="16" spans="1:7">
      <c r="A16" s="3" t="s">
        <v>45</v>
      </c>
      <c r="B16" s="4">
        <f>SUM(C16:G16)</f>
        <v>3036835914.7200003</v>
      </c>
      <c r="C16" s="4">
        <v>23463789.25</v>
      </c>
      <c r="D16" s="13">
        <v>306861905.75</v>
      </c>
      <c r="E16" s="4">
        <v>513578107.99000001</v>
      </c>
      <c r="F16" s="4">
        <v>117455835.25</v>
      </c>
      <c r="G16" s="4">
        <v>2075476276.48</v>
      </c>
    </row>
    <row r="17" spans="1:7">
      <c r="A17" s="3" t="s">
        <v>78</v>
      </c>
      <c r="B17" s="4">
        <f>SUM(C17:G17)</f>
        <v>3881091082.4075003</v>
      </c>
      <c r="C17" s="4">
        <v>26287476.75</v>
      </c>
      <c r="D17" s="13">
        <v>307247370</v>
      </c>
      <c r="E17" s="4">
        <v>374748215</v>
      </c>
      <c r="F17" s="4">
        <v>150409800.44999999</v>
      </c>
      <c r="G17" s="4">
        <v>3022398220.2075</v>
      </c>
    </row>
    <row r="18" spans="1:7">
      <c r="A18" s="3" t="s">
        <v>79</v>
      </c>
      <c r="B18" s="4">
        <f>SUM(C18:G18)</f>
        <v>2909444090</v>
      </c>
      <c r="C18" s="4">
        <v>25585093</v>
      </c>
      <c r="D18" s="13">
        <v>306560705</v>
      </c>
      <c r="E18" s="4">
        <v>69055079</v>
      </c>
      <c r="F18" s="4">
        <v>150715713</v>
      </c>
      <c r="G18" s="4">
        <v>2357527500</v>
      </c>
    </row>
    <row r="19" spans="1:7">
      <c r="A19" s="3" t="s">
        <v>67</v>
      </c>
      <c r="B19" s="4">
        <f>SUM(C19:G19)</f>
        <v>17282426589.830002</v>
      </c>
      <c r="C19" s="6">
        <v>105149907</v>
      </c>
      <c r="D19" s="13">
        <v>1228989481</v>
      </c>
      <c r="E19" s="4">
        <v>1937768996</v>
      </c>
      <c r="F19" s="6">
        <v>601639202</v>
      </c>
      <c r="G19" s="4">
        <v>13408879003.83</v>
      </c>
    </row>
    <row r="20" spans="1:7">
      <c r="A20" s="3" t="s">
        <v>80</v>
      </c>
      <c r="B20" s="4">
        <f>SUM(C20:F20)</f>
        <v>551916590</v>
      </c>
      <c r="C20" s="14">
        <f>C18</f>
        <v>25585093</v>
      </c>
      <c r="D20" s="14">
        <f t="shared" ref="D20:F20" si="0">D18</f>
        <v>306560705</v>
      </c>
      <c r="E20" s="14">
        <f t="shared" si="0"/>
        <v>69055079</v>
      </c>
      <c r="F20" s="14">
        <f t="shared" si="0"/>
        <v>150715713</v>
      </c>
      <c r="G20" s="14"/>
    </row>
    <row r="21" spans="1:7">
      <c r="B21" s="4"/>
      <c r="C21" s="4"/>
      <c r="D21" s="4"/>
      <c r="E21" s="4"/>
      <c r="F21" s="4"/>
      <c r="G21" s="4"/>
    </row>
    <row r="22" spans="1:7">
      <c r="A22" s="3" t="s">
        <v>6</v>
      </c>
      <c r="B22" s="4"/>
      <c r="C22" s="4"/>
      <c r="D22" s="4"/>
      <c r="E22" s="4"/>
      <c r="F22" s="4"/>
      <c r="G22" s="4"/>
    </row>
    <row r="23" spans="1:7">
      <c r="A23" s="3" t="s">
        <v>78</v>
      </c>
      <c r="B23" s="13">
        <f>B17</f>
        <v>3881091082.4075003</v>
      </c>
    </row>
    <row r="24" spans="1:7">
      <c r="A24" s="3" t="s">
        <v>79</v>
      </c>
      <c r="B24" s="13">
        <v>4028221423.48</v>
      </c>
    </row>
    <row r="26" spans="1:7">
      <c r="A26" t="s">
        <v>7</v>
      </c>
    </row>
    <row r="27" spans="1:7">
      <c r="A27" s="3" t="s">
        <v>46</v>
      </c>
      <c r="B27" s="15">
        <v>1.5377000000000001</v>
      </c>
      <c r="C27" s="15">
        <v>1.5377000000000001</v>
      </c>
      <c r="D27" s="15">
        <v>1.5377000000000001</v>
      </c>
      <c r="E27" s="15">
        <v>1.5377000000000001</v>
      </c>
      <c r="F27" s="15">
        <v>1.5377000000000001</v>
      </c>
      <c r="G27" s="15">
        <v>1.5377000000000001</v>
      </c>
    </row>
    <row r="28" spans="1:7">
      <c r="A28" s="3" t="s">
        <v>81</v>
      </c>
      <c r="B28" s="15">
        <v>1.6242666666666665</v>
      </c>
      <c r="C28" s="15">
        <v>1.6242666666666665</v>
      </c>
      <c r="D28" s="15">
        <v>1.6242666666666665</v>
      </c>
      <c r="E28" s="15">
        <v>1.6242666666666665</v>
      </c>
      <c r="F28" s="15">
        <v>1.6242666666666665</v>
      </c>
      <c r="G28" s="15">
        <v>1.6242666666666665</v>
      </c>
    </row>
    <row r="29" spans="1:7">
      <c r="A29" s="3" t="s">
        <v>8</v>
      </c>
      <c r="B29" s="19" t="s">
        <v>128</v>
      </c>
      <c r="C29" s="19" t="s">
        <v>128</v>
      </c>
      <c r="D29" s="19" t="s">
        <v>128</v>
      </c>
      <c r="E29" s="19" t="s">
        <v>128</v>
      </c>
      <c r="F29" s="19" t="s">
        <v>128</v>
      </c>
      <c r="G29" s="19" t="s">
        <v>128</v>
      </c>
    </row>
    <row r="31" spans="1:7">
      <c r="A31" s="3" t="s">
        <v>9</v>
      </c>
    </row>
    <row r="32" spans="1:7">
      <c r="A32" s="3" t="s">
        <v>47</v>
      </c>
      <c r="B32" s="22">
        <f>B16/B27</f>
        <v>1974920930.4285622</v>
      </c>
      <c r="C32" s="22">
        <f t="shared" ref="C32:F32" si="1">C16/C27</f>
        <v>15259016.225531638</v>
      </c>
      <c r="D32" s="22">
        <f>D16/D27</f>
        <v>199559020.45262405</v>
      </c>
      <c r="E32" s="22">
        <f t="shared" si="1"/>
        <v>333991095.785914</v>
      </c>
      <c r="F32" s="22">
        <f t="shared" si="1"/>
        <v>76384103.043506533</v>
      </c>
      <c r="G32" s="22">
        <f t="shared" ref="G32" si="2">G16/G27</f>
        <v>1349727694.9209859</v>
      </c>
    </row>
    <row r="33" spans="1:7">
      <c r="A33" s="3" t="s">
        <v>82</v>
      </c>
      <c r="B33" s="22">
        <f>B18/B28</f>
        <v>1791235484.7315714</v>
      </c>
      <c r="C33" s="22">
        <f t="shared" ref="C33:F33" si="3">C18/C28</f>
        <v>15751781.11147595</v>
      </c>
      <c r="D33" s="22">
        <f>D18/D28</f>
        <v>188737915.57215565</v>
      </c>
      <c r="E33" s="22">
        <f t="shared" si="3"/>
        <v>42514619.31538336</v>
      </c>
      <c r="F33" s="22">
        <f t="shared" si="3"/>
        <v>92790005.540962085</v>
      </c>
      <c r="G33" s="22">
        <f t="shared" ref="G33" si="4">G18/G28</f>
        <v>1451441163.1915944</v>
      </c>
    </row>
    <row r="34" spans="1:7">
      <c r="A34" s="3" t="s">
        <v>48</v>
      </c>
      <c r="B34" s="14">
        <f t="shared" ref="B34:F34" si="5">B32/B10</f>
        <v>657649.32748203876</v>
      </c>
      <c r="C34" s="14">
        <f t="shared" si="5"/>
        <v>21705.570733330922</v>
      </c>
      <c r="D34" s="14">
        <f t="shared" si="5"/>
        <v>120920.43251017414</v>
      </c>
      <c r="E34" s="14" t="e">
        <f t="shared" si="5"/>
        <v>#DIV/0!</v>
      </c>
      <c r="F34" s="14">
        <f t="shared" si="5"/>
        <v>117574.2991947253</v>
      </c>
      <c r="G34" s="14"/>
    </row>
    <row r="35" spans="1:7">
      <c r="A35" s="3" t="s">
        <v>83</v>
      </c>
      <c r="B35" s="6">
        <f>B33/B12</f>
        <v>367307.34478432767</v>
      </c>
      <c r="C35" s="6">
        <f t="shared" ref="C35:F35" si="6">C33/C12</f>
        <v>21392.188019206813</v>
      </c>
      <c r="D35" s="6">
        <f>D33/D12</f>
        <v>118927.48303223419</v>
      </c>
      <c r="E35" s="6">
        <f t="shared" si="6"/>
        <v>24092.152993228196</v>
      </c>
      <c r="F35" s="6">
        <f t="shared" si="6"/>
        <v>117654.27583384881</v>
      </c>
      <c r="G35" s="6"/>
    </row>
    <row r="37" spans="1:7">
      <c r="A37" s="2" t="s">
        <v>10</v>
      </c>
    </row>
    <row r="39" spans="1:7">
      <c r="A39" t="s">
        <v>11</v>
      </c>
    </row>
    <row r="40" spans="1:7">
      <c r="A40" t="s">
        <v>12</v>
      </c>
      <c r="B40" s="24" t="s">
        <v>120</v>
      </c>
      <c r="C40" s="24" t="s">
        <v>120</v>
      </c>
      <c r="D40" s="24" t="s">
        <v>120</v>
      </c>
      <c r="E40" s="24" t="s">
        <v>120</v>
      </c>
      <c r="F40" s="24" t="s">
        <v>120</v>
      </c>
      <c r="G40" s="24" t="s">
        <v>120</v>
      </c>
    </row>
    <row r="41" spans="1:7">
      <c r="A41" t="s">
        <v>13</v>
      </c>
      <c r="B41" s="24" t="s">
        <v>120</v>
      </c>
      <c r="C41" s="24" t="s">
        <v>120</v>
      </c>
      <c r="D41" s="24" t="s">
        <v>120</v>
      </c>
      <c r="E41" s="24" t="s">
        <v>120</v>
      </c>
      <c r="F41" s="24" t="s">
        <v>120</v>
      </c>
      <c r="G41" s="24" t="s">
        <v>120</v>
      </c>
    </row>
    <row r="43" spans="1:7">
      <c r="A43" t="s">
        <v>14</v>
      </c>
    </row>
    <row r="44" spans="1:7">
      <c r="A44" t="s">
        <v>15</v>
      </c>
      <c r="B44" s="7">
        <f>B12/B11*100</f>
        <v>120.47101449275364</v>
      </c>
      <c r="C44" s="7">
        <f t="shared" ref="C44:F44" si="7">C12/C11*100</f>
        <v>97.527593818984542</v>
      </c>
      <c r="D44" s="7">
        <f t="shared" ref="D44" si="8">D12/D11*100</f>
        <v>94.859533771667657</v>
      </c>
      <c r="E44" s="7">
        <f t="shared" si="7"/>
        <v>220.30794839783601</v>
      </c>
      <c r="F44" s="7">
        <f t="shared" si="7"/>
        <v>96.296296296296291</v>
      </c>
      <c r="G44" s="7"/>
    </row>
    <row r="45" spans="1:7">
      <c r="A45" t="s">
        <v>16</v>
      </c>
      <c r="B45" s="7">
        <f>B18/B17*100</f>
        <v>74.964591869233516</v>
      </c>
      <c r="C45" s="7">
        <f t="shared" ref="C45:G45" si="9">C18/C17*100</f>
        <v>97.32806706143829</v>
      </c>
      <c r="D45" s="7">
        <f t="shared" ref="D45" si="10">D18/D17*100</f>
        <v>99.776510698854807</v>
      </c>
      <c r="E45" s="7">
        <f t="shared" si="9"/>
        <v>18.427060152908268</v>
      </c>
      <c r="F45" s="7">
        <f t="shared" si="9"/>
        <v>100.20338604870477</v>
      </c>
      <c r="G45" s="7">
        <f t="shared" si="9"/>
        <v>78.001882221798894</v>
      </c>
    </row>
    <row r="46" spans="1:7">
      <c r="A46" t="s">
        <v>17</v>
      </c>
      <c r="B46" s="7">
        <f>AVERAGE(B44:B45)</f>
        <v>97.71780318099357</v>
      </c>
      <c r="C46" s="7">
        <f t="shared" ref="C46:F46" si="11">AVERAGE(C44:C45)</f>
        <v>97.427830440211409</v>
      </c>
      <c r="D46" s="7">
        <f t="shared" ref="D46" si="12">AVERAGE(D44:D45)</f>
        <v>97.318022235261225</v>
      </c>
      <c r="E46" s="7">
        <f t="shared" si="11"/>
        <v>119.36750427537214</v>
      </c>
      <c r="F46" s="7">
        <f t="shared" si="11"/>
        <v>98.249841172500538</v>
      </c>
      <c r="G46" s="7"/>
    </row>
    <row r="47" spans="1:7">
      <c r="B47" s="7"/>
      <c r="C47" s="7"/>
      <c r="D47" s="7"/>
      <c r="E47" s="7"/>
      <c r="F47" s="7"/>
      <c r="G47" s="7"/>
    </row>
    <row r="48" spans="1:7">
      <c r="A48" t="s">
        <v>18</v>
      </c>
    </row>
    <row r="49" spans="1:7">
      <c r="A49" t="s">
        <v>19</v>
      </c>
      <c r="B49" s="7">
        <f>B12/(B13*4)*100</f>
        <v>28.46525021402444</v>
      </c>
      <c r="C49" s="7">
        <f t="shared" ref="C49:F49" si="13">C12/(C13*4)*100</f>
        <v>24.381898454746135</v>
      </c>
      <c r="D49" s="7">
        <f t="shared" si="13"/>
        <v>23.714883442916914</v>
      </c>
      <c r="E49" s="7">
        <f t="shared" si="13"/>
        <v>42.583655083655088</v>
      </c>
      <c r="F49" s="7">
        <f t="shared" si="13"/>
        <v>24.074074074074073</v>
      </c>
      <c r="G49" s="7"/>
    </row>
    <row r="50" spans="1:7">
      <c r="A50" t="s">
        <v>20</v>
      </c>
      <c r="B50" s="7">
        <f>B18/B19*100</f>
        <v>16.834696649092599</v>
      </c>
      <c r="C50" s="7">
        <f t="shared" ref="C50:G50" si="14">C18/C19*100</f>
        <v>24.332016765359572</v>
      </c>
      <c r="D50" s="7">
        <f>D18/D19*100</f>
        <v>24.944127654417247</v>
      </c>
      <c r="E50" s="7">
        <f t="shared" si="14"/>
        <v>3.5636383460848813</v>
      </c>
      <c r="F50" s="7">
        <f t="shared" si="14"/>
        <v>25.050846503848661</v>
      </c>
      <c r="G50" s="7">
        <f t="shared" si="14"/>
        <v>17.581838864580817</v>
      </c>
    </row>
    <row r="51" spans="1:7">
      <c r="A51" t="s">
        <v>21</v>
      </c>
      <c r="B51" s="7">
        <f>(B49+B50)/2</f>
        <v>22.649973431558521</v>
      </c>
      <c r="C51" s="7">
        <f t="shared" ref="C51:F51" si="15">(C49+C50)/2</f>
        <v>24.356957610052852</v>
      </c>
      <c r="D51" s="7">
        <f>(D49+D50)/2</f>
        <v>24.329505548667079</v>
      </c>
      <c r="E51" s="7">
        <f t="shared" si="15"/>
        <v>23.073646714869984</v>
      </c>
      <c r="F51" s="7">
        <f t="shared" si="15"/>
        <v>24.562460288961368</v>
      </c>
      <c r="G51" s="7"/>
    </row>
    <row r="53" spans="1:7">
      <c r="A53" t="s">
        <v>35</v>
      </c>
    </row>
    <row r="54" spans="1:7">
      <c r="A54" t="s">
        <v>22</v>
      </c>
      <c r="B54" s="7">
        <f t="shared" ref="B54" si="16">B20/B18*100</f>
        <v>18.969829731287259</v>
      </c>
      <c r="C54" s="7"/>
      <c r="D54" s="7"/>
      <c r="E54" s="7"/>
      <c r="F54" s="7"/>
      <c r="G54" s="7"/>
    </row>
    <row r="56" spans="1:7">
      <c r="A56" t="s">
        <v>23</v>
      </c>
    </row>
    <row r="57" spans="1:7">
      <c r="A57" t="s">
        <v>24</v>
      </c>
      <c r="B57" s="7">
        <f>((B12/B10)-1)*100</f>
        <v>62.393162393162442</v>
      </c>
      <c r="C57" s="7">
        <f t="shared" ref="C57:F57" si="17">((C12/C10)-1)*100</f>
        <v>4.7415836889521223</v>
      </c>
      <c r="D57" s="7">
        <f>((D12/D10)-1)*100</f>
        <v>-3.8376085639264756</v>
      </c>
      <c r="E57" s="7" t="e">
        <f t="shared" si="17"/>
        <v>#DIV/0!</v>
      </c>
      <c r="F57" s="7">
        <f t="shared" si="17"/>
        <v>21.39558748075936</v>
      </c>
      <c r="G57" s="7"/>
    </row>
    <row r="58" spans="1:7">
      <c r="A58" t="s">
        <v>25</v>
      </c>
      <c r="B58" s="7">
        <f>((B33/B32)-1)*100</f>
        <v>-9.300901259734518</v>
      </c>
      <c r="C58" s="7">
        <f t="shared" ref="C58:G58" si="18">(((C18/C27)/C16)-1)*100</f>
        <v>-29.088407872856202</v>
      </c>
      <c r="D58" s="7">
        <f>(((D18/D27)/D16)-1)*100</f>
        <v>-35.031641507105562</v>
      </c>
      <c r="E58" s="7">
        <f t="shared" si="18"/>
        <v>-91.255851811710613</v>
      </c>
      <c r="F58" s="7">
        <f t="shared" si="18"/>
        <v>-16.552694008046743</v>
      </c>
      <c r="G58" s="7">
        <f t="shared" si="18"/>
        <v>-26.130122396105591</v>
      </c>
    </row>
    <row r="59" spans="1:7">
      <c r="A59" t="s">
        <v>26</v>
      </c>
      <c r="B59" s="7">
        <f t="shared" ref="B59:F59" si="19">((B35/B34)-1)*100</f>
        <v>-44.148449723099695</v>
      </c>
      <c r="C59" s="7">
        <f t="shared" si="19"/>
        <v>-1.4437893293581139</v>
      </c>
      <c r="D59" s="7">
        <f t="shared" si="19"/>
        <v>-1.64814947860219</v>
      </c>
      <c r="E59" s="7" t="e">
        <f t="shared" si="19"/>
        <v>#DIV/0!</v>
      </c>
      <c r="F59" s="7">
        <f t="shared" si="19"/>
        <v>6.8022212057616827E-2</v>
      </c>
      <c r="G59" s="7"/>
    </row>
    <row r="60" spans="1:7">
      <c r="B60" s="8"/>
      <c r="C60" s="8"/>
      <c r="D60" s="8"/>
      <c r="E60" s="8"/>
      <c r="F60" s="8"/>
      <c r="G60" s="8"/>
    </row>
    <row r="61" spans="1:7">
      <c r="A61" t="s">
        <v>27</v>
      </c>
    </row>
    <row r="62" spans="1:7">
      <c r="A62" t="s">
        <v>28</v>
      </c>
      <c r="B62" s="4">
        <f>B17/(B11*3)</f>
        <v>319589.18662775861</v>
      </c>
      <c r="C62" s="4">
        <f t="shared" ref="C62:F63" si="20">C17/(C11*3)</f>
        <v>11605.95</v>
      </c>
      <c r="D62" s="4">
        <f t="shared" si="20"/>
        <v>61216.849970113566</v>
      </c>
      <c r="E62" s="4">
        <f t="shared" si="20"/>
        <v>155950.15189346651</v>
      </c>
      <c r="F62" s="4">
        <f t="shared" si="20"/>
        <v>61216.85</v>
      </c>
      <c r="G62" s="4"/>
    </row>
    <row r="63" spans="1:7">
      <c r="A63" t="s">
        <v>29</v>
      </c>
      <c r="B63" s="4">
        <f>B18/(B12*3)</f>
        <v>198868.35885167465</v>
      </c>
      <c r="C63" s="4">
        <f t="shared" si="20"/>
        <v>11582.205975554549</v>
      </c>
      <c r="D63" s="4">
        <f t="shared" si="20"/>
        <v>64389.982146607857</v>
      </c>
      <c r="E63" s="4">
        <f t="shared" si="20"/>
        <v>13044.027011711371</v>
      </c>
      <c r="F63" s="4">
        <f t="shared" si="20"/>
        <v>63700.639475908705</v>
      </c>
      <c r="G63" s="4"/>
    </row>
    <row r="64" spans="1:7">
      <c r="A64" t="s">
        <v>30</v>
      </c>
      <c r="B64" s="4">
        <f>(B62/B63)*B46</f>
        <v>157.03630993886566</v>
      </c>
      <c r="C64" s="4">
        <f t="shared" ref="C64:F64" si="21">(C62/C63)*C46</f>
        <v>97.627561717009826</v>
      </c>
      <c r="D64" s="4">
        <f>(D62/D63)*D46</f>
        <v>92.522199384986337</v>
      </c>
      <c r="E64" s="4">
        <f t="shared" si="21"/>
        <v>1427.1191255717868</v>
      </c>
      <c r="F64" s="4">
        <f t="shared" si="21"/>
        <v>94.418923248886131</v>
      </c>
      <c r="G64" s="4"/>
    </row>
    <row r="65" spans="1:7">
      <c r="A65" t="s">
        <v>110</v>
      </c>
      <c r="B65" s="4">
        <f>B17/B11</f>
        <v>958767.55988327577</v>
      </c>
      <c r="C65" s="4">
        <f t="shared" ref="C65:F66" si="22">C17/C11</f>
        <v>34817.85</v>
      </c>
      <c r="D65" s="4">
        <f t="shared" si="22"/>
        <v>183650.54991034069</v>
      </c>
      <c r="E65" s="4">
        <f t="shared" si="22"/>
        <v>467850.45568039949</v>
      </c>
      <c r="F65" s="4">
        <f t="shared" si="22"/>
        <v>183650.55</v>
      </c>
      <c r="G65" s="4"/>
    </row>
    <row r="66" spans="1:7">
      <c r="A66" t="s">
        <v>111</v>
      </c>
      <c r="B66" s="4">
        <f>B18/B12</f>
        <v>596605.0765550239</v>
      </c>
      <c r="C66" s="4">
        <f t="shared" si="22"/>
        <v>34746.617926663646</v>
      </c>
      <c r="D66" s="4">
        <f t="shared" si="22"/>
        <v>193169.94643982357</v>
      </c>
      <c r="E66" s="4">
        <f t="shared" si="22"/>
        <v>39132.081035134113</v>
      </c>
      <c r="F66" s="4">
        <f t="shared" si="22"/>
        <v>191101.91842772614</v>
      </c>
      <c r="G66" s="4"/>
    </row>
    <row r="67" spans="1:7">
      <c r="B67" s="7"/>
      <c r="C67" s="7"/>
      <c r="D67" s="7"/>
      <c r="E67" s="7"/>
      <c r="F67" s="7"/>
      <c r="G67" s="7"/>
    </row>
    <row r="68" spans="1:7">
      <c r="A68" t="s">
        <v>31</v>
      </c>
      <c r="B68" s="7"/>
      <c r="C68" s="7"/>
      <c r="D68" s="7"/>
      <c r="E68" s="7"/>
      <c r="F68" s="7"/>
      <c r="G68" s="7"/>
    </row>
    <row r="69" spans="1:7">
      <c r="A69" t="s">
        <v>32</v>
      </c>
      <c r="B69" s="8">
        <f>(B24/B23)*100</f>
        <v>103.79095305800534</v>
      </c>
      <c r="C69" s="7"/>
      <c r="D69" s="7"/>
      <c r="E69" s="7"/>
      <c r="F69" s="7"/>
      <c r="G69" s="7"/>
    </row>
    <row r="70" spans="1:7">
      <c r="A70" t="s">
        <v>33</v>
      </c>
      <c r="B70" s="8">
        <f>(B18/B24)*100</f>
        <v>72.226518459020483</v>
      </c>
      <c r="C70" s="7"/>
      <c r="D70" s="7"/>
      <c r="E70" s="7"/>
      <c r="F70" s="7"/>
      <c r="G70" s="7"/>
    </row>
    <row r="71" spans="1:7" ht="15.75" thickBot="1">
      <c r="A71" s="9"/>
      <c r="B71" s="9"/>
      <c r="C71" s="9"/>
      <c r="D71" s="9"/>
      <c r="E71" s="9"/>
      <c r="F71" s="9"/>
      <c r="G71" s="9"/>
    </row>
    <row r="72" spans="1:7" ht="15.75" thickTop="1"/>
    <row r="73" spans="1:7">
      <c r="A73" s="12" t="s">
        <v>34</v>
      </c>
    </row>
    <row r="74" spans="1:7">
      <c r="A74" t="s">
        <v>122</v>
      </c>
    </row>
    <row r="75" spans="1:7">
      <c r="A75" t="s">
        <v>123</v>
      </c>
      <c r="B75" s="10"/>
      <c r="C75" s="10"/>
      <c r="D75" s="10"/>
      <c r="E75" s="10"/>
    </row>
    <row r="76" spans="1:7">
      <c r="A76" t="s">
        <v>124</v>
      </c>
    </row>
    <row r="79" spans="1:7">
      <c r="A79" t="s">
        <v>36</v>
      </c>
    </row>
    <row r="80" spans="1:7">
      <c r="A80" s="20" t="s">
        <v>127</v>
      </c>
    </row>
    <row r="81" spans="1:1">
      <c r="A81" s="20"/>
    </row>
    <row r="82" spans="1:1">
      <c r="A82" s="20"/>
    </row>
    <row r="84" spans="1:1">
      <c r="A84" s="20" t="s">
        <v>129</v>
      </c>
    </row>
  </sheetData>
  <mergeCells count="5">
    <mergeCell ref="A4:A5"/>
    <mergeCell ref="B4:B5"/>
    <mergeCell ref="A2:G2"/>
    <mergeCell ref="C4:F4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G84"/>
  <sheetViews>
    <sheetView workbookViewId="0">
      <selection activeCell="B10" sqref="B10"/>
    </sheetView>
  </sheetViews>
  <sheetFormatPr baseColWidth="10" defaultColWidth="11.42578125" defaultRowHeight="15"/>
  <cols>
    <col min="1" max="1" width="55.140625" customWidth="1"/>
    <col min="2" max="2" width="16.85546875" bestFit="1" customWidth="1"/>
    <col min="3" max="3" width="16.5703125" bestFit="1" customWidth="1"/>
    <col min="4" max="4" width="16.42578125" customWidth="1"/>
    <col min="5" max="5" width="15.42578125" bestFit="1" customWidth="1"/>
    <col min="6" max="7" width="15.28515625" customWidth="1"/>
  </cols>
  <sheetData>
    <row r="2" spans="1:7" ht="15.75">
      <c r="A2" s="32" t="s">
        <v>115</v>
      </c>
      <c r="B2" s="32"/>
      <c r="C2" s="32"/>
      <c r="D2" s="32"/>
      <c r="E2" s="32"/>
      <c r="F2" s="32"/>
      <c r="G2" s="32"/>
    </row>
    <row r="4" spans="1:7">
      <c r="A4" s="28" t="s">
        <v>0</v>
      </c>
      <c r="B4" s="30" t="s">
        <v>1</v>
      </c>
      <c r="C4" s="33" t="s">
        <v>2</v>
      </c>
      <c r="D4" s="33"/>
      <c r="E4" s="33"/>
      <c r="F4" s="33"/>
      <c r="G4" s="28" t="s">
        <v>130</v>
      </c>
    </row>
    <row r="5" spans="1:7" ht="15.75" thickBot="1">
      <c r="A5" s="29"/>
      <c r="B5" s="31"/>
      <c r="C5" s="1" t="s">
        <v>117</v>
      </c>
      <c r="D5" s="1" t="s">
        <v>118</v>
      </c>
      <c r="E5" s="1" t="s">
        <v>125</v>
      </c>
      <c r="F5" s="1" t="s">
        <v>119</v>
      </c>
      <c r="G5" s="29"/>
    </row>
    <row r="6" spans="1:7" ht="15.75" thickTop="1"/>
    <row r="7" spans="1:7">
      <c r="A7" s="2" t="s">
        <v>3</v>
      </c>
    </row>
    <row r="9" spans="1:7">
      <c r="A9" t="s">
        <v>4</v>
      </c>
    </row>
    <row r="10" spans="1:7">
      <c r="A10" s="3" t="s">
        <v>49</v>
      </c>
      <c r="B10" s="13">
        <f>SUM(C10:G10)</f>
        <v>4753.6666666666661</v>
      </c>
      <c r="C10" s="4">
        <v>775.33333333333337</v>
      </c>
      <c r="D10" s="13">
        <v>1889.6666666666667</v>
      </c>
      <c r="E10" s="4">
        <v>1661.3333333333333</v>
      </c>
      <c r="F10" s="4">
        <v>427.33333333333331</v>
      </c>
      <c r="G10" s="4"/>
    </row>
    <row r="11" spans="1:7">
      <c r="A11" s="3" t="s">
        <v>84</v>
      </c>
      <c r="B11" s="13">
        <f>SUM(C11:G11)</f>
        <v>5339</v>
      </c>
      <c r="C11" s="4">
        <v>755</v>
      </c>
      <c r="D11" s="13">
        <v>1673</v>
      </c>
      <c r="E11" s="4">
        <v>2092</v>
      </c>
      <c r="F11" s="4">
        <v>819</v>
      </c>
      <c r="G11" s="4"/>
    </row>
    <row r="12" spans="1:7">
      <c r="A12" s="3" t="s">
        <v>85</v>
      </c>
      <c r="B12" s="13">
        <f>SUM(C12:G12)</f>
        <v>4959.666666666667</v>
      </c>
      <c r="C12" s="4">
        <v>778.33333333333337</v>
      </c>
      <c r="D12" s="13">
        <v>1669.6666666666667</v>
      </c>
      <c r="E12" s="4">
        <v>1693.6666666666667</v>
      </c>
      <c r="F12" s="4">
        <v>818</v>
      </c>
      <c r="G12" s="4"/>
    </row>
    <row r="13" spans="1:7">
      <c r="A13" s="3" t="s">
        <v>67</v>
      </c>
      <c r="B13" s="13">
        <f>SUM(C13:G13)</f>
        <v>4455</v>
      </c>
      <c r="C13" s="4">
        <v>755</v>
      </c>
      <c r="D13" s="13">
        <v>1673</v>
      </c>
      <c r="E13" s="13">
        <v>1208</v>
      </c>
      <c r="F13" s="4">
        <v>819</v>
      </c>
      <c r="G13" s="4"/>
    </row>
    <row r="15" spans="1:7">
      <c r="A15" s="5" t="s">
        <v>5</v>
      </c>
    </row>
    <row r="16" spans="1:7">
      <c r="A16" s="3" t="s">
        <v>49</v>
      </c>
      <c r="B16" s="4">
        <f>SUM(C16:G16)</f>
        <v>4629016589.9800005</v>
      </c>
      <c r="C16" s="4">
        <v>28546976.25</v>
      </c>
      <c r="D16" s="13">
        <v>189087761.80000001</v>
      </c>
      <c r="E16" s="4">
        <v>873244510.68000007</v>
      </c>
      <c r="F16" s="4">
        <v>188440455.96000001</v>
      </c>
      <c r="G16" s="4">
        <v>3349696885.2900004</v>
      </c>
    </row>
    <row r="17" spans="1:7">
      <c r="A17" s="3" t="s">
        <v>84</v>
      </c>
      <c r="B17" s="4">
        <f>SUM(C17:G17)</f>
        <v>4048643162.4000001</v>
      </c>
      <c r="C17" s="4">
        <v>26287476.75</v>
      </c>
      <c r="D17" s="13">
        <v>307247370</v>
      </c>
      <c r="E17" s="4">
        <v>215951679.19999999</v>
      </c>
      <c r="F17" s="4">
        <v>150409800.44999999</v>
      </c>
      <c r="G17" s="4">
        <v>3348746836</v>
      </c>
    </row>
    <row r="18" spans="1:7">
      <c r="A18" s="3" t="s">
        <v>85</v>
      </c>
      <c r="B18" s="4">
        <f>SUM(C18:G18)</f>
        <v>3819995611.79</v>
      </c>
      <c r="C18" s="4">
        <v>27379883</v>
      </c>
      <c r="D18" s="13">
        <v>325505221.5</v>
      </c>
      <c r="E18" s="4">
        <f>69836294+196416618</f>
        <v>266252912</v>
      </c>
      <c r="F18" s="4">
        <v>158267161.75</v>
      </c>
      <c r="G18" s="4">
        <v>3042590433.54</v>
      </c>
    </row>
    <row r="19" spans="1:7">
      <c r="A19" s="3" t="s">
        <v>67</v>
      </c>
      <c r="B19" s="4">
        <f>SUM(C19:G19)</f>
        <v>16047915976.997499</v>
      </c>
      <c r="C19" s="6">
        <v>105149907</v>
      </c>
      <c r="D19" s="13">
        <v>1228989481</v>
      </c>
      <c r="E19" s="4">
        <f>1964200268+160146618</f>
        <v>2124346886</v>
      </c>
      <c r="F19" s="6">
        <v>601639202</v>
      </c>
      <c r="G19" s="4">
        <v>11987790500.997499</v>
      </c>
    </row>
    <row r="20" spans="1:7">
      <c r="A20" s="3" t="s">
        <v>86</v>
      </c>
      <c r="B20" s="4">
        <f>SUM(C20:F20)</f>
        <v>777405178.25</v>
      </c>
      <c r="C20" s="14">
        <f>C18</f>
        <v>27379883</v>
      </c>
      <c r="D20" s="14">
        <f t="shared" ref="D20:F20" si="0">D18</f>
        <v>325505221.5</v>
      </c>
      <c r="E20" s="14">
        <f t="shared" si="0"/>
        <v>266252912</v>
      </c>
      <c r="F20" s="14">
        <f t="shared" si="0"/>
        <v>158267161.75</v>
      </c>
      <c r="G20" s="14"/>
    </row>
    <row r="21" spans="1:7">
      <c r="B21" s="4"/>
      <c r="C21" s="4"/>
      <c r="D21" s="4"/>
      <c r="E21" s="4"/>
      <c r="F21" s="4"/>
      <c r="G21" s="4"/>
    </row>
    <row r="22" spans="1:7">
      <c r="A22" s="3" t="s">
        <v>6</v>
      </c>
      <c r="B22" s="4"/>
      <c r="C22" s="4"/>
      <c r="D22" s="4"/>
      <c r="E22" s="4"/>
      <c r="F22" s="4"/>
      <c r="G22" s="4"/>
    </row>
    <row r="23" spans="1:7">
      <c r="A23" s="3" t="s">
        <v>84</v>
      </c>
      <c r="B23" s="13">
        <f>B17</f>
        <v>4048643162.4000001</v>
      </c>
    </row>
    <row r="24" spans="1:7">
      <c r="A24" s="3" t="s">
        <v>85</v>
      </c>
      <c r="B24" s="13">
        <v>4524028812.6300001</v>
      </c>
    </row>
    <row r="26" spans="1:7">
      <c r="A26" t="s">
        <v>7</v>
      </c>
    </row>
    <row r="27" spans="1:7">
      <c r="A27" s="3" t="s">
        <v>50</v>
      </c>
      <c r="B27" s="15">
        <v>1.56</v>
      </c>
      <c r="C27" s="15">
        <v>1.56</v>
      </c>
      <c r="D27" s="15">
        <v>1.56</v>
      </c>
      <c r="E27" s="15">
        <v>1.56</v>
      </c>
      <c r="F27" s="15">
        <v>1.56</v>
      </c>
      <c r="G27" s="15">
        <v>1.56</v>
      </c>
    </row>
    <row r="28" spans="1:7">
      <c r="A28" s="3" t="s">
        <v>87</v>
      </c>
      <c r="B28" s="15">
        <v>1.6181333333333334</v>
      </c>
      <c r="C28" s="15">
        <v>1.6181333333333334</v>
      </c>
      <c r="D28" s="15">
        <v>1.6181333333333334</v>
      </c>
      <c r="E28" s="15">
        <v>1.6181333333333334</v>
      </c>
      <c r="F28" s="15">
        <v>1.6181333333333334</v>
      </c>
      <c r="G28" s="15">
        <v>1.6181333333333334</v>
      </c>
    </row>
    <row r="29" spans="1:7">
      <c r="A29" s="3" t="s">
        <v>8</v>
      </c>
      <c r="B29" s="19" t="s">
        <v>128</v>
      </c>
      <c r="C29" s="19" t="s">
        <v>128</v>
      </c>
      <c r="D29" s="19" t="s">
        <v>128</v>
      </c>
      <c r="E29" s="19" t="s">
        <v>128</v>
      </c>
      <c r="F29" s="19" t="s">
        <v>128</v>
      </c>
      <c r="G29" s="19" t="s">
        <v>128</v>
      </c>
    </row>
    <row r="31" spans="1:7">
      <c r="A31" s="3" t="s">
        <v>9</v>
      </c>
    </row>
    <row r="32" spans="1:7">
      <c r="A32" s="3" t="s">
        <v>51</v>
      </c>
      <c r="B32" s="22">
        <f>B16/B27</f>
        <v>2967318326.9102569</v>
      </c>
      <c r="C32" s="22">
        <f t="shared" ref="C32:F32" si="1">C16/C27</f>
        <v>18299343.75</v>
      </c>
      <c r="D32" s="22">
        <f>D16/D27</f>
        <v>121210103.71794872</v>
      </c>
      <c r="E32" s="22">
        <f t="shared" si="1"/>
        <v>559772122.23076928</v>
      </c>
      <c r="F32" s="22">
        <f t="shared" si="1"/>
        <v>120795164.07692307</v>
      </c>
      <c r="G32" s="22">
        <f t="shared" ref="G32" si="2">G16/G27</f>
        <v>2147241593.1346157</v>
      </c>
    </row>
    <row r="33" spans="1:7">
      <c r="A33" s="3" t="s">
        <v>88</v>
      </c>
      <c r="B33" s="22">
        <f>B18/B28</f>
        <v>2360742179.3362722</v>
      </c>
      <c r="C33" s="22">
        <f t="shared" ref="C33:F33" si="3">C18/C28</f>
        <v>16920659.401779827</v>
      </c>
      <c r="D33" s="22">
        <f>D18/D28</f>
        <v>201160939.45698747</v>
      </c>
      <c r="E33" s="22">
        <f t="shared" si="3"/>
        <v>164543246.53922215</v>
      </c>
      <c r="F33" s="22">
        <f t="shared" si="3"/>
        <v>97808479.987228081</v>
      </c>
      <c r="G33" s="22">
        <f t="shared" ref="G33" si="4">G18/G28</f>
        <v>1880308853.9510546</v>
      </c>
    </row>
    <row r="34" spans="1:7">
      <c r="A34" s="3" t="s">
        <v>52</v>
      </c>
      <c r="B34" s="14">
        <f>B32/B10</f>
        <v>624216.74361761252</v>
      </c>
      <c r="C34" s="14">
        <f t="shared" ref="C34:F34" si="5">C32/C10</f>
        <v>23601.905094582973</v>
      </c>
      <c r="D34" s="14">
        <f>D32/D10</f>
        <v>64143.642821281734</v>
      </c>
      <c r="E34" s="14">
        <f t="shared" si="5"/>
        <v>336941.48609396227</v>
      </c>
      <c r="F34" s="14">
        <f t="shared" si="5"/>
        <v>282671.99081963277</v>
      </c>
      <c r="G34" s="14"/>
    </row>
    <row r="35" spans="1:7">
      <c r="A35" s="3" t="s">
        <v>89</v>
      </c>
      <c r="B35" s="6">
        <f>B33/B12</f>
        <v>475988.07298936864</v>
      </c>
      <c r="C35" s="6">
        <f t="shared" ref="C35:F35" si="6">C33/C12</f>
        <v>21739.605227126114</v>
      </c>
      <c r="D35" s="6">
        <f>D33/D12</f>
        <v>120479.70021380762</v>
      </c>
      <c r="E35" s="6">
        <f t="shared" si="6"/>
        <v>97152.084160139028</v>
      </c>
      <c r="F35" s="6">
        <f t="shared" si="6"/>
        <v>119570.26893304166</v>
      </c>
      <c r="G35" s="6"/>
    </row>
    <row r="37" spans="1:7">
      <c r="A37" s="2" t="s">
        <v>10</v>
      </c>
    </row>
    <row r="39" spans="1:7">
      <c r="A39" t="s">
        <v>11</v>
      </c>
    </row>
    <row r="40" spans="1:7">
      <c r="A40" t="s">
        <v>12</v>
      </c>
      <c r="B40" s="24" t="s">
        <v>120</v>
      </c>
      <c r="C40" s="24" t="s">
        <v>120</v>
      </c>
      <c r="D40" s="24" t="s">
        <v>120</v>
      </c>
      <c r="E40" s="24" t="s">
        <v>120</v>
      </c>
      <c r="F40" s="24" t="s">
        <v>120</v>
      </c>
      <c r="G40" s="24"/>
    </row>
    <row r="41" spans="1:7">
      <c r="A41" t="s">
        <v>13</v>
      </c>
      <c r="B41" s="24" t="s">
        <v>120</v>
      </c>
      <c r="C41" s="24" t="s">
        <v>120</v>
      </c>
      <c r="D41" s="24" t="s">
        <v>120</v>
      </c>
      <c r="E41" s="24" t="s">
        <v>120</v>
      </c>
      <c r="F41" s="24" t="s">
        <v>120</v>
      </c>
      <c r="G41" s="24"/>
    </row>
    <row r="43" spans="1:7">
      <c r="A43" t="s">
        <v>14</v>
      </c>
    </row>
    <row r="44" spans="1:7">
      <c r="A44" t="s">
        <v>15</v>
      </c>
      <c r="B44" s="7">
        <f>B12/B11*100</f>
        <v>92.895049010426419</v>
      </c>
      <c r="C44" s="7">
        <f t="shared" ref="C44:F44" si="7">C12/C11*100</f>
        <v>103.09050772626934</v>
      </c>
      <c r="D44" s="7">
        <f t="shared" ref="D44" si="8">D12/D11*100</f>
        <v>99.800757122932865</v>
      </c>
      <c r="E44" s="7">
        <f t="shared" si="7"/>
        <v>80.959209687699172</v>
      </c>
      <c r="F44" s="7">
        <f t="shared" si="7"/>
        <v>99.877899877899878</v>
      </c>
      <c r="G44" s="7"/>
    </row>
    <row r="45" spans="1:7">
      <c r="A45" t="s">
        <v>16</v>
      </c>
      <c r="B45" s="7">
        <f>B18/B17*100</f>
        <v>94.352489428224644</v>
      </c>
      <c r="C45" s="7">
        <f t="shared" ref="C45:G45" si="9">C18/C17*100</f>
        <v>104.15561470729592</v>
      </c>
      <c r="D45" s="7">
        <f t="shared" ref="D45" si="10">D18/D17*100</f>
        <v>105.94239472253253</v>
      </c>
      <c r="E45" s="7">
        <f t="shared" si="9"/>
        <v>123.29281855382767</v>
      </c>
      <c r="F45" s="7">
        <f t="shared" si="9"/>
        <v>105.22396896777482</v>
      </c>
      <c r="G45" s="7">
        <f t="shared" si="9"/>
        <v>90.857582927179507</v>
      </c>
    </row>
    <row r="46" spans="1:7">
      <c r="A46" t="s">
        <v>17</v>
      </c>
      <c r="B46" s="7">
        <f>AVERAGE(B44:B45)</f>
        <v>93.623769219325538</v>
      </c>
      <c r="C46" s="7">
        <f t="shared" ref="C46:F46" si="11">AVERAGE(C44:C45)</f>
        <v>103.62306121678263</v>
      </c>
      <c r="D46" s="7">
        <f t="shared" ref="D46" si="12">AVERAGE(D44:D45)</f>
        <v>102.87157592273269</v>
      </c>
      <c r="E46" s="7">
        <f t="shared" si="11"/>
        <v>102.12601412076341</v>
      </c>
      <c r="F46" s="7">
        <f t="shared" si="11"/>
        <v>102.55093442283734</v>
      </c>
      <c r="G46" s="7"/>
    </row>
    <row r="47" spans="1:7">
      <c r="B47" s="7"/>
      <c r="C47" s="7"/>
      <c r="D47" s="7"/>
      <c r="E47" s="7"/>
      <c r="F47" s="7"/>
      <c r="G47" s="7"/>
    </row>
    <row r="48" spans="1:7">
      <c r="A48" t="s">
        <v>18</v>
      </c>
    </row>
    <row r="49" spans="1:7">
      <c r="A49" t="s">
        <v>19</v>
      </c>
      <c r="B49" s="7">
        <f>B12/(B13*4)*100</f>
        <v>27.832023943135052</v>
      </c>
      <c r="C49" s="7">
        <f t="shared" ref="C49:F49" si="13">C12/(C13*4)*100</f>
        <v>25.772626931567334</v>
      </c>
      <c r="D49" s="7">
        <f t="shared" si="13"/>
        <v>24.950189280733216</v>
      </c>
      <c r="E49" s="7">
        <f t="shared" si="13"/>
        <v>35.051048565121413</v>
      </c>
      <c r="F49" s="7">
        <f t="shared" si="13"/>
        <v>24.96947496947497</v>
      </c>
      <c r="G49" s="7"/>
    </row>
    <row r="50" spans="1:7">
      <c r="A50" t="s">
        <v>20</v>
      </c>
      <c r="B50" s="7">
        <f>B18/B19*100</f>
        <v>23.803686517710108</v>
      </c>
      <c r="C50" s="7">
        <f t="shared" ref="C50:G50" si="14">C18/C19*100</f>
        <v>26.038903676823981</v>
      </c>
      <c r="D50" s="7">
        <f>D18/D19*100</f>
        <v>26.48559865908242</v>
      </c>
      <c r="E50" s="7">
        <f t="shared" si="14"/>
        <v>12.533400912754697</v>
      </c>
      <c r="F50" s="7">
        <f t="shared" si="14"/>
        <v>26.305992233198928</v>
      </c>
      <c r="G50" s="7">
        <f t="shared" si="14"/>
        <v>25.380744127008452</v>
      </c>
    </row>
    <row r="51" spans="1:7">
      <c r="A51" t="s">
        <v>21</v>
      </c>
      <c r="B51" s="7">
        <f>(B49+B50)/2</f>
        <v>25.81785523042258</v>
      </c>
      <c r="C51" s="7">
        <f t="shared" ref="C51:F51" si="15">(C49+C50)/2</f>
        <v>25.905765304195658</v>
      </c>
      <c r="D51" s="7">
        <f>(D49+D50)/2</f>
        <v>25.71789396990782</v>
      </c>
      <c r="E51" s="7">
        <f t="shared" si="15"/>
        <v>23.792224738938053</v>
      </c>
      <c r="F51" s="7">
        <f t="shared" si="15"/>
        <v>25.637733601336947</v>
      </c>
      <c r="G51" s="7"/>
    </row>
    <row r="53" spans="1:7">
      <c r="A53" t="s">
        <v>35</v>
      </c>
    </row>
    <row r="54" spans="1:7">
      <c r="A54" t="s">
        <v>22</v>
      </c>
      <c r="B54" s="7">
        <f t="shared" ref="B54" si="16">B20/B18*100</f>
        <v>20.350944274664183</v>
      </c>
      <c r="C54" s="7"/>
      <c r="D54" s="7"/>
      <c r="E54" s="7"/>
      <c r="F54" s="7"/>
      <c r="G54" s="7"/>
    </row>
    <row r="56" spans="1:7">
      <c r="A56" t="s">
        <v>23</v>
      </c>
    </row>
    <row r="57" spans="1:7">
      <c r="A57" t="s">
        <v>24</v>
      </c>
      <c r="B57" s="7">
        <f>((B12/B10)-1)*100</f>
        <v>4.333496949723048</v>
      </c>
      <c r="C57" s="7">
        <f t="shared" ref="C57:F57" si="17">((C12/C10)-1)*100</f>
        <v>0.38693035253654084</v>
      </c>
      <c r="D57" s="7">
        <f>((D12/D10)-1)*100</f>
        <v>-11.642264949726577</v>
      </c>
      <c r="E57" s="7">
        <f t="shared" si="17"/>
        <v>1.9462279293740004</v>
      </c>
      <c r="F57" s="7">
        <f t="shared" si="17"/>
        <v>91.41965678627146</v>
      </c>
      <c r="G57" s="7"/>
    </row>
    <row r="58" spans="1:7">
      <c r="A58" t="s">
        <v>25</v>
      </c>
      <c r="B58" s="7">
        <f>((B33/B32)-1)*100</f>
        <v>-20.44189671438409</v>
      </c>
      <c r="C58" s="7">
        <f t="shared" ref="C58:G58" si="18">(((C18/C27)/C16)-1)*100</f>
        <v>-38.518157238169657</v>
      </c>
      <c r="D58" s="7">
        <f>(((D18/D27)/D16)-1)*100</f>
        <v>10.349390824102889</v>
      </c>
      <c r="E58" s="7">
        <f t="shared" si="18"/>
        <v>-80.455079705357875</v>
      </c>
      <c r="F58" s="7">
        <f t="shared" si="18"/>
        <v>-46.161609354395793</v>
      </c>
      <c r="G58" s="7">
        <f t="shared" si="18"/>
        <v>-41.774478413153282</v>
      </c>
    </row>
    <row r="59" spans="1:7">
      <c r="A59" t="s">
        <v>26</v>
      </c>
      <c r="B59" s="7">
        <f t="shared" ref="B59:F59" si="19">((B35/B34)-1)*100</f>
        <v>-23.746346464401626</v>
      </c>
      <c r="C59" s="7">
        <f t="shared" si="19"/>
        <v>-7.8904641807253428</v>
      </c>
      <c r="D59" s="7">
        <f t="shared" si="19"/>
        <v>87.827966910907307</v>
      </c>
      <c r="E59" s="7">
        <f t="shared" si="19"/>
        <v>-71.166481965047666</v>
      </c>
      <c r="F59" s="7">
        <f t="shared" si="19"/>
        <v>-57.699994050936219</v>
      </c>
      <c r="G59" s="7"/>
    </row>
    <row r="60" spans="1:7">
      <c r="B60" s="8"/>
      <c r="C60" s="8"/>
      <c r="D60" s="8"/>
      <c r="E60" s="8"/>
      <c r="F60" s="8"/>
      <c r="G60" s="8"/>
    </row>
    <row r="61" spans="1:7">
      <c r="A61" t="s">
        <v>27</v>
      </c>
    </row>
    <row r="62" spans="1:7">
      <c r="A62" t="s">
        <v>28</v>
      </c>
      <c r="B62" s="4">
        <f>B17/(B11*3)</f>
        <v>252771.62779546733</v>
      </c>
      <c r="C62" s="4">
        <f t="shared" ref="C62:F63" si="20">C17/(C11*3)</f>
        <v>11605.95</v>
      </c>
      <c r="D62" s="4">
        <f t="shared" si="20"/>
        <v>61216.849970113566</v>
      </c>
      <c r="E62" s="4">
        <f t="shared" si="20"/>
        <v>34409.126704907583</v>
      </c>
      <c r="F62" s="4">
        <f t="shared" si="20"/>
        <v>61216.85</v>
      </c>
      <c r="G62" s="4"/>
    </row>
    <row r="63" spans="1:7">
      <c r="A63" t="s">
        <v>29</v>
      </c>
      <c r="B63" s="4">
        <f>B18/(B12*3)</f>
        <v>256737.38905773236</v>
      </c>
      <c r="C63" s="4">
        <f t="shared" si="20"/>
        <v>11725.859957173447</v>
      </c>
      <c r="D63" s="4">
        <f t="shared" si="20"/>
        <v>64984.072968656415</v>
      </c>
      <c r="E63" s="4">
        <f t="shared" si="20"/>
        <v>52401.675260775439</v>
      </c>
      <c r="F63" s="4">
        <f t="shared" si="20"/>
        <v>64493.545945395272</v>
      </c>
      <c r="G63" s="4"/>
    </row>
    <row r="64" spans="1:7">
      <c r="A64" t="s">
        <v>30</v>
      </c>
      <c r="B64" s="4">
        <f>(B62/B63)*B46</f>
        <v>92.177585168923159</v>
      </c>
      <c r="C64" s="4">
        <f t="shared" ref="C64:F64" si="21">(C62/C63)*C46</f>
        <v>102.56340018739397</v>
      </c>
      <c r="D64" s="4">
        <f>(D62/D63)*D46</f>
        <v>96.90795823906754</v>
      </c>
      <c r="E64" s="4">
        <f t="shared" si="21"/>
        <v>67.06020260346402</v>
      </c>
      <c r="F64" s="4">
        <f t="shared" si="21"/>
        <v>97.340673053361513</v>
      </c>
      <c r="G64" s="4"/>
    </row>
    <row r="65" spans="1:7">
      <c r="A65" t="s">
        <v>110</v>
      </c>
      <c r="B65" s="4">
        <f>B17/B11</f>
        <v>758314.88338640193</v>
      </c>
      <c r="C65" s="4">
        <f t="shared" ref="C65:F66" si="22">C17/C11</f>
        <v>34817.85</v>
      </c>
      <c r="D65" s="4">
        <f t="shared" si="22"/>
        <v>183650.54991034069</v>
      </c>
      <c r="E65" s="4">
        <f t="shared" si="22"/>
        <v>103227.38011472275</v>
      </c>
      <c r="F65" s="4">
        <f t="shared" si="22"/>
        <v>183650.55</v>
      </c>
      <c r="G65" s="4"/>
    </row>
    <row r="66" spans="1:7">
      <c r="A66" t="s">
        <v>111</v>
      </c>
      <c r="B66" s="4">
        <f>B18/B12</f>
        <v>770212.16717319703</v>
      </c>
      <c r="C66" s="4">
        <f t="shared" si="22"/>
        <v>35177.579871520342</v>
      </c>
      <c r="D66" s="4">
        <f t="shared" si="22"/>
        <v>194952.21890596926</v>
      </c>
      <c r="E66" s="4">
        <f t="shared" si="22"/>
        <v>157205.02578232629</v>
      </c>
      <c r="F66" s="4">
        <f t="shared" si="22"/>
        <v>193480.63783618581</v>
      </c>
      <c r="G66" s="4"/>
    </row>
    <row r="67" spans="1:7">
      <c r="B67" s="7"/>
      <c r="C67" s="7"/>
      <c r="D67" s="7"/>
      <c r="E67" s="7"/>
      <c r="F67" s="7"/>
      <c r="G67" s="7"/>
    </row>
    <row r="68" spans="1:7">
      <c r="A68" t="s">
        <v>31</v>
      </c>
      <c r="B68" s="7"/>
      <c r="C68" s="7"/>
      <c r="D68" s="7"/>
      <c r="E68" s="7"/>
      <c r="F68" s="7"/>
      <c r="G68" s="7"/>
    </row>
    <row r="69" spans="1:7">
      <c r="A69" t="s">
        <v>32</v>
      </c>
      <c r="B69" s="8">
        <f>(B24/B23)*100</f>
        <v>111.74185106370787</v>
      </c>
      <c r="C69" s="7"/>
      <c r="D69" s="7"/>
      <c r="E69" s="7"/>
      <c r="F69" s="7"/>
      <c r="G69" s="7"/>
    </row>
    <row r="70" spans="1:7">
      <c r="A70" t="s">
        <v>33</v>
      </c>
      <c r="B70" s="8">
        <f>(B18/B24)*100</f>
        <v>84.437915185807199</v>
      </c>
      <c r="C70" s="7"/>
      <c r="D70" s="7"/>
      <c r="E70" s="7"/>
      <c r="F70" s="7"/>
      <c r="G70" s="7"/>
    </row>
    <row r="71" spans="1:7" ht="15.75" thickBot="1">
      <c r="A71" s="9"/>
      <c r="B71" s="9"/>
      <c r="C71" s="9"/>
      <c r="D71" s="9"/>
      <c r="E71" s="9"/>
      <c r="F71" s="9"/>
      <c r="G71" s="9"/>
    </row>
    <row r="72" spans="1:7" ht="15.75" thickTop="1"/>
    <row r="73" spans="1:7">
      <c r="A73" s="12" t="s">
        <v>34</v>
      </c>
    </row>
    <row r="74" spans="1:7">
      <c r="A74" t="s">
        <v>122</v>
      </c>
    </row>
    <row r="75" spans="1:7">
      <c r="A75" t="s">
        <v>123</v>
      </c>
      <c r="B75" s="10"/>
      <c r="C75" s="10"/>
      <c r="D75" s="10"/>
      <c r="E75" s="10"/>
    </row>
    <row r="76" spans="1:7">
      <c r="A76" t="s">
        <v>124</v>
      </c>
    </row>
    <row r="79" spans="1:7">
      <c r="A79" t="s">
        <v>36</v>
      </c>
    </row>
    <row r="80" spans="1:7">
      <c r="A80" s="20" t="s">
        <v>127</v>
      </c>
    </row>
    <row r="81" spans="1:1">
      <c r="A81" s="20"/>
    </row>
    <row r="82" spans="1:1">
      <c r="A82" s="20" t="s">
        <v>126</v>
      </c>
    </row>
    <row r="84" spans="1:1">
      <c r="A84" s="20" t="s">
        <v>129</v>
      </c>
    </row>
  </sheetData>
  <mergeCells count="5">
    <mergeCell ref="A4:A5"/>
    <mergeCell ref="B4:B5"/>
    <mergeCell ref="A2:G2"/>
    <mergeCell ref="C4:F4"/>
    <mergeCell ref="G4:G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84"/>
  <sheetViews>
    <sheetView workbookViewId="0"/>
  </sheetViews>
  <sheetFormatPr baseColWidth="10" defaultColWidth="11.42578125" defaultRowHeight="15"/>
  <cols>
    <col min="1" max="1" width="55.140625" customWidth="1"/>
    <col min="2" max="2" width="16.85546875" bestFit="1" customWidth="1"/>
    <col min="3" max="3" width="16.5703125" bestFit="1" customWidth="1"/>
    <col min="4" max="4" width="16.42578125" customWidth="1"/>
    <col min="5" max="5" width="16.85546875" bestFit="1" customWidth="1"/>
    <col min="6" max="7" width="15.28515625" customWidth="1"/>
  </cols>
  <sheetData>
    <row r="2" spans="1:7" ht="15.75">
      <c r="A2" s="32" t="s">
        <v>116</v>
      </c>
      <c r="B2" s="32"/>
      <c r="C2" s="32"/>
      <c r="D2" s="32"/>
      <c r="E2" s="32"/>
      <c r="F2" s="32"/>
      <c r="G2" s="32"/>
    </row>
    <row r="4" spans="1:7">
      <c r="A4" s="28" t="s">
        <v>0</v>
      </c>
      <c r="B4" s="34" t="s">
        <v>1</v>
      </c>
      <c r="C4" s="33" t="s">
        <v>2</v>
      </c>
      <c r="D4" s="33"/>
      <c r="E4" s="33"/>
      <c r="F4" s="33"/>
      <c r="G4" s="28" t="s">
        <v>130</v>
      </c>
    </row>
    <row r="5" spans="1:7" ht="15.75" thickBot="1">
      <c r="A5" s="29"/>
      <c r="B5" s="35"/>
      <c r="C5" s="1" t="s">
        <v>117</v>
      </c>
      <c r="D5" s="1" t="s">
        <v>118</v>
      </c>
      <c r="E5" s="1" t="s">
        <v>125</v>
      </c>
      <c r="F5" s="1" t="s">
        <v>119</v>
      </c>
      <c r="G5" s="29"/>
    </row>
    <row r="6" spans="1:7" ht="15.75" thickTop="1"/>
    <row r="7" spans="1:7">
      <c r="A7" s="2" t="s">
        <v>3</v>
      </c>
    </row>
    <row r="9" spans="1:7">
      <c r="A9" t="s">
        <v>4</v>
      </c>
    </row>
    <row r="10" spans="1:7">
      <c r="A10" s="3" t="s">
        <v>53</v>
      </c>
      <c r="B10" s="13">
        <f>SUM(C10:F10)</f>
        <v>3609.8333333333335</v>
      </c>
      <c r="C10" s="13">
        <f>(+'I Trimestre'!C10+'II trimestre'!C10)/2</f>
        <v>693</v>
      </c>
      <c r="D10" s="13">
        <f>(+'I Trimestre'!D10+'II trimestre'!D10)/2</f>
        <v>1768.3333333333335</v>
      </c>
      <c r="E10" s="13">
        <f>(+'I Trimestre'!E10+'II trimestre'!E10)/2</f>
        <v>695</v>
      </c>
      <c r="F10" s="13">
        <f>(+'I Trimestre'!F10+'II trimestre'!F10)/2</f>
        <v>453.5</v>
      </c>
      <c r="G10" s="13"/>
    </row>
    <row r="11" spans="1:7">
      <c r="A11" s="3" t="s">
        <v>90</v>
      </c>
      <c r="B11" s="13">
        <f t="shared" ref="B11:B13" si="0">SUM(C11:F11)</f>
        <v>4892</v>
      </c>
      <c r="C11" s="13">
        <f>(+'I Trimestre'!C11+'II trimestre'!C11)/2</f>
        <v>755</v>
      </c>
      <c r="D11" s="13">
        <f>(+'I Trimestre'!D11+'II trimestre'!D11)/2</f>
        <v>1673</v>
      </c>
      <c r="E11" s="13">
        <f>(+'I Trimestre'!E11+'II trimestre'!E11)/2</f>
        <v>1645</v>
      </c>
      <c r="F11" s="13">
        <f>(+'I Trimestre'!F11+'II trimestre'!F11)/2</f>
        <v>819</v>
      </c>
      <c r="G11" s="13"/>
    </row>
    <row r="12" spans="1:7">
      <c r="A12" s="3" t="s">
        <v>91</v>
      </c>
      <c r="B12" s="13">
        <f t="shared" si="0"/>
        <v>4689.333333333333</v>
      </c>
      <c r="C12" s="13">
        <f>(+'I Trimestre'!C12+'II trimestre'!C12)/2</f>
        <v>735.66666666666674</v>
      </c>
      <c r="D12" s="13">
        <f>(+'I Trimestre'!D12+'II trimestre'!D12)/2</f>
        <v>1654.1666666666665</v>
      </c>
      <c r="E12" s="13">
        <f>(+'I Trimestre'!E12+'II trimestre'!E12)/2</f>
        <v>1727.3333333333335</v>
      </c>
      <c r="F12" s="13">
        <f>(+'I Trimestre'!F12+'II trimestre'!F12)/2</f>
        <v>572.16666666666674</v>
      </c>
      <c r="G12" s="13"/>
    </row>
    <row r="13" spans="1:7">
      <c r="A13" s="3" t="s">
        <v>67</v>
      </c>
      <c r="B13" s="13">
        <f t="shared" si="0"/>
        <v>4892</v>
      </c>
      <c r="C13" s="13">
        <f>+'II trimestre'!C13</f>
        <v>755</v>
      </c>
      <c r="D13" s="13">
        <f>+'II trimestre'!D13</f>
        <v>1673</v>
      </c>
      <c r="E13" s="13">
        <f>+'II trimestre'!E13</f>
        <v>1645</v>
      </c>
      <c r="F13" s="13">
        <f>+'II trimestre'!F13</f>
        <v>819</v>
      </c>
      <c r="G13" s="13"/>
    </row>
    <row r="15" spans="1:7">
      <c r="A15" s="5" t="s">
        <v>5</v>
      </c>
    </row>
    <row r="16" spans="1:7">
      <c r="A16" s="3" t="s">
        <v>53</v>
      </c>
      <c r="B16" s="4">
        <f>SUM(C16:G16)</f>
        <v>6103920572.6900005</v>
      </c>
      <c r="C16" s="13">
        <f>+'I Trimestre'!C16+'II trimestre'!C16</f>
        <v>45987884.25</v>
      </c>
      <c r="D16" s="13">
        <f>+'I Trimestre'!D16+'II trimestre'!D16</f>
        <v>587670304.25</v>
      </c>
      <c r="E16" s="13">
        <f>+'I Trimestre'!E16+'II trimestre'!E16</f>
        <v>612450178.70000005</v>
      </c>
      <c r="F16" s="13">
        <f>+'I Trimestre'!F16+'II trimestre'!F16</f>
        <v>217573778.19999999</v>
      </c>
      <c r="G16" s="13">
        <f>+'I Trimestre'!G16+'II trimestre'!G16</f>
        <v>4640238427.2900009</v>
      </c>
    </row>
    <row r="17" spans="1:7">
      <c r="A17" s="3" t="s">
        <v>90</v>
      </c>
      <c r="B17" s="4">
        <f>SUM(C17:G17)</f>
        <v>8118181728.4899998</v>
      </c>
      <c r="C17" s="13">
        <f>+'I Trimestre'!C17+'II trimestre'!C17</f>
        <v>52574953.5</v>
      </c>
      <c r="D17" s="13">
        <f>+'I Trimestre'!D17+'II trimestre'!D17</f>
        <v>614494740.29999995</v>
      </c>
      <c r="E17" s="13">
        <f>+'I Trimestre'!E17+'II trimestre'!E17</f>
        <v>1533646989.0000002</v>
      </c>
      <c r="F17" s="13">
        <f>+'I Trimestre'!F17+'II trimestre'!F17</f>
        <v>300819600.89999998</v>
      </c>
      <c r="G17" s="13">
        <f>+'I Trimestre'!G17+'II trimestre'!G17</f>
        <v>5616645444.79</v>
      </c>
    </row>
    <row r="18" spans="1:7">
      <c r="A18" s="3" t="s">
        <v>91</v>
      </c>
      <c r="B18" s="4">
        <f>SUM(C18:G18)</f>
        <v>7765015300.6700001</v>
      </c>
      <c r="C18" s="13">
        <f>+'I Trimestre'!C18+'II trimestre'!C18</f>
        <v>49371856.75</v>
      </c>
      <c r="D18" s="13">
        <f>+'I Trimestre'!D18+'II trimestre'!D18</f>
        <v>637123370.29999995</v>
      </c>
      <c r="E18" s="13">
        <f>+'I Trimestre'!E18+'II trimestre'!E18</f>
        <v>1790017642.0999999</v>
      </c>
      <c r="F18" s="13">
        <f>+'I Trimestre'!F18+'II trimestre'!F18</f>
        <v>216267502</v>
      </c>
      <c r="G18" s="13">
        <f>+'I Trimestre'!G18+'II trimestre'!G18</f>
        <v>5072234929.5200005</v>
      </c>
    </row>
    <row r="19" spans="1:7">
      <c r="A19" s="3" t="s">
        <v>67</v>
      </c>
      <c r="B19" s="4">
        <f>SUM(C19:G19)</f>
        <v>16952261537.23</v>
      </c>
      <c r="C19" s="13">
        <f>+'II trimestre'!C19</f>
        <v>105149907</v>
      </c>
      <c r="D19" s="13">
        <f>+'II trimestre'!D19</f>
        <v>1228989480.5999997</v>
      </c>
      <c r="E19" s="13">
        <f>+'II trimestre'!E19</f>
        <v>1898603944</v>
      </c>
      <c r="F19" s="13">
        <f>+'II trimestre'!F19</f>
        <v>601639201.79999983</v>
      </c>
      <c r="G19" s="13">
        <f>+'II trimestre'!G19</f>
        <v>13117879003.83</v>
      </c>
    </row>
    <row r="20" spans="1:7">
      <c r="A20" s="3" t="s">
        <v>92</v>
      </c>
      <c r="B20" s="4">
        <f>SUM(C20:F20)</f>
        <v>2692780371.1499996</v>
      </c>
      <c r="C20" s="13">
        <f t="shared" ref="C20:F20" si="1">C18</f>
        <v>49371856.75</v>
      </c>
      <c r="D20" s="13">
        <f t="shared" si="1"/>
        <v>637123370.29999995</v>
      </c>
      <c r="E20" s="13">
        <f t="shared" si="1"/>
        <v>1790017642.0999999</v>
      </c>
      <c r="F20" s="13">
        <f t="shared" si="1"/>
        <v>216267502</v>
      </c>
      <c r="G20" s="13"/>
    </row>
    <row r="21" spans="1:7">
      <c r="B21" s="4"/>
      <c r="C21" s="4"/>
      <c r="D21" s="4"/>
      <c r="E21" s="4"/>
      <c r="F21" s="4"/>
      <c r="G21" s="4"/>
    </row>
    <row r="22" spans="1:7">
      <c r="A22" s="3" t="s">
        <v>6</v>
      </c>
      <c r="B22" s="4"/>
      <c r="C22" s="4"/>
      <c r="D22" s="4"/>
      <c r="E22" s="4"/>
      <c r="F22" s="4"/>
      <c r="G22" s="4"/>
    </row>
    <row r="23" spans="1:7">
      <c r="A23" s="3" t="s">
        <v>90</v>
      </c>
      <c r="B23" s="13">
        <f>'I Trimestre'!B23+'II trimestre'!B23</f>
        <v>8118181728.4900007</v>
      </c>
    </row>
    <row r="24" spans="1:7">
      <c r="A24" s="3" t="s">
        <v>91</v>
      </c>
      <c r="B24" s="13">
        <f>'I Trimestre'!B24+'II trimestre'!B24</f>
        <v>7532922569.79</v>
      </c>
    </row>
    <row r="26" spans="1:7">
      <c r="A26" t="s">
        <v>7</v>
      </c>
    </row>
    <row r="27" spans="1:7">
      <c r="A27" s="3" t="s">
        <v>54</v>
      </c>
      <c r="B27" s="16">
        <v>1.5164078580333333</v>
      </c>
      <c r="C27" s="16">
        <v>1.5164078580333333</v>
      </c>
      <c r="D27" s="16">
        <v>1.5164078580333333</v>
      </c>
      <c r="E27" s="16">
        <v>1.5164078580333333</v>
      </c>
      <c r="F27" s="16">
        <v>1.5164078580333333</v>
      </c>
      <c r="G27" s="16">
        <v>1.5164078580333333</v>
      </c>
    </row>
    <row r="28" spans="1:7">
      <c r="A28" s="3" t="s">
        <v>93</v>
      </c>
      <c r="B28" s="11">
        <v>1.6071376151833332</v>
      </c>
      <c r="C28" s="11">
        <v>1.6071376151833332</v>
      </c>
      <c r="D28" s="11">
        <v>1.6071376151833332</v>
      </c>
      <c r="E28" s="11">
        <v>1.6071376151833332</v>
      </c>
      <c r="F28" s="11">
        <v>1.6071376151833332</v>
      </c>
      <c r="G28" s="11">
        <v>1.6071376151833332</v>
      </c>
    </row>
    <row r="29" spans="1:7">
      <c r="A29" s="3" t="s">
        <v>8</v>
      </c>
      <c r="B29" s="19" t="s">
        <v>128</v>
      </c>
      <c r="C29" s="19" t="s">
        <v>128</v>
      </c>
      <c r="D29" s="19" t="s">
        <v>128</v>
      </c>
      <c r="E29" s="19" t="s">
        <v>128</v>
      </c>
      <c r="F29" s="19" t="s">
        <v>128</v>
      </c>
      <c r="G29" s="19" t="s">
        <v>128</v>
      </c>
    </row>
    <row r="31" spans="1:7">
      <c r="A31" s="3" t="s">
        <v>9</v>
      </c>
    </row>
    <row r="32" spans="1:7">
      <c r="A32" s="3" t="s">
        <v>55</v>
      </c>
      <c r="B32" s="22">
        <f>B16/B27</f>
        <v>4025249895.8995934</v>
      </c>
      <c r="C32" s="22">
        <f t="shared" ref="C32:E32" si="2">C16/C27</f>
        <v>30326856.990600683</v>
      </c>
      <c r="D32" s="22">
        <f>D16/D27</f>
        <v>387541057.0690158</v>
      </c>
      <c r="E32" s="22">
        <f t="shared" si="2"/>
        <v>403882224.33396101</v>
      </c>
      <c r="F32" s="22">
        <f>F16/F27</f>
        <v>143479722.19174382</v>
      </c>
      <c r="G32" s="22">
        <f>G16/G27</f>
        <v>3060020035.3142724</v>
      </c>
    </row>
    <row r="33" spans="1:7">
      <c r="A33" s="3" t="s">
        <v>94</v>
      </c>
      <c r="B33" s="22">
        <f>B18/B28</f>
        <v>4831580834.9642859</v>
      </c>
      <c r="C33" s="22">
        <f t="shared" ref="C33:F33" si="3">C18/C28</f>
        <v>30720366.621727001</v>
      </c>
      <c r="D33" s="22">
        <f>D18/D28</f>
        <v>396433612.33090204</v>
      </c>
      <c r="E33" s="22">
        <f t="shared" si="3"/>
        <v>1113792387.9006495</v>
      </c>
      <c r="F33" s="22">
        <f t="shared" si="3"/>
        <v>134566884.60081214</v>
      </c>
      <c r="G33" s="22">
        <f t="shared" ref="G33" si="4">G18/G28</f>
        <v>3156067583.5101953</v>
      </c>
    </row>
    <row r="34" spans="1:7">
      <c r="A34" s="3" t="s">
        <v>56</v>
      </c>
      <c r="B34" s="6">
        <f>B32/B10</f>
        <v>1115079.1530263429</v>
      </c>
      <c r="C34" s="6">
        <f t="shared" ref="C34:F34" si="5">C32/C10</f>
        <v>43761.698399135181</v>
      </c>
      <c r="D34" s="6">
        <f>D32/D10</f>
        <v>219156.11144336424</v>
      </c>
      <c r="E34" s="6">
        <f t="shared" si="5"/>
        <v>581125.50263879285</v>
      </c>
      <c r="F34" s="6">
        <f t="shared" si="5"/>
        <v>316383.06988256628</v>
      </c>
      <c r="G34" s="6"/>
    </row>
    <row r="35" spans="1:7">
      <c r="A35" s="3" t="s">
        <v>95</v>
      </c>
      <c r="B35" s="6">
        <f>B33/B12</f>
        <v>1030334.2696113775</v>
      </c>
      <c r="C35" s="6">
        <f t="shared" ref="C35:F35" si="6">C33/C12</f>
        <v>41758.540944803353</v>
      </c>
      <c r="D35" s="6">
        <f>D33/D12</f>
        <v>239657.59939399621</v>
      </c>
      <c r="E35" s="6">
        <f t="shared" si="6"/>
        <v>644804.54722152615</v>
      </c>
      <c r="F35" s="6">
        <f t="shared" si="6"/>
        <v>235188.26321143977</v>
      </c>
      <c r="G35" s="6"/>
    </row>
    <row r="37" spans="1:7">
      <c r="A37" s="2" t="s">
        <v>10</v>
      </c>
    </row>
    <row r="39" spans="1:7">
      <c r="A39" t="s">
        <v>11</v>
      </c>
    </row>
    <row r="40" spans="1:7">
      <c r="A40" t="s">
        <v>12</v>
      </c>
      <c r="B40" s="24" t="s">
        <v>120</v>
      </c>
      <c r="C40" s="24" t="s">
        <v>120</v>
      </c>
      <c r="D40" s="24" t="s">
        <v>120</v>
      </c>
      <c r="E40" s="24" t="s">
        <v>120</v>
      </c>
      <c r="F40" s="24" t="s">
        <v>120</v>
      </c>
      <c r="G40" s="24" t="s">
        <v>120</v>
      </c>
    </row>
    <row r="41" spans="1:7">
      <c r="A41" t="s">
        <v>13</v>
      </c>
      <c r="B41" s="24" t="s">
        <v>120</v>
      </c>
      <c r="C41" s="24" t="s">
        <v>120</v>
      </c>
      <c r="D41" s="24" t="s">
        <v>120</v>
      </c>
      <c r="E41" s="24" t="s">
        <v>120</v>
      </c>
      <c r="F41" s="24" t="s">
        <v>120</v>
      </c>
      <c r="G41" s="24" t="s">
        <v>120</v>
      </c>
    </row>
    <row r="43" spans="1:7">
      <c r="A43" t="s">
        <v>14</v>
      </c>
    </row>
    <row r="44" spans="1:7">
      <c r="A44" t="s">
        <v>15</v>
      </c>
      <c r="B44" s="7">
        <f>B12/B11*100</f>
        <v>95.857181793404195</v>
      </c>
      <c r="C44" s="7">
        <f t="shared" ref="C44:F44" si="7">C12/C11*100</f>
        <v>97.439293598234002</v>
      </c>
      <c r="D44" s="7">
        <f>D12/D11*100</f>
        <v>98.874277744570634</v>
      </c>
      <c r="E44" s="7">
        <f t="shared" si="7"/>
        <v>105.0050658561297</v>
      </c>
      <c r="F44" s="7">
        <f t="shared" si="7"/>
        <v>69.861619861619872</v>
      </c>
      <c r="G44" s="7"/>
    </row>
    <row r="45" spans="1:7">
      <c r="A45" t="s">
        <v>16</v>
      </c>
      <c r="B45" s="7">
        <f>B18/B17*100</f>
        <v>95.64968561148865</v>
      </c>
      <c r="C45" s="7">
        <f t="shared" ref="C45:G45" si="8">C18/C17*100</f>
        <v>93.907561420857931</v>
      </c>
      <c r="D45" s="7">
        <f>D18/D17*100</f>
        <v>103.68247741045799</v>
      </c>
      <c r="E45" s="7">
        <f t="shared" si="8"/>
        <v>116.71640572692441</v>
      </c>
      <c r="F45" s="7">
        <f t="shared" si="8"/>
        <v>71.892756107968097</v>
      </c>
      <c r="G45" s="7">
        <f t="shared" si="8"/>
        <v>90.307194559076279</v>
      </c>
    </row>
    <row r="46" spans="1:7">
      <c r="A46" t="s">
        <v>17</v>
      </c>
      <c r="B46" s="7">
        <f>AVERAGE(B44:B45)</f>
        <v>95.753433702446415</v>
      </c>
      <c r="C46" s="7">
        <f t="shared" ref="C46:F46" si="9">AVERAGE(C44:C45)</f>
        <v>95.673427509545974</v>
      </c>
      <c r="D46" s="7">
        <f>AVERAGE(D44:D45)</f>
        <v>101.27837757751431</v>
      </c>
      <c r="E46" s="7">
        <f t="shared" si="9"/>
        <v>110.86073579152705</v>
      </c>
      <c r="F46" s="7">
        <f t="shared" si="9"/>
        <v>70.877187984793977</v>
      </c>
      <c r="G46" s="7"/>
    </row>
    <row r="47" spans="1:7">
      <c r="B47" s="7"/>
      <c r="C47" s="7"/>
      <c r="D47" s="7"/>
      <c r="E47" s="7"/>
      <c r="F47" s="7"/>
      <c r="G47" s="7"/>
    </row>
    <row r="48" spans="1:7">
      <c r="A48" t="s">
        <v>18</v>
      </c>
    </row>
    <row r="49" spans="1:8">
      <c r="A49" t="s">
        <v>19</v>
      </c>
      <c r="B49" s="7">
        <f>B12/(B13*2)*100</f>
        <v>47.928590896702097</v>
      </c>
      <c r="C49" s="7">
        <f t="shared" ref="C49:F49" si="10">C12/(C13*2)*100</f>
        <v>48.719646799117001</v>
      </c>
      <c r="D49" s="7">
        <f t="shared" si="10"/>
        <v>49.437138872285317</v>
      </c>
      <c r="E49" s="7">
        <f t="shared" si="10"/>
        <v>52.502532928064852</v>
      </c>
      <c r="F49" s="7">
        <f t="shared" si="10"/>
        <v>34.930809930809936</v>
      </c>
      <c r="G49" s="7"/>
    </row>
    <row r="50" spans="1:8">
      <c r="A50" t="s">
        <v>20</v>
      </c>
      <c r="B50" s="7">
        <f>B18/B19*100</f>
        <v>45.805188196375617</v>
      </c>
      <c r="C50" s="7">
        <f t="shared" ref="C50:G50" si="11">C18/C19*100</f>
        <v>46.953780710428966</v>
      </c>
      <c r="D50" s="7">
        <f>D18/D19*100</f>
        <v>51.84123870522901</v>
      </c>
      <c r="E50" s="7">
        <f t="shared" si="11"/>
        <v>94.280729151376917</v>
      </c>
      <c r="F50" s="7">
        <f t="shared" si="11"/>
        <v>35.946378053984056</v>
      </c>
      <c r="G50" s="7">
        <f t="shared" si="11"/>
        <v>38.666578095735375</v>
      </c>
    </row>
    <row r="51" spans="1:8">
      <c r="A51" t="s">
        <v>21</v>
      </c>
      <c r="B51" s="7">
        <f>(B49+B50)/2</f>
        <v>46.866889546538857</v>
      </c>
      <c r="C51" s="7">
        <f t="shared" ref="C51:F51" si="12">(C49+C50)/2</f>
        <v>47.836713754772987</v>
      </c>
      <c r="D51" s="7">
        <f>(D49+D50)/2</f>
        <v>50.639188788757167</v>
      </c>
      <c r="E51" s="7">
        <f t="shared" si="12"/>
        <v>73.391631039720892</v>
      </c>
      <c r="F51" s="7">
        <f t="shared" si="12"/>
        <v>35.438593992396996</v>
      </c>
      <c r="G51" s="7"/>
    </row>
    <row r="53" spans="1:8">
      <c r="A53" t="s">
        <v>35</v>
      </c>
    </row>
    <row r="54" spans="1:8">
      <c r="A54" t="s">
        <v>22</v>
      </c>
      <c r="B54" s="7">
        <f t="shared" ref="B54" si="13">B20/B18*100</f>
        <v>34.678365294626715</v>
      </c>
      <c r="C54" s="7"/>
      <c r="D54" s="7"/>
      <c r="E54" s="7"/>
      <c r="F54" s="7"/>
      <c r="G54" s="7"/>
    </row>
    <row r="56" spans="1:8">
      <c r="A56" t="s">
        <v>23</v>
      </c>
    </row>
    <row r="57" spans="1:8">
      <c r="A57" t="s">
        <v>24</v>
      </c>
      <c r="B57" s="7">
        <f>((B12/B10)-1)*100</f>
        <v>29.904427720578042</v>
      </c>
      <c r="C57" s="7">
        <f t="shared" ref="C57:F57" si="14">((C12/C10)-1)*100</f>
        <v>6.1568061568061605</v>
      </c>
      <c r="D57" s="7">
        <f>((D12/D10)-1)*100</f>
        <v>-6.4561734213006812</v>
      </c>
      <c r="E57" s="7">
        <f t="shared" si="14"/>
        <v>148.53717026378899</v>
      </c>
      <c r="F57" s="7">
        <f t="shared" si="14"/>
        <v>26.166850422638753</v>
      </c>
      <c r="G57" s="7"/>
    </row>
    <row r="58" spans="1:8">
      <c r="A58" t="s">
        <v>25</v>
      </c>
      <c r="B58" s="7">
        <f>((B33/B32)-1)*100</f>
        <v>20.03182311453704</v>
      </c>
      <c r="C58" s="7">
        <f t="shared" ref="C58:E58" si="15">((C33/C32)-1)*100</f>
        <v>1.2975615351379144</v>
      </c>
      <c r="D58" s="7">
        <f>((D33/D32)-1)*100</f>
        <v>2.2946098483450639</v>
      </c>
      <c r="E58" s="7">
        <f t="shared" si="15"/>
        <v>175.77157913730809</v>
      </c>
      <c r="F58" s="7">
        <f>((F33/F32)-1)*100</f>
        <v>-6.2119144467123526</v>
      </c>
      <c r="G58" s="7">
        <f t="shared" ref="G58" si="16">((G33/G32)-1)*100</f>
        <v>3.1387882133934619</v>
      </c>
      <c r="H58" s="7"/>
    </row>
    <row r="59" spans="1:8">
      <c r="A59" t="s">
        <v>26</v>
      </c>
      <c r="B59" s="7">
        <f>((B35/B34)-1)*100</f>
        <v>-7.5998984632585369</v>
      </c>
      <c r="C59" s="7">
        <f t="shared" ref="C59:F59" si="17">((C35/C34)-1)*100</f>
        <v>-4.5774216440635502</v>
      </c>
      <c r="D59" s="7">
        <f>((D35/D34)-1)*100</f>
        <v>9.3547416111779746</v>
      </c>
      <c r="E59" s="7">
        <f t="shared" si="17"/>
        <v>10.957881609665643</v>
      </c>
      <c r="F59" s="7">
        <f t="shared" si="17"/>
        <v>-25.663448648268083</v>
      </c>
      <c r="G59" s="7"/>
    </row>
    <row r="60" spans="1:8">
      <c r="B60" s="8"/>
      <c r="C60" s="8"/>
      <c r="D60" s="8"/>
      <c r="E60" s="8"/>
      <c r="F60" s="8"/>
      <c r="G60" s="8"/>
    </row>
    <row r="61" spans="1:8">
      <c r="A61" t="s">
        <v>27</v>
      </c>
    </row>
    <row r="62" spans="1:8">
      <c r="A62" t="s">
        <v>28</v>
      </c>
      <c r="B62" s="4">
        <f>B17/(B11*6)</f>
        <v>276580.18971415918</v>
      </c>
      <c r="C62" s="4">
        <f t="shared" ref="C62:F62" si="18">C17/(C11*6)</f>
        <v>11605.95</v>
      </c>
      <c r="D62" s="4">
        <f t="shared" si="18"/>
        <v>61216.85</v>
      </c>
      <c r="E62" s="4">
        <f t="shared" si="18"/>
        <v>155384.70000000001</v>
      </c>
      <c r="F62" s="4">
        <f t="shared" si="18"/>
        <v>61216.85</v>
      </c>
      <c r="G62" s="4"/>
    </row>
    <row r="63" spans="1:8">
      <c r="A63" t="s">
        <v>29</v>
      </c>
      <c r="B63" s="4">
        <f>B18/(B12*6)</f>
        <v>275981.49348414841</v>
      </c>
      <c r="C63" s="4">
        <f t="shared" ref="C63:F63" si="19">C18/(C12*6)</f>
        <v>11185.286984594472</v>
      </c>
      <c r="D63" s="4">
        <f t="shared" si="19"/>
        <v>64193.790458438285</v>
      </c>
      <c r="E63" s="4">
        <f t="shared" si="19"/>
        <v>172714.94038016209</v>
      </c>
      <c r="F63" s="4">
        <f t="shared" si="19"/>
        <v>62996.650742790553</v>
      </c>
      <c r="G63" s="4"/>
    </row>
    <row r="64" spans="1:8">
      <c r="A64" t="s">
        <v>30</v>
      </c>
      <c r="B64" s="10">
        <f>(B62/B63)*B46</f>
        <v>95.961154948695608</v>
      </c>
      <c r="C64" s="10">
        <f t="shared" ref="C64:F64" si="20">(C62/C63)*C46</f>
        <v>99.271571443249172</v>
      </c>
      <c r="D64" s="10">
        <f>(D62/D63)*D46</f>
        <v>96.58166629714998</v>
      </c>
      <c r="E64" s="10">
        <f t="shared" si="20"/>
        <v>99.736954630731333</v>
      </c>
      <c r="F64" s="10">
        <f t="shared" si="20"/>
        <v>68.87474388126077</v>
      </c>
      <c r="G64" s="10"/>
    </row>
    <row r="65" spans="1:7">
      <c r="A65" t="s">
        <v>110</v>
      </c>
      <c r="B65" s="4">
        <f>B17/B11</f>
        <v>1659481.1382849549</v>
      </c>
      <c r="C65" s="4">
        <f t="shared" ref="C65:F66" si="21">C17/C11</f>
        <v>69635.7</v>
      </c>
      <c r="D65" s="4">
        <f t="shared" si="21"/>
        <v>367301.1</v>
      </c>
      <c r="E65" s="4">
        <f t="shared" si="21"/>
        <v>932308.20000000019</v>
      </c>
      <c r="F65" s="4">
        <f t="shared" si="21"/>
        <v>367301.1</v>
      </c>
      <c r="G65" s="10"/>
    </row>
    <row r="66" spans="1:7">
      <c r="A66" t="s">
        <v>111</v>
      </c>
      <c r="B66" s="4">
        <f>B18/B12</f>
        <v>1655888.9609048907</v>
      </c>
      <c r="C66" s="4">
        <f t="shared" si="21"/>
        <v>67111.721907566825</v>
      </c>
      <c r="D66" s="4">
        <f t="shared" si="21"/>
        <v>385162.74275062972</v>
      </c>
      <c r="E66" s="4">
        <f t="shared" si="21"/>
        <v>1036289.6422809724</v>
      </c>
      <c r="F66" s="4">
        <f t="shared" si="21"/>
        <v>377979.90445674333</v>
      </c>
      <c r="G66" s="10"/>
    </row>
    <row r="67" spans="1:7">
      <c r="B67" s="7"/>
      <c r="C67" s="7"/>
      <c r="D67" s="7"/>
      <c r="E67" s="7"/>
      <c r="F67" s="7"/>
      <c r="G67" s="7"/>
    </row>
    <row r="68" spans="1:7">
      <c r="A68" t="s">
        <v>31</v>
      </c>
      <c r="B68" s="7"/>
      <c r="C68" s="7"/>
      <c r="D68" s="7"/>
      <c r="E68" s="7"/>
      <c r="F68" s="7"/>
      <c r="G68" s="7"/>
    </row>
    <row r="69" spans="1:7">
      <c r="A69" t="s">
        <v>32</v>
      </c>
      <c r="B69" s="8">
        <f>(B24/B23)*100</f>
        <v>92.790760563463522</v>
      </c>
      <c r="C69" s="7"/>
      <c r="D69" s="7"/>
      <c r="E69" s="7"/>
      <c r="F69" s="7"/>
      <c r="G69" s="7"/>
    </row>
    <row r="70" spans="1:7">
      <c r="A70" t="s">
        <v>33</v>
      </c>
      <c r="B70" s="8">
        <f>(B18/B24)*100</f>
        <v>103.08104495605444</v>
      </c>
      <c r="C70" s="7"/>
      <c r="D70" s="7"/>
      <c r="E70" s="7"/>
      <c r="F70" s="7"/>
      <c r="G70" s="7"/>
    </row>
    <row r="71" spans="1:7" ht="15.75" thickBot="1">
      <c r="A71" s="9"/>
      <c r="B71" s="9"/>
      <c r="C71" s="9"/>
      <c r="D71" s="9"/>
      <c r="E71" s="9"/>
      <c r="F71" s="9"/>
      <c r="G71" s="9"/>
    </row>
    <row r="72" spans="1:7" ht="15.75" thickTop="1"/>
    <row r="73" spans="1:7">
      <c r="A73" s="12" t="s">
        <v>34</v>
      </c>
    </row>
    <row r="74" spans="1:7">
      <c r="A74" t="s">
        <v>122</v>
      </c>
    </row>
    <row r="75" spans="1:7">
      <c r="A75" t="s">
        <v>123</v>
      </c>
      <c r="B75" s="10"/>
      <c r="C75" s="10"/>
      <c r="D75" s="10"/>
      <c r="E75" s="10"/>
    </row>
    <row r="76" spans="1:7">
      <c r="A76" t="s">
        <v>124</v>
      </c>
    </row>
    <row r="79" spans="1:7">
      <c r="A79" t="s">
        <v>36</v>
      </c>
    </row>
    <row r="80" spans="1:7">
      <c r="A80" s="20" t="s">
        <v>127</v>
      </c>
    </row>
    <row r="81" spans="1:1">
      <c r="A81" s="20"/>
    </row>
    <row r="82" spans="1:1">
      <c r="A82" s="20"/>
    </row>
    <row r="84" spans="1:1">
      <c r="A84" s="20" t="s">
        <v>135</v>
      </c>
    </row>
  </sheetData>
  <mergeCells count="5">
    <mergeCell ref="A2:G2"/>
    <mergeCell ref="A4:A5"/>
    <mergeCell ref="B4:B5"/>
    <mergeCell ref="C4:F4"/>
    <mergeCell ref="G4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G84"/>
  <sheetViews>
    <sheetView workbookViewId="0"/>
  </sheetViews>
  <sheetFormatPr baseColWidth="10" defaultColWidth="11.42578125" defaultRowHeight="15"/>
  <cols>
    <col min="1" max="1" width="55.140625" customWidth="1"/>
    <col min="2" max="2" width="16.85546875" bestFit="1" customWidth="1"/>
    <col min="3" max="3" width="16.5703125" bestFit="1" customWidth="1"/>
    <col min="4" max="4" width="16.42578125" customWidth="1"/>
    <col min="5" max="5" width="16.85546875" bestFit="1" customWidth="1"/>
    <col min="6" max="7" width="15.28515625" customWidth="1"/>
  </cols>
  <sheetData>
    <row r="2" spans="1:7" ht="15.75">
      <c r="A2" s="32" t="s">
        <v>116</v>
      </c>
      <c r="B2" s="32"/>
      <c r="C2" s="32"/>
      <c r="D2" s="32"/>
      <c r="E2" s="32"/>
      <c r="F2" s="32"/>
      <c r="G2" s="32"/>
    </row>
    <row r="4" spans="1:7">
      <c r="A4" s="28" t="s">
        <v>0</v>
      </c>
      <c r="B4" s="30" t="s">
        <v>1</v>
      </c>
      <c r="C4" s="33" t="s">
        <v>2</v>
      </c>
      <c r="D4" s="33"/>
      <c r="E4" s="33"/>
      <c r="F4" s="33"/>
      <c r="G4" s="28" t="s">
        <v>130</v>
      </c>
    </row>
    <row r="5" spans="1:7" ht="15.75" thickBot="1">
      <c r="A5" s="29"/>
      <c r="B5" s="31"/>
      <c r="C5" s="1" t="s">
        <v>117</v>
      </c>
      <c r="D5" s="1" t="s">
        <v>118</v>
      </c>
      <c r="E5" s="1" t="s">
        <v>125</v>
      </c>
      <c r="F5" s="1" t="s">
        <v>119</v>
      </c>
      <c r="G5" s="29"/>
    </row>
    <row r="6" spans="1:7" ht="15.75" thickTop="1"/>
    <row r="7" spans="1:7">
      <c r="A7" s="2" t="s">
        <v>3</v>
      </c>
    </row>
    <row r="9" spans="1:7">
      <c r="A9" t="s">
        <v>4</v>
      </c>
    </row>
    <row r="10" spans="1:7">
      <c r="A10" s="3" t="s">
        <v>57</v>
      </c>
      <c r="B10" s="13">
        <f>SUM(C10:F10)</f>
        <v>3407.5555555555557</v>
      </c>
      <c r="C10" s="13">
        <f>(+'I Trimestre'!C10+'II trimestre'!C10+'III Trimestre'!C10)/3</f>
        <v>696.33333333333337</v>
      </c>
      <c r="D10" s="13">
        <f>(+'I Trimestre'!D10+'II trimestre'!D10+'III Trimestre'!D10)/3</f>
        <v>1729</v>
      </c>
      <c r="E10" s="13">
        <f>(+'I Trimestre'!E10+'II trimestre'!E10+'III Trimestre'!E10)/3</f>
        <v>463.33333333333331</v>
      </c>
      <c r="F10" s="13">
        <f>(+'I Trimestre'!F10+'II trimestre'!F10+'III Trimestre'!F10)/3</f>
        <v>518.8888888888888</v>
      </c>
      <c r="G10" s="13"/>
    </row>
    <row r="11" spans="1:7">
      <c r="A11" s="3" t="s">
        <v>96</v>
      </c>
      <c r="B11" s="13">
        <f t="shared" ref="B11:B13" si="0">SUM(C11:F11)</f>
        <v>4610.666666666667</v>
      </c>
      <c r="C11" s="13">
        <f>(+'I Trimestre'!C11+'II trimestre'!C11+'III Trimestre'!C11)/3</f>
        <v>755</v>
      </c>
      <c r="D11" s="13">
        <f>(+'I Trimestre'!D11+'II trimestre'!D11+'III Trimestre'!D11)/3</f>
        <v>1673</v>
      </c>
      <c r="E11" s="13">
        <f>(+'I Trimestre'!E11+'II trimestre'!E11+'III Trimestre'!E11)/3</f>
        <v>1363.6666666666667</v>
      </c>
      <c r="F11" s="13">
        <f>(+'I Trimestre'!F11+'II trimestre'!F11+'III Trimestre'!F11)/3</f>
        <v>819</v>
      </c>
      <c r="G11" s="13"/>
    </row>
    <row r="12" spans="1:7">
      <c r="A12" s="3" t="s">
        <v>97</v>
      </c>
      <c r="B12" s="13">
        <f t="shared" si="0"/>
        <v>4751.7777777777774</v>
      </c>
      <c r="C12" s="13">
        <f>(+'I Trimestre'!C12+'II trimestre'!C12+'III Trimestre'!C12)/3</f>
        <v>735.88888888888903</v>
      </c>
      <c r="D12" s="13">
        <f>(+'I Trimestre'!D12+'II trimestre'!D12+'III Trimestre'!D12)/3</f>
        <v>1631.7777777777776</v>
      </c>
      <c r="E12" s="13">
        <f>(+'I Trimestre'!E12+'II trimestre'!E12+'III Trimestre'!E12)/3</f>
        <v>1739.7777777777781</v>
      </c>
      <c r="F12" s="13">
        <f>(+'I Trimestre'!F12+'II trimestre'!F12+'III Trimestre'!F12)/3</f>
        <v>644.33333333333337</v>
      </c>
      <c r="G12" s="13"/>
    </row>
    <row r="13" spans="1:7">
      <c r="A13" s="3" t="s">
        <v>67</v>
      </c>
      <c r="B13" s="13">
        <f t="shared" si="0"/>
        <v>4283</v>
      </c>
      <c r="C13" s="13">
        <f>+'III Trimestre'!C13</f>
        <v>755</v>
      </c>
      <c r="D13" s="13">
        <f>+'III Trimestre'!D13</f>
        <v>1673</v>
      </c>
      <c r="E13" s="13">
        <f>+'III Trimestre'!E13</f>
        <v>1036</v>
      </c>
      <c r="F13" s="13">
        <f>+'III Trimestre'!F13</f>
        <v>819</v>
      </c>
      <c r="G13" s="13"/>
    </row>
    <row r="15" spans="1:7">
      <c r="A15" s="5" t="s">
        <v>5</v>
      </c>
    </row>
    <row r="16" spans="1:7">
      <c r="A16" s="3" t="s">
        <v>57</v>
      </c>
      <c r="B16" s="4">
        <f>SUM(C16:G16)</f>
        <v>9140756487.4099998</v>
      </c>
      <c r="C16" s="13">
        <f>+'I Trimestre'!C16+'II trimestre'!C16+'III Trimestre'!C16</f>
        <v>69451673.5</v>
      </c>
      <c r="D16" s="13">
        <f>+'I Trimestre'!D16+'II trimestre'!D16+'III Trimestre'!D16</f>
        <v>894532210</v>
      </c>
      <c r="E16" s="13">
        <f>+'I Trimestre'!E16+'II trimestre'!E16+'III Trimestre'!E16</f>
        <v>1126028286.6900001</v>
      </c>
      <c r="F16" s="13">
        <f>+'I Trimestre'!F16+'II trimestre'!F16+'III Trimestre'!F16</f>
        <v>335029613.44999999</v>
      </c>
      <c r="G16" s="13">
        <f>+'I Trimestre'!G16+'II trimestre'!G16+'III Trimestre'!G16</f>
        <v>6715714703.7700005</v>
      </c>
    </row>
    <row r="17" spans="1:7">
      <c r="A17" s="3" t="s">
        <v>96</v>
      </c>
      <c r="B17" s="4">
        <f>SUM(C17:G17)</f>
        <v>11999272810.897499</v>
      </c>
      <c r="C17" s="13">
        <f>+'I Trimestre'!C17+'II trimestre'!C17+'III Trimestre'!C17</f>
        <v>78862430.25</v>
      </c>
      <c r="D17" s="13">
        <f>+'I Trimestre'!D17+'II trimestre'!D17+'III Trimestre'!D17</f>
        <v>921742110.29999995</v>
      </c>
      <c r="E17" s="13">
        <f>+'I Trimestre'!E17+'II trimestre'!E17+'III Trimestre'!E17</f>
        <v>1908395204.0000002</v>
      </c>
      <c r="F17" s="13">
        <f>+'I Trimestre'!F17+'II trimestre'!F17+'III Trimestre'!F17</f>
        <v>451229401.34999996</v>
      </c>
      <c r="G17" s="13">
        <f>+'I Trimestre'!G17+'II trimestre'!G17+'III Trimestre'!G17</f>
        <v>8639043664.9974995</v>
      </c>
    </row>
    <row r="18" spans="1:7">
      <c r="A18" s="3" t="s">
        <v>97</v>
      </c>
      <c r="B18" s="4">
        <f>SUM(C18:G18)</f>
        <v>10674459390.67</v>
      </c>
      <c r="C18" s="13">
        <f>+'I Trimestre'!C18+'II trimestre'!C18+'III Trimestre'!C18</f>
        <v>74956949.75</v>
      </c>
      <c r="D18" s="13">
        <f>+'I Trimestre'!D18+'II trimestre'!D18+'III Trimestre'!D18</f>
        <v>943684075.29999995</v>
      </c>
      <c r="E18" s="13">
        <f>+'I Trimestre'!E18+'II trimestre'!E18+'III Trimestre'!E18</f>
        <v>1859072721.0999999</v>
      </c>
      <c r="F18" s="13">
        <f>+'I Trimestre'!F18+'II trimestre'!F18+'III Trimestre'!F18</f>
        <v>366983215</v>
      </c>
      <c r="G18" s="13">
        <f>+'I Trimestre'!G18+'II trimestre'!G18+'III Trimestre'!G18</f>
        <v>7429762429.5200005</v>
      </c>
    </row>
    <row r="19" spans="1:7">
      <c r="A19" s="3" t="s">
        <v>67</v>
      </c>
      <c r="B19" s="4">
        <f>SUM(C19:G19)</f>
        <v>17282426589.830002</v>
      </c>
      <c r="C19" s="13">
        <f>+'III Trimestre'!C19</f>
        <v>105149907</v>
      </c>
      <c r="D19" s="13">
        <f>+'III Trimestre'!D19</f>
        <v>1228989481</v>
      </c>
      <c r="E19" s="13">
        <f>+'III Trimestre'!E19</f>
        <v>1937768996</v>
      </c>
      <c r="F19" s="13">
        <f>+'III Trimestre'!F19</f>
        <v>601639202</v>
      </c>
      <c r="G19" s="13">
        <f>+'III Trimestre'!G19</f>
        <v>13408879003.83</v>
      </c>
    </row>
    <row r="20" spans="1:7">
      <c r="A20" s="3" t="s">
        <v>98</v>
      </c>
      <c r="B20" s="4">
        <f>SUM(C20:F20)</f>
        <v>3244696961.1499996</v>
      </c>
      <c r="C20" s="13">
        <f t="shared" ref="C20:F20" si="1">C18</f>
        <v>74956949.75</v>
      </c>
      <c r="D20" s="13">
        <f t="shared" si="1"/>
        <v>943684075.29999995</v>
      </c>
      <c r="E20" s="13">
        <f t="shared" si="1"/>
        <v>1859072721.0999999</v>
      </c>
      <c r="F20" s="13">
        <f t="shared" si="1"/>
        <v>366983215</v>
      </c>
      <c r="G20" s="13"/>
    </row>
    <row r="21" spans="1:7">
      <c r="B21" s="4"/>
      <c r="C21" s="4"/>
      <c r="D21" s="4"/>
      <c r="E21" s="4"/>
      <c r="F21" s="4"/>
      <c r="G21" s="4"/>
    </row>
    <row r="22" spans="1:7">
      <c r="A22" s="3" t="s">
        <v>6</v>
      </c>
      <c r="B22" s="4"/>
      <c r="C22" s="4"/>
      <c r="D22" s="4"/>
      <c r="E22" s="4"/>
      <c r="F22" s="4"/>
      <c r="G22" s="4"/>
    </row>
    <row r="23" spans="1:7">
      <c r="A23" s="3" t="s">
        <v>96</v>
      </c>
      <c r="B23" s="13">
        <f>'I Trimestre'!B23+'II trimestre'!B23+'III Trimestre'!B23</f>
        <v>11999272810.897501</v>
      </c>
    </row>
    <row r="24" spans="1:7">
      <c r="A24" s="3" t="s">
        <v>97</v>
      </c>
      <c r="B24" s="13">
        <f>'I Trimestre'!B24+'II trimestre'!B24+'III Trimestre'!B24</f>
        <v>11561143993.27</v>
      </c>
    </row>
    <row r="26" spans="1:7">
      <c r="A26" t="s">
        <v>7</v>
      </c>
    </row>
    <row r="27" spans="1:7">
      <c r="A27" s="3" t="s">
        <v>58</v>
      </c>
      <c r="B27" s="16">
        <v>1.523505238688889</v>
      </c>
      <c r="C27" s="16">
        <v>1.523505238688889</v>
      </c>
      <c r="D27" s="16">
        <v>1.523505238688889</v>
      </c>
      <c r="E27" s="16">
        <v>1.523505238688889</v>
      </c>
      <c r="F27" s="16">
        <v>1.523505238688889</v>
      </c>
      <c r="G27" s="16">
        <v>1.523505238688889</v>
      </c>
    </row>
    <row r="28" spans="1:7">
      <c r="A28" s="3" t="s">
        <v>99</v>
      </c>
      <c r="B28" s="11">
        <v>1.6128472990111107</v>
      </c>
      <c r="C28" s="11">
        <v>1.6128472990111107</v>
      </c>
      <c r="D28" s="11">
        <v>1.6128472990111107</v>
      </c>
      <c r="E28" s="11">
        <v>1.6128472990111107</v>
      </c>
      <c r="F28" s="11">
        <v>1.6128472990111107</v>
      </c>
      <c r="G28" s="11">
        <v>1.6128472990111107</v>
      </c>
    </row>
    <row r="29" spans="1:7">
      <c r="A29" s="3" t="s">
        <v>8</v>
      </c>
      <c r="B29" s="19" t="s">
        <v>128</v>
      </c>
      <c r="C29" s="19" t="s">
        <v>128</v>
      </c>
      <c r="D29" s="19" t="s">
        <v>128</v>
      </c>
      <c r="E29" s="19" t="s">
        <v>128</v>
      </c>
      <c r="F29" s="19" t="s">
        <v>128</v>
      </c>
      <c r="G29" s="19" t="s">
        <v>128</v>
      </c>
    </row>
    <row r="31" spans="1:7">
      <c r="A31" s="3" t="s">
        <v>9</v>
      </c>
    </row>
    <row r="32" spans="1:7">
      <c r="A32" s="3" t="s">
        <v>59</v>
      </c>
      <c r="B32" s="22">
        <f>B16/B27</f>
        <v>5999819531.4880762</v>
      </c>
      <c r="C32" s="22">
        <f t="shared" ref="C32:F32" si="2">C16/C27</f>
        <v>45586763.82351616</v>
      </c>
      <c r="D32" s="22">
        <f>D16/D27</f>
        <v>587154009.90010643</v>
      </c>
      <c r="E32" s="22">
        <f t="shared" si="2"/>
        <v>739103652.61300123</v>
      </c>
      <c r="F32" s="22">
        <f t="shared" si="2"/>
        <v>219907096.43921053</v>
      </c>
      <c r="G32" s="22">
        <f t="shared" ref="G32" si="3">G16/G27</f>
        <v>4408068008.7122421</v>
      </c>
    </row>
    <row r="33" spans="1:7">
      <c r="A33" s="3" t="s">
        <v>100</v>
      </c>
      <c r="B33" s="22">
        <f>B18/B28</f>
        <v>6618394312.4776039</v>
      </c>
      <c r="C33" s="22">
        <f t="shared" ref="C33:F33" si="4">C18/C28</f>
        <v>46474920.344882339</v>
      </c>
      <c r="D33" s="22">
        <f>D18/D28</f>
        <v>585104414.95521832</v>
      </c>
      <c r="E33" s="22">
        <f t="shared" si="4"/>
        <v>1152665055.2968395</v>
      </c>
      <c r="F33" s="22">
        <f t="shared" si="4"/>
        <v>227537483.07419392</v>
      </c>
      <c r="G33" s="22">
        <f t="shared" ref="G33" si="5">G18/G28</f>
        <v>4606612438.8064699</v>
      </c>
    </row>
    <row r="34" spans="1:7">
      <c r="A34" s="3" t="s">
        <v>60</v>
      </c>
      <c r="B34" s="6">
        <f>B32/B10</f>
        <v>1760740.047717252</v>
      </c>
      <c r="C34" s="6">
        <f t="shared" ref="C34:F34" si="6">C32/C10</f>
        <v>65466.870019410468</v>
      </c>
      <c r="D34" s="6">
        <f>D32/D10</f>
        <v>339591.677212323</v>
      </c>
      <c r="E34" s="6">
        <f t="shared" si="6"/>
        <v>1595187.7394525206</v>
      </c>
      <c r="F34" s="6">
        <f t="shared" si="6"/>
        <v>423803.8261141103</v>
      </c>
      <c r="G34" s="6"/>
    </row>
    <row r="35" spans="1:7">
      <c r="A35" s="3" t="s">
        <v>101</v>
      </c>
      <c r="B35" s="6">
        <f>B33/B12</f>
        <v>1392824.8798648093</v>
      </c>
      <c r="C35" s="6">
        <f t="shared" ref="C35:F35" si="7">C33/C12</f>
        <v>63154.806447824398</v>
      </c>
      <c r="D35" s="6">
        <f>D33/D12</f>
        <v>358568.68681717047</v>
      </c>
      <c r="E35" s="6">
        <f t="shared" si="7"/>
        <v>662535.79624930094</v>
      </c>
      <c r="F35" s="6">
        <f t="shared" si="7"/>
        <v>353136.29033760045</v>
      </c>
      <c r="G35" s="6"/>
    </row>
    <row r="37" spans="1:7">
      <c r="A37" s="2" t="s">
        <v>10</v>
      </c>
    </row>
    <row r="39" spans="1:7">
      <c r="A39" t="s">
        <v>11</v>
      </c>
    </row>
    <row r="40" spans="1:7">
      <c r="A40" t="s">
        <v>12</v>
      </c>
      <c r="B40" s="24" t="s">
        <v>120</v>
      </c>
      <c r="C40" s="24" t="s">
        <v>120</v>
      </c>
      <c r="D40" s="24" t="s">
        <v>120</v>
      </c>
      <c r="E40" s="24" t="s">
        <v>120</v>
      </c>
      <c r="F40" s="24" t="s">
        <v>120</v>
      </c>
      <c r="G40" s="24" t="s">
        <v>120</v>
      </c>
    </row>
    <row r="41" spans="1:7">
      <c r="A41" t="s">
        <v>13</v>
      </c>
      <c r="B41" s="24" t="s">
        <v>120</v>
      </c>
      <c r="C41" s="24" t="s">
        <v>120</v>
      </c>
      <c r="D41" s="24" t="s">
        <v>120</v>
      </c>
      <c r="E41" s="24" t="s">
        <v>120</v>
      </c>
      <c r="F41" s="24" t="s">
        <v>120</v>
      </c>
      <c r="G41" s="24" t="s">
        <v>120</v>
      </c>
    </row>
    <row r="43" spans="1:7">
      <c r="A43" t="s">
        <v>14</v>
      </c>
    </row>
    <row r="44" spans="1:7">
      <c r="A44" t="s">
        <v>15</v>
      </c>
      <c r="B44" s="7">
        <f t="shared" ref="B44:F44" si="8">B12/B11*100</f>
        <v>103.06053595527278</v>
      </c>
      <c r="C44" s="7">
        <f t="shared" si="8"/>
        <v>97.468727005150868</v>
      </c>
      <c r="D44" s="7">
        <f t="shared" si="8"/>
        <v>97.536029753602961</v>
      </c>
      <c r="E44" s="7">
        <f t="shared" si="8"/>
        <v>127.58086857329099</v>
      </c>
      <c r="F44" s="7">
        <f t="shared" si="8"/>
        <v>78.673178673178683</v>
      </c>
      <c r="G44" s="7"/>
    </row>
    <row r="45" spans="1:7">
      <c r="A45" t="s">
        <v>16</v>
      </c>
      <c r="B45" s="7">
        <f t="shared" ref="B45:G45" si="9">B18/B17*100</f>
        <v>88.959219103474922</v>
      </c>
      <c r="C45" s="7">
        <f t="shared" si="9"/>
        <v>95.047729967718055</v>
      </c>
      <c r="D45" s="7">
        <f t="shared" si="9"/>
        <v>102.38048850701402</v>
      </c>
      <c r="E45" s="7">
        <f t="shared" si="9"/>
        <v>97.415499536122269</v>
      </c>
      <c r="F45" s="7">
        <f t="shared" si="9"/>
        <v>81.329632754880336</v>
      </c>
      <c r="G45" s="7">
        <f t="shared" si="9"/>
        <v>86.002140024166096</v>
      </c>
    </row>
    <row r="46" spans="1:7">
      <c r="A46" t="s">
        <v>17</v>
      </c>
      <c r="B46" s="7">
        <f t="shared" ref="B46:F46" si="10">AVERAGE(B44:B45)</f>
        <v>96.009877529373853</v>
      </c>
      <c r="C46" s="7">
        <f t="shared" si="10"/>
        <v>96.258228486434462</v>
      </c>
      <c r="D46" s="7">
        <f t="shared" si="10"/>
        <v>99.958259130308491</v>
      </c>
      <c r="E46" s="7">
        <f t="shared" si="10"/>
        <v>112.49818405470663</v>
      </c>
      <c r="F46" s="7">
        <f t="shared" si="10"/>
        <v>80.001405714029517</v>
      </c>
      <c r="G46" s="7"/>
    </row>
    <row r="47" spans="1:7">
      <c r="B47" s="7"/>
      <c r="C47" s="7"/>
      <c r="D47" s="7"/>
      <c r="E47" s="7"/>
      <c r="F47" s="7"/>
      <c r="G47" s="7"/>
    </row>
    <row r="48" spans="1:7">
      <c r="A48" t="s">
        <v>18</v>
      </c>
    </row>
    <row r="49" spans="1:7">
      <c r="A49" t="s">
        <v>19</v>
      </c>
      <c r="B49" s="7">
        <f>B12/(B13*4/3)*100</f>
        <v>83.208810024126379</v>
      </c>
      <c r="C49" s="7">
        <f t="shared" ref="C49:F49" si="11">C12/(C13*4/3)*100</f>
        <v>73.101545253863151</v>
      </c>
      <c r="D49" s="7">
        <f t="shared" si="11"/>
        <v>73.152022315202231</v>
      </c>
      <c r="E49" s="7">
        <f t="shared" si="11"/>
        <v>125.94916344916346</v>
      </c>
      <c r="F49" s="7">
        <f t="shared" si="11"/>
        <v>59.004884004884005</v>
      </c>
      <c r="G49" s="7"/>
    </row>
    <row r="50" spans="1:7">
      <c r="A50" t="s">
        <v>20</v>
      </c>
      <c r="B50" s="7">
        <f>B18/B19*100</f>
        <v>61.764818355724891</v>
      </c>
      <c r="C50" s="7">
        <f t="shared" ref="C50:G50" si="12">C18/C19*100</f>
        <v>71.285797475788542</v>
      </c>
      <c r="D50" s="7">
        <f t="shared" si="12"/>
        <v>76.785366342773443</v>
      </c>
      <c r="E50" s="7">
        <f t="shared" si="12"/>
        <v>95.938820619875358</v>
      </c>
      <c r="F50" s="7">
        <f t="shared" si="12"/>
        <v>60.997224545883235</v>
      </c>
      <c r="G50" s="7">
        <f t="shared" si="12"/>
        <v>55.409273417992843</v>
      </c>
    </row>
    <row r="51" spans="1:7">
      <c r="A51" t="s">
        <v>21</v>
      </c>
      <c r="B51" s="7">
        <f>(B49+B50)/2</f>
        <v>72.486814189925639</v>
      </c>
      <c r="C51" s="7">
        <f t="shared" ref="C51:F51" si="13">(C49+C50)/2</f>
        <v>72.193671364825846</v>
      </c>
      <c r="D51" s="7">
        <f t="shared" si="13"/>
        <v>74.968694328987837</v>
      </c>
      <c r="E51" s="7">
        <f t="shared" si="13"/>
        <v>110.94399203451941</v>
      </c>
      <c r="F51" s="7">
        <f t="shared" si="13"/>
        <v>60.001054275383623</v>
      </c>
      <c r="G51" s="7"/>
    </row>
    <row r="53" spans="1:7">
      <c r="A53" t="s">
        <v>35</v>
      </c>
    </row>
    <row r="54" spans="1:7">
      <c r="A54" t="s">
        <v>22</v>
      </c>
      <c r="B54" s="7">
        <f>B20/B18*100</f>
        <v>30.39682706541582</v>
      </c>
      <c r="C54" s="7"/>
      <c r="D54" s="7"/>
      <c r="E54" s="7"/>
      <c r="F54" s="7"/>
      <c r="G54" s="7"/>
    </row>
    <row r="56" spans="1:7">
      <c r="A56" t="s">
        <v>23</v>
      </c>
    </row>
    <row r="57" spans="1:7">
      <c r="A57" t="s">
        <v>24</v>
      </c>
      <c r="B57" s="7">
        <f>((B12/B10)-1)*100</f>
        <v>39.448284857180106</v>
      </c>
      <c r="C57" s="7">
        <f t="shared" ref="C57:F57" si="14">((C12/C10)-1)*100</f>
        <v>5.6805489069730486</v>
      </c>
      <c r="D57" s="7">
        <f>((D12/D10)-1)*100</f>
        <v>-5.6230319388214216</v>
      </c>
      <c r="E57" s="7">
        <f t="shared" si="14"/>
        <v>275.4916067146284</v>
      </c>
      <c r="F57" s="7">
        <f t="shared" si="14"/>
        <v>24.175588865096387</v>
      </c>
      <c r="G57" s="7"/>
    </row>
    <row r="58" spans="1:7">
      <c r="A58" t="s">
        <v>25</v>
      </c>
      <c r="B58" s="7">
        <f>((B33/B32)-1)*100</f>
        <v>10.309889784903392</v>
      </c>
      <c r="C58" s="7">
        <f t="shared" ref="C58:G58" si="15">((C33/C32)-1)*100</f>
        <v>1.9482771902927132</v>
      </c>
      <c r="D58" s="7">
        <f>((D33/D32)-1)*100</f>
        <v>-0.34907280037766997</v>
      </c>
      <c r="E58" s="7">
        <f t="shared" si="15"/>
        <v>55.954452561795321</v>
      </c>
      <c r="F58" s="7">
        <f t="shared" si="15"/>
        <v>3.4698228290657607</v>
      </c>
      <c r="G58" s="7">
        <f t="shared" si="15"/>
        <v>4.5041144941915245</v>
      </c>
    </row>
    <row r="59" spans="1:7">
      <c r="A59" t="s">
        <v>26</v>
      </c>
      <c r="B59" s="7">
        <f>((B35/B34)-1)*100</f>
        <v>-20.895484732651703</v>
      </c>
      <c r="C59" s="7">
        <f t="shared" ref="C59:F59" si="16">((C35/C34)-1)*100</f>
        <v>-3.5316543633452491</v>
      </c>
      <c r="D59" s="7">
        <f>((D35/D34)-1)*100</f>
        <v>5.5881845399239571</v>
      </c>
      <c r="E59" s="7">
        <f t="shared" si="16"/>
        <v>-58.466594253245205</v>
      </c>
      <c r="F59" s="7">
        <f t="shared" si="16"/>
        <v>-16.674586547381111</v>
      </c>
      <c r="G59" s="7"/>
    </row>
    <row r="60" spans="1:7">
      <c r="B60" s="8"/>
      <c r="C60" s="8"/>
      <c r="D60" s="8"/>
      <c r="E60" s="8"/>
      <c r="F60" s="8"/>
      <c r="G60" s="8"/>
    </row>
    <row r="61" spans="1:7">
      <c r="A61" t="s">
        <v>27</v>
      </c>
    </row>
    <row r="62" spans="1:7">
      <c r="A62" t="s">
        <v>28</v>
      </c>
      <c r="B62" s="4">
        <f>B17/(B11*9)</f>
        <v>289166.97539274866</v>
      </c>
      <c r="C62" s="4">
        <f t="shared" ref="C62:F62" si="17">C17/(C11*9)</f>
        <v>11605.95</v>
      </c>
      <c r="D62" s="4">
        <f t="shared" si="17"/>
        <v>61216.849990037852</v>
      </c>
      <c r="E62" s="4">
        <f t="shared" si="17"/>
        <v>155495.41302045141</v>
      </c>
      <c r="F62" s="4">
        <f t="shared" si="17"/>
        <v>61216.85</v>
      </c>
      <c r="G62" s="4"/>
    </row>
    <row r="63" spans="1:7">
      <c r="A63" t="s">
        <v>29</v>
      </c>
      <c r="B63" s="4">
        <f>B18/(B12*9)</f>
        <v>249601.53838727027</v>
      </c>
      <c r="C63" s="4">
        <f t="shared" ref="C63:F63" si="18">C18/(C12*9)</f>
        <v>11317.673222104784</v>
      </c>
      <c r="D63" s="4">
        <f t="shared" si="18"/>
        <v>64257.393115892693</v>
      </c>
      <c r="E63" s="4">
        <f t="shared" si="18"/>
        <v>118729.89660876227</v>
      </c>
      <c r="F63" s="4">
        <f t="shared" si="18"/>
        <v>63283.879117089156</v>
      </c>
      <c r="G63" s="4"/>
    </row>
    <row r="64" spans="1:7">
      <c r="A64" t="s">
        <v>30</v>
      </c>
      <c r="B64" s="10">
        <f t="shared" ref="B64:F64" si="19">(B62/B63)*B46</f>
        <v>111.22882524033825</v>
      </c>
      <c r="C64" s="10">
        <f t="shared" si="19"/>
        <v>98.710058594037648</v>
      </c>
      <c r="D64" s="10">
        <f t="shared" si="19"/>
        <v>95.228415871293578</v>
      </c>
      <c r="E64" s="10">
        <f t="shared" si="19"/>
        <v>147.3340084787574</v>
      </c>
      <c r="F64" s="10">
        <f t="shared" si="19"/>
        <v>77.388335255548299</v>
      </c>
      <c r="G64" s="10"/>
    </row>
    <row r="65" spans="1:7">
      <c r="A65" t="s">
        <v>110</v>
      </c>
      <c r="B65" s="4">
        <f>B17/B11</f>
        <v>2602502.7785347379</v>
      </c>
      <c r="C65" s="4">
        <f t="shared" ref="C65:F66" si="20">C17/C11</f>
        <v>104453.55</v>
      </c>
      <c r="D65" s="4">
        <f t="shared" si="20"/>
        <v>550951.64991034067</v>
      </c>
      <c r="E65" s="4">
        <f t="shared" si="20"/>
        <v>1399458.7171840626</v>
      </c>
      <c r="F65" s="4">
        <f t="shared" si="20"/>
        <v>550951.64999999991</v>
      </c>
      <c r="G65" s="10"/>
    </row>
    <row r="66" spans="1:7">
      <c r="A66" t="s">
        <v>111</v>
      </c>
      <c r="B66" s="4">
        <f>B18/B12</f>
        <v>2246413.8454854325</v>
      </c>
      <c r="C66" s="4">
        <f t="shared" si="20"/>
        <v>101859.05899894306</v>
      </c>
      <c r="D66" s="4">
        <f t="shared" si="20"/>
        <v>578316.53804303426</v>
      </c>
      <c r="E66" s="4">
        <f t="shared" si="20"/>
        <v>1068569.0694788604</v>
      </c>
      <c r="F66" s="4">
        <f t="shared" si="20"/>
        <v>569554.9120538024</v>
      </c>
      <c r="G66" s="10"/>
    </row>
    <row r="67" spans="1:7">
      <c r="B67" s="7"/>
      <c r="C67" s="7"/>
      <c r="D67" s="7"/>
      <c r="E67" s="7"/>
      <c r="F67" s="7"/>
      <c r="G67" s="7"/>
    </row>
    <row r="68" spans="1:7">
      <c r="A68" t="s">
        <v>31</v>
      </c>
      <c r="B68" s="7"/>
      <c r="C68" s="7"/>
      <c r="D68" s="7"/>
      <c r="E68" s="7"/>
      <c r="F68" s="7"/>
      <c r="G68" s="7"/>
    </row>
    <row r="69" spans="1:7">
      <c r="A69" t="s">
        <v>32</v>
      </c>
      <c r="B69" s="8">
        <f>(B24/B23)*100</f>
        <v>96.348705254625088</v>
      </c>
      <c r="C69" s="7"/>
      <c r="D69" s="7"/>
      <c r="E69" s="7"/>
      <c r="F69" s="7"/>
      <c r="G69" s="7"/>
    </row>
    <row r="70" spans="1:7">
      <c r="A70" t="s">
        <v>33</v>
      </c>
      <c r="B70" s="8">
        <f>(B18/B24)*100</f>
        <v>92.330476956984882</v>
      </c>
      <c r="C70" s="7"/>
      <c r="D70" s="7"/>
      <c r="E70" s="7"/>
      <c r="F70" s="7"/>
      <c r="G70" s="7"/>
    </row>
    <row r="71" spans="1:7" ht="15.75" thickBot="1">
      <c r="A71" s="9"/>
      <c r="B71" s="9"/>
      <c r="C71" s="9"/>
      <c r="D71" s="9"/>
      <c r="E71" s="9"/>
      <c r="F71" s="9"/>
      <c r="G71" s="9"/>
    </row>
    <row r="72" spans="1:7" ht="15.75" thickTop="1"/>
    <row r="73" spans="1:7">
      <c r="A73" s="12" t="s">
        <v>34</v>
      </c>
    </row>
    <row r="74" spans="1:7">
      <c r="A74" t="s">
        <v>122</v>
      </c>
    </row>
    <row r="75" spans="1:7">
      <c r="A75" t="s">
        <v>123</v>
      </c>
      <c r="B75" s="10"/>
      <c r="C75" s="10"/>
      <c r="D75" s="10"/>
      <c r="E75" s="10"/>
    </row>
    <row r="76" spans="1:7">
      <c r="A76" t="s">
        <v>124</v>
      </c>
    </row>
    <row r="79" spans="1:7">
      <c r="A79" t="s">
        <v>36</v>
      </c>
    </row>
    <row r="80" spans="1:7">
      <c r="A80" s="20" t="s">
        <v>127</v>
      </c>
    </row>
    <row r="81" spans="1:1">
      <c r="A81" s="20"/>
    </row>
    <row r="82" spans="1:1">
      <c r="A82" s="20"/>
    </row>
    <row r="84" spans="1:1">
      <c r="A84" s="20" t="s">
        <v>135</v>
      </c>
    </row>
  </sheetData>
  <mergeCells count="5">
    <mergeCell ref="A2:G2"/>
    <mergeCell ref="A4:A5"/>
    <mergeCell ref="B4:B5"/>
    <mergeCell ref="C4:F4"/>
    <mergeCell ref="G4:G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H84"/>
  <sheetViews>
    <sheetView tabSelected="1" zoomScale="90" zoomScaleNormal="90" workbookViewId="0"/>
  </sheetViews>
  <sheetFormatPr baseColWidth="10" defaultColWidth="11.42578125" defaultRowHeight="15"/>
  <cols>
    <col min="1" max="1" width="55.140625" customWidth="1"/>
    <col min="2" max="2" width="17.5703125" bestFit="1" customWidth="1"/>
    <col min="3" max="3" width="16.5703125" bestFit="1" customWidth="1"/>
    <col min="4" max="4" width="16.42578125" customWidth="1"/>
    <col min="5" max="5" width="17.5703125" bestFit="1" customWidth="1"/>
    <col min="6" max="7" width="15.28515625" customWidth="1"/>
  </cols>
  <sheetData>
    <row r="2" spans="1:7" ht="15.75">
      <c r="A2" s="32" t="s">
        <v>116</v>
      </c>
      <c r="B2" s="32"/>
      <c r="C2" s="32"/>
      <c r="D2" s="32"/>
      <c r="E2" s="32"/>
      <c r="F2" s="32"/>
      <c r="G2" s="32"/>
    </row>
    <row r="4" spans="1:7">
      <c r="A4" s="28" t="s">
        <v>0</v>
      </c>
      <c r="B4" s="21"/>
      <c r="C4" s="33" t="s">
        <v>2</v>
      </c>
      <c r="D4" s="33"/>
      <c r="E4" s="33"/>
      <c r="F4" s="33"/>
      <c r="G4" s="28" t="s">
        <v>130</v>
      </c>
    </row>
    <row r="5" spans="1:7" ht="15.75" thickBot="1">
      <c r="A5" s="29"/>
      <c r="B5" s="1" t="s">
        <v>1</v>
      </c>
      <c r="C5" s="1" t="s">
        <v>117</v>
      </c>
      <c r="D5" s="1" t="s">
        <v>118</v>
      </c>
      <c r="E5" s="1" t="s">
        <v>125</v>
      </c>
      <c r="F5" s="1" t="s">
        <v>119</v>
      </c>
      <c r="G5" s="29"/>
    </row>
    <row r="6" spans="1:7" ht="15.75" thickTop="1"/>
    <row r="7" spans="1:7">
      <c r="A7" s="2" t="s">
        <v>3</v>
      </c>
    </row>
    <row r="9" spans="1:7">
      <c r="A9" t="s">
        <v>4</v>
      </c>
    </row>
    <row r="10" spans="1:7">
      <c r="A10" s="3" t="s">
        <v>61</v>
      </c>
      <c r="B10" s="13">
        <f>SUM(C10:F10)</f>
        <v>3744.083333333333</v>
      </c>
      <c r="C10" s="13">
        <f>(+'I Trimestre'!C10+'II trimestre'!C10+'III Trimestre'!C10+'IV Trimestre'!C10)/4</f>
        <v>716.08333333333337</v>
      </c>
      <c r="D10" s="13">
        <f>(+'I Trimestre'!D10+'II trimestre'!D10+'III Trimestre'!D10+'IV Trimestre'!D10)/4</f>
        <v>1769.1666666666667</v>
      </c>
      <c r="E10" s="13">
        <f>(+'I Trimestre'!E10+'II trimestre'!E10+'III Trimestre'!E10+'IV Trimestre'!E10)/4</f>
        <v>762.83333333333326</v>
      </c>
      <c r="F10" s="13">
        <f>(+'I Trimestre'!F10+'II trimestre'!F10+'III Trimestre'!F10+'IV Trimestre'!F10)/4</f>
        <v>495.99999999999994</v>
      </c>
      <c r="G10" s="13"/>
    </row>
    <row r="11" spans="1:7">
      <c r="A11" s="3" t="s">
        <v>102</v>
      </c>
      <c r="B11" s="13">
        <f t="shared" ref="B11:B13" si="0">SUM(C11:F11)</f>
        <v>4792.75</v>
      </c>
      <c r="C11" s="13">
        <f>(+'I Trimestre'!C11+'II trimestre'!C11+'III Trimestre'!C11+'IV Trimestre'!C11)/4</f>
        <v>755</v>
      </c>
      <c r="D11" s="13">
        <f>(+'I Trimestre'!D11+'II trimestre'!D11+'III Trimestre'!D11+'IV Trimestre'!D11)/4</f>
        <v>1673</v>
      </c>
      <c r="E11" s="23">
        <f>(+'I Trimestre'!E11+'II trimestre'!E11+'III Trimestre'!E11+'IV Trimestre'!E11)/4</f>
        <v>1545.75</v>
      </c>
      <c r="F11" s="13">
        <f>(+'I Trimestre'!F11+'II trimestre'!F11+'III Trimestre'!F11+'IV Trimestre'!F11)/4</f>
        <v>819</v>
      </c>
      <c r="G11" s="13"/>
    </row>
    <row r="12" spans="1:7">
      <c r="A12" s="3" t="s">
        <v>103</v>
      </c>
      <c r="B12" s="13">
        <f t="shared" si="0"/>
        <v>4803.75</v>
      </c>
      <c r="C12" s="13">
        <f>(+'I Trimestre'!C12+'II trimestre'!C12+'III Trimestre'!C12+'IV Trimestre'!C12)/4</f>
        <v>746.50000000000011</v>
      </c>
      <c r="D12" s="13">
        <f>(+'I Trimestre'!D12+'II trimestre'!D12+'III Trimestre'!D12+'IV Trimestre'!D12)/4</f>
        <v>1641.25</v>
      </c>
      <c r="E12" s="13">
        <f>(+'I Trimestre'!E12+'II trimestre'!E12+'III Trimestre'!E12+'IV Trimestre'!E12)/4</f>
        <v>1728.2500000000002</v>
      </c>
      <c r="F12" s="13">
        <f>(+'I Trimestre'!F12+'II trimestre'!F12+'III Trimestre'!F12+'IV Trimestre'!F12)/4</f>
        <v>687.75</v>
      </c>
      <c r="G12" s="13"/>
    </row>
    <row r="13" spans="1:7">
      <c r="A13" s="3" t="s">
        <v>67</v>
      </c>
      <c r="B13" s="13">
        <f t="shared" si="0"/>
        <v>4455</v>
      </c>
      <c r="C13" s="13">
        <f>+'IV Trimestre'!C13</f>
        <v>755</v>
      </c>
      <c r="D13" s="13">
        <f>+'IV Trimestre'!D13</f>
        <v>1673</v>
      </c>
      <c r="E13" s="23">
        <f>+'IV Trimestre'!E13</f>
        <v>1208</v>
      </c>
      <c r="F13" s="13">
        <f>+'IV Trimestre'!F13</f>
        <v>819</v>
      </c>
      <c r="G13" s="13"/>
    </row>
    <row r="15" spans="1:7">
      <c r="A15" s="5" t="s">
        <v>5</v>
      </c>
    </row>
    <row r="16" spans="1:7">
      <c r="A16" s="3" t="s">
        <v>37</v>
      </c>
      <c r="B16" s="4">
        <f t="shared" ref="B16:B19" si="1">SUM(C16:G16)</f>
        <v>13769773077.390001</v>
      </c>
      <c r="C16" s="13">
        <f>+'I Trimestre'!C16+'II trimestre'!C16+'III Trimestre'!C16+'IV Trimestre'!C16</f>
        <v>97998649.75</v>
      </c>
      <c r="D16" s="13">
        <f>+'I Trimestre'!D16+'II trimestre'!D16+'III Trimestre'!D16+'IV Trimestre'!D16</f>
        <v>1083619971.8</v>
      </c>
      <c r="E16" s="13">
        <f>+'I Trimestre'!E16+'II trimestre'!E16+'III Trimestre'!E16+'IV Trimestre'!E16</f>
        <v>1999272797.3700001</v>
      </c>
      <c r="F16" s="13">
        <f>+'I Trimestre'!F16+'II trimestre'!F16+'III Trimestre'!F16+'IV Trimestre'!F16</f>
        <v>523470069.40999997</v>
      </c>
      <c r="G16" s="13">
        <f>+'I Trimestre'!G16+'II trimestre'!G16+'III Trimestre'!G16+'IV Trimestre'!G16</f>
        <v>10065411589.060001</v>
      </c>
    </row>
    <row r="17" spans="1:7">
      <c r="A17" s="3" t="s">
        <v>102</v>
      </c>
      <c r="B17" s="4">
        <f t="shared" si="1"/>
        <v>16047915973.297501</v>
      </c>
      <c r="C17" s="13">
        <f>+'I Trimestre'!C17+'II trimestre'!C17+'III Trimestre'!C17+'IV Trimestre'!C17</f>
        <v>105149907</v>
      </c>
      <c r="D17" s="13">
        <f>+'I Trimestre'!D17+'II trimestre'!D17+'III Trimestre'!D17+'IV Trimestre'!D17</f>
        <v>1228989480.3</v>
      </c>
      <c r="E17" s="13">
        <f>+'I Trimestre'!E17+'II trimestre'!E17+'III Trimestre'!E17+'IV Trimestre'!E17</f>
        <v>2124346883.2000003</v>
      </c>
      <c r="F17" s="13">
        <f>+'I Trimestre'!F17+'II trimestre'!F17+'III Trimestre'!F17+'IV Trimestre'!F17</f>
        <v>601639201.79999995</v>
      </c>
      <c r="G17" s="13">
        <f>+'I Trimestre'!G17+'II trimestre'!G17+'III Trimestre'!G17+'IV Trimestre'!G17</f>
        <v>11987790500.997499</v>
      </c>
    </row>
    <row r="18" spans="1:7">
      <c r="A18" s="3" t="s">
        <v>103</v>
      </c>
      <c r="B18" s="4">
        <f>SUM(C18:G18)</f>
        <v>14494455002.460001</v>
      </c>
      <c r="C18" s="13">
        <f>+'I Trimestre'!C18+'II trimestre'!C18+'III Trimestre'!C18+'IV Trimestre'!C18</f>
        <v>102336832.75</v>
      </c>
      <c r="D18" s="13">
        <f>+'I Trimestre'!D18+'II trimestre'!D18+'III Trimestre'!D18+'IV Trimestre'!D18</f>
        <v>1269189296.8</v>
      </c>
      <c r="E18" s="13">
        <f>+'I Trimestre'!E18+'II trimestre'!E18+'III Trimestre'!E18+'IV Trimestre'!E18</f>
        <v>2125325633.0999999</v>
      </c>
      <c r="F18" s="13">
        <f>+'I Trimestre'!F18+'II trimestre'!F18+'III Trimestre'!F18+'IV Trimestre'!F18</f>
        <v>525250376.75</v>
      </c>
      <c r="G18" s="13">
        <f>+'I Trimestre'!G18+'II trimestre'!G18+'III Trimestre'!G18+'IV Trimestre'!G18</f>
        <v>10472352863.060001</v>
      </c>
    </row>
    <row r="19" spans="1:7">
      <c r="A19" s="3" t="s">
        <v>67</v>
      </c>
      <c r="B19" s="4">
        <f t="shared" si="1"/>
        <v>16047915976.997499</v>
      </c>
      <c r="C19" s="4">
        <f>+'IV Trimestre'!C19</f>
        <v>105149907</v>
      </c>
      <c r="D19" s="4">
        <f>+'IV Trimestre'!D19</f>
        <v>1228989481</v>
      </c>
      <c r="E19" s="4">
        <f>+'IV Trimestre'!E19</f>
        <v>2124346886</v>
      </c>
      <c r="F19" s="4">
        <f>+'IV Trimestre'!F19</f>
        <v>601639202</v>
      </c>
      <c r="G19" s="4">
        <f>+'IV Trimestre'!G19</f>
        <v>11987790500.997499</v>
      </c>
    </row>
    <row r="20" spans="1:7">
      <c r="A20" s="3" t="s">
        <v>104</v>
      </c>
      <c r="B20" s="4">
        <f>SUM(C20:F20)</f>
        <v>4022102139.3999996</v>
      </c>
      <c r="C20" s="13">
        <f t="shared" ref="C20:F20" si="2">C18</f>
        <v>102336832.75</v>
      </c>
      <c r="D20" s="13">
        <f t="shared" si="2"/>
        <v>1269189296.8</v>
      </c>
      <c r="E20" s="13">
        <f t="shared" si="2"/>
        <v>2125325633.0999999</v>
      </c>
      <c r="F20" s="13">
        <f t="shared" si="2"/>
        <v>525250376.75</v>
      </c>
      <c r="G20" s="13"/>
    </row>
    <row r="21" spans="1:7">
      <c r="B21" s="4"/>
      <c r="C21" s="4"/>
      <c r="D21" s="4"/>
      <c r="E21" s="4"/>
      <c r="F21" s="4"/>
      <c r="G21" s="4"/>
    </row>
    <row r="22" spans="1:7">
      <c r="A22" s="3" t="s">
        <v>6</v>
      </c>
      <c r="B22" s="4"/>
      <c r="C22" s="4"/>
      <c r="D22" s="4"/>
      <c r="E22" s="4"/>
      <c r="F22" s="4"/>
      <c r="G22" s="4"/>
    </row>
    <row r="23" spans="1:7">
      <c r="A23" s="3" t="s">
        <v>102</v>
      </c>
      <c r="B23" s="13">
        <f>'I Trimestre'!B23+'II trimestre'!B23+'III Trimestre'!B23+'IV Trimestre'!B23</f>
        <v>16047915973.297501</v>
      </c>
      <c r="C23" s="4"/>
      <c r="D23" s="4"/>
      <c r="E23" s="4"/>
      <c r="F23" s="4"/>
      <c r="G23" s="4"/>
    </row>
    <row r="24" spans="1:7">
      <c r="A24" s="3" t="s">
        <v>103</v>
      </c>
      <c r="B24" s="13">
        <f>'I Trimestre'!B24+'II trimestre'!B24+'III Trimestre'!B24+'IV Trimestre'!B24</f>
        <v>16085172805.900002</v>
      </c>
      <c r="C24" s="4"/>
      <c r="D24" s="4"/>
      <c r="E24" s="4"/>
      <c r="F24" s="4"/>
      <c r="G24" s="4"/>
    </row>
    <row r="25" spans="1:7">
      <c r="B25" s="4"/>
      <c r="C25" s="4"/>
      <c r="D25" s="4"/>
      <c r="E25" s="4"/>
      <c r="F25" s="4"/>
      <c r="G25" s="4"/>
    </row>
    <row r="26" spans="1:7">
      <c r="A26" t="s">
        <v>7</v>
      </c>
    </row>
    <row r="27" spans="1:7">
      <c r="A27" s="3" t="s">
        <v>62</v>
      </c>
      <c r="B27" s="16">
        <v>1.5325622623500001</v>
      </c>
      <c r="C27" s="16">
        <v>1.5325622623500001</v>
      </c>
      <c r="D27" s="16">
        <v>1.5325622623500001</v>
      </c>
      <c r="E27" s="16">
        <v>1.5325622623500001</v>
      </c>
      <c r="F27" s="16">
        <v>1.5325622623500001</v>
      </c>
      <c r="G27" s="16">
        <v>1.5325622623500001</v>
      </c>
    </row>
    <row r="28" spans="1:7">
      <c r="A28" s="3" t="s">
        <v>105</v>
      </c>
      <c r="B28" s="11">
        <v>1.6141688075916665</v>
      </c>
      <c r="C28" s="11">
        <v>1.6141688075916665</v>
      </c>
      <c r="D28" s="11">
        <v>1.6141688075916665</v>
      </c>
      <c r="E28" s="11">
        <v>1.6141688075916665</v>
      </c>
      <c r="F28" s="11">
        <v>1.6141688075916665</v>
      </c>
      <c r="G28" s="11">
        <v>1.6141688075916665</v>
      </c>
    </row>
    <row r="29" spans="1:7">
      <c r="A29" s="3" t="s">
        <v>8</v>
      </c>
      <c r="B29" s="19" t="s">
        <v>128</v>
      </c>
      <c r="C29" s="19" t="s">
        <v>128</v>
      </c>
      <c r="D29" s="19" t="s">
        <v>128</v>
      </c>
      <c r="E29" s="19" t="s">
        <v>128</v>
      </c>
      <c r="F29" s="19" t="s">
        <v>128</v>
      </c>
      <c r="G29" s="19" t="s">
        <v>128</v>
      </c>
    </row>
    <row r="31" spans="1:7">
      <c r="A31" s="3" t="s">
        <v>9</v>
      </c>
    </row>
    <row r="32" spans="1:7">
      <c r="A32" s="3" t="s">
        <v>63</v>
      </c>
      <c r="B32" s="22">
        <f>B16/B27</f>
        <v>8984804999.8802052</v>
      </c>
      <c r="C32" s="22">
        <f t="shared" ref="C32:F32" si="3">C16/C27</f>
        <v>63944318.712200858</v>
      </c>
      <c r="D32" s="22">
        <f>D16/D27</f>
        <v>707064240.33852887</v>
      </c>
      <c r="E32" s="22">
        <f t="shared" si="3"/>
        <v>1304529575.3951004</v>
      </c>
      <c r="F32" s="22">
        <f t="shared" si="3"/>
        <v>341565287.27734786</v>
      </c>
      <c r="G32" s="22">
        <f t="shared" ref="G32" si="4">G16/G27</f>
        <v>6567701578.1570282</v>
      </c>
    </row>
    <row r="33" spans="1:7">
      <c r="A33" s="3" t="s">
        <v>106</v>
      </c>
      <c r="B33" s="22">
        <f>B18/B28</f>
        <v>8979516227.9747372</v>
      </c>
      <c r="C33" s="22">
        <f t="shared" ref="C33:F33" si="5">C18/C28</f>
        <v>63399089.530596338</v>
      </c>
      <c r="D33" s="22">
        <f>D18/D28</f>
        <v>786280400.68103254</v>
      </c>
      <c r="E33" s="22">
        <f t="shared" si="5"/>
        <v>1316668754.2865963</v>
      </c>
      <c r="F33" s="22">
        <f t="shared" si="5"/>
        <v>325399905.06548786</v>
      </c>
      <c r="G33" s="22">
        <f t="shared" ref="G33" si="6">G18/G28</f>
        <v>6487768078.411025</v>
      </c>
    </row>
    <row r="34" spans="1:7">
      <c r="A34" s="3" t="s">
        <v>64</v>
      </c>
      <c r="B34" s="6">
        <f>B32/B10</f>
        <v>2399734.2473360742</v>
      </c>
      <c r="C34" s="6">
        <f t="shared" ref="C34:F34" si="7">C32/C10</f>
        <v>89297.314621949292</v>
      </c>
      <c r="D34" s="6">
        <f>D32/D10</f>
        <v>399659.48582488677</v>
      </c>
      <c r="E34" s="6">
        <f t="shared" si="7"/>
        <v>1710110.8700831556</v>
      </c>
      <c r="F34" s="6">
        <f t="shared" si="7"/>
        <v>688639.69209142728</v>
      </c>
      <c r="G34" s="6"/>
    </row>
    <row r="35" spans="1:7">
      <c r="A35" s="3" t="s">
        <v>107</v>
      </c>
      <c r="B35" s="6">
        <f>B33/B12</f>
        <v>1869272.1786052017</v>
      </c>
      <c r="C35" s="6">
        <f t="shared" ref="C35:F35" si="8">C33/C12</f>
        <v>84928.452150832323</v>
      </c>
      <c r="D35" s="6">
        <f>D33/D12</f>
        <v>479074.12075005792</v>
      </c>
      <c r="E35" s="6">
        <f t="shared" si="8"/>
        <v>761850.86317754735</v>
      </c>
      <c r="F35" s="6">
        <f t="shared" si="8"/>
        <v>473136.90303960431</v>
      </c>
      <c r="G35" s="6"/>
    </row>
    <row r="37" spans="1:7">
      <c r="A37" s="2" t="s">
        <v>10</v>
      </c>
    </row>
    <row r="39" spans="1:7">
      <c r="A39" t="s">
        <v>11</v>
      </c>
    </row>
    <row r="40" spans="1:7">
      <c r="A40" t="s">
        <v>12</v>
      </c>
      <c r="B40" s="24" t="s">
        <v>120</v>
      </c>
      <c r="C40" s="24" t="s">
        <v>120</v>
      </c>
      <c r="D40" s="24" t="s">
        <v>120</v>
      </c>
      <c r="E40" s="24" t="s">
        <v>120</v>
      </c>
      <c r="F40" s="24" t="s">
        <v>120</v>
      </c>
      <c r="G40" s="24" t="s">
        <v>120</v>
      </c>
    </row>
    <row r="41" spans="1:7">
      <c r="A41" t="s">
        <v>13</v>
      </c>
      <c r="B41" s="24" t="s">
        <v>120</v>
      </c>
      <c r="C41" s="24" t="s">
        <v>120</v>
      </c>
      <c r="D41" s="24" t="s">
        <v>120</v>
      </c>
      <c r="E41" s="24" t="s">
        <v>120</v>
      </c>
      <c r="F41" s="24" t="s">
        <v>120</v>
      </c>
      <c r="G41" s="24" t="s">
        <v>120</v>
      </c>
    </row>
    <row r="43" spans="1:7">
      <c r="A43" t="s">
        <v>14</v>
      </c>
    </row>
    <row r="44" spans="1:7">
      <c r="A44" t="s">
        <v>15</v>
      </c>
      <c r="B44" s="7">
        <f>B12/B11*100</f>
        <v>100.22951332742163</v>
      </c>
      <c r="C44" s="7">
        <f t="shared" ref="C44:F44" si="9">C12/C11*100</f>
        <v>98.874172185430481</v>
      </c>
      <c r="D44" s="7">
        <f>D12/D11*100</f>
        <v>98.102211595935444</v>
      </c>
      <c r="E44" s="7">
        <f t="shared" si="9"/>
        <v>111.80656639171924</v>
      </c>
      <c r="F44" s="7">
        <f t="shared" si="9"/>
        <v>83.974358974358978</v>
      </c>
      <c r="G44" s="7"/>
    </row>
    <row r="45" spans="1:7">
      <c r="A45" t="s">
        <v>16</v>
      </c>
      <c r="B45" s="7">
        <f>B18/B17*100</f>
        <v>90.319858519808179</v>
      </c>
      <c r="C45" s="7">
        <f t="shared" ref="C45:G45" si="10">C18/C17*100</f>
        <v>97.324701152612519</v>
      </c>
      <c r="D45" s="7">
        <f>D18/D17*100</f>
        <v>103.27096506067628</v>
      </c>
      <c r="E45" s="7">
        <f t="shared" si="10"/>
        <v>100.04607297931143</v>
      </c>
      <c r="F45" s="7">
        <f t="shared" si="10"/>
        <v>87.30321680810394</v>
      </c>
      <c r="G45" s="7">
        <f t="shared" si="10"/>
        <v>87.358490809366415</v>
      </c>
    </row>
    <row r="46" spans="1:7">
      <c r="A46" t="s">
        <v>17</v>
      </c>
      <c r="B46" s="7">
        <f>AVERAGE(B44:B45)</f>
        <v>95.274685923614896</v>
      </c>
      <c r="C46" s="7">
        <f t="shared" ref="C46:F46" si="11">AVERAGE(C44:C45)</f>
        <v>98.0994366690215</v>
      </c>
      <c r="D46" s="7">
        <f>AVERAGE(D44:D45)</f>
        <v>100.68658832830586</v>
      </c>
      <c r="E46" s="7">
        <f t="shared" si="11"/>
        <v>105.92631968551534</v>
      </c>
      <c r="F46" s="7">
        <f t="shared" si="11"/>
        <v>85.638787891231459</v>
      </c>
      <c r="G46" s="7"/>
    </row>
    <row r="47" spans="1:7">
      <c r="B47" s="7"/>
      <c r="C47" s="7"/>
      <c r="D47" s="7"/>
      <c r="E47" s="7"/>
      <c r="F47" s="7"/>
      <c r="G47" s="7"/>
    </row>
    <row r="48" spans="1:7">
      <c r="A48" t="s">
        <v>18</v>
      </c>
    </row>
    <row r="49" spans="1:7">
      <c r="A49" t="s">
        <v>19</v>
      </c>
      <c r="B49" s="7">
        <f>B12/B13*100</f>
        <v>107.82828282828282</v>
      </c>
      <c r="C49" s="7">
        <f t="shared" ref="C49:F49" si="12">C12/C13*100</f>
        <v>98.874172185430481</v>
      </c>
      <c r="D49" s="7">
        <f>D12/D13*100</f>
        <v>98.102211595935444</v>
      </c>
      <c r="E49" s="7">
        <f t="shared" si="12"/>
        <v>143.06705298013247</v>
      </c>
      <c r="F49" s="7">
        <f t="shared" si="12"/>
        <v>83.974358974358978</v>
      </c>
      <c r="G49" s="7"/>
    </row>
    <row r="50" spans="1:7">
      <c r="A50" t="s">
        <v>20</v>
      </c>
      <c r="B50" s="7">
        <f>B18/B19*100</f>
        <v>90.31985849898409</v>
      </c>
      <c r="C50" s="7">
        <f t="shared" ref="C50:G50" si="13">C18/C19*100</f>
        <v>97.324701152612519</v>
      </c>
      <c r="D50" s="7">
        <f>D18/D19*100</f>
        <v>103.27096500185587</v>
      </c>
      <c r="E50" s="7">
        <f t="shared" si="13"/>
        <v>100.04607284744549</v>
      </c>
      <c r="F50" s="7">
        <f t="shared" si="13"/>
        <v>87.303216779082163</v>
      </c>
      <c r="G50" s="7">
        <f t="shared" si="13"/>
        <v>87.358490809366415</v>
      </c>
    </row>
    <row r="51" spans="1:7">
      <c r="A51" t="s">
        <v>21</v>
      </c>
      <c r="B51" s="7">
        <f>(B49+B50)/2</f>
        <v>99.074070663633449</v>
      </c>
      <c r="C51" s="7">
        <f t="shared" ref="C51:F51" si="14">(C49+C50)/2</f>
        <v>98.0994366690215</v>
      </c>
      <c r="D51" s="7">
        <f>(D49+D50)/2</f>
        <v>100.68658829889566</v>
      </c>
      <c r="E51" s="7">
        <f t="shared" si="14"/>
        <v>121.55656291378898</v>
      </c>
      <c r="F51" s="7">
        <f t="shared" si="14"/>
        <v>85.638787876720571</v>
      </c>
      <c r="G51" s="7"/>
    </row>
    <row r="53" spans="1:7">
      <c r="A53" t="s">
        <v>35</v>
      </c>
    </row>
    <row r="54" spans="1:7">
      <c r="A54" t="s">
        <v>22</v>
      </c>
      <c r="B54" s="7">
        <f>B20/B18*100</f>
        <v>27.749247134282506</v>
      </c>
      <c r="C54" s="7"/>
      <c r="D54" s="7"/>
      <c r="E54" s="7"/>
      <c r="F54" s="7"/>
      <c r="G54" s="7"/>
    </row>
    <row r="56" spans="1:7">
      <c r="A56" t="s">
        <v>23</v>
      </c>
    </row>
    <row r="57" spans="1:7">
      <c r="A57" t="s">
        <v>24</v>
      </c>
      <c r="B57" s="7">
        <f t="shared" ref="B57:F57" si="15">((B12/B10)-1)*100</f>
        <v>28.302432727191796</v>
      </c>
      <c r="C57" s="7">
        <f t="shared" si="15"/>
        <v>4.2476434306994104</v>
      </c>
      <c r="D57" s="7">
        <f t="shared" si="15"/>
        <v>-7.2303344324069707</v>
      </c>
      <c r="E57" s="7">
        <f t="shared" si="15"/>
        <v>126.55669652610885</v>
      </c>
      <c r="F57" s="7">
        <f t="shared" si="15"/>
        <v>38.659274193548399</v>
      </c>
      <c r="G57" s="7"/>
    </row>
    <row r="58" spans="1:7">
      <c r="A58" t="s">
        <v>25</v>
      </c>
      <c r="B58" s="7">
        <f>((B33/B32)-1)*100</f>
        <v>-5.8863513515750032E-2</v>
      </c>
      <c r="C58" s="7">
        <f t="shared" ref="C58:G58" si="16">((C33/C32)-1)*100</f>
        <v>-0.85266242972807937</v>
      </c>
      <c r="D58" s="7">
        <f>((D33/D32)-1)*100</f>
        <v>11.203530856627175</v>
      </c>
      <c r="E58" s="7">
        <f t="shared" si="16"/>
        <v>0.93054071908023062</v>
      </c>
      <c r="F58" s="7">
        <f t="shared" si="16"/>
        <v>-4.7327356771866169</v>
      </c>
      <c r="G58" s="7">
        <f t="shared" si="16"/>
        <v>-1.2170696063878328</v>
      </c>
    </row>
    <row r="59" spans="1:7">
      <c r="A59" t="s">
        <v>26</v>
      </c>
      <c r="B59" s="7">
        <f t="shared" ref="B59:F59" si="17">((B35/B34)-1)*100</f>
        <v>-22.105033893637771</v>
      </c>
      <c r="C59" s="7">
        <f t="shared" si="17"/>
        <v>-4.892490316884734</v>
      </c>
      <c r="D59" s="7">
        <f t="shared" si="17"/>
        <v>19.870574261802254</v>
      </c>
      <c r="E59" s="7">
        <f t="shared" si="17"/>
        <v>-55.450206386881703</v>
      </c>
      <c r="F59" s="7">
        <f t="shared" si="17"/>
        <v>-31.293983127422131</v>
      </c>
      <c r="G59" s="7"/>
    </row>
    <row r="60" spans="1:7">
      <c r="B60" s="8"/>
      <c r="C60" s="8"/>
      <c r="D60" s="8"/>
      <c r="E60" s="8"/>
      <c r="F60" s="8"/>
      <c r="G60" s="8"/>
    </row>
    <row r="61" spans="1:7">
      <c r="A61" t="s">
        <v>27</v>
      </c>
    </row>
    <row r="62" spans="1:7">
      <c r="A62" t="s">
        <v>108</v>
      </c>
      <c r="B62" s="4">
        <f>B17/(B11*12)</f>
        <v>279031.10554652865</v>
      </c>
      <c r="C62" s="4">
        <f t="shared" ref="C62:F62" si="18">C17/(C11*12)</f>
        <v>11605.95</v>
      </c>
      <c r="D62" s="4">
        <f t="shared" si="18"/>
        <v>61216.849985056782</v>
      </c>
      <c r="E62" s="4">
        <f t="shared" si="18"/>
        <v>114526.22153215809</v>
      </c>
      <c r="F62" s="4">
        <f t="shared" si="18"/>
        <v>61216.85</v>
      </c>
      <c r="G62" s="4"/>
    </row>
    <row r="63" spans="1:7">
      <c r="A63" t="s">
        <v>109</v>
      </c>
      <c r="B63" s="4">
        <f>B18/(B12*12)</f>
        <v>251443.40363361957</v>
      </c>
      <c r="C63" s="4">
        <f t="shared" ref="C63:F63" si="19">C18/(C12*12)</f>
        <v>11424.071528242908</v>
      </c>
      <c r="D63" s="4">
        <f t="shared" si="19"/>
        <v>64442.208519928914</v>
      </c>
      <c r="E63" s="4">
        <f t="shared" si="19"/>
        <v>102479.6582814986</v>
      </c>
      <c r="F63" s="4">
        <f t="shared" si="19"/>
        <v>63643.569217254335</v>
      </c>
      <c r="G63" s="4"/>
    </row>
    <row r="64" spans="1:7">
      <c r="A64" t="s">
        <v>30</v>
      </c>
      <c r="B64" s="10">
        <f>(B62/B63)*B46</f>
        <v>105.72797122409787</v>
      </c>
      <c r="C64" s="10">
        <f t="shared" ref="C64:F64" si="20">(C62/C63)*C46</f>
        <v>99.661241983132442</v>
      </c>
      <c r="D64" s="10">
        <f>(D62/D63)*D46</f>
        <v>95.647183961656509</v>
      </c>
      <c r="E64" s="10">
        <f t="shared" si="20"/>
        <v>118.3780406553101</v>
      </c>
      <c r="F64" s="10">
        <f t="shared" si="20"/>
        <v>82.373394468549606</v>
      </c>
      <c r="G64" s="10"/>
    </row>
    <row r="65" spans="1:8">
      <c r="A65" t="s">
        <v>133</v>
      </c>
      <c r="B65" s="4">
        <f>B17/B11</f>
        <v>3348373.2665583435</v>
      </c>
      <c r="C65" s="4">
        <f t="shared" ref="C65:F66" si="21">C17/C11</f>
        <v>139271.4</v>
      </c>
      <c r="D65" s="4">
        <f t="shared" si="21"/>
        <v>734602.19982068136</v>
      </c>
      <c r="E65" s="4">
        <f t="shared" si="21"/>
        <v>1374314.6583858971</v>
      </c>
      <c r="F65" s="4">
        <f t="shared" si="21"/>
        <v>734602.2</v>
      </c>
      <c r="G65" s="10"/>
    </row>
    <row r="66" spans="1:8">
      <c r="A66" t="s">
        <v>134</v>
      </c>
      <c r="B66" s="4">
        <f>B18/B12</f>
        <v>3017320.843603435</v>
      </c>
      <c r="C66" s="4">
        <f t="shared" si="21"/>
        <v>137088.85833891493</v>
      </c>
      <c r="D66" s="4">
        <f t="shared" si="21"/>
        <v>773306.50223914697</v>
      </c>
      <c r="E66" s="4">
        <f t="shared" si="21"/>
        <v>1229755.8993779833</v>
      </c>
      <c r="F66" s="4">
        <f t="shared" si="21"/>
        <v>763722.83060705196</v>
      </c>
      <c r="G66" s="10"/>
    </row>
    <row r="67" spans="1:8">
      <c r="B67" s="7"/>
      <c r="C67" s="7"/>
      <c r="D67" s="7"/>
      <c r="E67" s="7"/>
      <c r="F67" s="7"/>
      <c r="G67" s="7"/>
    </row>
    <row r="68" spans="1:8">
      <c r="A68" t="s">
        <v>31</v>
      </c>
      <c r="B68" s="7"/>
      <c r="C68" s="7"/>
      <c r="D68" s="7"/>
      <c r="E68" s="7"/>
      <c r="F68" s="7"/>
      <c r="G68" s="7"/>
    </row>
    <row r="69" spans="1:8">
      <c r="A69" t="s">
        <v>32</v>
      </c>
      <c r="B69" s="8">
        <f>(B24/B23)*100</f>
        <v>100.2321599431633</v>
      </c>
      <c r="C69" s="7"/>
      <c r="D69" s="7"/>
      <c r="E69" s="7"/>
      <c r="F69" s="7"/>
      <c r="G69" s="7"/>
    </row>
    <row r="70" spans="1:8">
      <c r="A70" t="s">
        <v>33</v>
      </c>
      <c r="B70" s="8">
        <f>(B18/B24)*100</f>
        <v>90.110657668181659</v>
      </c>
      <c r="C70" s="7"/>
      <c r="D70" s="7"/>
      <c r="E70" s="7"/>
      <c r="F70" s="7"/>
      <c r="G70" s="7"/>
    </row>
    <row r="71" spans="1:8" ht="15.75" thickBot="1">
      <c r="A71" s="9"/>
      <c r="B71" s="9"/>
      <c r="C71" s="9"/>
      <c r="D71" s="9"/>
      <c r="E71" s="9"/>
      <c r="F71" s="9"/>
      <c r="G71" s="9"/>
      <c r="H71" s="25"/>
    </row>
    <row r="72" spans="1:8" ht="15.75" thickTop="1"/>
    <row r="73" spans="1:8">
      <c r="A73" s="12" t="s">
        <v>34</v>
      </c>
    </row>
    <row r="74" spans="1:8">
      <c r="A74" t="s">
        <v>122</v>
      </c>
    </row>
    <row r="75" spans="1:8">
      <c r="A75" t="s">
        <v>123</v>
      </c>
      <c r="B75" s="10"/>
      <c r="C75" s="10"/>
      <c r="D75" s="10"/>
      <c r="E75" s="10"/>
    </row>
    <row r="76" spans="1:8">
      <c r="A76" t="s">
        <v>124</v>
      </c>
    </row>
    <row r="79" spans="1:8">
      <c r="A79" t="s">
        <v>36</v>
      </c>
    </row>
    <row r="80" spans="1:8">
      <c r="A80" s="20" t="s">
        <v>127</v>
      </c>
    </row>
    <row r="81" spans="1:1">
      <c r="A81" s="20"/>
    </row>
    <row r="82" spans="1:1">
      <c r="A82" s="20"/>
    </row>
    <row r="84" spans="1:1">
      <c r="A84" s="20" t="s">
        <v>135</v>
      </c>
    </row>
  </sheetData>
  <mergeCells count="4">
    <mergeCell ref="A4:A5"/>
    <mergeCell ref="A2:G2"/>
    <mergeCell ref="C4:F4"/>
    <mergeCell ref="G4:G5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Catherine Mata</cp:lastModifiedBy>
  <dcterms:created xsi:type="dcterms:W3CDTF">2012-04-10T15:25:06Z</dcterms:created>
  <dcterms:modified xsi:type="dcterms:W3CDTF">2014-11-08T00:46:22Z</dcterms:modified>
</cp:coreProperties>
</file>