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todo\DESAF 2014\cambio indicadores en la web\"/>
    </mc:Choice>
  </mc:AlternateContent>
  <bookViews>
    <workbookView xWindow="0" yWindow="0" windowWidth="21600" windowHeight="9735" activeTab="7"/>
  </bookViews>
  <sheets>
    <sheet name="I Trimestre" sheetId="4" r:id="rId1"/>
    <sheet name="Hoja2 (2)" sheetId="15" state="hidden" r:id="rId2"/>
    <sheet name="II Trimestre" sheetId="7" r:id="rId3"/>
    <sheet name="III Trimestre" sheetId="8" r:id="rId4"/>
    <sheet name="IV Trimestre" sheetId="3" r:id="rId5"/>
    <sheet name="I Semestre" sheetId="9" r:id="rId6"/>
    <sheet name="III T Acumulado" sheetId="10" r:id="rId7"/>
    <sheet name="Anual" sheetId="2" r:id="rId8"/>
    <sheet name="Observaciones" sheetId="11" r:id="rId9"/>
    <sheet name="Hoja1" sheetId="16" r:id="rId10"/>
  </sheets>
  <calcPr calcId="152511"/>
</workbook>
</file>

<file path=xl/calcChain.xml><?xml version="1.0" encoding="utf-8"?>
<calcChain xmlns="http://schemas.openxmlformats.org/spreadsheetml/2006/main">
  <c r="F22" i="2" l="1"/>
  <c r="F22" i="10"/>
  <c r="F22" i="9"/>
  <c r="C22" i="9"/>
  <c r="F13" i="7"/>
  <c r="F14" i="7"/>
  <c r="F66" i="7" s="1"/>
  <c r="F15" i="7"/>
  <c r="F16" i="7"/>
  <c r="F13" i="8"/>
  <c r="F14" i="8"/>
  <c r="F60" i="8" s="1"/>
  <c r="F15" i="8"/>
  <c r="F16" i="8"/>
  <c r="F13" i="3"/>
  <c r="F14" i="3"/>
  <c r="F69" i="3" s="1"/>
  <c r="F15" i="3"/>
  <c r="F16" i="3"/>
  <c r="F13" i="4"/>
  <c r="F14" i="4"/>
  <c r="F66" i="4" s="1"/>
  <c r="F15" i="4"/>
  <c r="F16" i="4"/>
  <c r="F12" i="7"/>
  <c r="F12" i="8"/>
  <c r="F12" i="3"/>
  <c r="F12" i="4"/>
  <c r="F11" i="7"/>
  <c r="F11" i="8"/>
  <c r="F11" i="3"/>
  <c r="F11" i="4"/>
  <c r="F10" i="7"/>
  <c r="F10" i="8"/>
  <c r="F10" i="3"/>
  <c r="F10" i="4"/>
  <c r="B11" i="7"/>
  <c r="B13" i="7"/>
  <c r="B14" i="7"/>
  <c r="B15" i="7"/>
  <c r="B11" i="8"/>
  <c r="B12" i="8"/>
  <c r="B13" i="8"/>
  <c r="B14" i="8"/>
  <c r="B47" i="8" s="1"/>
  <c r="B15" i="8"/>
  <c r="B11" i="3"/>
  <c r="B12" i="3"/>
  <c r="B13" i="3"/>
  <c r="B14" i="3"/>
  <c r="B15" i="3"/>
  <c r="B11" i="4"/>
  <c r="B13" i="4"/>
  <c r="B14" i="4"/>
  <c r="B15" i="4"/>
  <c r="B10" i="7"/>
  <c r="B10" i="8"/>
  <c r="B10" i="3"/>
  <c r="B10" i="4"/>
  <c r="B60" i="4" s="1"/>
  <c r="B21" i="7"/>
  <c r="B21" i="8"/>
  <c r="B21" i="3"/>
  <c r="B21" i="4"/>
  <c r="B19" i="7"/>
  <c r="B19" i="8"/>
  <c r="B19" i="3"/>
  <c r="B19" i="4"/>
  <c r="L53" i="4"/>
  <c r="F35" i="10"/>
  <c r="F36" i="9"/>
  <c r="F35" i="9"/>
  <c r="F20" i="2"/>
  <c r="F21" i="2"/>
  <c r="F53" i="2" s="1"/>
  <c r="F19" i="2"/>
  <c r="F35" i="2" s="1"/>
  <c r="C21" i="2"/>
  <c r="C23" i="2" s="1"/>
  <c r="C19" i="2"/>
  <c r="C35" i="2" s="1"/>
  <c r="F20" i="10"/>
  <c r="F48" i="10" s="1"/>
  <c r="F21" i="10"/>
  <c r="F36" i="10" s="1"/>
  <c r="F53" i="10"/>
  <c r="F19" i="10"/>
  <c r="C21" i="10"/>
  <c r="C36" i="10" s="1"/>
  <c r="C19" i="10"/>
  <c r="C35" i="10" s="1"/>
  <c r="F20" i="9"/>
  <c r="F21" i="9"/>
  <c r="F48" i="9" s="1"/>
  <c r="F53" i="9"/>
  <c r="F19" i="9"/>
  <c r="C21" i="9"/>
  <c r="C36" i="9" s="1"/>
  <c r="C19" i="9"/>
  <c r="C22" i="3"/>
  <c r="B22" i="3" s="1"/>
  <c r="C20" i="3"/>
  <c r="F44" i="3"/>
  <c r="F65" i="3"/>
  <c r="C11" i="3"/>
  <c r="C12" i="3"/>
  <c r="C13" i="3"/>
  <c r="C43" i="3" s="1"/>
  <c r="C14" i="3"/>
  <c r="C69" i="3" s="1"/>
  <c r="C15" i="3"/>
  <c r="C44" i="3" s="1"/>
  <c r="C10" i="3"/>
  <c r="C22" i="8"/>
  <c r="B22" i="8" s="1"/>
  <c r="C20" i="8"/>
  <c r="F69" i="8"/>
  <c r="C11" i="8"/>
  <c r="C12" i="8"/>
  <c r="C13" i="8"/>
  <c r="C43" i="8" s="1"/>
  <c r="C14" i="8"/>
  <c r="C66" i="8" s="1"/>
  <c r="C15" i="8"/>
  <c r="C10" i="8"/>
  <c r="L69" i="3"/>
  <c r="K69" i="3"/>
  <c r="L68" i="3"/>
  <c r="K68" i="3"/>
  <c r="F68" i="3"/>
  <c r="L66" i="3"/>
  <c r="K66" i="3"/>
  <c r="C66" i="3"/>
  <c r="L65" i="3"/>
  <c r="K65" i="3"/>
  <c r="L60" i="3"/>
  <c r="K60" i="3"/>
  <c r="J60" i="3"/>
  <c r="I60" i="3"/>
  <c r="H60" i="3"/>
  <c r="G60" i="3"/>
  <c r="E60" i="3"/>
  <c r="D60" i="3"/>
  <c r="C60" i="3"/>
  <c r="B60" i="3"/>
  <c r="L53" i="3"/>
  <c r="K53" i="3"/>
  <c r="F53" i="3"/>
  <c r="C53" i="3"/>
  <c r="L52" i="3"/>
  <c r="L54" i="3" s="1"/>
  <c r="K52" i="3"/>
  <c r="K54" i="3" s="1"/>
  <c r="J52" i="3"/>
  <c r="I52" i="3"/>
  <c r="H52" i="3"/>
  <c r="G52" i="3"/>
  <c r="E52" i="3"/>
  <c r="L48" i="3"/>
  <c r="K48" i="3"/>
  <c r="F48" i="3"/>
  <c r="L47" i="3"/>
  <c r="K47" i="3"/>
  <c r="J47" i="3"/>
  <c r="I47" i="3"/>
  <c r="H47" i="3"/>
  <c r="G47" i="3"/>
  <c r="F47" i="3"/>
  <c r="F49" i="3" s="1"/>
  <c r="E47" i="3"/>
  <c r="D47" i="3"/>
  <c r="B47" i="3"/>
  <c r="L44" i="3"/>
  <c r="K44" i="3"/>
  <c r="J44" i="3"/>
  <c r="I44" i="3"/>
  <c r="H44" i="3"/>
  <c r="G44" i="3"/>
  <c r="E44" i="3"/>
  <c r="D44" i="3"/>
  <c r="B44" i="3"/>
  <c r="L43" i="3"/>
  <c r="K43" i="3"/>
  <c r="J43" i="3"/>
  <c r="I43" i="3"/>
  <c r="H43" i="3"/>
  <c r="G43" i="3"/>
  <c r="F43" i="3"/>
  <c r="E43" i="3"/>
  <c r="D43" i="3"/>
  <c r="B43" i="3"/>
  <c r="L37" i="3"/>
  <c r="K37" i="3"/>
  <c r="L36" i="3"/>
  <c r="L38" i="3" s="1"/>
  <c r="K36" i="3"/>
  <c r="K38" i="3" s="1"/>
  <c r="F36" i="3"/>
  <c r="C36" i="3"/>
  <c r="C38" i="3" s="1"/>
  <c r="L35" i="3"/>
  <c r="K35" i="3"/>
  <c r="F35" i="3"/>
  <c r="F37" i="3" s="1"/>
  <c r="C35" i="3"/>
  <c r="C37" i="3" s="1"/>
  <c r="L69" i="8"/>
  <c r="K69" i="8"/>
  <c r="L68" i="8"/>
  <c r="K68" i="8"/>
  <c r="F68" i="8"/>
  <c r="L66" i="8"/>
  <c r="K66" i="8"/>
  <c r="L65" i="8"/>
  <c r="K65" i="8"/>
  <c r="F65" i="8"/>
  <c r="L60" i="8"/>
  <c r="K60" i="8"/>
  <c r="J60" i="8"/>
  <c r="I60" i="8"/>
  <c r="H60" i="8"/>
  <c r="G60" i="8"/>
  <c r="E60" i="8"/>
  <c r="D60" i="8"/>
  <c r="B60" i="8"/>
  <c r="L53" i="8"/>
  <c r="K53" i="8"/>
  <c r="F53" i="8"/>
  <c r="L52" i="8"/>
  <c r="L54" i="8" s="1"/>
  <c r="K52" i="8"/>
  <c r="K54" i="8" s="1"/>
  <c r="J52" i="8"/>
  <c r="I52" i="8"/>
  <c r="H52" i="8"/>
  <c r="G52" i="8"/>
  <c r="F52" i="8"/>
  <c r="F54" i="8" s="1"/>
  <c r="E52" i="8"/>
  <c r="L48" i="8"/>
  <c r="K48" i="8"/>
  <c r="F48" i="8"/>
  <c r="C48" i="8"/>
  <c r="L47" i="8"/>
  <c r="K47" i="8"/>
  <c r="K49" i="8" s="1"/>
  <c r="J47" i="8"/>
  <c r="I47" i="8"/>
  <c r="H47" i="8"/>
  <c r="G47" i="8"/>
  <c r="F47" i="8"/>
  <c r="F49" i="8" s="1"/>
  <c r="E47" i="8"/>
  <c r="D47" i="8"/>
  <c r="L44" i="8"/>
  <c r="K44" i="8"/>
  <c r="J44" i="8"/>
  <c r="I44" i="8"/>
  <c r="H44" i="8"/>
  <c r="G44" i="8"/>
  <c r="F44" i="8"/>
  <c r="E44" i="8"/>
  <c r="D44" i="8"/>
  <c r="C44" i="8"/>
  <c r="B44" i="8"/>
  <c r="L43" i="8"/>
  <c r="K43" i="8"/>
  <c r="J43" i="8"/>
  <c r="I43" i="8"/>
  <c r="H43" i="8"/>
  <c r="G43" i="8"/>
  <c r="F43" i="8"/>
  <c r="E43" i="8"/>
  <c r="D43" i="8"/>
  <c r="B43" i="8"/>
  <c r="L36" i="8"/>
  <c r="L38" i="8" s="1"/>
  <c r="K36" i="8"/>
  <c r="K38" i="8" s="1"/>
  <c r="F36" i="8"/>
  <c r="C36" i="8"/>
  <c r="C38" i="8" s="1"/>
  <c r="L35" i="8"/>
  <c r="L37" i="8" s="1"/>
  <c r="K35" i="8"/>
  <c r="K37" i="8" s="1"/>
  <c r="F35" i="8"/>
  <c r="C35" i="8"/>
  <c r="C37" i="8" s="1"/>
  <c r="B73" i="7"/>
  <c r="L69" i="7"/>
  <c r="K69" i="7"/>
  <c r="F69" i="7"/>
  <c r="B69" i="7"/>
  <c r="L68" i="7"/>
  <c r="K68" i="7"/>
  <c r="F68" i="7"/>
  <c r="L66" i="7"/>
  <c r="K66" i="7"/>
  <c r="B66" i="7"/>
  <c r="L65" i="7"/>
  <c r="K65" i="7"/>
  <c r="F65" i="7"/>
  <c r="L60" i="7"/>
  <c r="K60" i="7"/>
  <c r="J60" i="7"/>
  <c r="I60" i="7"/>
  <c r="H60" i="7"/>
  <c r="G60" i="7"/>
  <c r="F60" i="7"/>
  <c r="E60" i="7"/>
  <c r="D60" i="7"/>
  <c r="B60" i="7"/>
  <c r="K54" i="7"/>
  <c r="L53" i="7"/>
  <c r="K53" i="7"/>
  <c r="F53" i="7"/>
  <c r="L52" i="7"/>
  <c r="K52" i="7"/>
  <c r="J52" i="7"/>
  <c r="I52" i="7"/>
  <c r="H52" i="7"/>
  <c r="G52" i="7"/>
  <c r="F52" i="7"/>
  <c r="F54" i="7" s="1"/>
  <c r="E52" i="7"/>
  <c r="L48" i="7"/>
  <c r="K48" i="7"/>
  <c r="F48" i="7"/>
  <c r="L47" i="7"/>
  <c r="L49" i="7" s="1"/>
  <c r="K47" i="7"/>
  <c r="J47" i="7"/>
  <c r="I47" i="7"/>
  <c r="H47" i="7"/>
  <c r="G47" i="7"/>
  <c r="F47" i="7"/>
  <c r="E47" i="7"/>
  <c r="L44" i="7"/>
  <c r="K44" i="7"/>
  <c r="J44" i="7"/>
  <c r="I44" i="7"/>
  <c r="H44" i="7"/>
  <c r="G44" i="7"/>
  <c r="F44" i="7"/>
  <c r="E44" i="7"/>
  <c r="D44" i="7"/>
  <c r="B44" i="7"/>
  <c r="L43" i="7"/>
  <c r="K43" i="7"/>
  <c r="J43" i="7"/>
  <c r="I43" i="7"/>
  <c r="H43" i="7"/>
  <c r="G43" i="7"/>
  <c r="F43" i="7"/>
  <c r="E43" i="7"/>
  <c r="D43" i="7"/>
  <c r="B43" i="7"/>
  <c r="K38" i="7"/>
  <c r="L36" i="7"/>
  <c r="L38" i="7" s="1"/>
  <c r="K36" i="7"/>
  <c r="F36" i="7"/>
  <c r="F38" i="7" s="1"/>
  <c r="F62" i="7" s="1"/>
  <c r="C36" i="7"/>
  <c r="B36" i="7"/>
  <c r="L35" i="7"/>
  <c r="L37" i="7" s="1"/>
  <c r="K35" i="7"/>
  <c r="K37" i="7" s="1"/>
  <c r="F35" i="7"/>
  <c r="F37" i="7" s="1"/>
  <c r="C35" i="7"/>
  <c r="C37" i="7" s="1"/>
  <c r="B35" i="7"/>
  <c r="B37" i="7" s="1"/>
  <c r="F23" i="2"/>
  <c r="F23" i="10"/>
  <c r="C23" i="10"/>
  <c r="F23" i="9"/>
  <c r="L23" i="3"/>
  <c r="K23" i="3"/>
  <c r="F23" i="3"/>
  <c r="C23" i="3"/>
  <c r="L23" i="8"/>
  <c r="K23" i="8"/>
  <c r="F23" i="8"/>
  <c r="C23" i="8"/>
  <c r="L23" i="7"/>
  <c r="K23" i="7"/>
  <c r="F23" i="7"/>
  <c r="C23" i="7"/>
  <c r="C23" i="4"/>
  <c r="C22" i="7"/>
  <c r="C53" i="7" s="1"/>
  <c r="C20" i="7"/>
  <c r="B20" i="7" s="1"/>
  <c r="C11" i="7"/>
  <c r="C13" i="7"/>
  <c r="C43" i="7" s="1"/>
  <c r="C14" i="7"/>
  <c r="C15" i="7"/>
  <c r="C44" i="7" s="1"/>
  <c r="C10" i="7"/>
  <c r="F68" i="4"/>
  <c r="F65" i="4"/>
  <c r="D60" i="4"/>
  <c r="E60" i="4"/>
  <c r="G60" i="4"/>
  <c r="H60" i="4"/>
  <c r="I60" i="4"/>
  <c r="J60" i="4"/>
  <c r="K60" i="4"/>
  <c r="L60" i="4"/>
  <c r="F53" i="4"/>
  <c r="E52" i="4"/>
  <c r="F52" i="4"/>
  <c r="G52" i="4"/>
  <c r="H52" i="4"/>
  <c r="I52" i="4"/>
  <c r="J52" i="4"/>
  <c r="K52" i="4"/>
  <c r="L52" i="4"/>
  <c r="L54" i="4" s="1"/>
  <c r="F35" i="4"/>
  <c r="F36" i="4"/>
  <c r="F38" i="4" s="1"/>
  <c r="C35" i="4"/>
  <c r="C36" i="4"/>
  <c r="C61" i="4" s="1"/>
  <c r="F48" i="4"/>
  <c r="E47" i="4"/>
  <c r="G47" i="4"/>
  <c r="H47" i="4"/>
  <c r="I47" i="4"/>
  <c r="J47" i="4"/>
  <c r="K47" i="4"/>
  <c r="L47" i="4"/>
  <c r="C43" i="4"/>
  <c r="D43" i="4"/>
  <c r="E43" i="4"/>
  <c r="F43" i="4"/>
  <c r="G43" i="4"/>
  <c r="H43" i="4"/>
  <c r="I43" i="4"/>
  <c r="J43" i="4"/>
  <c r="K43" i="4"/>
  <c r="L43" i="4"/>
  <c r="D44" i="4"/>
  <c r="E44" i="4"/>
  <c r="F44" i="4"/>
  <c r="G44" i="4"/>
  <c r="H44" i="4"/>
  <c r="I44" i="4"/>
  <c r="J44" i="4"/>
  <c r="K44" i="4"/>
  <c r="L44" i="4"/>
  <c r="F23" i="4"/>
  <c r="C22" i="4"/>
  <c r="C53" i="4" s="1"/>
  <c r="C20" i="4"/>
  <c r="C11" i="4"/>
  <c r="C11" i="9" s="1"/>
  <c r="C13" i="4"/>
  <c r="C14" i="4"/>
  <c r="C66" i="4" s="1"/>
  <c r="C15" i="4"/>
  <c r="C44" i="4" s="1"/>
  <c r="C10" i="4"/>
  <c r="C10" i="9" s="1"/>
  <c r="C69" i="4" l="1"/>
  <c r="L62" i="3"/>
  <c r="C22" i="10"/>
  <c r="C20" i="2"/>
  <c r="F47" i="4"/>
  <c r="C37" i="4"/>
  <c r="F69" i="4"/>
  <c r="C38" i="7"/>
  <c r="K49" i="7"/>
  <c r="K67" i="7" s="1"/>
  <c r="F37" i="8"/>
  <c r="F61" i="8"/>
  <c r="F66" i="8"/>
  <c r="F52" i="3"/>
  <c r="F54" i="3" s="1"/>
  <c r="F66" i="3"/>
  <c r="C68" i="8"/>
  <c r="F36" i="2"/>
  <c r="L49" i="8"/>
  <c r="C22" i="2"/>
  <c r="C13" i="9"/>
  <c r="C43" i="9" s="1"/>
  <c r="F37" i="4"/>
  <c r="F62" i="4" s="1"/>
  <c r="F60" i="4"/>
  <c r="B23" i="7"/>
  <c r="B57" i="7" s="1"/>
  <c r="B23" i="8"/>
  <c r="B23" i="3"/>
  <c r="K61" i="7"/>
  <c r="C53" i="8"/>
  <c r="K49" i="3"/>
  <c r="L49" i="3"/>
  <c r="C65" i="3"/>
  <c r="F61" i="10"/>
  <c r="B48" i="7"/>
  <c r="C48" i="2"/>
  <c r="F61" i="4"/>
  <c r="L62" i="7"/>
  <c r="C69" i="7"/>
  <c r="L67" i="8"/>
  <c r="C69" i="8"/>
  <c r="C68" i="3"/>
  <c r="F48" i="2"/>
  <c r="B20" i="4"/>
  <c r="B22" i="7"/>
  <c r="B53" i="7" s="1"/>
  <c r="C48" i="4"/>
  <c r="F49" i="7"/>
  <c r="F67" i="7" s="1"/>
  <c r="C48" i="7"/>
  <c r="C60" i="7"/>
  <c r="C66" i="7"/>
  <c r="C14" i="9"/>
  <c r="C38" i="9" s="1"/>
  <c r="C62" i="9" s="1"/>
  <c r="B20" i="8"/>
  <c r="F54" i="4"/>
  <c r="C60" i="4"/>
  <c r="C62" i="7"/>
  <c r="L54" i="7"/>
  <c r="C47" i="8"/>
  <c r="C49" i="8" s="1"/>
  <c r="C65" i="8"/>
  <c r="K62" i="3"/>
  <c r="C15" i="9"/>
  <c r="C44" i="9" s="1"/>
  <c r="C20" i="9"/>
  <c r="C20" i="10"/>
  <c r="C69" i="9"/>
  <c r="B22" i="4"/>
  <c r="B61" i="7"/>
  <c r="L67" i="7"/>
  <c r="L62" i="8"/>
  <c r="C48" i="3"/>
  <c r="K61" i="8"/>
  <c r="L67" i="3"/>
  <c r="C53" i="2"/>
  <c r="B20" i="3"/>
  <c r="F49" i="4"/>
  <c r="F67" i="4" s="1"/>
  <c r="K67" i="8"/>
  <c r="C35" i="9"/>
  <c r="C37" i="9" s="1"/>
  <c r="C38" i="4"/>
  <c r="C62" i="4" s="1"/>
  <c r="K61" i="3"/>
  <c r="C36" i="2"/>
  <c r="B38" i="7"/>
  <c r="B62" i="7" s="1"/>
  <c r="F61" i="2"/>
  <c r="C61" i="2"/>
  <c r="C61" i="10"/>
  <c r="F61" i="9"/>
  <c r="C23" i="9"/>
  <c r="F61" i="3"/>
  <c r="F38" i="3"/>
  <c r="F62" i="3" s="1"/>
  <c r="F60" i="3"/>
  <c r="F67" i="3"/>
  <c r="C47" i="3"/>
  <c r="C49" i="3" s="1"/>
  <c r="C67" i="3" s="1"/>
  <c r="C62" i="3"/>
  <c r="F38" i="8"/>
  <c r="F62" i="8" s="1"/>
  <c r="F67" i="8"/>
  <c r="C60" i="8"/>
  <c r="C62" i="8"/>
  <c r="K67" i="3"/>
  <c r="L61" i="3"/>
  <c r="C61" i="3"/>
  <c r="K62" i="8"/>
  <c r="C67" i="8"/>
  <c r="L61" i="8"/>
  <c r="C61" i="8"/>
  <c r="K62" i="7"/>
  <c r="L61" i="7"/>
  <c r="F61" i="7"/>
  <c r="C61" i="7"/>
  <c r="L66" i="4"/>
  <c r="L65" i="4"/>
  <c r="K65" i="4"/>
  <c r="K54" i="4"/>
  <c r="K53" i="4"/>
  <c r="K66" i="4"/>
  <c r="B44" i="4"/>
  <c r="B43" i="4"/>
  <c r="B73" i="4"/>
  <c r="B35" i="4"/>
  <c r="B37" i="4" s="1"/>
  <c r="D14" i="2"/>
  <c r="C60" i="9" l="1"/>
  <c r="C66" i="9"/>
  <c r="C48" i="9"/>
  <c r="C53" i="9"/>
  <c r="C48" i="10"/>
  <c r="C53" i="10"/>
  <c r="C61" i="9"/>
  <c r="B66" i="4"/>
  <c r="B48" i="4"/>
  <c r="L23" i="4" l="1"/>
  <c r="D16" i="3"/>
  <c r="D16" i="8"/>
  <c r="D52" i="3" l="1"/>
  <c r="C16" i="3"/>
  <c r="C52" i="3" s="1"/>
  <c r="C54" i="3" s="1"/>
  <c r="B16" i="3"/>
  <c r="B52" i="3" s="1"/>
  <c r="D52" i="8"/>
  <c r="B16" i="8"/>
  <c r="B52" i="8" s="1"/>
  <c r="C16" i="8"/>
  <c r="C52" i="8" s="1"/>
  <c r="C54" i="8" s="1"/>
  <c r="L35" i="4"/>
  <c r="L37" i="4" s="1"/>
  <c r="L36" i="4"/>
  <c r="L61" i="4" l="1"/>
  <c r="L38" i="4"/>
  <c r="L62" i="4" s="1"/>
  <c r="J16" i="2"/>
  <c r="I16" i="2"/>
  <c r="I11" i="2"/>
  <c r="J11" i="2"/>
  <c r="I12" i="2"/>
  <c r="J12" i="2"/>
  <c r="I13" i="2"/>
  <c r="I43" i="2" s="1"/>
  <c r="J13" i="2"/>
  <c r="J43" i="2" s="1"/>
  <c r="I14" i="2"/>
  <c r="J14" i="2"/>
  <c r="I15" i="2"/>
  <c r="I44" i="2" s="1"/>
  <c r="J15" i="2"/>
  <c r="J44" i="2" s="1"/>
  <c r="J10" i="2"/>
  <c r="I10" i="2"/>
  <c r="J16" i="10"/>
  <c r="I16" i="10"/>
  <c r="I11" i="10"/>
  <c r="J11" i="10"/>
  <c r="I12" i="10"/>
  <c r="J12" i="10"/>
  <c r="I13" i="10"/>
  <c r="I43" i="10" s="1"/>
  <c r="J13" i="10"/>
  <c r="J43" i="10" s="1"/>
  <c r="I14" i="10"/>
  <c r="J14" i="10"/>
  <c r="I15" i="10"/>
  <c r="I44" i="10" s="1"/>
  <c r="J15" i="10"/>
  <c r="J44" i="10" s="1"/>
  <c r="J10" i="10"/>
  <c r="I10" i="10"/>
  <c r="J16" i="9"/>
  <c r="I16" i="9"/>
  <c r="I11" i="9"/>
  <c r="J11" i="9"/>
  <c r="I12" i="9"/>
  <c r="J12" i="9"/>
  <c r="I13" i="9"/>
  <c r="I43" i="9" s="1"/>
  <c r="J13" i="9"/>
  <c r="J43" i="9" s="1"/>
  <c r="I14" i="9"/>
  <c r="J14" i="9"/>
  <c r="I15" i="9"/>
  <c r="I44" i="9" s="1"/>
  <c r="J15" i="9"/>
  <c r="J44" i="9" s="1"/>
  <c r="I10" i="9"/>
  <c r="J10" i="9"/>
  <c r="K36" i="4"/>
  <c r="I52" i="10" l="1"/>
  <c r="I47" i="10"/>
  <c r="I60" i="10"/>
  <c r="J52" i="10"/>
  <c r="J47" i="10"/>
  <c r="J60" i="10"/>
  <c r="I47" i="2"/>
  <c r="I52" i="2"/>
  <c r="I60" i="2"/>
  <c r="J47" i="2"/>
  <c r="J52" i="2"/>
  <c r="J60" i="2"/>
  <c r="K38" i="4"/>
  <c r="I60" i="9"/>
  <c r="I52" i="9"/>
  <c r="I47" i="9"/>
  <c r="J60" i="9"/>
  <c r="J52" i="9"/>
  <c r="J47" i="9"/>
  <c r="L48" i="4"/>
  <c r="L68" i="4"/>
  <c r="L69" i="4"/>
  <c r="D12" i="7"/>
  <c r="D47" i="7" l="1"/>
  <c r="C12" i="7"/>
  <c r="B12" i="7"/>
  <c r="L49" i="4"/>
  <c r="L67" i="4" s="1"/>
  <c r="C68" i="7" l="1"/>
  <c r="C47" i="7"/>
  <c r="C49" i="7" s="1"/>
  <c r="C65" i="7"/>
  <c r="B47" i="7"/>
  <c r="B49" i="7" s="1"/>
  <c r="B67" i="7" s="1"/>
  <c r="B68" i="7"/>
  <c r="B65" i="7"/>
  <c r="K23" i="4"/>
  <c r="B23" i="4" s="1"/>
  <c r="B57" i="4" s="1"/>
  <c r="L19" i="2"/>
  <c r="L35" i="2" s="1"/>
  <c r="L20" i="2"/>
  <c r="L21" i="2"/>
  <c r="K20" i="2"/>
  <c r="K21" i="2"/>
  <c r="K19" i="2"/>
  <c r="L48" i="2" l="1"/>
  <c r="L36" i="2"/>
  <c r="L23" i="2"/>
  <c r="C67" i="7"/>
  <c r="K35" i="2"/>
  <c r="B19" i="2"/>
  <c r="B35" i="2" s="1"/>
  <c r="K48" i="2"/>
  <c r="K36" i="2"/>
  <c r="K23" i="2"/>
  <c r="B23" i="2" s="1"/>
  <c r="B57" i="2" s="1"/>
  <c r="K66" i="2"/>
  <c r="K64" i="2" s="1"/>
  <c r="B21" i="2"/>
  <c r="B20" i="2"/>
  <c r="K10" i="9"/>
  <c r="L10" i="9"/>
  <c r="K11" i="9"/>
  <c r="L11" i="9"/>
  <c r="H12" i="9"/>
  <c r="K12" i="9"/>
  <c r="L12" i="9"/>
  <c r="H13" i="9"/>
  <c r="H43" i="9" s="1"/>
  <c r="K13" i="9"/>
  <c r="K43" i="9" s="1"/>
  <c r="L13" i="9"/>
  <c r="L43" i="9" s="1"/>
  <c r="H14" i="9"/>
  <c r="K14" i="9"/>
  <c r="L14" i="9"/>
  <c r="H15" i="9"/>
  <c r="H44" i="9" s="1"/>
  <c r="K15" i="9"/>
  <c r="K44" i="9" s="1"/>
  <c r="L15" i="9"/>
  <c r="L44" i="9" s="1"/>
  <c r="H16" i="9"/>
  <c r="K16" i="9"/>
  <c r="L16" i="9"/>
  <c r="K10" i="10"/>
  <c r="L10" i="10"/>
  <c r="K11" i="10"/>
  <c r="L11" i="10"/>
  <c r="H12" i="10"/>
  <c r="K12" i="10"/>
  <c r="L12" i="10"/>
  <c r="H13" i="10"/>
  <c r="H43" i="10" s="1"/>
  <c r="K13" i="10"/>
  <c r="K43" i="10" s="1"/>
  <c r="L13" i="10"/>
  <c r="L43" i="10" s="1"/>
  <c r="H14" i="10"/>
  <c r="K14" i="10"/>
  <c r="L14" i="10"/>
  <c r="H15" i="10"/>
  <c r="H44" i="10" s="1"/>
  <c r="K15" i="10"/>
  <c r="K44" i="10" s="1"/>
  <c r="L15" i="10"/>
  <c r="L44" i="10" s="1"/>
  <c r="H16" i="10"/>
  <c r="K16" i="10"/>
  <c r="L16" i="10"/>
  <c r="K10" i="2"/>
  <c r="L10" i="2"/>
  <c r="L37" i="2" s="1"/>
  <c r="K11" i="2"/>
  <c r="L11" i="2"/>
  <c r="H12" i="2"/>
  <c r="K12" i="2"/>
  <c r="K65" i="2" s="1"/>
  <c r="L12" i="2"/>
  <c r="L65" i="2" s="1"/>
  <c r="H13" i="2"/>
  <c r="H43" i="2" s="1"/>
  <c r="K13" i="2"/>
  <c r="K43" i="2" s="1"/>
  <c r="L13" i="2"/>
  <c r="L43" i="2" s="1"/>
  <c r="H14" i="2"/>
  <c r="K14" i="2"/>
  <c r="K69" i="2" s="1"/>
  <c r="L14" i="2"/>
  <c r="H15" i="2"/>
  <c r="H44" i="2" s="1"/>
  <c r="K15" i="2"/>
  <c r="K44" i="2" s="1"/>
  <c r="L15" i="2"/>
  <c r="L44" i="2" s="1"/>
  <c r="H16" i="2"/>
  <c r="K16" i="2"/>
  <c r="L16" i="2"/>
  <c r="D11" i="2"/>
  <c r="E11" i="2"/>
  <c r="G11" i="2"/>
  <c r="F11" i="2" s="1"/>
  <c r="E12" i="2"/>
  <c r="G12" i="2"/>
  <c r="D13" i="2"/>
  <c r="E13" i="2"/>
  <c r="E43" i="2" s="1"/>
  <c r="G13" i="2"/>
  <c r="E14" i="2"/>
  <c r="G14" i="2"/>
  <c r="D15" i="2"/>
  <c r="E15" i="2"/>
  <c r="E44" i="2" s="1"/>
  <c r="G15" i="2"/>
  <c r="G10" i="2"/>
  <c r="E10" i="2"/>
  <c r="D10" i="2"/>
  <c r="L22" i="2"/>
  <c r="L53" i="2" s="1"/>
  <c r="D11" i="10"/>
  <c r="E11" i="10"/>
  <c r="G11" i="10"/>
  <c r="F11" i="10" s="1"/>
  <c r="E12" i="10"/>
  <c r="G12" i="10"/>
  <c r="F12" i="10" s="1"/>
  <c r="D13" i="10"/>
  <c r="E13" i="10"/>
  <c r="E43" i="10" s="1"/>
  <c r="G13" i="10"/>
  <c r="D14" i="10"/>
  <c r="E14" i="10"/>
  <c r="G14" i="10"/>
  <c r="D15" i="10"/>
  <c r="E15" i="10"/>
  <c r="E44" i="10" s="1"/>
  <c r="G15" i="10"/>
  <c r="G10" i="10"/>
  <c r="F10" i="10" s="1"/>
  <c r="F37" i="10" s="1"/>
  <c r="E10" i="10"/>
  <c r="D10" i="10"/>
  <c r="G11" i="9"/>
  <c r="F11" i="9" s="1"/>
  <c r="G12" i="9"/>
  <c r="F12" i="9" s="1"/>
  <c r="G13" i="9"/>
  <c r="G14" i="9"/>
  <c r="G15" i="9"/>
  <c r="G10" i="9"/>
  <c r="E11" i="9"/>
  <c r="E12" i="9"/>
  <c r="E13" i="9"/>
  <c r="E43" i="9" s="1"/>
  <c r="E14" i="9"/>
  <c r="E15" i="9"/>
  <c r="E44" i="9" s="1"/>
  <c r="E10" i="9"/>
  <c r="D11" i="9"/>
  <c r="D13" i="9"/>
  <c r="D14" i="9"/>
  <c r="D15" i="9"/>
  <c r="D10" i="9"/>
  <c r="D16" i="7"/>
  <c r="D16" i="4"/>
  <c r="F10" i="9" l="1"/>
  <c r="F37" i="9" s="1"/>
  <c r="F10" i="2"/>
  <c r="F37" i="2" s="1"/>
  <c r="L68" i="2"/>
  <c r="F12" i="2"/>
  <c r="F68" i="2" s="1"/>
  <c r="B10" i="2"/>
  <c r="C10" i="2"/>
  <c r="C37" i="2" s="1"/>
  <c r="D60" i="2"/>
  <c r="D44" i="9"/>
  <c r="B15" i="9"/>
  <c r="B44" i="9" s="1"/>
  <c r="B10" i="10"/>
  <c r="C10" i="10"/>
  <c r="C37" i="10" s="1"/>
  <c r="B14" i="10"/>
  <c r="D60" i="10"/>
  <c r="C14" i="10"/>
  <c r="B11" i="10"/>
  <c r="C11" i="10"/>
  <c r="G60" i="2"/>
  <c r="F14" i="2"/>
  <c r="G47" i="2"/>
  <c r="B14" i="2"/>
  <c r="B69" i="2" s="1"/>
  <c r="L47" i="2"/>
  <c r="L49" i="2" s="1"/>
  <c r="L52" i="2"/>
  <c r="L54" i="2" s="1"/>
  <c r="L60" i="2"/>
  <c r="H60" i="9"/>
  <c r="H52" i="9"/>
  <c r="H47" i="9"/>
  <c r="B37" i="2"/>
  <c r="L66" i="2"/>
  <c r="B16" i="7"/>
  <c r="B52" i="7" s="1"/>
  <c r="B54" i="7" s="1"/>
  <c r="D52" i="7"/>
  <c r="C16" i="7"/>
  <c r="E47" i="9"/>
  <c r="E60" i="9"/>
  <c r="F68" i="9"/>
  <c r="F65" i="9"/>
  <c r="F14" i="10"/>
  <c r="G60" i="10"/>
  <c r="G47" i="10"/>
  <c r="L60" i="9"/>
  <c r="L52" i="9"/>
  <c r="L47" i="9"/>
  <c r="B10" i="9"/>
  <c r="K68" i="2"/>
  <c r="K60" i="9"/>
  <c r="K52" i="9"/>
  <c r="K47" i="9"/>
  <c r="D52" i="4"/>
  <c r="C16" i="4"/>
  <c r="C52" i="4" s="1"/>
  <c r="C54" i="4" s="1"/>
  <c r="B16" i="4"/>
  <c r="B52" i="4" s="1"/>
  <c r="G43" i="9"/>
  <c r="F13" i="9"/>
  <c r="F43" i="9" s="1"/>
  <c r="D44" i="10"/>
  <c r="B15" i="10"/>
  <c r="B44" i="10" s="1"/>
  <c r="C15" i="10"/>
  <c r="C44" i="10" s="1"/>
  <c r="F15" i="2"/>
  <c r="F44" i="2" s="1"/>
  <c r="G44" i="2"/>
  <c r="H60" i="10"/>
  <c r="H52" i="10"/>
  <c r="H47" i="10"/>
  <c r="K61" i="2"/>
  <c r="K38" i="2"/>
  <c r="L38" i="2"/>
  <c r="L62" i="2" s="1"/>
  <c r="L61" i="2"/>
  <c r="E47" i="10"/>
  <c r="E60" i="10"/>
  <c r="F68" i="10"/>
  <c r="F65" i="10"/>
  <c r="B13" i="2"/>
  <c r="B43" i="2" s="1"/>
  <c r="D43" i="2"/>
  <c r="C13" i="2"/>
  <c r="C43" i="2" s="1"/>
  <c r="K52" i="10"/>
  <c r="K47" i="10"/>
  <c r="K60" i="10"/>
  <c r="D44" i="2"/>
  <c r="C15" i="2"/>
  <c r="C44" i="2" s="1"/>
  <c r="B15" i="2"/>
  <c r="B44" i="2" s="1"/>
  <c r="F14" i="9"/>
  <c r="G60" i="9"/>
  <c r="G47" i="9"/>
  <c r="F15" i="9"/>
  <c r="F44" i="9" s="1"/>
  <c r="G44" i="9"/>
  <c r="G44" i="10"/>
  <c r="F15" i="10"/>
  <c r="F44" i="10" s="1"/>
  <c r="B13" i="10"/>
  <c r="B43" i="10" s="1"/>
  <c r="D43" i="10"/>
  <c r="C13" i="10"/>
  <c r="C43" i="10" s="1"/>
  <c r="L52" i="10"/>
  <c r="L47" i="10"/>
  <c r="L60" i="10"/>
  <c r="B11" i="9"/>
  <c r="L69" i="2"/>
  <c r="B13" i="9"/>
  <c r="B43" i="9" s="1"/>
  <c r="D43" i="9"/>
  <c r="G43" i="2"/>
  <c r="F13" i="2"/>
  <c r="F43" i="2" s="1"/>
  <c r="H47" i="2"/>
  <c r="H52" i="2"/>
  <c r="H60" i="2"/>
  <c r="B14" i="9"/>
  <c r="D60" i="9"/>
  <c r="F13" i="10"/>
  <c r="F43" i="10" s="1"/>
  <c r="G43" i="10"/>
  <c r="E47" i="2"/>
  <c r="E60" i="2"/>
  <c r="C14" i="2"/>
  <c r="B11" i="2"/>
  <c r="C11" i="2"/>
  <c r="K47" i="2"/>
  <c r="K49" i="2" s="1"/>
  <c r="K67" i="2" s="1"/>
  <c r="K52" i="2"/>
  <c r="K60" i="2"/>
  <c r="B48" i="2"/>
  <c r="B36" i="2"/>
  <c r="K37" i="2"/>
  <c r="K69" i="4"/>
  <c r="F65" i="2" l="1"/>
  <c r="L67" i="2"/>
  <c r="K62" i="2"/>
  <c r="F66" i="2"/>
  <c r="F60" i="2"/>
  <c r="F47" i="2"/>
  <c r="F49" i="2" s="1"/>
  <c r="F38" i="2"/>
  <c r="F62" i="2" s="1"/>
  <c r="F69" i="2"/>
  <c r="B60" i="9"/>
  <c r="B60" i="10"/>
  <c r="C60" i="2"/>
  <c r="C69" i="2"/>
  <c r="C66" i="2"/>
  <c r="C38" i="2"/>
  <c r="C62" i="2" s="1"/>
  <c r="F69" i="9"/>
  <c r="F47" i="9"/>
  <c r="F49" i="9" s="1"/>
  <c r="F38" i="9"/>
  <c r="F62" i="9" s="1"/>
  <c r="F66" i="9"/>
  <c r="F60" i="9"/>
  <c r="B66" i="2"/>
  <c r="B60" i="2"/>
  <c r="F67" i="2"/>
  <c r="F66" i="10"/>
  <c r="F67" i="10" s="1"/>
  <c r="F47" i="10"/>
  <c r="F49" i="10" s="1"/>
  <c r="F69" i="10"/>
  <c r="F60" i="10"/>
  <c r="F38" i="10"/>
  <c r="F62" i="10" s="1"/>
  <c r="C60" i="10"/>
  <c r="C69" i="10"/>
  <c r="C66" i="10"/>
  <c r="C38" i="10"/>
  <c r="C62" i="10" s="1"/>
  <c r="B61" i="2"/>
  <c r="B38" i="2"/>
  <c r="B62" i="2" s="1"/>
  <c r="C16" i="9"/>
  <c r="C52" i="9" s="1"/>
  <c r="C54" i="9" s="1"/>
  <c r="C52" i="7"/>
  <c r="C54" i="7" s="1"/>
  <c r="D12" i="4"/>
  <c r="F67" i="9" l="1"/>
  <c r="B12" i="4"/>
  <c r="D47" i="4"/>
  <c r="C12" i="4"/>
  <c r="D12" i="2"/>
  <c r="D12" i="10"/>
  <c r="D12" i="9"/>
  <c r="C68" i="4" l="1"/>
  <c r="C47" i="4"/>
  <c r="C49" i="4" s="1"/>
  <c r="C12" i="9"/>
  <c r="C65" i="4"/>
  <c r="C67" i="4" s="1"/>
  <c r="B47" i="4"/>
  <c r="B49" i="4" s="1"/>
  <c r="B65" i="4"/>
  <c r="B12" i="2"/>
  <c r="C12" i="2"/>
  <c r="D47" i="2"/>
  <c r="B12" i="10"/>
  <c r="B47" i="10" s="1"/>
  <c r="C12" i="10"/>
  <c r="D47" i="10"/>
  <c r="B12" i="9"/>
  <c r="B47" i="9" s="1"/>
  <c r="D47" i="9"/>
  <c r="B27" i="9"/>
  <c r="B27" i="10"/>
  <c r="B27" i="2"/>
  <c r="B73" i="2" s="1"/>
  <c r="L22" i="9"/>
  <c r="K22" i="9"/>
  <c r="L20" i="9"/>
  <c r="K21" i="9"/>
  <c r="L21" i="9"/>
  <c r="L19" i="9"/>
  <c r="L35" i="9" s="1"/>
  <c r="L37" i="9" s="1"/>
  <c r="K19" i="9"/>
  <c r="L20" i="10"/>
  <c r="K21" i="10"/>
  <c r="L21" i="10"/>
  <c r="L19" i="10"/>
  <c r="L35" i="10" s="1"/>
  <c r="L37" i="10" s="1"/>
  <c r="K19" i="10"/>
  <c r="L22" i="10"/>
  <c r="K22" i="10"/>
  <c r="K22" i="2"/>
  <c r="E16" i="9"/>
  <c r="E52" i="9" s="1"/>
  <c r="G16" i="9"/>
  <c r="D16" i="9"/>
  <c r="E16" i="10"/>
  <c r="E52" i="10" s="1"/>
  <c r="G16" i="10"/>
  <c r="D16" i="10"/>
  <c r="E16" i="2"/>
  <c r="E52" i="2" s="1"/>
  <c r="G16" i="2"/>
  <c r="D16" i="2"/>
  <c r="C16" i="2" l="1"/>
  <c r="C52" i="2" s="1"/>
  <c r="C54" i="2" s="1"/>
  <c r="B16" i="2"/>
  <c r="B52" i="2" s="1"/>
  <c r="D52" i="2"/>
  <c r="L65" i="10"/>
  <c r="L68" i="10"/>
  <c r="F16" i="9"/>
  <c r="F52" i="9" s="1"/>
  <c r="F54" i="9" s="1"/>
  <c r="G52" i="9"/>
  <c r="K66" i="10"/>
  <c r="K36" i="10"/>
  <c r="K23" i="10"/>
  <c r="K69" i="10"/>
  <c r="K53" i="10"/>
  <c r="K54" i="10" s="1"/>
  <c r="B21" i="10"/>
  <c r="B16" i="9"/>
  <c r="B52" i="9" s="1"/>
  <c r="D52" i="9"/>
  <c r="L69" i="10"/>
  <c r="L53" i="10"/>
  <c r="L54" i="10" s="1"/>
  <c r="L48" i="10"/>
  <c r="L49" i="10" s="1"/>
  <c r="L36" i="10"/>
  <c r="L66" i="10"/>
  <c r="L23" i="10"/>
  <c r="C65" i="10"/>
  <c r="C68" i="10"/>
  <c r="C47" i="10"/>
  <c r="C49" i="10" s="1"/>
  <c r="C47" i="9"/>
  <c r="C49" i="9" s="1"/>
  <c r="C67" i="9" s="1"/>
  <c r="C68" i="9"/>
  <c r="C65" i="9"/>
  <c r="B22" i="9"/>
  <c r="F16" i="10"/>
  <c r="F52" i="10" s="1"/>
  <c r="F54" i="10" s="1"/>
  <c r="G52" i="10"/>
  <c r="K69" i="9"/>
  <c r="K23" i="9"/>
  <c r="B23" i="9" s="1"/>
  <c r="B57" i="9" s="1"/>
  <c r="B21" i="9"/>
  <c r="K66" i="9"/>
  <c r="K53" i="9"/>
  <c r="K54" i="9" s="1"/>
  <c r="K36" i="9"/>
  <c r="B67" i="4"/>
  <c r="L65" i="9"/>
  <c r="L68" i="9"/>
  <c r="K35" i="10"/>
  <c r="K37" i="10" s="1"/>
  <c r="B19" i="10"/>
  <c r="B35" i="10" s="1"/>
  <c r="B37" i="10" s="1"/>
  <c r="B16" i="10"/>
  <c r="B52" i="10" s="1"/>
  <c r="C16" i="10"/>
  <c r="C52" i="10" s="1"/>
  <c r="C54" i="10" s="1"/>
  <c r="D52" i="10"/>
  <c r="L53" i="9"/>
  <c r="L54" i="9" s="1"/>
  <c r="L48" i="9"/>
  <c r="L49" i="9" s="1"/>
  <c r="L36" i="9"/>
  <c r="L66" i="9"/>
  <c r="L23" i="9"/>
  <c r="L69" i="9"/>
  <c r="B65" i="2"/>
  <c r="B64" i="2" s="1"/>
  <c r="B68" i="2"/>
  <c r="B47" i="2"/>
  <c r="B49" i="2" s="1"/>
  <c r="F16" i="2"/>
  <c r="F52" i="2" s="1"/>
  <c r="F54" i="2" s="1"/>
  <c r="G52" i="2"/>
  <c r="B22" i="2"/>
  <c r="B53" i="2" s="1"/>
  <c r="K53" i="2"/>
  <c r="K54" i="2" s="1"/>
  <c r="K35" i="9"/>
  <c r="K37" i="9" s="1"/>
  <c r="B19" i="9"/>
  <c r="B35" i="9" s="1"/>
  <c r="B37" i="9" s="1"/>
  <c r="C65" i="2"/>
  <c r="C68" i="2"/>
  <c r="C47" i="2"/>
  <c r="C49" i="2" s="1"/>
  <c r="B22" i="10"/>
  <c r="K20" i="9"/>
  <c r="K48" i="9" s="1"/>
  <c r="K49" i="9" s="1"/>
  <c r="K20" i="10"/>
  <c r="B35" i="3"/>
  <c r="B35" i="8"/>
  <c r="B37" i="8" s="1"/>
  <c r="B26" i="4"/>
  <c r="B72" i="4" s="1"/>
  <c r="B53" i="4"/>
  <c r="B54" i="4" s="1"/>
  <c r="L67" i="10" l="1"/>
  <c r="K38" i="10"/>
  <c r="K62" i="10" s="1"/>
  <c r="K61" i="10"/>
  <c r="B67" i="2"/>
  <c r="L67" i="9"/>
  <c r="L38" i="9"/>
  <c r="L62" i="9" s="1"/>
  <c r="L61" i="9"/>
  <c r="B36" i="9"/>
  <c r="B66" i="9"/>
  <c r="B69" i="9"/>
  <c r="B53" i="9"/>
  <c r="B54" i="9" s="1"/>
  <c r="B73" i="9"/>
  <c r="B23" i="10"/>
  <c r="B57" i="10" s="1"/>
  <c r="B54" i="2"/>
  <c r="L38" i="10"/>
  <c r="L62" i="10" s="1"/>
  <c r="L61" i="10"/>
  <c r="K68" i="10"/>
  <c r="K65" i="10"/>
  <c r="B20" i="10"/>
  <c r="B26" i="10" s="1"/>
  <c r="B72" i="10" s="1"/>
  <c r="K48" i="10"/>
  <c r="K49" i="10" s="1"/>
  <c r="B73" i="10"/>
  <c r="B66" i="10"/>
  <c r="B69" i="10"/>
  <c r="B53" i="10"/>
  <c r="B54" i="10" s="1"/>
  <c r="B48" i="10"/>
  <c r="B49" i="10" s="1"/>
  <c r="B36" i="10"/>
  <c r="K68" i="9"/>
  <c r="K65" i="9"/>
  <c r="K67" i="9" s="1"/>
  <c r="B20" i="9"/>
  <c r="K38" i="9"/>
  <c r="K62" i="9" s="1"/>
  <c r="K61" i="9"/>
  <c r="C67" i="10"/>
  <c r="C67" i="2"/>
  <c r="B26" i="3"/>
  <c r="B72" i="3" s="1"/>
  <c r="B68" i="3"/>
  <c r="B65" i="3"/>
  <c r="B36" i="3"/>
  <c r="B38" i="3" s="1"/>
  <c r="B73" i="3"/>
  <c r="B66" i="3"/>
  <c r="B69" i="3"/>
  <c r="B53" i="3"/>
  <c r="B54" i="3" s="1"/>
  <c r="B48" i="3"/>
  <c r="B49" i="3" s="1"/>
  <c r="B57" i="3"/>
  <c r="B37" i="3"/>
  <c r="B66" i="8"/>
  <c r="B69" i="8"/>
  <c r="B36" i="8"/>
  <c r="B53" i="8"/>
  <c r="B54" i="8" s="1"/>
  <c r="B48" i="8"/>
  <c r="B49" i="8" s="1"/>
  <c r="B73" i="8"/>
  <c r="B57" i="8"/>
  <c r="B65" i="8"/>
  <c r="B68" i="8"/>
  <c r="B26" i="7"/>
  <c r="B72" i="7" s="1"/>
  <c r="B26" i="8"/>
  <c r="B72" i="8" s="1"/>
  <c r="B26" i="2"/>
  <c r="B72" i="2" s="1"/>
  <c r="B65" i="9" l="1"/>
  <c r="B68" i="9"/>
  <c r="B38" i="9"/>
  <c r="B62" i="9" s="1"/>
  <c r="B61" i="9"/>
  <c r="B38" i="10"/>
  <c r="B62" i="10" s="1"/>
  <c r="B61" i="10"/>
  <c r="B65" i="10"/>
  <c r="B67" i="10" s="1"/>
  <c r="B68" i="10"/>
  <c r="K67" i="10"/>
  <c r="B48" i="9"/>
  <c r="B49" i="9" s="1"/>
  <c r="B26" i="9"/>
  <c r="B72" i="9" s="1"/>
  <c r="B61" i="3"/>
  <c r="B67" i="3"/>
  <c r="B62" i="3"/>
  <c r="B67" i="8"/>
  <c r="B61" i="8"/>
  <c r="B38" i="8"/>
  <c r="B62" i="8" s="1"/>
  <c r="B67" i="9" l="1"/>
  <c r="K68" i="4"/>
  <c r="B69" i="4" l="1"/>
  <c r="B68" i="4" l="1"/>
  <c r="K48" i="4" l="1"/>
  <c r="K35" i="4"/>
  <c r="K37" i="4" l="1"/>
  <c r="K62" i="4" s="1"/>
  <c r="K61" i="4"/>
  <c r="K49" i="4"/>
  <c r="K67" i="4" s="1"/>
  <c r="B36" i="4"/>
  <c r="B38" i="4" s="1"/>
  <c r="B61" i="4" l="1"/>
  <c r="B62" i="4"/>
</calcChain>
</file>

<file path=xl/sharedStrings.xml><?xml version="1.0" encoding="utf-8"?>
<sst xmlns="http://schemas.openxmlformats.org/spreadsheetml/2006/main" count="574" uniqueCount="137">
  <si>
    <t>Indicador</t>
  </si>
  <si>
    <t>Total</t>
  </si>
  <si>
    <t>Productos</t>
  </si>
  <si>
    <t>programa</t>
  </si>
  <si>
    <t>Comidas Servidas</t>
  </si>
  <si>
    <t>DAF</t>
  </si>
  <si>
    <t>Insumos</t>
  </si>
  <si>
    <t xml:space="preserve">Beneficiarios </t>
  </si>
  <si>
    <t>Gasto FODESAF</t>
  </si>
  <si>
    <t>Ingresos FODESAF</t>
  </si>
  <si>
    <t>Otros insumos</t>
  </si>
  <si>
    <t>Población objetivo</t>
  </si>
  <si>
    <t>Cálculos intermedios</t>
  </si>
  <si>
    <t>Indicadores</t>
  </si>
  <si>
    <t>De Cobertura Potencial</t>
  </si>
  <si>
    <t>Cobertura Programada</t>
  </si>
  <si>
    <t>Cobertura Efectiva</t>
  </si>
  <si>
    <t>De resultado</t>
  </si>
  <si>
    <t>Índice efectividad en beneficiarios (IEB)</t>
  </si>
  <si>
    <t xml:space="preserve">Índice efectividad en gasto (IEG) </t>
  </si>
  <si>
    <t>Índice efectividad total (IET)</t>
  </si>
  <si>
    <t xml:space="preserve">De avance </t>
  </si>
  <si>
    <t xml:space="preserve">Índice avance beneficiarios (IAB) </t>
  </si>
  <si>
    <t>Índice avance gasto (IAG)</t>
  </si>
  <si>
    <t xml:space="preserve">Índice avance total (IAT) </t>
  </si>
  <si>
    <t>Índice transferencia efectiva del gasto (ITG)</t>
  </si>
  <si>
    <t>De expansión</t>
  </si>
  <si>
    <t xml:space="preserve">Índice de crecimiento beneficiarios (ICB) </t>
  </si>
  <si>
    <t xml:space="preserve">Índice de crecimiento del gasto real (ICGR) </t>
  </si>
  <si>
    <t xml:space="preserve">Índice de crecimiento del gasto real por beneficiario (ICGRB) </t>
  </si>
  <si>
    <t>De gasto medio</t>
  </si>
  <si>
    <t xml:space="preserve">Gasto programado por beneficiario (GPB) </t>
  </si>
  <si>
    <t xml:space="preserve">Gasto efectivo por beneficiario (GEB) </t>
  </si>
  <si>
    <t xml:space="preserve">Índice de eficiencia (IE) </t>
  </si>
  <si>
    <t>De giro de recursos</t>
  </si>
  <si>
    <t>Índice de giro efectivo (IGE)</t>
  </si>
  <si>
    <t xml:space="preserve">Índice de uso de recursos (IUR) </t>
  </si>
  <si>
    <t>(Niños de 2 a 6 años)</t>
  </si>
  <si>
    <t xml:space="preserve">Gasto efectivo trimestral por beneficiario (GEB) </t>
  </si>
  <si>
    <t xml:space="preserve">Gasto programado trimestral por beneficiario (GPB) </t>
  </si>
  <si>
    <t>De composición</t>
  </si>
  <si>
    <t xml:space="preserve">Gasto programado acumulado por beneficiario (GPB) </t>
  </si>
  <si>
    <t xml:space="preserve">Gasto efectivo acumulado por beneficiario (GEB) </t>
  </si>
  <si>
    <t>NOTAS</t>
  </si>
  <si>
    <t xml:space="preserve">Gasto mensual programado por beneficiario (GPB) </t>
  </si>
  <si>
    <t xml:space="preserve">Gasto mensual efectivo por beneficiario (GEB) </t>
  </si>
  <si>
    <t xml:space="preserve">Gasto programado mensual por beneficiario (GPB) </t>
  </si>
  <si>
    <t xml:space="preserve">Gasto efectivo mensual por beneficiario (GEB) </t>
  </si>
  <si>
    <t>Intramuros</t>
  </si>
  <si>
    <t>Extramuros</t>
  </si>
  <si>
    <t>El cálculo de beneficiarios del trimestre se toma como el promedio de los individuos atendidos en los tres meses, debido a que el grueso de la población es la misma a través del período.</t>
  </si>
  <si>
    <t>Red de cuido</t>
  </si>
  <si>
    <t>Leche  (kg)</t>
  </si>
  <si>
    <t>Los beneficiarios se miden como comidas servidas intramuros + leche 1600 para evitar la duplicación de individuos, debido a que un mismo individuo puede recibir varios beneficios del programa.</t>
  </si>
  <si>
    <t>Efectivos 1T 2012</t>
  </si>
  <si>
    <t>IPC (1T 2012)</t>
  </si>
  <si>
    <t>Gasto efectivo real 1T 2012</t>
  </si>
  <si>
    <t>Gasto efectivo real por beneficiario 1T 2012</t>
  </si>
  <si>
    <t>Efectivos 2T 2012</t>
  </si>
  <si>
    <t>IPC (2T 2012)</t>
  </si>
  <si>
    <t>Gasto efectivo real 2T 2012</t>
  </si>
  <si>
    <t>Gasto efectivo real por beneficiario 2T 2012</t>
  </si>
  <si>
    <t>Efectivos 3T 2012</t>
  </si>
  <si>
    <t>IPC (3T 2012)</t>
  </si>
  <si>
    <t>Gasto efectivo real 3T 2012</t>
  </si>
  <si>
    <t>Gasto efectivo real por beneficiario 3T 2012</t>
  </si>
  <si>
    <t>Efectivos 4T 2012</t>
  </si>
  <si>
    <t>IPC (4T 2012)</t>
  </si>
  <si>
    <t>Gasto efectivo real 4T 2012</t>
  </si>
  <si>
    <t>Gasto efectivo real por beneficiario 4T 2012</t>
  </si>
  <si>
    <t>Efectivos 1S 2012</t>
  </si>
  <si>
    <t>IPC (1S 2012)</t>
  </si>
  <si>
    <t>Gasto efectivo real 1S 2012</t>
  </si>
  <si>
    <t>Gasto efectivo real por beneficiario 1S 2012</t>
  </si>
  <si>
    <t>Efectivos  2012</t>
  </si>
  <si>
    <t>IPC ( 2012)</t>
  </si>
  <si>
    <t>Gasto efectivo real  2012</t>
  </si>
  <si>
    <t>Gasto efectivo real por beneficiario  2012</t>
  </si>
  <si>
    <t>n.a.</t>
  </si>
  <si>
    <t>Indicadores propuestos aplicado a CEN-CINAI. Primer trimestre 2013</t>
  </si>
  <si>
    <t>Programados 1T 2013</t>
  </si>
  <si>
    <t>Efectivos 1T 2013</t>
  </si>
  <si>
    <t>Programados año 2013</t>
  </si>
  <si>
    <t>En transferencias 1T 2013</t>
  </si>
  <si>
    <t>IPC (1T 2013)</t>
  </si>
  <si>
    <t>Gasto efectivo real 1T 2013</t>
  </si>
  <si>
    <t>Gasto efectivo real por beneficiario 1T 2013</t>
  </si>
  <si>
    <t>Indicadores propuestos aplicado a CEN-CINAI. Segundo trimestre 2013</t>
  </si>
  <si>
    <t>Programados 2T 2013</t>
  </si>
  <si>
    <t>Efectivos 2T 2013</t>
  </si>
  <si>
    <t>En transferencias 2T 2013</t>
  </si>
  <si>
    <t>IPC (2T 2013)</t>
  </si>
  <si>
    <t>Gasto efectivo real 2T 2013</t>
  </si>
  <si>
    <t>Gasto efectivo real por beneficiario 2T 2013</t>
  </si>
  <si>
    <t>Indicadores propuestos aplicado a CEN-CINAI. Tercer trimestre 2013</t>
  </si>
  <si>
    <t>Programados 3T 2013</t>
  </si>
  <si>
    <t>Efectivos 3T 2013</t>
  </si>
  <si>
    <t>En transferencias 3T 2013</t>
  </si>
  <si>
    <t>IPC (3T 2013)</t>
  </si>
  <si>
    <t>Gasto efectivo real 3T 2013</t>
  </si>
  <si>
    <t>Gasto efectivo real por beneficiario 3T 2013</t>
  </si>
  <si>
    <t>Indicadores propuestos aplicado a CEN-CINAI. Cuarto trimestre 2013</t>
  </si>
  <si>
    <t>Programados 4T 2013</t>
  </si>
  <si>
    <t>Efectivos 4T 2013</t>
  </si>
  <si>
    <t>En transferencias 4T 2013</t>
  </si>
  <si>
    <t>IPC (4T 2013)</t>
  </si>
  <si>
    <t>Gasto efectivo real 4T 2013</t>
  </si>
  <si>
    <t>Gasto efectivo real por beneficiario 4T 2013</t>
  </si>
  <si>
    <t>Indicadores propuestos aplicado a CEN-CINAI. Primer Semestre 2013</t>
  </si>
  <si>
    <t>Programados 1S 2013</t>
  </si>
  <si>
    <t>Efectivos 1S 2013</t>
  </si>
  <si>
    <t>En transferencias 1S 2013</t>
  </si>
  <si>
    <t>IPC (1S 2013)</t>
  </si>
  <si>
    <t>Gasto efectivo real 1S 2013</t>
  </si>
  <si>
    <t>Gasto efectivo real por beneficiario 1S 2013</t>
  </si>
  <si>
    <t>Indicadores propuestos aplicado a CEN-CINAI. Tercer trimestre ACUMULADO 2013</t>
  </si>
  <si>
    <t>Indicadores propuestos aplicado a CEN-CINAI. Año 2013</t>
  </si>
  <si>
    <t>Programados  2013</t>
  </si>
  <si>
    <t>Efectivos  2013</t>
  </si>
  <si>
    <t>En transferencias  2013</t>
  </si>
  <si>
    <t>IPC ( 2013)</t>
  </si>
  <si>
    <t>Gasto efectivo real  2013</t>
  </si>
  <si>
    <t>Gasto efectivo real por beneficiario  2013</t>
  </si>
  <si>
    <t>Fuentes: Informes trimestrales, CEN CINAI, 2012 y 2013</t>
  </si>
  <si>
    <t>Fecha de actualización:</t>
  </si>
  <si>
    <t>No se toman en cuenta modificaciones a las metas o al presupuesto que sean retroactivas, ni aquellas que respondan a cambios de precios.</t>
  </si>
  <si>
    <t>Metas y Modificaciones CEN CINAI, Desaf 2013</t>
  </si>
  <si>
    <t>ENAHO 2012</t>
  </si>
  <si>
    <t>IPC, BCCR</t>
  </si>
  <si>
    <t xml:space="preserve">Para el cálculo de Costos Medios por beneficiario en el caso de leche, se toma el total de beneficiarios de leche (1600, 1000 y 700 grs). </t>
  </si>
  <si>
    <t>Total Comidas</t>
  </si>
  <si>
    <t>Total Leche</t>
  </si>
  <si>
    <t xml:space="preserve"> </t>
  </si>
  <si>
    <t>Programados 2013</t>
  </si>
  <si>
    <t>Comidas</t>
  </si>
  <si>
    <t>Leche</t>
  </si>
  <si>
    <t>Red de Cuido</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</si>
</sst>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0.0____"/>
    <numFmt numFmtId="165" formatCode="#,##0.0"/>
    <numFmt numFmtId="166" formatCode="_(* #,##0_);_(* \(#,##0\);_(* &quot;-&quot;??_);_(@_)"/>
    <numFmt numFmtId="167" formatCode="#,##0____"/>
    <numFmt numFmtId="168" formatCode="&quot;$&quot;#,##0.00"/>
    <numFmt numFmtId="169" formatCode="_(* #,##0.0_);_(* \(#,##0.0\);_(* &quot;-&quot;??_);_(@_)"/>
  </numFmts>
  <fonts count="7"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b/>
      <sz val="12"/>
      <color theme="1"/>
      <name val="Calibri"/>
      <family val="2"/>
      <scheme val="minor"/>
    </font>
    <font>
      <i/>
      <sz val="11"/>
      <color theme="1"/>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6" tint="0.59999389629810485"/>
        <bgColor indexed="64"/>
      </patternFill>
    </fill>
  </fills>
  <borders count="5">
    <border>
      <left/>
      <right/>
      <top/>
      <bottom/>
      <diagonal/>
    </border>
    <border>
      <left/>
      <right/>
      <top style="thin">
        <color indexed="64"/>
      </top>
      <bottom/>
      <diagonal/>
    </border>
    <border>
      <left/>
      <right/>
      <top style="thin">
        <color indexed="64"/>
      </top>
      <bottom style="thin">
        <color indexed="64"/>
      </bottom>
      <diagonal/>
    </border>
    <border>
      <left/>
      <right/>
      <top/>
      <bottom style="double">
        <color indexed="64"/>
      </bottom>
      <diagonal/>
    </border>
    <border>
      <left/>
      <right/>
      <top style="thin">
        <color indexed="64"/>
      </top>
      <bottom style="double">
        <color indexed="64"/>
      </bottom>
      <diagonal/>
    </border>
  </borders>
  <cellStyleXfs count="2">
    <xf numFmtId="0" fontId="0" fillId="0" borderId="0"/>
    <xf numFmtId="43" fontId="1" fillId="0" borderId="0" applyFont="0" applyFill="0" applyBorder="0" applyAlignment="0" applyProtection="0"/>
  </cellStyleXfs>
  <cellXfs count="72">
    <xf numFmtId="0" fontId="0" fillId="0" borderId="0" xfId="0"/>
    <xf numFmtId="0" fontId="0" fillId="0" borderId="3" xfId="0" applyBorder="1" applyAlignment="1">
      <alignment horizontal="center"/>
    </xf>
    <xf numFmtId="0" fontId="3" fillId="0" borderId="0" xfId="0" applyFont="1"/>
    <xf numFmtId="0" fontId="0" fillId="0" borderId="0" xfId="0" applyAlignment="1">
      <alignment horizontal="left" indent="1"/>
    </xf>
    <xf numFmtId="3" fontId="0" fillId="0" borderId="0" xfId="0" applyNumberFormat="1"/>
    <xf numFmtId="3" fontId="0" fillId="0" borderId="0" xfId="0" applyNumberFormat="1" applyFill="1"/>
    <xf numFmtId="0" fontId="0" fillId="0" borderId="0" xfId="0" applyAlignment="1">
      <alignment horizontal="left"/>
    </xf>
    <xf numFmtId="0" fontId="0" fillId="2" borderId="0" xfId="0" applyFill="1" applyAlignment="1">
      <alignment horizontal="left"/>
    </xf>
    <xf numFmtId="3" fontId="0" fillId="2" borderId="0" xfId="0" applyNumberFormat="1" applyFill="1"/>
    <xf numFmtId="0" fontId="0" fillId="2" borderId="0" xfId="0" applyFill="1" applyAlignment="1">
      <alignment horizontal="left" indent="1"/>
    </xf>
    <xf numFmtId="0" fontId="2" fillId="0" borderId="0" xfId="0" applyFont="1"/>
    <xf numFmtId="0" fontId="0" fillId="3" borderId="0" xfId="0" applyFill="1" applyAlignment="1">
      <alignment horizontal="left" indent="1"/>
    </xf>
    <xf numFmtId="2" fontId="0" fillId="3" borderId="0" xfId="0" applyNumberFormat="1" applyFill="1"/>
    <xf numFmtId="0" fontId="3" fillId="3" borderId="0" xfId="0" applyFont="1" applyFill="1"/>
    <xf numFmtId="0" fontId="0" fillId="3" borderId="0" xfId="0" applyFill="1"/>
    <xf numFmtId="3" fontId="0" fillId="3" borderId="0" xfId="0" applyNumberFormat="1" applyFill="1"/>
    <xf numFmtId="164" fontId="0" fillId="0" borderId="0" xfId="0" applyNumberFormat="1"/>
    <xf numFmtId="164" fontId="0" fillId="3" borderId="0" xfId="0" applyNumberFormat="1" applyFill="1"/>
    <xf numFmtId="164" fontId="0" fillId="0" borderId="0" xfId="0" applyNumberFormat="1" applyFill="1"/>
    <xf numFmtId="0" fontId="0" fillId="2" borderId="0" xfId="0" applyFill="1"/>
    <xf numFmtId="164" fontId="0" fillId="2" borderId="0" xfId="0" applyNumberFormat="1" applyFill="1"/>
    <xf numFmtId="0" fontId="0" fillId="0" borderId="3" xfId="0" applyBorder="1"/>
    <xf numFmtId="165" fontId="0" fillId="0" borderId="0" xfId="0" applyNumberFormat="1"/>
    <xf numFmtId="43" fontId="0" fillId="0" borderId="0" xfId="1" applyFont="1"/>
    <xf numFmtId="43" fontId="0" fillId="2" borderId="0" xfId="1" applyFont="1" applyFill="1"/>
    <xf numFmtId="166" fontId="0" fillId="0" borderId="0" xfId="1" applyNumberFormat="1" applyFont="1"/>
    <xf numFmtId="0" fontId="0" fillId="0" borderId="1" xfId="0" applyBorder="1" applyAlignment="1">
      <alignment horizontal="center"/>
    </xf>
    <xf numFmtId="0" fontId="6" fillId="0" borderId="0" xfId="0" applyFont="1" applyAlignment="1">
      <alignment horizontal="left" indent="1"/>
    </xf>
    <xf numFmtId="0" fontId="6" fillId="0" borderId="0" xfId="0" applyFont="1" applyAlignment="1">
      <alignment horizontal="left" indent="2"/>
    </xf>
    <xf numFmtId="3" fontId="2" fillId="2" borderId="0" xfId="0" applyNumberFormat="1" applyFont="1" applyFill="1"/>
    <xf numFmtId="166" fontId="0" fillId="0" borderId="0" xfId="0" applyNumberFormat="1"/>
    <xf numFmtId="167" fontId="0" fillId="0" borderId="0" xfId="0" applyNumberFormat="1" applyFill="1"/>
    <xf numFmtId="3" fontId="4" fillId="2" borderId="0" xfId="0" applyNumberFormat="1" applyFont="1" applyFill="1"/>
    <xf numFmtId="0" fontId="0" fillId="0" borderId="0" xfId="0" applyFill="1"/>
    <xf numFmtId="0" fontId="0" fillId="0" borderId="0" xfId="0" applyFill="1" applyBorder="1"/>
    <xf numFmtId="3" fontId="0" fillId="3" borderId="0" xfId="0" applyNumberFormat="1" applyFill="1" applyAlignment="1">
      <alignment horizontal="right"/>
    </xf>
    <xf numFmtId="166" fontId="0" fillId="2" borderId="0" xfId="1" applyNumberFormat="1" applyFont="1" applyFill="1"/>
    <xf numFmtId="0" fontId="0" fillId="0" borderId="0" xfId="0" applyAlignment="1">
      <alignment horizontal="center"/>
    </xf>
    <xf numFmtId="166" fontId="0" fillId="0" borderId="0" xfId="1" applyNumberFormat="1" applyFont="1" applyFill="1"/>
    <xf numFmtId="0" fontId="2" fillId="0" borderId="0" xfId="0" applyFont="1" applyFill="1"/>
    <xf numFmtId="166" fontId="0" fillId="0" borderId="0" xfId="1" applyNumberFormat="1" applyFont="1" applyAlignment="1"/>
    <xf numFmtId="3" fontId="0" fillId="0" borderId="0" xfId="0" applyNumberFormat="1" applyAlignment="1"/>
    <xf numFmtId="168" fontId="0" fillId="0" borderId="0" xfId="0" applyNumberFormat="1"/>
    <xf numFmtId="14" fontId="0" fillId="0" borderId="0" xfId="0" applyNumberFormat="1" applyAlignment="1">
      <alignment horizontal="left"/>
    </xf>
    <xf numFmtId="43" fontId="2" fillId="2" borderId="0" xfId="1" applyFont="1" applyFill="1"/>
    <xf numFmtId="3" fontId="0" fillId="0" borderId="0" xfId="0" applyNumberFormat="1" applyFill="1" applyAlignment="1"/>
    <xf numFmtId="43" fontId="0" fillId="0" borderId="0" xfId="1" applyFont="1" applyFill="1"/>
    <xf numFmtId="166" fontId="0" fillId="0" borderId="0" xfId="0" applyNumberFormat="1" applyFill="1"/>
    <xf numFmtId="0" fontId="0" fillId="0" borderId="0" xfId="0" applyFill="1" applyAlignment="1">
      <alignment horizontal="center"/>
    </xf>
    <xf numFmtId="0" fontId="0" fillId="0" borderId="3" xfId="0" applyFill="1" applyBorder="1" applyAlignment="1">
      <alignment horizontal="center"/>
    </xf>
    <xf numFmtId="0" fontId="0" fillId="0" borderId="3" xfId="0" applyFill="1" applyBorder="1"/>
    <xf numFmtId="3" fontId="0" fillId="3" borderId="0" xfId="0" applyNumberFormat="1" applyFill="1" applyAlignment="1"/>
    <xf numFmtId="0" fontId="0" fillId="3" borderId="0" xfId="0" applyFill="1" applyAlignment="1"/>
    <xf numFmtId="166" fontId="4" fillId="0" borderId="0" xfId="1" applyNumberFormat="1" applyFont="1"/>
    <xf numFmtId="166" fontId="0" fillId="2" borderId="0" xfId="0" applyNumberFormat="1" applyFill="1"/>
    <xf numFmtId="3" fontId="0" fillId="0" borderId="0" xfId="0" applyNumberFormat="1" applyAlignment="1">
      <alignment horizontal="center"/>
    </xf>
    <xf numFmtId="3" fontId="0" fillId="0" borderId="0" xfId="0" applyNumberFormat="1" applyAlignment="1">
      <alignment horizontal="center"/>
    </xf>
    <xf numFmtId="0" fontId="3" fillId="0" borderId="1" xfId="0" applyFont="1" applyBorder="1" applyAlignment="1">
      <alignment horizontal="center"/>
    </xf>
    <xf numFmtId="0" fontId="3" fillId="0" borderId="3" xfId="0" applyFont="1" applyBorder="1" applyAlignment="1">
      <alignment horizontal="center"/>
    </xf>
    <xf numFmtId="164" fontId="0" fillId="0" borderId="0" xfId="0" applyNumberFormat="1" applyAlignment="1"/>
    <xf numFmtId="164" fontId="0" fillId="3" borderId="0" xfId="0" applyNumberFormat="1" applyFill="1" applyAlignment="1"/>
    <xf numFmtId="167" fontId="0" fillId="0" borderId="0" xfId="0" applyNumberFormat="1" applyFill="1" applyAlignment="1"/>
    <xf numFmtId="0" fontId="0" fillId="0" borderId="0" xfId="0" applyFill="1" applyAlignment="1">
      <alignment horizontal="left" indent="1"/>
    </xf>
    <xf numFmtId="169" fontId="0" fillId="0" borderId="0" xfId="1" applyNumberFormat="1" applyFont="1"/>
    <xf numFmtId="0" fontId="0" fillId="3" borderId="0" xfId="0" applyFill="1" applyAlignment="1">
      <alignment horizontal="center"/>
    </xf>
    <xf numFmtId="0" fontId="0" fillId="0" borderId="1" xfId="0" applyBorder="1" applyAlignment="1">
      <alignment horizontal="center" vertical="center"/>
    </xf>
    <xf numFmtId="0" fontId="0" fillId="0" borderId="3" xfId="0" applyBorder="1" applyAlignment="1">
      <alignment horizontal="center" vertical="center"/>
    </xf>
    <xf numFmtId="0" fontId="5" fillId="0" borderId="0" xfId="0" applyFont="1" applyAlignment="1">
      <alignment horizontal="center"/>
    </xf>
    <xf numFmtId="0" fontId="0" fillId="0" borderId="3" xfId="0" applyBorder="1" applyAlignment="1">
      <alignment horizontal="center"/>
    </xf>
    <xf numFmtId="0" fontId="0" fillId="0" borderId="2" xfId="0" applyBorder="1" applyAlignment="1">
      <alignment horizontal="center"/>
    </xf>
    <xf numFmtId="0" fontId="0" fillId="0" borderId="4" xfId="0" applyBorder="1" applyAlignment="1">
      <alignment horizontal="center"/>
    </xf>
    <xf numFmtId="166" fontId="0" fillId="0" borderId="0" xfId="1" applyNumberFormat="1" applyFont="1" applyAlignment="1">
      <alignment horizont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CR"/>
              <a:t>CEN CINAI: Indicadores de Cobertura Potencial 2013</a:t>
            </a:r>
          </a:p>
        </c:rich>
      </c:tx>
      <c:layout/>
      <c:overlay val="0"/>
      <c:spPr>
        <a:noFill/>
        <a:ln>
          <a:noFill/>
        </a:ln>
        <a:effectLst/>
      </c:spPr>
    </c:title>
    <c:autoTitleDeleted val="0"/>
    <c:plotArea>
      <c:layout/>
      <c:barChart>
        <c:barDir val="col"/>
        <c:grouping val="clustered"/>
        <c:varyColors val="0"/>
        <c:ser>
          <c:idx val="0"/>
          <c:order val="0"/>
          <c:tx>
            <c:strRef>
              <c:f>Anual!$A$43</c:f>
              <c:strCache>
                <c:ptCount val="1"/>
                <c:pt idx="0">
                  <c:v>Cobertura Programada</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Anual!$B$6</c:f>
              <c:strCache>
                <c:ptCount val="1"/>
                <c:pt idx="0">
                  <c:v>Total</c:v>
                </c:pt>
              </c:strCache>
            </c:strRef>
          </c:cat>
          <c:val>
            <c:numRef>
              <c:f>Anual!$B$43</c:f>
              <c:numCache>
                <c:formatCode>#,##0.0____</c:formatCode>
                <c:ptCount val="1"/>
                <c:pt idx="0">
                  <c:v>112.21546556259973</c:v>
                </c:pt>
              </c:numCache>
            </c:numRef>
          </c:val>
        </c:ser>
        <c:ser>
          <c:idx val="1"/>
          <c:order val="1"/>
          <c:tx>
            <c:strRef>
              <c:f>Anual!$A$44</c:f>
              <c:strCache>
                <c:ptCount val="1"/>
                <c:pt idx="0">
                  <c:v>Cobertura Efectiva</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Anual!$B$6</c:f>
              <c:strCache>
                <c:ptCount val="1"/>
                <c:pt idx="0">
                  <c:v>Total</c:v>
                </c:pt>
              </c:strCache>
            </c:strRef>
          </c:cat>
          <c:val>
            <c:numRef>
              <c:f>Anual!$B$44</c:f>
              <c:numCache>
                <c:formatCode>#,##0.0____</c:formatCode>
                <c:ptCount val="1"/>
                <c:pt idx="0">
                  <c:v>88.409669211195933</c:v>
                </c:pt>
              </c:numCache>
            </c:numRef>
          </c:val>
        </c:ser>
        <c:dLbls>
          <c:showLegendKey val="0"/>
          <c:showVal val="1"/>
          <c:showCatName val="0"/>
          <c:showSerName val="0"/>
          <c:showPercent val="0"/>
          <c:showBubbleSize val="0"/>
        </c:dLbls>
        <c:gapWidth val="150"/>
        <c:overlap val="-25"/>
        <c:axId val="388418536"/>
        <c:axId val="389893960"/>
      </c:barChart>
      <c:catAx>
        <c:axId val="38841853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389893960"/>
        <c:crosses val="autoZero"/>
        <c:auto val="1"/>
        <c:lblAlgn val="ctr"/>
        <c:lblOffset val="100"/>
        <c:noMultiLvlLbl val="0"/>
      </c:catAx>
      <c:valAx>
        <c:axId val="389893960"/>
        <c:scaling>
          <c:orientation val="minMax"/>
        </c:scaling>
        <c:delete val="1"/>
        <c:axPos val="l"/>
        <c:numFmt formatCode="#,##0.0____" sourceLinked="1"/>
        <c:majorTickMark val="none"/>
        <c:minorTickMark val="none"/>
        <c:tickLblPos val="none"/>
        <c:crossAx val="388418536"/>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R"/>
    </a:p>
  </c:txPr>
  <c:printSettings>
    <c:headerFooter/>
    <c:pageMargins b="0.75000000000000377" l="0.70000000000000062" r="0.70000000000000062" t="0.75000000000000377"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CR" sz="1400"/>
              <a:t>CEN CINAI: Indicadores</a:t>
            </a:r>
            <a:r>
              <a:rPr lang="es-CR" sz="1400" baseline="0"/>
              <a:t> de Resultado 2013</a:t>
            </a:r>
            <a:endParaRPr lang="es-CR" sz="1400"/>
          </a:p>
        </c:rich>
      </c:tx>
      <c:layout/>
      <c:overlay val="0"/>
      <c:spPr>
        <a:noFill/>
        <a:ln>
          <a:noFill/>
        </a:ln>
        <a:effectLst/>
      </c:spPr>
    </c:title>
    <c:autoTitleDeleted val="0"/>
    <c:plotArea>
      <c:layout/>
      <c:barChart>
        <c:barDir val="col"/>
        <c:grouping val="clustered"/>
        <c:varyColors val="0"/>
        <c:ser>
          <c:idx val="0"/>
          <c:order val="0"/>
          <c:tx>
            <c:strRef>
              <c:f>Anual!$A$47</c:f>
              <c:strCache>
                <c:ptCount val="1"/>
                <c:pt idx="0">
                  <c:v>Índice efectividad en beneficiarios (IEB)</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(Anual!$B$6,Anual!$C$6,Anual!$F$6,Anual!$K$6:$L$6)</c:f>
              <c:strCache>
                <c:ptCount val="5"/>
                <c:pt idx="0">
                  <c:v>Total</c:v>
                </c:pt>
                <c:pt idx="1">
                  <c:v>Comidas</c:v>
                </c:pt>
                <c:pt idx="2">
                  <c:v>Leche</c:v>
                </c:pt>
                <c:pt idx="3">
                  <c:v>DAF</c:v>
                </c:pt>
                <c:pt idx="4">
                  <c:v>Red de Cuido</c:v>
                </c:pt>
              </c:strCache>
            </c:strRef>
          </c:cat>
          <c:val>
            <c:numRef>
              <c:f>(Anual!$B$47,Anual!$C$47,Anual!$F$47,Anual!$K$47:$L$47)</c:f>
              <c:numCache>
                <c:formatCode>#,##0.0____</c:formatCode>
                <c:ptCount val="5"/>
                <c:pt idx="0">
                  <c:v>91.453068230512713</c:v>
                </c:pt>
                <c:pt idx="1">
                  <c:v>72.626560976505289</c:v>
                </c:pt>
                <c:pt idx="2">
                  <c:v>90.98242781974345</c:v>
                </c:pt>
                <c:pt idx="3">
                  <c:v>78.257966037015848</c:v>
                </c:pt>
                <c:pt idx="4">
                  <c:v>23.518428877670978</c:v>
                </c:pt>
              </c:numCache>
            </c:numRef>
          </c:val>
        </c:ser>
        <c:ser>
          <c:idx val="1"/>
          <c:order val="1"/>
          <c:tx>
            <c:strRef>
              <c:f>Anual!$A$48</c:f>
              <c:strCache>
                <c:ptCount val="1"/>
                <c:pt idx="0">
                  <c:v>Índice efectividad en gasto (IEG) </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(Anual!$B$6,Anual!$C$6,Anual!$F$6,Anual!$K$6:$L$6)</c:f>
              <c:strCache>
                <c:ptCount val="5"/>
                <c:pt idx="0">
                  <c:v>Total</c:v>
                </c:pt>
                <c:pt idx="1">
                  <c:v>Comidas</c:v>
                </c:pt>
                <c:pt idx="2">
                  <c:v>Leche</c:v>
                </c:pt>
                <c:pt idx="3">
                  <c:v>DAF</c:v>
                </c:pt>
                <c:pt idx="4">
                  <c:v>Red de Cuido</c:v>
                </c:pt>
              </c:strCache>
            </c:strRef>
          </c:cat>
          <c:val>
            <c:numRef>
              <c:f>(Anual!$B$48:$C$48,Anual!$F$48,Anual!$K$48:$L$48)</c:f>
              <c:numCache>
                <c:formatCode>#,##0.0____</c:formatCode>
                <c:ptCount val="5"/>
                <c:pt idx="0">
                  <c:v>76.616789359449044</c:v>
                </c:pt>
                <c:pt idx="1">
                  <c:v>70.809664205869254</c:v>
                </c:pt>
                <c:pt idx="2">
                  <c:v>89.862308417204105</c:v>
                </c:pt>
                <c:pt idx="3">
                  <c:v>89.167688319928999</c:v>
                </c:pt>
                <c:pt idx="4">
                  <c:v>17.028176200651401</c:v>
                </c:pt>
              </c:numCache>
            </c:numRef>
          </c:val>
        </c:ser>
        <c:ser>
          <c:idx val="2"/>
          <c:order val="2"/>
          <c:tx>
            <c:strRef>
              <c:f>Anual!$A$49</c:f>
              <c:strCache>
                <c:ptCount val="1"/>
                <c:pt idx="0">
                  <c:v>Índice efectividad total (IET)</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(Anual!$B$6,Anual!$C$6,Anual!$F$6,Anual!$K$6:$L$6)</c:f>
              <c:strCache>
                <c:ptCount val="5"/>
                <c:pt idx="0">
                  <c:v>Total</c:v>
                </c:pt>
                <c:pt idx="1">
                  <c:v>Comidas</c:v>
                </c:pt>
                <c:pt idx="2">
                  <c:v>Leche</c:v>
                </c:pt>
                <c:pt idx="3">
                  <c:v>DAF</c:v>
                </c:pt>
                <c:pt idx="4">
                  <c:v>Red de Cuido</c:v>
                </c:pt>
              </c:strCache>
            </c:strRef>
          </c:cat>
          <c:val>
            <c:numRef>
              <c:f>(Anual!$B$49:$C$49,Anual!$F$49,Anual!$K$49:$L$49)</c:f>
              <c:numCache>
                <c:formatCode>#,##0.0____</c:formatCode>
                <c:ptCount val="5"/>
                <c:pt idx="0">
                  <c:v>84.034928794980885</c:v>
                </c:pt>
                <c:pt idx="1">
                  <c:v>71.718112591187264</c:v>
                </c:pt>
                <c:pt idx="2">
                  <c:v>90.42236811847377</c:v>
                </c:pt>
                <c:pt idx="3">
                  <c:v>83.712827178472423</c:v>
                </c:pt>
                <c:pt idx="4">
                  <c:v>20.27330253916119</c:v>
                </c:pt>
              </c:numCache>
            </c:numRef>
          </c:val>
        </c:ser>
        <c:dLbls>
          <c:showLegendKey val="0"/>
          <c:showVal val="0"/>
          <c:showCatName val="0"/>
          <c:showSerName val="0"/>
          <c:showPercent val="0"/>
          <c:showBubbleSize val="0"/>
        </c:dLbls>
        <c:gapWidth val="100"/>
        <c:axId val="389894744"/>
        <c:axId val="389895136"/>
      </c:barChart>
      <c:catAx>
        <c:axId val="389894744"/>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389895136"/>
        <c:crosses val="autoZero"/>
        <c:auto val="1"/>
        <c:lblAlgn val="ctr"/>
        <c:lblOffset val="100"/>
        <c:noMultiLvlLbl val="0"/>
      </c:catAx>
      <c:valAx>
        <c:axId val="3898951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38989474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R"/>
    </a:p>
  </c:txPr>
  <c:printSettings>
    <c:headerFooter/>
    <c:pageMargins b="0.75000000000000377" l="0.70000000000000062" r="0.70000000000000062" t="0.750000000000003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CR" sz="1400"/>
              <a:t>CEN</a:t>
            </a:r>
            <a:r>
              <a:rPr lang="es-CR" sz="1400" baseline="0"/>
              <a:t> CINAI: </a:t>
            </a:r>
            <a:r>
              <a:rPr lang="es-CR" sz="1400"/>
              <a:t>Indicadores de Expansión 2013</a:t>
            </a:r>
          </a:p>
        </c:rich>
      </c:tx>
      <c:layout/>
      <c:overlay val="0"/>
      <c:spPr>
        <a:noFill/>
        <a:ln>
          <a:noFill/>
        </a:ln>
        <a:effectLst/>
      </c:spPr>
    </c:title>
    <c:autoTitleDeleted val="0"/>
    <c:plotArea>
      <c:layout/>
      <c:barChart>
        <c:barDir val="col"/>
        <c:grouping val="clustered"/>
        <c:varyColors val="0"/>
        <c:ser>
          <c:idx val="0"/>
          <c:order val="0"/>
          <c:tx>
            <c:strRef>
              <c:f>Anual!$A$60</c:f>
              <c:strCache>
                <c:ptCount val="1"/>
                <c:pt idx="0">
                  <c:v>Índice de crecimiento beneficiarios (ICB) </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(Anual!$B$6,Anual!$C$6,Anual!$F$6,Anual!$K$6,Anual!$L$6)</c:f>
              <c:strCache>
                <c:ptCount val="5"/>
                <c:pt idx="0">
                  <c:v>Total</c:v>
                </c:pt>
                <c:pt idx="1">
                  <c:v>Comidas</c:v>
                </c:pt>
                <c:pt idx="2">
                  <c:v>Leche</c:v>
                </c:pt>
                <c:pt idx="3">
                  <c:v>DAF</c:v>
                </c:pt>
                <c:pt idx="4">
                  <c:v>Red de Cuido</c:v>
                </c:pt>
              </c:strCache>
            </c:strRef>
          </c:cat>
          <c:val>
            <c:numRef>
              <c:f>(Anual!$B$60:$C$60,Anual!$F$60,Anual!$K$60:$L$60)</c:f>
              <c:numCache>
                <c:formatCode>#,##0.0____</c:formatCode>
                <c:ptCount val="5"/>
                <c:pt idx="0">
                  <c:v>-1.3869027276858237E-2</c:v>
                </c:pt>
                <c:pt idx="1">
                  <c:v>-23.340775844064687</c:v>
                </c:pt>
                <c:pt idx="2">
                  <c:v>2.5744633408840256</c:v>
                </c:pt>
                <c:pt idx="3">
                  <c:v>16.222725984698229</c:v>
                </c:pt>
                <c:pt idx="4">
                  <c:v>-39.637934094539439</c:v>
                </c:pt>
              </c:numCache>
            </c:numRef>
          </c:val>
        </c:ser>
        <c:ser>
          <c:idx val="1"/>
          <c:order val="1"/>
          <c:tx>
            <c:strRef>
              <c:f>Anual!$A$61</c:f>
              <c:strCache>
                <c:ptCount val="1"/>
                <c:pt idx="0">
                  <c:v>Índice de crecimiento del gasto real (ICGR) </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(Anual!$B$6,Anual!$C$6,Anual!$F$6,Anual!$K$6,Anual!$L$6)</c:f>
              <c:strCache>
                <c:ptCount val="5"/>
                <c:pt idx="0">
                  <c:v>Total</c:v>
                </c:pt>
                <c:pt idx="1">
                  <c:v>Comidas</c:v>
                </c:pt>
                <c:pt idx="2">
                  <c:v>Leche</c:v>
                </c:pt>
                <c:pt idx="3">
                  <c:v>DAF</c:v>
                </c:pt>
                <c:pt idx="4">
                  <c:v>Red de Cuido</c:v>
                </c:pt>
              </c:strCache>
            </c:strRef>
          </c:cat>
          <c:val>
            <c:numRef>
              <c:f>(Anual!$B$61:$C$61,Anual!$F$61,Anual!$K$61:$L$61)</c:f>
              <c:numCache>
                <c:formatCode>#,##0.0____</c:formatCode>
                <c:ptCount val="5"/>
                <c:pt idx="0">
                  <c:v>4.4769884525559744</c:v>
                </c:pt>
                <c:pt idx="1">
                  <c:v>4.4750680937939658</c:v>
                </c:pt>
                <c:pt idx="2">
                  <c:v>0.72929574242626138</c:v>
                </c:pt>
                <c:pt idx="3">
                  <c:v>38.587859312418303</c:v>
                </c:pt>
                <c:pt idx="4">
                  <c:v>-47.249420405902221</c:v>
                </c:pt>
              </c:numCache>
            </c:numRef>
          </c:val>
        </c:ser>
        <c:ser>
          <c:idx val="2"/>
          <c:order val="2"/>
          <c:tx>
            <c:strRef>
              <c:f>Anual!$A$62</c:f>
              <c:strCache>
                <c:ptCount val="1"/>
                <c:pt idx="0">
                  <c:v>Índice de crecimiento del gasto real por beneficiario (ICGRB) </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(Anual!$B$6,Anual!$C$6,Anual!$F$6,Anual!$K$6,Anual!$L$6)</c:f>
              <c:strCache>
                <c:ptCount val="5"/>
                <c:pt idx="0">
                  <c:v>Total</c:v>
                </c:pt>
                <c:pt idx="1">
                  <c:v>Comidas</c:v>
                </c:pt>
                <c:pt idx="2">
                  <c:v>Leche</c:v>
                </c:pt>
                <c:pt idx="3">
                  <c:v>DAF</c:v>
                </c:pt>
                <c:pt idx="4">
                  <c:v>Red de Cuido</c:v>
                </c:pt>
              </c:strCache>
            </c:strRef>
          </c:cat>
          <c:val>
            <c:numRef>
              <c:f>(Anual!$B$62:$C$62,Anual!$F$62,Anual!$K$62:$L$62)</c:f>
              <c:numCache>
                <c:formatCode>#,##0.0____</c:formatCode>
                <c:ptCount val="5"/>
                <c:pt idx="0">
                  <c:v>4.4914804044752454</c:v>
                </c:pt>
                <c:pt idx="1">
                  <c:v>36.285057987643384</c:v>
                </c:pt>
                <c:pt idx="2">
                  <c:v>-1.7988566923579752</c:v>
                </c:pt>
                <c:pt idx="3">
                  <c:v>19.243339147512927</c:v>
                </c:pt>
                <c:pt idx="4">
                  <c:v>-12.609718035966399</c:v>
                </c:pt>
              </c:numCache>
            </c:numRef>
          </c:val>
        </c:ser>
        <c:dLbls>
          <c:showLegendKey val="0"/>
          <c:showVal val="0"/>
          <c:showCatName val="0"/>
          <c:showSerName val="0"/>
          <c:showPercent val="0"/>
          <c:showBubbleSize val="0"/>
        </c:dLbls>
        <c:gapWidth val="100"/>
        <c:axId val="389895920"/>
        <c:axId val="389896312"/>
      </c:barChart>
      <c:catAx>
        <c:axId val="38989592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389896312"/>
        <c:crosses val="autoZero"/>
        <c:auto val="1"/>
        <c:lblAlgn val="ctr"/>
        <c:lblOffset val="1000"/>
        <c:noMultiLvlLbl val="0"/>
      </c:catAx>
      <c:valAx>
        <c:axId val="3898963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38989592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R"/>
    </a:p>
  </c:txPr>
  <c:printSettings>
    <c:headerFooter/>
    <c:pageMargins b="0.75000000000000377" l="0.70000000000000062" r="0.70000000000000062" t="0.75000000000000377"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CR" sz="1400"/>
              <a:t>CEN</a:t>
            </a:r>
            <a:r>
              <a:rPr lang="es-CR" sz="1400" baseline="0"/>
              <a:t> CINAI: </a:t>
            </a:r>
            <a:r>
              <a:rPr lang="es-CR" sz="1400"/>
              <a:t>Indicadores de Gasto Medio Mensual 2013</a:t>
            </a:r>
          </a:p>
        </c:rich>
      </c:tx>
      <c:layout/>
      <c:overlay val="0"/>
      <c:spPr>
        <a:noFill/>
        <a:ln>
          <a:noFill/>
        </a:ln>
        <a:effectLst/>
      </c:spPr>
    </c:title>
    <c:autoTitleDeleted val="0"/>
    <c:plotArea>
      <c:layout/>
      <c:barChart>
        <c:barDir val="col"/>
        <c:grouping val="clustered"/>
        <c:varyColors val="0"/>
        <c:ser>
          <c:idx val="0"/>
          <c:order val="0"/>
          <c:tx>
            <c:strRef>
              <c:f>Anual!$A$65</c:f>
              <c:strCache>
                <c:ptCount val="1"/>
                <c:pt idx="0">
                  <c:v>Gasto programado por beneficiario (GPB) </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(Anual!$B$6:$C$6,Anual!$F$6,Anual!$K$6:$L$6)</c:f>
              <c:strCache>
                <c:ptCount val="5"/>
                <c:pt idx="0">
                  <c:v>Total</c:v>
                </c:pt>
                <c:pt idx="1">
                  <c:v>Comidas</c:v>
                </c:pt>
                <c:pt idx="2">
                  <c:v>Leche</c:v>
                </c:pt>
                <c:pt idx="3">
                  <c:v>DAF</c:v>
                </c:pt>
                <c:pt idx="4">
                  <c:v>Red de Cuido</c:v>
                </c:pt>
              </c:strCache>
            </c:strRef>
          </c:cat>
          <c:val>
            <c:numRef>
              <c:f>(Anual!$B$65:$C$65,Anual!$F$65,Anual!$K$65:$L$65)</c:f>
              <c:numCache>
                <c:formatCode>#,##0</c:formatCode>
                <c:ptCount val="5"/>
                <c:pt idx="0">
                  <c:v>11203.726626372785</c:v>
                </c:pt>
                <c:pt idx="1">
                  <c:v>12238.164932135003</c:v>
                </c:pt>
                <c:pt idx="2">
                  <c:v>5001.8326625673126</c:v>
                </c:pt>
                <c:pt idx="3">
                  <c:v>24597.137950772754</c:v>
                </c:pt>
                <c:pt idx="4">
                  <c:v>40635.140492819766</c:v>
                </c:pt>
              </c:numCache>
            </c:numRef>
          </c:val>
        </c:ser>
        <c:ser>
          <c:idx val="1"/>
          <c:order val="1"/>
          <c:tx>
            <c:strRef>
              <c:f>Anual!$A$66</c:f>
              <c:strCache>
                <c:ptCount val="1"/>
                <c:pt idx="0">
                  <c:v>Gasto efectivo por beneficiario (GEB) </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(Anual!$B$6:$C$6,Anual!$F$6,Anual!$K$6:$L$6)</c:f>
              <c:strCache>
                <c:ptCount val="5"/>
                <c:pt idx="0">
                  <c:v>Total</c:v>
                </c:pt>
                <c:pt idx="1">
                  <c:v>Comidas</c:v>
                </c:pt>
                <c:pt idx="2">
                  <c:v>Leche</c:v>
                </c:pt>
                <c:pt idx="3">
                  <c:v>DAF</c:v>
                </c:pt>
                <c:pt idx="4">
                  <c:v>Red de Cuido</c:v>
                </c:pt>
              </c:strCache>
            </c:strRef>
          </c:cat>
          <c:val>
            <c:numRef>
              <c:f>(Anual!$B$66:$C$66,Anual!$F$66,Anual!$K$66:$L$66)</c:f>
              <c:numCache>
                <c:formatCode>#,##0</c:formatCode>
                <c:ptCount val="5"/>
                <c:pt idx="0">
                  <c:v>9386.1647245122931</c:v>
                </c:pt>
                <c:pt idx="1">
                  <c:v>11932.00308108852</c:v>
                </c:pt>
                <c:pt idx="2">
                  <c:v>4940.2531911478791</c:v>
                </c:pt>
                <c:pt idx="3">
                  <c:v>28026.155565037181</c:v>
                </c:pt>
                <c:pt idx="4">
                  <c:v>29421.282171910221</c:v>
                </c:pt>
              </c:numCache>
            </c:numRef>
          </c:val>
        </c:ser>
        <c:dLbls>
          <c:showLegendKey val="0"/>
          <c:showVal val="0"/>
          <c:showCatName val="0"/>
          <c:showSerName val="0"/>
          <c:showPercent val="0"/>
          <c:showBubbleSize val="0"/>
        </c:dLbls>
        <c:gapWidth val="100"/>
        <c:axId val="389897096"/>
        <c:axId val="389897488"/>
      </c:barChart>
      <c:catAx>
        <c:axId val="38989709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389897488"/>
        <c:crosses val="autoZero"/>
        <c:auto val="1"/>
        <c:lblAlgn val="ctr"/>
        <c:lblOffset val="100"/>
        <c:noMultiLvlLbl val="0"/>
      </c:catAx>
      <c:valAx>
        <c:axId val="3898974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38989709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R"/>
    </a:p>
  </c:txPr>
  <c:printSettings>
    <c:headerFooter/>
    <c:pageMargins b="0.75000000000000377" l="0.70000000000000062" r="0.70000000000000062" t="0.7500000000000037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CR" sz="1400"/>
              <a:t>CEN</a:t>
            </a:r>
            <a:r>
              <a:rPr lang="es-CR" sz="1400" baseline="0"/>
              <a:t> CINAI: </a:t>
            </a:r>
            <a:r>
              <a:rPr lang="es-CR" sz="1400"/>
              <a:t>Indicadores de Gasto Medio Anual 2013</a:t>
            </a:r>
          </a:p>
        </c:rich>
      </c:tx>
      <c:layout/>
      <c:overlay val="0"/>
      <c:spPr>
        <a:noFill/>
        <a:ln>
          <a:noFill/>
        </a:ln>
        <a:effectLst/>
      </c:spPr>
    </c:title>
    <c:autoTitleDeleted val="0"/>
    <c:plotArea>
      <c:layout/>
      <c:barChart>
        <c:barDir val="col"/>
        <c:grouping val="clustered"/>
        <c:varyColors val="0"/>
        <c:ser>
          <c:idx val="0"/>
          <c:order val="0"/>
          <c:tx>
            <c:strRef>
              <c:f>Anual!$A$65</c:f>
              <c:strCache>
                <c:ptCount val="1"/>
                <c:pt idx="0">
                  <c:v>Gasto programado por beneficiario (GPB) </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(Anual!$B$6:$C$6,Anual!$F$6,Anual!$K$6:$L$6)</c:f>
              <c:strCache>
                <c:ptCount val="5"/>
                <c:pt idx="0">
                  <c:v>Total</c:v>
                </c:pt>
                <c:pt idx="1">
                  <c:v>Comidas</c:v>
                </c:pt>
                <c:pt idx="2">
                  <c:v>Leche</c:v>
                </c:pt>
                <c:pt idx="3">
                  <c:v>DAF</c:v>
                </c:pt>
                <c:pt idx="4">
                  <c:v>Red de Cuido</c:v>
                </c:pt>
              </c:strCache>
            </c:strRef>
          </c:cat>
          <c:val>
            <c:numRef>
              <c:f>(Anual!$B$68:$C$68,Anual!$F$68,Anual!$K$68:$L$68)</c:f>
              <c:numCache>
                <c:formatCode>#,##0____</c:formatCode>
                <c:ptCount val="5"/>
                <c:pt idx="0">
                  <c:v>134444.71951647341</c:v>
                </c:pt>
                <c:pt idx="1">
                  <c:v>146857.97918562003</c:v>
                </c:pt>
                <c:pt idx="2">
                  <c:v>60021.991950807758</c:v>
                </c:pt>
                <c:pt idx="3">
                  <c:v>295165.65540927305</c:v>
                </c:pt>
                <c:pt idx="4">
                  <c:v>487621.68591383722</c:v>
                </c:pt>
              </c:numCache>
            </c:numRef>
          </c:val>
        </c:ser>
        <c:ser>
          <c:idx val="1"/>
          <c:order val="1"/>
          <c:tx>
            <c:strRef>
              <c:f>Anual!$A$66</c:f>
              <c:strCache>
                <c:ptCount val="1"/>
                <c:pt idx="0">
                  <c:v>Gasto efectivo por beneficiario (GEB) </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(Anual!$B$6:$C$6,Anual!$F$6,Anual!$K$6:$L$6)</c:f>
              <c:strCache>
                <c:ptCount val="5"/>
                <c:pt idx="0">
                  <c:v>Total</c:v>
                </c:pt>
                <c:pt idx="1">
                  <c:v>Comidas</c:v>
                </c:pt>
                <c:pt idx="2">
                  <c:v>Leche</c:v>
                </c:pt>
                <c:pt idx="3">
                  <c:v>DAF</c:v>
                </c:pt>
                <c:pt idx="4">
                  <c:v>Red de Cuido</c:v>
                </c:pt>
              </c:strCache>
            </c:strRef>
          </c:cat>
          <c:val>
            <c:numRef>
              <c:f>(Anual!$B$69:$C$69,Anual!$F$69,Anual!$K$69:$L$69)</c:f>
              <c:numCache>
                <c:formatCode>#,##0.0____</c:formatCode>
                <c:ptCount val="5"/>
                <c:pt idx="0">
                  <c:v>112633.97669414751</c:v>
                </c:pt>
                <c:pt idx="1">
                  <c:v>143184.03697306223</c:v>
                </c:pt>
                <c:pt idx="2">
                  <c:v>59283.038293774545</c:v>
                </c:pt>
                <c:pt idx="3" formatCode="#,##0____">
                  <c:v>336313.86678044614</c:v>
                </c:pt>
                <c:pt idx="4" formatCode="#,##0____">
                  <c:v>353055.38606292265</c:v>
                </c:pt>
              </c:numCache>
            </c:numRef>
          </c:val>
        </c:ser>
        <c:dLbls>
          <c:showLegendKey val="0"/>
          <c:showVal val="0"/>
          <c:showCatName val="0"/>
          <c:showSerName val="0"/>
          <c:showPercent val="0"/>
          <c:showBubbleSize val="0"/>
        </c:dLbls>
        <c:gapWidth val="100"/>
        <c:axId val="390433976"/>
        <c:axId val="390434368"/>
      </c:barChart>
      <c:catAx>
        <c:axId val="39043397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390434368"/>
        <c:crosses val="autoZero"/>
        <c:auto val="1"/>
        <c:lblAlgn val="ctr"/>
        <c:lblOffset val="100"/>
        <c:noMultiLvlLbl val="0"/>
      </c:catAx>
      <c:valAx>
        <c:axId val="390434368"/>
        <c:scaling>
          <c:orientation val="minMax"/>
        </c:scaling>
        <c:delete val="0"/>
        <c:axPos val="l"/>
        <c:majorGridlines>
          <c:spPr>
            <a:ln w="9525" cap="flat" cmpd="sng" algn="ctr">
              <a:solidFill>
                <a:schemeClr val="tx1">
                  <a:lumMod val="15000"/>
                  <a:lumOff val="85000"/>
                </a:schemeClr>
              </a:solidFill>
              <a:round/>
            </a:ln>
            <a:effectLst/>
          </c:spPr>
        </c:majorGridlines>
        <c:numFmt formatCode="#,##0_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39043397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R"/>
    </a:p>
  </c:txPr>
  <c:printSettings>
    <c:headerFooter/>
    <c:pageMargins b="0.750000000000004" l="0.70000000000000062" r="0.70000000000000062" t="0.75000000000000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s-CR" sz="1400"/>
              <a:t>CEN CINAI: Indicadores de Giro de Recursos 2013</a:t>
            </a:r>
          </a:p>
        </c:rich>
      </c:tx>
      <c:layout/>
      <c:overlay val="0"/>
    </c:title>
    <c:autoTitleDeleted val="0"/>
    <c:plotArea>
      <c:layout/>
      <c:barChart>
        <c:barDir val="col"/>
        <c:grouping val="clustered"/>
        <c:varyColors val="0"/>
        <c:ser>
          <c:idx val="0"/>
          <c:order val="0"/>
          <c:tx>
            <c:strRef>
              <c:f>Anual!$A$72</c:f>
              <c:strCache>
                <c:ptCount val="1"/>
                <c:pt idx="0">
                  <c:v>Índice de giro efectivo (IGE)</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Anual!$B$6</c:f>
              <c:strCache>
                <c:ptCount val="1"/>
                <c:pt idx="0">
                  <c:v>Total</c:v>
                </c:pt>
              </c:strCache>
            </c:strRef>
          </c:cat>
          <c:val>
            <c:numRef>
              <c:f>Anual!$B$72</c:f>
              <c:numCache>
                <c:formatCode>#,##0.0____</c:formatCode>
                <c:ptCount val="1"/>
                <c:pt idx="0">
                  <c:v>78.915759898912967</c:v>
                </c:pt>
              </c:numCache>
            </c:numRef>
          </c:val>
        </c:ser>
        <c:ser>
          <c:idx val="1"/>
          <c:order val="1"/>
          <c:tx>
            <c:strRef>
              <c:f>Anual!$A$73</c:f>
              <c:strCache>
                <c:ptCount val="1"/>
                <c:pt idx="0">
                  <c:v>Índice de uso de recursos (IUR)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Anual!$B$6</c:f>
              <c:strCache>
                <c:ptCount val="1"/>
                <c:pt idx="0">
                  <c:v>Total</c:v>
                </c:pt>
              </c:strCache>
            </c:strRef>
          </c:cat>
          <c:val>
            <c:numRef>
              <c:f>Anual!$B$73</c:f>
              <c:numCache>
                <c:formatCode>#,##0.0____</c:formatCode>
                <c:ptCount val="1"/>
                <c:pt idx="0">
                  <c:v>97.086804280401282</c:v>
                </c:pt>
              </c:numCache>
            </c:numRef>
          </c:val>
        </c:ser>
        <c:dLbls>
          <c:showLegendKey val="0"/>
          <c:showVal val="1"/>
          <c:showCatName val="0"/>
          <c:showSerName val="0"/>
          <c:showPercent val="0"/>
          <c:showBubbleSize val="0"/>
        </c:dLbls>
        <c:gapWidth val="150"/>
        <c:overlap val="-25"/>
        <c:axId val="390435152"/>
        <c:axId val="390435544"/>
      </c:barChart>
      <c:catAx>
        <c:axId val="390435152"/>
        <c:scaling>
          <c:orientation val="minMax"/>
        </c:scaling>
        <c:delete val="0"/>
        <c:axPos val="b"/>
        <c:numFmt formatCode="General" sourceLinked="0"/>
        <c:majorTickMark val="none"/>
        <c:minorTickMark val="none"/>
        <c:tickLblPos val="nextTo"/>
        <c:crossAx val="390435544"/>
        <c:crosses val="autoZero"/>
        <c:auto val="1"/>
        <c:lblAlgn val="ctr"/>
        <c:lblOffset val="100"/>
        <c:noMultiLvlLbl val="0"/>
      </c:catAx>
      <c:valAx>
        <c:axId val="390435544"/>
        <c:scaling>
          <c:orientation val="minMax"/>
        </c:scaling>
        <c:delete val="1"/>
        <c:axPos val="l"/>
        <c:numFmt formatCode="#,##0.0____" sourceLinked="1"/>
        <c:majorTickMark val="out"/>
        <c:minorTickMark val="none"/>
        <c:tickLblPos val="none"/>
        <c:crossAx val="390435152"/>
        <c:crosses val="autoZero"/>
        <c:crossBetween val="between"/>
      </c:valAx>
    </c:plotArea>
    <c:legend>
      <c:legendPos val="t"/>
      <c:layout/>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a:pPr>
            <a:r>
              <a:rPr lang="en-US" sz="1400"/>
              <a:t>CEN CINAI: Índice de Eficiencia 2013 </a:t>
            </a:r>
          </a:p>
        </c:rich>
      </c:tx>
      <c:layout/>
      <c:overlay val="0"/>
    </c:title>
    <c:autoTitleDeleted val="0"/>
    <c:plotArea>
      <c:layout/>
      <c:barChart>
        <c:barDir val="col"/>
        <c:grouping val="clustered"/>
        <c:varyColors val="0"/>
        <c:ser>
          <c:idx val="0"/>
          <c:order val="0"/>
          <c:tx>
            <c:strRef>
              <c:f>Anual!$A$67</c:f>
              <c:strCache>
                <c:ptCount val="1"/>
                <c:pt idx="0">
                  <c:v>Índice de eficiencia (IE)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(Anual!$B$6,Anual!$C$6,Anual!$F$6,Anual!$K$6,Anual!$L$6)</c:f>
              <c:strCache>
                <c:ptCount val="5"/>
                <c:pt idx="0">
                  <c:v>Total</c:v>
                </c:pt>
                <c:pt idx="1">
                  <c:v>Comidas</c:v>
                </c:pt>
                <c:pt idx="2">
                  <c:v>Leche</c:v>
                </c:pt>
                <c:pt idx="3">
                  <c:v>DAF</c:v>
                </c:pt>
                <c:pt idx="4">
                  <c:v>Red de Cuido</c:v>
                </c:pt>
              </c:strCache>
            </c:strRef>
          </c:cat>
          <c:val>
            <c:numRef>
              <c:f>(Anual!$B$67,Anual!$C$67,Anual!$F$67,Anual!$K$67,Anual!$L$67)</c:f>
              <c:numCache>
                <c:formatCode>#,##0.0____</c:formatCode>
                <c:ptCount val="5"/>
                <c:pt idx="0">
                  <c:v>100.30767591654312</c:v>
                </c:pt>
                <c:pt idx="1">
                  <c:v>73.55831913113353</c:v>
                </c:pt>
                <c:pt idx="2">
                  <c:v>91.549468576241054</c:v>
                </c:pt>
                <c:pt idx="3">
                  <c:v>73.470510558601944</c:v>
                </c:pt>
                <c:pt idx="4">
                  <c:v>28.000428129498054</c:v>
                </c:pt>
              </c:numCache>
            </c:numRef>
          </c:val>
        </c:ser>
        <c:dLbls>
          <c:showLegendKey val="0"/>
          <c:showVal val="1"/>
          <c:showCatName val="0"/>
          <c:showSerName val="0"/>
          <c:showPercent val="0"/>
          <c:showBubbleSize val="0"/>
        </c:dLbls>
        <c:gapWidth val="150"/>
        <c:overlap val="-25"/>
        <c:axId val="390436328"/>
        <c:axId val="390436720"/>
      </c:barChart>
      <c:catAx>
        <c:axId val="390436328"/>
        <c:scaling>
          <c:orientation val="minMax"/>
        </c:scaling>
        <c:delete val="0"/>
        <c:axPos val="b"/>
        <c:numFmt formatCode="General" sourceLinked="0"/>
        <c:majorTickMark val="none"/>
        <c:minorTickMark val="none"/>
        <c:tickLblPos val="nextTo"/>
        <c:crossAx val="390436720"/>
        <c:crosses val="autoZero"/>
        <c:auto val="1"/>
        <c:lblAlgn val="ctr"/>
        <c:lblOffset val="100"/>
        <c:noMultiLvlLbl val="0"/>
      </c:catAx>
      <c:valAx>
        <c:axId val="390436720"/>
        <c:scaling>
          <c:orientation val="minMax"/>
        </c:scaling>
        <c:delete val="1"/>
        <c:axPos val="l"/>
        <c:numFmt formatCode="#,##0.0____" sourceLinked="1"/>
        <c:majorTickMark val="out"/>
        <c:minorTickMark val="none"/>
        <c:tickLblPos val="none"/>
        <c:crossAx val="390436328"/>
        <c:crosses val="autoZero"/>
        <c:crossBetween val="between"/>
      </c:valAx>
    </c:plotArea>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12</xdr:col>
      <xdr:colOff>367392</xdr:colOff>
      <xdr:row>7</xdr:row>
      <xdr:rowOff>118382</xdr:rowOff>
    </xdr:from>
    <xdr:to>
      <xdr:col>19</xdr:col>
      <xdr:colOff>421822</xdr:colOff>
      <xdr:row>23</xdr:row>
      <xdr:rowOff>95250</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427868</xdr:colOff>
      <xdr:row>24</xdr:row>
      <xdr:rowOff>86631</xdr:rowOff>
    </xdr:from>
    <xdr:to>
      <xdr:col>19</xdr:col>
      <xdr:colOff>353786</xdr:colOff>
      <xdr:row>39</xdr:row>
      <xdr:rowOff>122465</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449034</xdr:colOff>
      <xdr:row>41</xdr:row>
      <xdr:rowOff>36739</xdr:rowOff>
    </xdr:from>
    <xdr:to>
      <xdr:col>19</xdr:col>
      <xdr:colOff>353786</xdr:colOff>
      <xdr:row>56</xdr:row>
      <xdr:rowOff>176893</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312964</xdr:colOff>
      <xdr:row>57</xdr:row>
      <xdr:rowOff>145597</xdr:rowOff>
    </xdr:from>
    <xdr:to>
      <xdr:col>22</xdr:col>
      <xdr:colOff>68036</xdr:colOff>
      <xdr:row>74</xdr:row>
      <xdr:rowOff>136071</xdr:rowOff>
    </xdr:to>
    <xdr:graphicFrame macro="">
      <xdr:nvGraphicFramePr>
        <xdr:cNvPr id="7" name="Gráfico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23</xdr:col>
      <xdr:colOff>0</xdr:colOff>
      <xdr:row>58</xdr:row>
      <xdr:rowOff>0</xdr:rowOff>
    </xdr:from>
    <xdr:to>
      <xdr:col>33</xdr:col>
      <xdr:colOff>27214</xdr:colOff>
      <xdr:row>74</xdr:row>
      <xdr:rowOff>180974</xdr:rowOff>
    </xdr:to>
    <xdr:graphicFrame macro="">
      <xdr:nvGraphicFramePr>
        <xdr:cNvPr id="9" name="Gráfico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258534</xdr:colOff>
      <xdr:row>76</xdr:row>
      <xdr:rowOff>54428</xdr:rowOff>
    </xdr:from>
    <xdr:to>
      <xdr:col>18</xdr:col>
      <xdr:colOff>190499</xdr:colOff>
      <xdr:row>90</xdr:row>
      <xdr:rowOff>136071</xdr:rowOff>
    </xdr:to>
    <xdr:graphicFrame macro="">
      <xdr:nvGraphicFramePr>
        <xdr:cNvPr id="10" name="9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408214</xdr:colOff>
      <xdr:row>78</xdr:row>
      <xdr:rowOff>163285</xdr:rowOff>
    </xdr:from>
    <xdr:to>
      <xdr:col>11</xdr:col>
      <xdr:colOff>408214</xdr:colOff>
      <xdr:row>93</xdr:row>
      <xdr:rowOff>54428</xdr:rowOff>
    </xdr:to>
    <xdr:graphicFrame macro="">
      <xdr:nvGraphicFramePr>
        <xdr:cNvPr id="8" name="7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304800</xdr:colOff>
      <xdr:row>42</xdr:row>
      <xdr:rowOff>180975</xdr:rowOff>
    </xdr:to>
    <xdr:sp macro="" textlink="">
      <xdr:nvSpPr>
        <xdr:cNvPr id="2" name="1 CuadroTexto"/>
        <xdr:cNvSpPr txBox="1"/>
      </xdr:nvSpPr>
      <xdr:spPr>
        <a:xfrm>
          <a:off x="0" y="0"/>
          <a:ext cx="7924800" cy="8181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R" sz="1100" u="sng">
              <a:solidFill>
                <a:sysClr val="windowText" lastClr="000000"/>
              </a:solidFill>
            </a:rPr>
            <a:t>Observaciones</a:t>
          </a:r>
        </a:p>
        <a:p>
          <a:endParaRPr lang="es-CR" sz="1100">
            <a:solidFill>
              <a:sysClr val="windowText" lastClr="000000"/>
            </a:solidFill>
          </a:endParaRPr>
        </a:p>
        <a:p>
          <a:pPr marL="0" marR="0" indent="0" defTabSz="914400" eaLnBrk="1" fontAlgn="auto" latinLnBrk="0" hangingPunct="1">
            <a:lnSpc>
              <a:spcPct val="200000"/>
            </a:lnSpc>
            <a:spcBef>
              <a:spcPts val="0"/>
            </a:spcBef>
            <a:spcAft>
              <a:spcPts val="1000"/>
            </a:spcAft>
            <a:buClrTx/>
            <a:buSzTx/>
            <a:buFontTx/>
            <a:buNone/>
            <a:tabLst/>
            <a:defRPr/>
          </a:pPr>
          <a:r>
            <a:rPr lang="es-CR" sz="1100">
              <a:solidFill>
                <a:sysClr val="windowText" lastClr="000000"/>
              </a:solidFill>
              <a:effectLst/>
              <a:latin typeface="+mn-lt"/>
              <a:ea typeface="+mn-ea"/>
              <a:cs typeface="+mn-cs"/>
            </a:rPr>
            <a:t>La información es proporcionada por las unidades ejecutoras de cada programa. </a:t>
          </a:r>
        </a:p>
        <a:p>
          <a:pPr marL="0" marR="0" indent="0" defTabSz="914400" eaLnBrk="1" fontAlgn="auto" latinLnBrk="0" hangingPunct="1">
            <a:lnSpc>
              <a:spcPct val="200000"/>
            </a:lnSpc>
            <a:spcBef>
              <a:spcPts val="0"/>
            </a:spcBef>
            <a:spcAft>
              <a:spcPts val="1000"/>
            </a:spcAft>
            <a:buClrTx/>
            <a:buSzTx/>
            <a:buFontTx/>
            <a:buNone/>
            <a:tabLst/>
            <a:defRPr/>
          </a:pPr>
          <a:r>
            <a:rPr lang="es-CR" sz="1100">
              <a:solidFill>
                <a:sysClr val="windowText" lastClr="000000"/>
              </a:solidFill>
              <a:effectLst/>
              <a:latin typeface="+mn-lt"/>
              <a:ea typeface="Calibri"/>
              <a:cs typeface="Times New Roman"/>
            </a:rPr>
            <a:t>Se deben tomar en cuenta las particularidades de cada programa .</a:t>
          </a:r>
        </a:p>
        <a:p>
          <a:pPr>
            <a:lnSpc>
              <a:spcPct val="200000"/>
            </a:lnSpc>
            <a:spcAft>
              <a:spcPts val="1000"/>
            </a:spcAft>
          </a:pPr>
          <a:r>
            <a:rPr lang="es-CR" sz="1100">
              <a:solidFill>
                <a:sysClr val="windowText" lastClr="000000"/>
              </a:solidFill>
              <a:effectLst/>
              <a:latin typeface="+mn-lt"/>
              <a:ea typeface="Calibri"/>
              <a:cs typeface="Times New Roman"/>
            </a:rPr>
            <a:t>En el caso particular de</a:t>
          </a:r>
          <a:r>
            <a:rPr lang="es-CR" sz="1100" baseline="0">
              <a:solidFill>
                <a:sysClr val="windowText" lastClr="000000"/>
              </a:solidFill>
              <a:effectLst/>
              <a:latin typeface="+mn-lt"/>
              <a:ea typeface="Calibri"/>
              <a:cs typeface="Times New Roman"/>
            </a:rPr>
            <a:t> CEN-CINAI</a:t>
          </a:r>
          <a:r>
            <a:rPr lang="es-CR" sz="1100">
              <a:solidFill>
                <a:sysClr val="windowText" lastClr="000000"/>
              </a:solidFill>
              <a:effectLst/>
              <a:latin typeface="+mn-lt"/>
              <a:ea typeface="Calibri"/>
              <a:cs typeface="Times New Roman"/>
            </a:rPr>
            <a:t>:</a:t>
          </a:r>
        </a:p>
        <a:p>
          <a:pPr>
            <a:lnSpc>
              <a:spcPct val="200000"/>
            </a:lnSpc>
            <a:spcAft>
              <a:spcPts val="1000"/>
            </a:spcAft>
          </a:pPr>
          <a:r>
            <a:rPr lang="es-CR" sz="1100">
              <a:solidFill>
                <a:sysClr val="windowText" lastClr="000000"/>
              </a:solidFill>
              <a:effectLst/>
              <a:latin typeface="+mn-lt"/>
              <a:ea typeface="Calibri"/>
              <a:cs typeface="Times New Roman"/>
            </a:rPr>
            <a:t>Los</a:t>
          </a:r>
          <a:r>
            <a:rPr lang="es-CR" sz="1100" baseline="0">
              <a:solidFill>
                <a:sysClr val="windowText" lastClr="000000"/>
              </a:solidFill>
              <a:effectLst/>
              <a:latin typeface="+mn-lt"/>
              <a:ea typeface="Calibri"/>
              <a:cs typeface="Times New Roman"/>
            </a:rPr>
            <a:t> giros de dinero por parte de Desaf no se hacen siempre con la programación preestablecida (en el caso de leche) sino que se toman en cuenta las existencias en inventario para sólo girar lo necesario. Siempre cubriendo el total de los beneficiarios, utilizando tanto las existencias como las nuevas compras.</a:t>
          </a:r>
        </a:p>
        <a:p>
          <a:pPr>
            <a:lnSpc>
              <a:spcPct val="200000"/>
            </a:lnSpc>
            <a:spcAft>
              <a:spcPts val="1000"/>
            </a:spcAft>
          </a:pPr>
          <a:r>
            <a:rPr lang="es-CR" sz="1100" baseline="0">
              <a:solidFill>
                <a:sysClr val="windowText" lastClr="000000"/>
              </a:solidFill>
              <a:effectLst/>
              <a:latin typeface="+mn-lt"/>
              <a:ea typeface="Calibri"/>
              <a:cs typeface="Times New Roman"/>
            </a:rPr>
            <a:t>Los giros de dinero también están sujetos a los cambios en precios de  mercado de la leche, por lo que el monto cobrado por factura puede diferir del presupuestado. Este cambio en precios puede provocar variaciones en el costo promedio por beneficiario entre períodos.</a:t>
          </a:r>
        </a:p>
        <a:p>
          <a:pPr>
            <a:lnSpc>
              <a:spcPct val="200000"/>
            </a:lnSpc>
            <a:spcAft>
              <a:spcPts val="1000"/>
            </a:spcAft>
          </a:pPr>
          <a:r>
            <a:rPr lang="es-CR" sz="1100" baseline="0">
              <a:solidFill>
                <a:sysClr val="windowText" lastClr="000000"/>
              </a:solidFill>
              <a:effectLst/>
              <a:latin typeface="+mn-lt"/>
              <a:ea typeface="Calibri"/>
              <a:cs typeface="Times New Roman"/>
            </a:rPr>
            <a:t>En enero se pueden estar utilizando saldos de leche del año anterior, por lo que puede haber cobertura sin gasto de dinero del año en ejecución.</a:t>
          </a:r>
        </a:p>
        <a:p>
          <a:pPr>
            <a:lnSpc>
              <a:spcPct val="200000"/>
            </a:lnSpc>
            <a:spcAft>
              <a:spcPts val="1000"/>
            </a:spcAft>
          </a:pPr>
          <a:r>
            <a:rPr lang="es-CR" sz="1100" baseline="0">
              <a:solidFill>
                <a:sysClr val="windowText" lastClr="000000"/>
              </a:solidFill>
              <a:effectLst/>
              <a:latin typeface="+mn-lt"/>
              <a:ea typeface="Calibri"/>
              <a:cs typeface="Times New Roman"/>
            </a:rPr>
            <a:t>Los mismos beneficiarios pueden recibir varios productos (por ejemplo leche y comida) y las mismas personas pueden ser atendidas durante todo el año.</a:t>
          </a:r>
        </a:p>
        <a:p>
          <a:pPr>
            <a:lnSpc>
              <a:spcPct val="200000"/>
            </a:lnSpc>
            <a:spcAft>
              <a:spcPts val="1000"/>
            </a:spcAft>
          </a:pPr>
          <a:endParaRPr lang="es-CR" sz="1100" baseline="0">
            <a:solidFill>
              <a:sysClr val="windowText" lastClr="000000"/>
            </a:solidFill>
            <a:effectLst/>
            <a:latin typeface="+mn-lt"/>
            <a:ea typeface="Calibri"/>
            <a:cs typeface="Times New Roman"/>
          </a:endParaRPr>
        </a:p>
        <a:p>
          <a:pPr>
            <a:lnSpc>
              <a:spcPct val="200000"/>
            </a:lnSpc>
            <a:spcAft>
              <a:spcPts val="1000"/>
            </a:spcAft>
          </a:pPr>
          <a:r>
            <a:rPr lang="es-CR" sz="1100">
              <a:solidFill>
                <a:sysClr val="windowText" lastClr="000000"/>
              </a:solidFill>
              <a:effectLst/>
              <a:latin typeface="+mn-lt"/>
              <a:ea typeface="Calibri"/>
              <a:cs typeface="Times New Roman"/>
            </a:rPr>
            <a:t>Se recomienda observar la fórmula utilizada en Excel cuando existan dudas sobre algún resultado obtenido.</a:t>
          </a:r>
        </a:p>
        <a:p>
          <a:pPr>
            <a:lnSpc>
              <a:spcPct val="200000"/>
            </a:lnSpc>
            <a:spcAft>
              <a:spcPts val="1000"/>
            </a:spcAft>
          </a:pPr>
          <a:endParaRPr lang="es-CR" sz="1100">
            <a:solidFill>
              <a:srgbClr val="1F497D"/>
            </a:solidFill>
            <a:effectLst/>
            <a:latin typeface="+mn-lt"/>
            <a:ea typeface="Calibri"/>
            <a:cs typeface="Times New Roman"/>
          </a:endParaRPr>
        </a:p>
        <a:p>
          <a:pPr>
            <a:lnSpc>
              <a:spcPct val="200000"/>
            </a:lnSpc>
            <a:spcAft>
              <a:spcPts val="1000"/>
            </a:spcAft>
          </a:pPr>
          <a:endParaRPr lang="es-CR" sz="1100">
            <a:solidFill>
              <a:srgbClr val="1F497D"/>
            </a:solidFill>
            <a:effectLst/>
            <a:latin typeface="+mn-lt"/>
            <a:ea typeface="Calibri"/>
            <a:cs typeface="Times New Roman"/>
          </a:endParaRPr>
        </a:p>
        <a:p>
          <a:endParaRPr lang="es-CR" sz="1100"/>
        </a:p>
        <a:p>
          <a:endParaRPr lang="es-CR" sz="1100"/>
        </a:p>
        <a:p>
          <a:endParaRPr lang="es-CR" sz="1100"/>
        </a:p>
        <a:p>
          <a:endParaRPr lang="es-CR"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9"/>
  <sheetViews>
    <sheetView zoomScale="70" zoomScaleNormal="70" workbookViewId="0">
      <pane xSplit="1" ySplit="6" topLeftCell="B7" activePane="bottomRight" state="frozen"/>
      <selection pane="topRight" activeCell="B1" sqref="B1"/>
      <selection pane="bottomLeft" activeCell="A7" sqref="A7"/>
      <selection pane="bottomRight" activeCell="AA107" sqref="AA107:AF109"/>
    </sheetView>
  </sheetViews>
  <sheetFormatPr baseColWidth="10" defaultColWidth="11.42578125" defaultRowHeight="15" x14ac:dyDescent="0.25"/>
  <cols>
    <col min="1" max="1" width="50.85546875" customWidth="1"/>
    <col min="2" max="2" width="26.7109375" customWidth="1"/>
    <col min="3" max="3" width="16" customWidth="1"/>
    <col min="4" max="6" width="15.5703125" customWidth="1"/>
    <col min="7" max="7" width="16.140625" customWidth="1"/>
    <col min="8" max="10" width="14.5703125" customWidth="1"/>
    <col min="11" max="11" width="15.42578125" customWidth="1"/>
    <col min="12" max="12" width="16.42578125" customWidth="1"/>
    <col min="13" max="13" width="23.7109375" bestFit="1" customWidth="1"/>
  </cols>
  <sheetData>
    <row r="1" spans="1:12" x14ac:dyDescent="0.25">
      <c r="I1" s="39"/>
      <c r="J1" s="39"/>
    </row>
    <row r="2" spans="1:12" ht="15.75" x14ac:dyDescent="0.25">
      <c r="A2" s="67" t="s">
        <v>79</v>
      </c>
      <c r="B2" s="67"/>
      <c r="C2" s="67"/>
      <c r="D2" s="67"/>
      <c r="E2" s="67"/>
      <c r="F2" s="67"/>
      <c r="G2" s="67"/>
      <c r="H2" s="67"/>
      <c r="I2" s="67"/>
      <c r="J2" s="67"/>
      <c r="K2" s="67"/>
    </row>
    <row r="4" spans="1:12" x14ac:dyDescent="0.25">
      <c r="A4" s="65" t="s">
        <v>0</v>
      </c>
      <c r="B4" s="57" t="s">
        <v>1</v>
      </c>
      <c r="C4" s="26"/>
      <c r="D4" s="69" t="s">
        <v>2</v>
      </c>
      <c r="E4" s="69"/>
      <c r="F4" s="69"/>
      <c r="G4" s="69"/>
      <c r="H4" s="69"/>
      <c r="I4" s="69"/>
      <c r="J4" s="69"/>
      <c r="K4" s="69"/>
      <c r="L4" s="69"/>
    </row>
    <row r="5" spans="1:12" ht="15.75" thickBot="1" x14ac:dyDescent="0.3">
      <c r="A5" s="66"/>
      <c r="B5" s="58" t="s">
        <v>3</v>
      </c>
      <c r="C5" s="58" t="s">
        <v>130</v>
      </c>
      <c r="D5" s="68" t="s">
        <v>4</v>
      </c>
      <c r="E5" s="68"/>
      <c r="F5" s="58" t="s">
        <v>131</v>
      </c>
      <c r="G5" s="70" t="s">
        <v>52</v>
      </c>
      <c r="H5" s="70"/>
      <c r="I5" s="70"/>
      <c r="J5" s="70"/>
      <c r="K5" s="1" t="s">
        <v>5</v>
      </c>
      <c r="L5" s="21" t="s">
        <v>51</v>
      </c>
    </row>
    <row r="6" spans="1:12" ht="15.75" thickTop="1" x14ac:dyDescent="0.25">
      <c r="B6" s="37" t="s">
        <v>1</v>
      </c>
      <c r="C6" s="37" t="s">
        <v>134</v>
      </c>
      <c r="D6" s="37" t="s">
        <v>48</v>
      </c>
      <c r="E6" s="37" t="s">
        <v>49</v>
      </c>
      <c r="F6" s="37" t="s">
        <v>135</v>
      </c>
      <c r="G6" s="37">
        <v>1600</v>
      </c>
      <c r="H6" s="37">
        <v>1000</v>
      </c>
      <c r="I6" s="48">
        <v>700</v>
      </c>
      <c r="J6" s="48">
        <v>800</v>
      </c>
      <c r="K6" s="37" t="s">
        <v>5</v>
      </c>
      <c r="L6" t="s">
        <v>136</v>
      </c>
    </row>
    <row r="7" spans="1:12" x14ac:dyDescent="0.25">
      <c r="A7" s="2" t="s">
        <v>6</v>
      </c>
      <c r="I7" s="33"/>
      <c r="J7" s="33"/>
    </row>
    <row r="8" spans="1:12" x14ac:dyDescent="0.25">
      <c r="I8" s="33"/>
      <c r="J8" s="33"/>
    </row>
    <row r="9" spans="1:12" x14ac:dyDescent="0.25">
      <c r="A9" t="s">
        <v>7</v>
      </c>
      <c r="I9" s="33"/>
      <c r="J9" s="33"/>
    </row>
    <row r="10" spans="1:12" x14ac:dyDescent="0.25">
      <c r="A10" s="3" t="s">
        <v>54</v>
      </c>
      <c r="B10" s="4">
        <f>+D10+G10</f>
        <v>110553.33333333333</v>
      </c>
      <c r="C10" s="4">
        <f>D10+E10</f>
        <v>31228.333333333332</v>
      </c>
      <c r="D10" s="4">
        <v>26559</v>
      </c>
      <c r="E10" s="4">
        <v>4669.333333333333</v>
      </c>
      <c r="F10" s="4">
        <f>G10+I10</f>
        <v>106388.33333333333</v>
      </c>
      <c r="G10" s="4">
        <v>83994.333333333328</v>
      </c>
      <c r="H10" s="4" t="s">
        <v>78</v>
      </c>
      <c r="I10" s="5">
        <v>22394</v>
      </c>
      <c r="J10" s="5">
        <v>14593</v>
      </c>
      <c r="K10" s="4">
        <v>1114.3333333333333</v>
      </c>
      <c r="L10" s="5">
        <v>0</v>
      </c>
    </row>
    <row r="11" spans="1:12" x14ac:dyDescent="0.25">
      <c r="A11" s="27" t="s">
        <v>37</v>
      </c>
      <c r="B11" s="4">
        <f t="shared" ref="B11:B16" si="0">+D11+G11</f>
        <v>97217</v>
      </c>
      <c r="C11" s="4">
        <f t="shared" ref="C11:C16" si="1">D11+E11</f>
        <v>26768</v>
      </c>
      <c r="D11" s="4">
        <v>22098.666666666668</v>
      </c>
      <c r="E11" s="4">
        <v>4669.333333333333</v>
      </c>
      <c r="F11" s="4">
        <f>G11+I11</f>
        <v>97512.333333333328</v>
      </c>
      <c r="G11" s="4">
        <v>75118.333333333328</v>
      </c>
      <c r="H11" s="4" t="s">
        <v>78</v>
      </c>
      <c r="I11" s="5">
        <v>22394</v>
      </c>
      <c r="J11" s="5">
        <v>14593</v>
      </c>
      <c r="K11" s="4">
        <v>1114.3333333333333</v>
      </c>
      <c r="L11" s="5">
        <v>0</v>
      </c>
    </row>
    <row r="12" spans="1:12" x14ac:dyDescent="0.25">
      <c r="A12" s="3" t="s">
        <v>80</v>
      </c>
      <c r="B12" s="4">
        <f t="shared" si="0"/>
        <v>125560</v>
      </c>
      <c r="C12" s="4">
        <f t="shared" si="1"/>
        <v>34606</v>
      </c>
      <c r="D12" s="4">
        <f>710+21546+2053+2357</f>
        <v>26666</v>
      </c>
      <c r="E12" s="4">
        <v>7940</v>
      </c>
      <c r="F12" s="4">
        <f>SUM(G12:I12)</f>
        <v>123947</v>
      </c>
      <c r="G12" s="4">
        <v>98894</v>
      </c>
      <c r="H12" s="4">
        <v>3339</v>
      </c>
      <c r="I12" s="5">
        <v>21714</v>
      </c>
      <c r="J12" s="5">
        <v>23903</v>
      </c>
      <c r="K12" s="4">
        <v>8560</v>
      </c>
      <c r="L12" s="5">
        <v>2629</v>
      </c>
    </row>
    <row r="13" spans="1:12" x14ac:dyDescent="0.25">
      <c r="A13" s="27" t="s">
        <v>37</v>
      </c>
      <c r="B13" s="4">
        <f t="shared" si="0"/>
        <v>120440</v>
      </c>
      <c r="C13" s="4">
        <f t="shared" si="1"/>
        <v>29486</v>
      </c>
      <c r="D13" s="4">
        <v>21546</v>
      </c>
      <c r="E13" s="4">
        <v>7940</v>
      </c>
      <c r="F13" s="4">
        <f t="shared" ref="F13:F16" si="2">SUM(G13:I13)</f>
        <v>123947</v>
      </c>
      <c r="G13" s="4">
        <v>98894</v>
      </c>
      <c r="H13" s="4">
        <v>3339</v>
      </c>
      <c r="I13" s="5">
        <v>21714</v>
      </c>
      <c r="J13" s="5">
        <v>23903</v>
      </c>
      <c r="K13" s="4">
        <v>8560</v>
      </c>
      <c r="L13" s="5">
        <v>2629</v>
      </c>
    </row>
    <row r="14" spans="1:12" x14ac:dyDescent="0.25">
      <c r="A14" s="3" t="s">
        <v>81</v>
      </c>
      <c r="B14" s="4">
        <f t="shared" si="0"/>
        <v>113195.66666666667</v>
      </c>
      <c r="C14" s="4">
        <f t="shared" si="1"/>
        <v>20493</v>
      </c>
      <c r="D14" s="5">
        <v>18921.666666666668</v>
      </c>
      <c r="E14" s="4">
        <v>1571.3333333333333</v>
      </c>
      <c r="F14" s="4">
        <f t="shared" si="2"/>
        <v>111301</v>
      </c>
      <c r="G14" s="4">
        <v>94274</v>
      </c>
      <c r="H14" s="4">
        <v>2456</v>
      </c>
      <c r="I14" s="5">
        <v>14571</v>
      </c>
      <c r="J14" s="5">
        <v>19277</v>
      </c>
      <c r="K14" s="4">
        <v>1347.3333333333333</v>
      </c>
      <c r="L14" s="5">
        <v>188</v>
      </c>
    </row>
    <row r="15" spans="1:12" x14ac:dyDescent="0.25">
      <c r="A15" s="27" t="s">
        <v>37</v>
      </c>
      <c r="B15" s="4">
        <f t="shared" si="0"/>
        <v>94513</v>
      </c>
      <c r="C15" s="4">
        <f t="shared" si="1"/>
        <v>16217.333333333334</v>
      </c>
      <c r="D15" s="4">
        <v>14646</v>
      </c>
      <c r="E15" s="4">
        <v>1571.3333333333333</v>
      </c>
      <c r="F15" s="4">
        <f t="shared" si="2"/>
        <v>96894</v>
      </c>
      <c r="G15" s="4">
        <v>79867</v>
      </c>
      <c r="H15" s="4">
        <v>2456</v>
      </c>
      <c r="I15" s="5">
        <v>14571</v>
      </c>
      <c r="J15" s="5">
        <v>19277</v>
      </c>
      <c r="K15" s="4">
        <v>1347.3333333333333</v>
      </c>
      <c r="L15" s="5">
        <v>188</v>
      </c>
    </row>
    <row r="16" spans="1:12" x14ac:dyDescent="0.25">
      <c r="A16" s="3" t="s">
        <v>82</v>
      </c>
      <c r="B16" s="4">
        <f t="shared" si="0"/>
        <v>136784</v>
      </c>
      <c r="C16" s="4">
        <f t="shared" si="1"/>
        <v>40532</v>
      </c>
      <c r="D16" s="4">
        <f>868+26334+2509+2881</f>
        <v>32592</v>
      </c>
      <c r="E16" s="4">
        <v>7940</v>
      </c>
      <c r="F16" s="4">
        <f t="shared" si="2"/>
        <v>135061.33000000002</v>
      </c>
      <c r="G16" s="4">
        <v>104192</v>
      </c>
      <c r="H16" s="4">
        <v>4081</v>
      </c>
      <c r="I16" s="5">
        <v>26788.33</v>
      </c>
      <c r="J16" s="5">
        <v>29215.08</v>
      </c>
      <c r="K16" s="4">
        <v>8560</v>
      </c>
      <c r="L16" s="5">
        <v>3615</v>
      </c>
    </row>
    <row r="17" spans="1:13" x14ac:dyDescent="0.25">
      <c r="I17" s="5"/>
      <c r="J17" s="5"/>
    </row>
    <row r="18" spans="1:13" x14ac:dyDescent="0.25">
      <c r="A18" s="6" t="s">
        <v>8</v>
      </c>
      <c r="I18" s="5"/>
      <c r="J18" s="5"/>
      <c r="M18" s="42"/>
    </row>
    <row r="19" spans="1:13" x14ac:dyDescent="0.25">
      <c r="A19" s="3" t="s">
        <v>54</v>
      </c>
      <c r="B19" s="4">
        <f>C19+F19+K19+L19</f>
        <v>2034222467</v>
      </c>
      <c r="C19" s="41">
        <v>1050390318.9999999</v>
      </c>
      <c r="D19" s="41"/>
      <c r="E19" s="41"/>
      <c r="F19" s="41">
        <v>983832148</v>
      </c>
      <c r="G19" s="41"/>
      <c r="H19" s="41"/>
      <c r="I19" s="41"/>
      <c r="J19" s="41"/>
      <c r="K19" s="4">
        <v>0</v>
      </c>
      <c r="L19" s="4">
        <v>0</v>
      </c>
    </row>
    <row r="20" spans="1:13" x14ac:dyDescent="0.25">
      <c r="A20" s="62" t="s">
        <v>80</v>
      </c>
      <c r="B20" s="4">
        <f t="shared" ref="B20:B23" si="3">C20+F20+K20+L20</f>
        <v>4064180264</v>
      </c>
      <c r="C20" s="4">
        <f>+D20+E20</f>
        <v>1230283800</v>
      </c>
      <c r="D20" s="41">
        <v>1213133400</v>
      </c>
      <c r="E20" s="41">
        <v>17150400</v>
      </c>
      <c r="F20" s="41">
        <v>1868805864</v>
      </c>
      <c r="G20" s="41"/>
      <c r="H20" s="41"/>
      <c r="I20" s="41"/>
      <c r="J20" s="41"/>
      <c r="K20" s="4">
        <v>644568000</v>
      </c>
      <c r="L20" s="5">
        <v>320522600</v>
      </c>
      <c r="M20" s="10"/>
    </row>
    <row r="21" spans="1:13" x14ac:dyDescent="0.25">
      <c r="A21" s="3" t="s">
        <v>81</v>
      </c>
      <c r="B21" s="4">
        <f t="shared" si="3"/>
        <v>2254136249</v>
      </c>
      <c r="C21" s="41">
        <v>1085344376</v>
      </c>
      <c r="D21" s="41"/>
      <c r="E21" s="41"/>
      <c r="F21" s="41">
        <v>848793379</v>
      </c>
      <c r="G21" s="41"/>
      <c r="H21" s="41"/>
      <c r="I21" s="41"/>
      <c r="J21" s="41"/>
      <c r="K21" s="41">
        <v>304615810</v>
      </c>
      <c r="L21" s="4">
        <v>15382684</v>
      </c>
    </row>
    <row r="22" spans="1:13" x14ac:dyDescent="0.25">
      <c r="A22" s="3" t="s">
        <v>82</v>
      </c>
      <c r="B22" s="4">
        <f t="shared" si="3"/>
        <v>18458834248</v>
      </c>
      <c r="C22" s="4">
        <f>+D22+E22</f>
        <v>5999613500</v>
      </c>
      <c r="D22" s="41">
        <v>5931011900</v>
      </c>
      <c r="E22" s="41">
        <v>68601600</v>
      </c>
      <c r="F22" s="41">
        <v>8118074448</v>
      </c>
      <c r="G22" s="41"/>
      <c r="H22" s="41"/>
      <c r="I22" s="41"/>
      <c r="J22" s="41"/>
      <c r="K22" s="4">
        <v>2578272000</v>
      </c>
      <c r="L22" s="5">
        <v>1762874300</v>
      </c>
      <c r="M22" s="10"/>
    </row>
    <row r="23" spans="1:13" x14ac:dyDescent="0.25">
      <c r="A23" s="3" t="s">
        <v>83</v>
      </c>
      <c r="B23" s="4">
        <f t="shared" si="3"/>
        <v>2254136249</v>
      </c>
      <c r="C23" s="4">
        <f>C21</f>
        <v>1085344376</v>
      </c>
      <c r="D23" s="41"/>
      <c r="E23" s="41"/>
      <c r="F23" s="41">
        <f>F21</f>
        <v>848793379</v>
      </c>
      <c r="G23" s="41"/>
      <c r="H23" s="41"/>
      <c r="I23" s="41"/>
      <c r="J23" s="41"/>
      <c r="K23" s="4">
        <f>K21</f>
        <v>304615810</v>
      </c>
      <c r="L23" s="4">
        <f>L21</f>
        <v>15382684</v>
      </c>
    </row>
    <row r="24" spans="1:13" x14ac:dyDescent="0.25">
      <c r="B24" s="4"/>
      <c r="C24" s="4"/>
      <c r="D24" s="4"/>
      <c r="E24" s="4"/>
      <c r="F24" s="4"/>
      <c r="G24" s="4"/>
      <c r="H24" s="4"/>
      <c r="I24" s="5"/>
      <c r="J24" s="5"/>
      <c r="K24" s="4"/>
    </row>
    <row r="25" spans="1:13" x14ac:dyDescent="0.25">
      <c r="A25" s="7" t="s">
        <v>9</v>
      </c>
      <c r="B25" s="8"/>
      <c r="C25" s="8"/>
      <c r="D25" s="8"/>
      <c r="E25" s="8"/>
      <c r="F25" s="8"/>
      <c r="G25" s="8"/>
      <c r="H25" s="8"/>
      <c r="I25" s="8"/>
      <c r="J25" s="8"/>
      <c r="K25" s="8"/>
      <c r="L25" s="8"/>
    </row>
    <row r="26" spans="1:13" x14ac:dyDescent="0.25">
      <c r="A26" s="9" t="s">
        <v>80</v>
      </c>
      <c r="B26" s="8">
        <f>B20</f>
        <v>4064180264</v>
      </c>
      <c r="C26" s="8"/>
      <c r="D26" s="8"/>
      <c r="E26" s="8"/>
      <c r="F26" s="8"/>
      <c r="G26" s="8"/>
      <c r="H26" s="8"/>
      <c r="I26" s="8"/>
      <c r="J26" s="8"/>
      <c r="K26" s="8"/>
      <c r="L26" s="8"/>
    </row>
    <row r="27" spans="1:13" x14ac:dyDescent="0.25">
      <c r="A27" s="9" t="s">
        <v>81</v>
      </c>
      <c r="B27" s="8">
        <v>3176725310.46</v>
      </c>
      <c r="C27" s="8"/>
      <c r="D27" s="54"/>
      <c r="E27" s="8"/>
      <c r="F27" s="8"/>
      <c r="G27" s="8"/>
      <c r="H27" s="8"/>
      <c r="I27" s="8"/>
      <c r="J27" s="8"/>
      <c r="K27" s="8"/>
      <c r="L27" s="8"/>
    </row>
    <row r="28" spans="1:13" x14ac:dyDescent="0.25">
      <c r="I28" s="33"/>
      <c r="J28" s="33"/>
    </row>
    <row r="29" spans="1:13" x14ac:dyDescent="0.25">
      <c r="A29" t="s">
        <v>10</v>
      </c>
      <c r="I29" s="33"/>
      <c r="J29" s="33"/>
    </row>
    <row r="30" spans="1:13" x14ac:dyDescent="0.25">
      <c r="A30" s="11" t="s">
        <v>55</v>
      </c>
      <c r="B30" s="12">
        <v>1.5037478319333335</v>
      </c>
      <c r="C30" s="12">
        <v>1.5037478319333335</v>
      </c>
      <c r="D30" s="12">
        <v>1.5037478319333335</v>
      </c>
      <c r="E30" s="12">
        <v>1.5037478319333335</v>
      </c>
      <c r="F30" s="12">
        <v>1.5037478319333335</v>
      </c>
      <c r="G30" s="12">
        <v>1.5037478319333335</v>
      </c>
      <c r="H30" s="12">
        <v>1.5037478319333335</v>
      </c>
      <c r="I30" s="12">
        <v>1.5037478319333335</v>
      </c>
      <c r="J30" s="12">
        <v>1.5037478319333335</v>
      </c>
      <c r="K30" s="12">
        <v>1.5037478319333335</v>
      </c>
      <c r="L30" s="12">
        <v>1.5037478319333335</v>
      </c>
    </row>
    <row r="31" spans="1:13" x14ac:dyDescent="0.25">
      <c r="A31" s="11" t="s">
        <v>84</v>
      </c>
      <c r="B31" s="12">
        <v>1.5969752303666667</v>
      </c>
      <c r="C31" s="12">
        <v>1.5969752303666667</v>
      </c>
      <c r="D31" s="12">
        <v>1.5969752303666667</v>
      </c>
      <c r="E31" s="12">
        <v>1.5969752303666667</v>
      </c>
      <c r="F31" s="12">
        <v>1.5969752303666667</v>
      </c>
      <c r="G31" s="12">
        <v>1.5969752303666667</v>
      </c>
      <c r="H31" s="12">
        <v>1.5969752303666667</v>
      </c>
      <c r="I31" s="12">
        <v>1.5969752303666667</v>
      </c>
      <c r="J31" s="12">
        <v>1.5969752303666667</v>
      </c>
      <c r="K31" s="12">
        <v>1.5969752303666667</v>
      </c>
      <c r="L31" s="12">
        <v>1.5969752303666667</v>
      </c>
    </row>
    <row r="32" spans="1:13" x14ac:dyDescent="0.25">
      <c r="A32" s="3" t="s">
        <v>11</v>
      </c>
      <c r="B32" s="4">
        <v>115935</v>
      </c>
      <c r="C32" s="4">
        <v>115935</v>
      </c>
      <c r="D32" s="4">
        <v>115935</v>
      </c>
      <c r="E32" s="4">
        <v>115935</v>
      </c>
      <c r="F32" s="4">
        <v>115935</v>
      </c>
      <c r="G32" s="4">
        <v>115935</v>
      </c>
      <c r="H32" s="4">
        <v>115935</v>
      </c>
      <c r="I32" s="4">
        <v>115935</v>
      </c>
      <c r="J32" s="4">
        <v>115935</v>
      </c>
      <c r="K32" s="4">
        <v>115935</v>
      </c>
      <c r="L32" s="4">
        <v>115935</v>
      </c>
    </row>
    <row r="33" spans="1:12" x14ac:dyDescent="0.25">
      <c r="E33" s="34"/>
      <c r="F33" s="34"/>
      <c r="I33" s="33"/>
      <c r="J33" s="33"/>
    </row>
    <row r="34" spans="1:12" x14ac:dyDescent="0.25">
      <c r="A34" s="13" t="s">
        <v>12</v>
      </c>
      <c r="B34" s="14"/>
      <c r="C34" s="14"/>
      <c r="D34" s="52"/>
      <c r="E34" s="52"/>
      <c r="F34" s="52"/>
      <c r="G34" s="64"/>
      <c r="H34" s="64"/>
      <c r="I34" s="64"/>
      <c r="J34" s="64"/>
      <c r="K34" s="14"/>
      <c r="L34" s="14"/>
    </row>
    <row r="35" spans="1:12" x14ac:dyDescent="0.25">
      <c r="A35" s="14" t="s">
        <v>56</v>
      </c>
      <c r="B35" s="15">
        <f>B19/B30</f>
        <v>1352768345.7303128</v>
      </c>
      <c r="C35" s="51">
        <f>C19/C30</f>
        <v>698514934.94726276</v>
      </c>
      <c r="D35" s="51"/>
      <c r="E35" s="51"/>
      <c r="F35" s="51">
        <f>F19/F30</f>
        <v>654253410.78304994</v>
      </c>
      <c r="G35" s="51"/>
      <c r="H35" s="51"/>
      <c r="I35" s="51"/>
      <c r="J35" s="51"/>
      <c r="K35" s="15">
        <f t="shared" ref="K35" si="4">K19/K30</f>
        <v>0</v>
      </c>
      <c r="L35" s="15">
        <f t="shared" ref="L35" si="5">L19/L30</f>
        <v>0</v>
      </c>
    </row>
    <row r="36" spans="1:12" x14ac:dyDescent="0.25">
      <c r="A36" s="14" t="s">
        <v>85</v>
      </c>
      <c r="B36" s="15">
        <f>B21/B31</f>
        <v>1411503576.3469222</v>
      </c>
      <c r="C36" s="51">
        <f>C21/C31</f>
        <v>679625053.2644794</v>
      </c>
      <c r="D36" s="51"/>
      <c r="E36" s="51"/>
      <c r="F36" s="51">
        <f>F21/F31</f>
        <v>531500653.77351934</v>
      </c>
      <c r="G36" s="51"/>
      <c r="H36" s="51"/>
      <c r="I36" s="51"/>
      <c r="J36" s="51"/>
      <c r="K36" s="15">
        <f>K21/K31</f>
        <v>190745481.96346164</v>
      </c>
      <c r="L36" s="15">
        <f>L21/L31</f>
        <v>9632387.3454619106</v>
      </c>
    </row>
    <row r="37" spans="1:12" x14ac:dyDescent="0.25">
      <c r="A37" s="14" t="s">
        <v>57</v>
      </c>
      <c r="B37" s="15">
        <f>B35/B10</f>
        <v>12236.34154613441</v>
      </c>
      <c r="C37" s="51">
        <f>C35/C10</f>
        <v>22367.986388875364</v>
      </c>
      <c r="D37" s="51"/>
      <c r="E37" s="51"/>
      <c r="F37" s="51">
        <f>F35/F10</f>
        <v>6149.6725278434351</v>
      </c>
      <c r="G37" s="51"/>
      <c r="H37" s="51"/>
      <c r="I37" s="51"/>
      <c r="J37" s="51"/>
      <c r="K37" s="15">
        <f>K35/K10</f>
        <v>0</v>
      </c>
      <c r="L37" s="15" t="e">
        <f>L35/L10</f>
        <v>#DIV/0!</v>
      </c>
    </row>
    <row r="38" spans="1:12" x14ac:dyDescent="0.25">
      <c r="A38" s="14" t="s">
        <v>86</v>
      </c>
      <c r="B38" s="15">
        <f>B36/B14</f>
        <v>12469.590205281022</v>
      </c>
      <c r="C38" s="51">
        <f>C36/C14</f>
        <v>33163.765835381811</v>
      </c>
      <c r="D38" s="51"/>
      <c r="E38" s="51"/>
      <c r="F38" s="51">
        <f>F36/F14</f>
        <v>4775.3448196648669</v>
      </c>
      <c r="G38" s="51"/>
      <c r="H38" s="51"/>
      <c r="I38" s="51"/>
      <c r="J38" s="51"/>
      <c r="K38" s="35">
        <f>K36/K14</f>
        <v>141572.59918119371</v>
      </c>
      <c r="L38" s="35">
        <f>L36/L14</f>
        <v>51236.10290139314</v>
      </c>
    </row>
    <row r="39" spans="1:12" x14ac:dyDescent="0.25">
      <c r="I39" s="33"/>
      <c r="J39" s="33"/>
    </row>
    <row r="40" spans="1:12" x14ac:dyDescent="0.25">
      <c r="A40" s="2" t="s">
        <v>13</v>
      </c>
      <c r="I40" s="33"/>
      <c r="J40" s="33"/>
    </row>
    <row r="41" spans="1:12" x14ac:dyDescent="0.25">
      <c r="I41" s="33"/>
      <c r="J41" s="33"/>
    </row>
    <row r="42" spans="1:12" x14ac:dyDescent="0.25">
      <c r="A42" t="s">
        <v>14</v>
      </c>
      <c r="I42" s="33"/>
      <c r="J42" s="33"/>
    </row>
    <row r="43" spans="1:12" x14ac:dyDescent="0.25">
      <c r="A43" t="s">
        <v>15</v>
      </c>
      <c r="B43" s="18">
        <f>(B13/B32)*100</f>
        <v>103.88579807650839</v>
      </c>
      <c r="C43" s="18">
        <f t="shared" ref="C43:L43" si="6">(C13/C32)*100</f>
        <v>25.433216888773881</v>
      </c>
      <c r="D43" s="18">
        <f t="shared" si="6"/>
        <v>18.584551688446112</v>
      </c>
      <c r="E43" s="18">
        <f t="shared" si="6"/>
        <v>6.848665200327769</v>
      </c>
      <c r="F43" s="18">
        <f t="shared" si="6"/>
        <v>106.91076896536853</v>
      </c>
      <c r="G43" s="18">
        <f t="shared" si="6"/>
        <v>85.301246388062282</v>
      </c>
      <c r="H43" s="18">
        <f t="shared" si="6"/>
        <v>2.8800621037650407</v>
      </c>
      <c r="I43" s="18">
        <f t="shared" si="6"/>
        <v>18.729460473541209</v>
      </c>
      <c r="J43" s="18">
        <f t="shared" si="6"/>
        <v>20.617587441238623</v>
      </c>
      <c r="K43" s="18">
        <f t="shared" si="6"/>
        <v>7.3834476215120546</v>
      </c>
      <c r="L43" s="18">
        <f t="shared" si="6"/>
        <v>2.2676499762798121</v>
      </c>
    </row>
    <row r="44" spans="1:12" x14ac:dyDescent="0.25">
      <c r="A44" t="s">
        <v>16</v>
      </c>
      <c r="B44" s="18">
        <f>(B15/B32)*100</f>
        <v>81.522404795790749</v>
      </c>
      <c r="C44" s="18">
        <f t="shared" ref="C44:L44" si="7">(C15/C32)*100</f>
        <v>13.988298040568711</v>
      </c>
      <c r="D44" s="18">
        <f t="shared" si="7"/>
        <v>12.632940872040368</v>
      </c>
      <c r="E44" s="18">
        <f t="shared" si="7"/>
        <v>1.3553571685283419</v>
      </c>
      <c r="F44" s="18">
        <f t="shared" si="7"/>
        <v>83.576141803596855</v>
      </c>
      <c r="G44" s="18">
        <f t="shared" si="7"/>
        <v>68.889463923750384</v>
      </c>
      <c r="H44" s="18">
        <f t="shared" si="7"/>
        <v>2.1184284297235521</v>
      </c>
      <c r="I44" s="18">
        <f t="shared" si="7"/>
        <v>12.568249450122915</v>
      </c>
      <c r="J44" s="18">
        <f t="shared" si="7"/>
        <v>16.627420537370078</v>
      </c>
      <c r="K44" s="18">
        <f t="shared" si="7"/>
        <v>1.1621454550682135</v>
      </c>
      <c r="L44" s="18">
        <f t="shared" si="7"/>
        <v>0.16215983093975073</v>
      </c>
    </row>
    <row r="45" spans="1:12" x14ac:dyDescent="0.25">
      <c r="I45" s="33"/>
      <c r="J45" s="33"/>
    </row>
    <row r="46" spans="1:12" x14ac:dyDescent="0.25">
      <c r="A46" t="s">
        <v>17</v>
      </c>
      <c r="I46" s="33"/>
      <c r="J46" s="33"/>
    </row>
    <row r="47" spans="1:12" x14ac:dyDescent="0.25">
      <c r="A47" t="s">
        <v>18</v>
      </c>
      <c r="B47" s="16">
        <f>B14/B12*100</f>
        <v>90.152649463735798</v>
      </c>
      <c r="C47" s="16">
        <f t="shared" ref="C47:L47" si="8">C14/C12*100</f>
        <v>59.218054672600132</v>
      </c>
      <c r="D47" s="16">
        <f t="shared" si="8"/>
        <v>70.958023950598772</v>
      </c>
      <c r="E47" s="16">
        <f t="shared" si="8"/>
        <v>19.790092359361878</v>
      </c>
      <c r="F47" s="16">
        <f t="shared" si="8"/>
        <v>89.797252051279983</v>
      </c>
      <c r="G47" s="16">
        <f t="shared" si="8"/>
        <v>95.328331344672065</v>
      </c>
      <c r="H47" s="16">
        <f t="shared" si="8"/>
        <v>73.554956573824498</v>
      </c>
      <c r="I47" s="16">
        <f t="shared" si="8"/>
        <v>67.104172423321359</v>
      </c>
      <c r="J47" s="16">
        <f t="shared" si="8"/>
        <v>80.646780738819388</v>
      </c>
      <c r="K47" s="16">
        <f t="shared" si="8"/>
        <v>15.739875389408098</v>
      </c>
      <c r="L47" s="16">
        <f t="shared" si="8"/>
        <v>7.1510079878280717</v>
      </c>
    </row>
    <row r="48" spans="1:12" x14ac:dyDescent="0.25">
      <c r="A48" t="s">
        <v>19</v>
      </c>
      <c r="B48" s="16">
        <f>B21/B20*100</f>
        <v>55.463490853662591</v>
      </c>
      <c r="C48" s="16">
        <f>C21/C20*100</f>
        <v>88.219025236291003</v>
      </c>
      <c r="D48" s="16"/>
      <c r="E48" s="16"/>
      <c r="F48" s="59">
        <f>F21/F20*100</f>
        <v>45.41902373867979</v>
      </c>
      <c r="G48" s="59"/>
      <c r="H48" s="59"/>
      <c r="I48" s="59"/>
      <c r="J48" s="59"/>
      <c r="K48" s="16">
        <f>K21/K20*100</f>
        <v>47.258909843492077</v>
      </c>
      <c r="L48" s="16">
        <f>L21/L20*100</f>
        <v>4.7992509732543045</v>
      </c>
    </row>
    <row r="49" spans="1:12" x14ac:dyDescent="0.25">
      <c r="A49" s="14" t="s">
        <v>20</v>
      </c>
      <c r="B49" s="17">
        <f>AVERAGE(B47:B48)</f>
        <v>72.808070158699195</v>
      </c>
      <c r="C49" s="17">
        <f t="shared" ref="C49:K49" si="9">AVERAGE(C47:C48)</f>
        <v>73.718539954445561</v>
      </c>
      <c r="D49" s="17"/>
      <c r="E49" s="17"/>
      <c r="F49" s="60">
        <f>AVERAGE(F47:F48)</f>
        <v>67.60813789497989</v>
      </c>
      <c r="G49" s="60"/>
      <c r="H49" s="60"/>
      <c r="I49" s="60"/>
      <c r="J49" s="60"/>
      <c r="K49" s="17">
        <f t="shared" si="9"/>
        <v>31.499392616450088</v>
      </c>
      <c r="L49" s="17">
        <f t="shared" ref="L49" si="10">AVERAGE(L47:L48)</f>
        <v>5.9751294805411881</v>
      </c>
    </row>
    <row r="50" spans="1:12" x14ac:dyDescent="0.25">
      <c r="B50" s="16"/>
      <c r="C50" s="16"/>
      <c r="D50" s="16"/>
      <c r="E50" s="16"/>
      <c r="F50" s="16"/>
      <c r="G50" s="16"/>
      <c r="H50" s="16"/>
      <c r="I50" s="16"/>
      <c r="J50" s="16"/>
      <c r="K50" s="16"/>
      <c r="L50" s="16"/>
    </row>
    <row r="51" spans="1:12" x14ac:dyDescent="0.25">
      <c r="A51" t="s">
        <v>21</v>
      </c>
    </row>
    <row r="52" spans="1:12" x14ac:dyDescent="0.25">
      <c r="A52" t="s">
        <v>22</v>
      </c>
      <c r="B52" s="16">
        <f>((B14/B16)*100)</f>
        <v>82.75504932350762</v>
      </c>
      <c r="C52" s="16">
        <f t="shared" ref="C52:L52" si="11">((C14/C16)*100)</f>
        <v>50.560051317477551</v>
      </c>
      <c r="D52" s="16">
        <f t="shared" si="11"/>
        <v>58.056169203076422</v>
      </c>
      <c r="E52" s="16">
        <f t="shared" si="11"/>
        <v>19.790092359361878</v>
      </c>
      <c r="F52" s="16">
        <f t="shared" si="11"/>
        <v>82.407747650641369</v>
      </c>
      <c r="G52" s="16">
        <f t="shared" si="11"/>
        <v>90.48103501228502</v>
      </c>
      <c r="H52" s="16">
        <f t="shared" si="11"/>
        <v>60.181328105856416</v>
      </c>
      <c r="I52" s="16">
        <f t="shared" si="11"/>
        <v>54.393088333613925</v>
      </c>
      <c r="J52" s="16">
        <f t="shared" si="11"/>
        <v>65.983047111286368</v>
      </c>
      <c r="K52" s="16">
        <f t="shared" si="11"/>
        <v>15.739875389408098</v>
      </c>
      <c r="L52" s="16">
        <f t="shared" si="11"/>
        <v>5.2005532503457816</v>
      </c>
    </row>
    <row r="53" spans="1:12" x14ac:dyDescent="0.25">
      <c r="A53" t="s">
        <v>23</v>
      </c>
      <c r="B53" s="16">
        <f>B21/B22*100</f>
        <v>12.211693429362874</v>
      </c>
      <c r="C53" s="16">
        <f>C21/C22*100</f>
        <v>18.090238246180355</v>
      </c>
      <c r="D53" s="16"/>
      <c r="E53" s="16"/>
      <c r="F53" s="16">
        <f>F21/F22*100</f>
        <v>10.455599840047194</v>
      </c>
      <c r="G53" s="16"/>
      <c r="H53" s="16"/>
      <c r="I53" s="16"/>
      <c r="J53" s="16"/>
      <c r="K53" s="16">
        <f t="shared" ref="K53" si="12">K21/K22*100</f>
        <v>11.814727460873019</v>
      </c>
      <c r="L53" s="16">
        <f>L21/L22*100</f>
        <v>0.87259108604623714</v>
      </c>
    </row>
    <row r="54" spans="1:12" x14ac:dyDescent="0.25">
      <c r="A54" t="s">
        <v>24</v>
      </c>
      <c r="B54" s="16">
        <f>(B52+B53)/2</f>
        <v>47.483371376435244</v>
      </c>
      <c r="C54" s="16">
        <f t="shared" ref="C54:K54" si="13">(C52+C53)/2</f>
        <v>34.325144781828953</v>
      </c>
      <c r="D54" s="16"/>
      <c r="E54" s="16"/>
      <c r="F54" s="16">
        <f t="shared" ref="F54" si="14">(F52+F53)/2</f>
        <v>46.431673745344284</v>
      </c>
      <c r="G54" s="16"/>
      <c r="H54" s="16"/>
      <c r="I54" s="16"/>
      <c r="J54" s="16"/>
      <c r="K54" s="16">
        <f t="shared" si="13"/>
        <v>13.777301425140559</v>
      </c>
      <c r="L54" s="16">
        <f>(L52+L53)/2</f>
        <v>3.0365721681960096</v>
      </c>
    </row>
    <row r="55" spans="1:12" x14ac:dyDescent="0.25">
      <c r="B55" s="16"/>
      <c r="C55" s="16"/>
      <c r="D55" s="16"/>
      <c r="E55" s="16"/>
      <c r="F55" s="16"/>
      <c r="G55" s="16"/>
      <c r="H55" s="16"/>
      <c r="I55" s="16"/>
      <c r="J55" s="16"/>
      <c r="K55" s="16"/>
      <c r="L55" s="16"/>
    </row>
    <row r="56" spans="1:12" x14ac:dyDescent="0.25">
      <c r="A56" t="s">
        <v>40</v>
      </c>
    </row>
    <row r="57" spans="1:12" x14ac:dyDescent="0.25">
      <c r="A57" t="s">
        <v>25</v>
      </c>
      <c r="B57" s="16">
        <f>B23/B21*100</f>
        <v>100</v>
      </c>
      <c r="C57" s="16"/>
      <c r="D57" s="16"/>
      <c r="E57" s="16"/>
      <c r="F57" s="16"/>
      <c r="G57" s="16"/>
      <c r="H57" s="16"/>
      <c r="I57" s="16"/>
      <c r="J57" s="16"/>
      <c r="K57" s="16"/>
      <c r="L57" s="16"/>
    </row>
    <row r="59" spans="1:12" x14ac:dyDescent="0.25">
      <c r="A59" t="s">
        <v>26</v>
      </c>
    </row>
    <row r="60" spans="1:12" x14ac:dyDescent="0.25">
      <c r="A60" t="s">
        <v>27</v>
      </c>
      <c r="B60" s="16">
        <f>((B14/B10)-1)*100</f>
        <v>2.3900982934330406</v>
      </c>
      <c r="C60" s="16">
        <f t="shared" ref="C60:L60" si="15">((C14/C10)-1)*100</f>
        <v>-34.376901318247313</v>
      </c>
      <c r="D60" s="16">
        <f t="shared" si="15"/>
        <v>-28.756102764913337</v>
      </c>
      <c r="E60" s="16">
        <f t="shared" si="15"/>
        <v>-66.347801256424901</v>
      </c>
      <c r="F60" s="16">
        <f t="shared" si="15"/>
        <v>4.6176742437297413</v>
      </c>
      <c r="G60" s="16">
        <f t="shared" si="15"/>
        <v>12.238524027414543</v>
      </c>
      <c r="H60" s="16" t="e">
        <f t="shared" si="15"/>
        <v>#VALUE!</v>
      </c>
      <c r="I60" s="16">
        <f t="shared" si="15"/>
        <v>-34.933464320800212</v>
      </c>
      <c r="J60" s="16">
        <f t="shared" si="15"/>
        <v>32.097581032001642</v>
      </c>
      <c r="K60" s="16">
        <f t="shared" si="15"/>
        <v>20.909362847741541</v>
      </c>
      <c r="L60" s="16" t="e">
        <f t="shared" si="15"/>
        <v>#DIV/0!</v>
      </c>
    </row>
    <row r="61" spans="1:12" x14ac:dyDescent="0.25">
      <c r="A61" t="s">
        <v>28</v>
      </c>
      <c r="B61" s="16">
        <f>((B36/B35)-1)*100</f>
        <v>4.3418543021052303</v>
      </c>
      <c r="C61" s="16">
        <f t="shared" ref="C61:L61" si="16">((C36/C35)-1)*100</f>
        <v>-2.7042917391894461</v>
      </c>
      <c r="D61" s="16"/>
      <c r="E61" s="16"/>
      <c r="F61" s="16">
        <f t="shared" si="16"/>
        <v>-18.762264741212842</v>
      </c>
      <c r="G61" s="16"/>
      <c r="H61" s="16"/>
      <c r="I61" s="16"/>
      <c r="J61" s="16"/>
      <c r="K61" s="16" t="e">
        <f t="shared" si="16"/>
        <v>#DIV/0!</v>
      </c>
      <c r="L61" s="16" t="e">
        <f t="shared" si="16"/>
        <v>#DIV/0!</v>
      </c>
    </row>
    <row r="62" spans="1:12" x14ac:dyDescent="0.25">
      <c r="A62" s="14" t="s">
        <v>29</v>
      </c>
      <c r="B62" s="17">
        <f>((B38/B37)-1)*100</f>
        <v>1.9061960494253904</v>
      </c>
      <c r="C62" s="17">
        <f t="shared" ref="C62:L62" si="17">((C38/C37)-1)*100</f>
        <v>48.26442245993001</v>
      </c>
      <c r="D62" s="17"/>
      <c r="E62" s="17"/>
      <c r="F62" s="17">
        <f t="shared" si="17"/>
        <v>-22.347981977188581</v>
      </c>
      <c r="G62" s="17"/>
      <c r="H62" s="17"/>
      <c r="I62" s="17"/>
      <c r="J62" s="17"/>
      <c r="K62" s="17" t="e">
        <f t="shared" si="17"/>
        <v>#DIV/0!</v>
      </c>
      <c r="L62" s="17" t="e">
        <f t="shared" si="17"/>
        <v>#DIV/0!</v>
      </c>
    </row>
    <row r="63" spans="1:12" x14ac:dyDescent="0.25">
      <c r="B63" s="18"/>
      <c r="C63" s="18"/>
      <c r="D63" s="18"/>
      <c r="E63" s="18"/>
      <c r="F63" s="18"/>
      <c r="G63" s="18"/>
      <c r="H63" s="18"/>
      <c r="I63" s="18"/>
      <c r="J63" s="18"/>
      <c r="K63" s="18"/>
      <c r="L63" s="18"/>
    </row>
    <row r="64" spans="1:12" x14ac:dyDescent="0.25">
      <c r="A64" t="s">
        <v>30</v>
      </c>
    </row>
    <row r="65" spans="1:12" x14ac:dyDescent="0.25">
      <c r="A65" t="s">
        <v>44</v>
      </c>
      <c r="B65" s="4">
        <f>B20/(B12*3)</f>
        <v>10789.477179568865</v>
      </c>
      <c r="C65" s="4">
        <f>C20/(C12*3)</f>
        <v>11850.390105762006</v>
      </c>
      <c r="D65" s="4"/>
      <c r="E65" s="4"/>
      <c r="F65" s="4">
        <f t="shared" ref="F65" si="18">F20/(F12*3)</f>
        <v>5025.8198100801146</v>
      </c>
      <c r="G65" s="4"/>
      <c r="H65" s="41"/>
      <c r="I65" s="41"/>
      <c r="J65" s="41"/>
      <c r="K65" s="4">
        <f>K20/(K12*3)</f>
        <v>25100</v>
      </c>
      <c r="L65" s="4">
        <f>L20/(L12*3)</f>
        <v>40639.355902117408</v>
      </c>
    </row>
    <row r="66" spans="1:12" x14ac:dyDescent="0.25">
      <c r="A66" t="s">
        <v>45</v>
      </c>
      <c r="B66" s="4">
        <f>B21/(B14*3)</f>
        <v>6637.8755635521975</v>
      </c>
      <c r="C66" s="4">
        <f>C21/(C14*3)</f>
        <v>17653.904194928349</v>
      </c>
      <c r="D66" s="4"/>
      <c r="E66" s="45"/>
      <c r="F66" s="4">
        <f>F21/(F14*3)</f>
        <v>2542.0357978215229</v>
      </c>
      <c r="G66" s="41"/>
      <c r="H66" s="41"/>
      <c r="I66" s="41"/>
      <c r="J66" s="41"/>
      <c r="K66" s="4">
        <f>K21/(K14*3)</f>
        <v>75362.644730331522</v>
      </c>
      <c r="L66" s="4">
        <f>L21/(L14*3)</f>
        <v>27274.262411347518</v>
      </c>
    </row>
    <row r="67" spans="1:12" x14ac:dyDescent="0.25">
      <c r="A67" s="14" t="s">
        <v>33</v>
      </c>
      <c r="B67" s="17">
        <f>(B65/B66)*B49</f>
        <v>118.34524524369783</v>
      </c>
      <c r="C67" s="17">
        <f>(C65/C66)*C49</f>
        <v>49.484433972307983</v>
      </c>
      <c r="D67" s="17"/>
      <c r="E67" s="17"/>
      <c r="F67" s="17">
        <f t="shared" ref="F67" si="19">(F65/F66)*F49</f>
        <v>133.66700777636905</v>
      </c>
      <c r="G67" s="60"/>
      <c r="H67" s="60"/>
      <c r="I67" s="60"/>
      <c r="J67" s="60"/>
      <c r="K67" s="17">
        <f>(K65/K66)*K49</f>
        <v>10.491069647330027</v>
      </c>
      <c r="L67" s="17">
        <f>(L65/L66)*L49</f>
        <v>8.9030973545198133</v>
      </c>
    </row>
    <row r="68" spans="1:12" x14ac:dyDescent="0.25">
      <c r="A68" s="18" t="s">
        <v>39</v>
      </c>
      <c r="B68" s="31">
        <f>B20/B12</f>
        <v>32368.431538706594</v>
      </c>
      <c r="C68" s="31">
        <f>C20/C12</f>
        <v>35551.170317286022</v>
      </c>
      <c r="D68" s="31"/>
      <c r="E68" s="31"/>
      <c r="F68" s="31">
        <f t="shared" ref="F68" si="20">F20/F12</f>
        <v>15077.459430240344</v>
      </c>
      <c r="G68" s="61"/>
      <c r="H68" s="61"/>
      <c r="I68" s="61"/>
      <c r="J68" s="61"/>
      <c r="K68" s="31">
        <f t="shared" ref="K68:L68" si="21">K20/K12</f>
        <v>75300</v>
      </c>
      <c r="L68" s="31">
        <f t="shared" si="21"/>
        <v>121918.06770635223</v>
      </c>
    </row>
    <row r="69" spans="1:12" x14ac:dyDescent="0.25">
      <c r="A69" s="18" t="s">
        <v>38</v>
      </c>
      <c r="B69" s="18">
        <f>B21/B14</f>
        <v>19913.626690656591</v>
      </c>
      <c r="C69" s="18">
        <f>C21/C14</f>
        <v>52961.712584785048</v>
      </c>
      <c r="D69" s="18"/>
      <c r="E69" s="18"/>
      <c r="F69" s="18">
        <f t="shared" ref="F69" si="22">F21/F14</f>
        <v>7626.1073934645692</v>
      </c>
      <c r="G69" s="61"/>
      <c r="H69" s="61"/>
      <c r="I69" s="61"/>
      <c r="J69" s="61"/>
      <c r="K69" s="31">
        <f>K21/K14</f>
        <v>226087.93419099457</v>
      </c>
      <c r="L69" s="31">
        <f>L21/L14</f>
        <v>81822.787234042553</v>
      </c>
    </row>
    <row r="70" spans="1:12" x14ac:dyDescent="0.25">
      <c r="B70" s="16"/>
      <c r="C70" s="16"/>
      <c r="D70" s="16"/>
      <c r="E70" s="16"/>
      <c r="F70" s="16"/>
      <c r="G70" s="16"/>
      <c r="H70" s="16"/>
      <c r="I70" s="18"/>
      <c r="J70" s="18"/>
      <c r="K70" s="16"/>
      <c r="L70" s="16"/>
    </row>
    <row r="71" spans="1:12" x14ac:dyDescent="0.25">
      <c r="A71" t="s">
        <v>34</v>
      </c>
      <c r="B71" s="16"/>
      <c r="C71" s="16"/>
      <c r="D71" s="16"/>
      <c r="E71" s="16"/>
      <c r="F71" s="16"/>
      <c r="G71" s="16"/>
      <c r="H71" s="16"/>
      <c r="I71" s="18"/>
      <c r="J71" s="18"/>
      <c r="K71" s="16"/>
      <c r="L71" s="16"/>
    </row>
    <row r="72" spans="1:12" x14ac:dyDescent="0.25">
      <c r="A72" s="19" t="s">
        <v>35</v>
      </c>
      <c r="B72" s="20">
        <f>(B27/B26)*100</f>
        <v>78.163986440243193</v>
      </c>
      <c r="C72" s="20"/>
      <c r="D72" s="20"/>
      <c r="E72" s="20"/>
      <c r="F72" s="20"/>
      <c r="G72" s="20"/>
      <c r="H72" s="20"/>
      <c r="I72" s="20"/>
      <c r="J72" s="20"/>
      <c r="K72" s="20"/>
      <c r="L72" s="20"/>
    </row>
    <row r="73" spans="1:12" x14ac:dyDescent="0.25">
      <c r="A73" s="19" t="s">
        <v>36</v>
      </c>
      <c r="B73" s="20">
        <f>(B21/B27)*100</f>
        <v>70.957858445544787</v>
      </c>
      <c r="C73" s="20"/>
      <c r="D73" s="20"/>
      <c r="E73" s="20"/>
      <c r="F73" s="20"/>
      <c r="G73" s="20"/>
      <c r="H73" s="20"/>
      <c r="I73" s="20"/>
      <c r="J73" s="20"/>
      <c r="K73" s="20"/>
      <c r="L73" s="20"/>
    </row>
    <row r="74" spans="1:12" ht="15.75" thickBot="1" x14ac:dyDescent="0.3">
      <c r="A74" s="21"/>
      <c r="B74" s="21"/>
      <c r="C74" s="21"/>
      <c r="D74" s="21"/>
      <c r="E74" s="21"/>
      <c r="F74" s="21"/>
      <c r="G74" s="21"/>
      <c r="H74" s="21"/>
      <c r="I74" s="50"/>
      <c r="J74" s="50"/>
      <c r="K74" s="21"/>
      <c r="L74" s="21"/>
    </row>
    <row r="75" spans="1:12" ht="15.75" thickTop="1" x14ac:dyDescent="0.25">
      <c r="A75" s="34" t="s">
        <v>123</v>
      </c>
    </row>
    <row r="76" spans="1:12" x14ac:dyDescent="0.25">
      <c r="A76" t="s">
        <v>126</v>
      </c>
    </row>
    <row r="77" spans="1:12" x14ac:dyDescent="0.25">
      <c r="A77" t="s">
        <v>127</v>
      </c>
    </row>
    <row r="78" spans="1:12" x14ac:dyDescent="0.25">
      <c r="A78" t="s">
        <v>128</v>
      </c>
    </row>
    <row r="80" spans="1:12" x14ac:dyDescent="0.25">
      <c r="A80" t="s">
        <v>43</v>
      </c>
    </row>
    <row r="81" spans="1:10" x14ac:dyDescent="0.25">
      <c r="A81" t="s">
        <v>53</v>
      </c>
      <c r="B81" s="22"/>
      <c r="C81" s="22"/>
      <c r="D81" s="22"/>
      <c r="E81" s="22"/>
      <c r="F81" s="22"/>
      <c r="G81" s="22"/>
      <c r="H81" s="22"/>
      <c r="I81" s="22"/>
      <c r="J81" s="22"/>
    </row>
    <row r="82" spans="1:10" x14ac:dyDescent="0.25">
      <c r="A82" t="s">
        <v>129</v>
      </c>
    </row>
    <row r="83" spans="1:10" x14ac:dyDescent="0.25">
      <c r="A83" t="s">
        <v>50</v>
      </c>
    </row>
    <row r="84" spans="1:10" x14ac:dyDescent="0.25">
      <c r="A84" t="s">
        <v>125</v>
      </c>
    </row>
    <row r="86" spans="1:10" x14ac:dyDescent="0.25">
      <c r="A86" t="s">
        <v>124</v>
      </c>
    </row>
    <row r="87" spans="1:10" x14ac:dyDescent="0.25">
      <c r="A87" s="43">
        <v>41865</v>
      </c>
    </row>
    <row r="108" spans="27:31" x14ac:dyDescent="0.25">
      <c r="AA108" s="19"/>
      <c r="AB108" s="63"/>
      <c r="AC108" s="63"/>
      <c r="AD108" s="63"/>
      <c r="AE108" s="63"/>
    </row>
    <row r="109" spans="27:31" x14ac:dyDescent="0.25">
      <c r="AA109" s="19"/>
      <c r="AB109" s="63"/>
      <c r="AC109" s="63"/>
      <c r="AD109" s="63"/>
      <c r="AE109" s="63"/>
    </row>
  </sheetData>
  <mergeCells count="6">
    <mergeCell ref="G34:J34"/>
    <mergeCell ref="A4:A5"/>
    <mergeCell ref="A2:K2"/>
    <mergeCell ref="D5:E5"/>
    <mergeCell ref="D4:L4"/>
    <mergeCell ref="G5:J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I38" sqref="I38"/>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36" sqref="B36"/>
    </sheetView>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87"/>
  <sheetViews>
    <sheetView zoomScale="80" zoomScaleNormal="80" workbookViewId="0">
      <pane xSplit="1" topLeftCell="B1" activePane="topRight" state="frozen"/>
      <selection activeCell="G56" sqref="G56"/>
      <selection pane="topRight" activeCell="G12" sqref="G12"/>
    </sheetView>
  </sheetViews>
  <sheetFormatPr baseColWidth="10" defaultColWidth="11.42578125" defaultRowHeight="15" x14ac:dyDescent="0.25"/>
  <cols>
    <col min="1" max="1" width="50.85546875" customWidth="1"/>
    <col min="2" max="3" width="26.85546875" customWidth="1"/>
    <col min="4" max="6" width="16.5703125" customWidth="1"/>
    <col min="7" max="7" width="16.140625" customWidth="1"/>
    <col min="8" max="10" width="17.42578125" customWidth="1"/>
    <col min="11" max="11" width="15.42578125" customWidth="1"/>
    <col min="12" max="12" width="16.42578125" customWidth="1"/>
  </cols>
  <sheetData>
    <row r="2" spans="1:12" ht="15.75" x14ac:dyDescent="0.25">
      <c r="A2" s="67" t="s">
        <v>87</v>
      </c>
      <c r="B2" s="67"/>
      <c r="C2" s="67"/>
      <c r="D2" s="67"/>
      <c r="E2" s="67"/>
      <c r="F2" s="67"/>
      <c r="G2" s="67"/>
      <c r="H2" s="67"/>
      <c r="I2" s="67"/>
      <c r="J2" s="67"/>
      <c r="K2" s="67"/>
    </row>
    <row r="4" spans="1:12" x14ac:dyDescent="0.25">
      <c r="A4" s="65" t="s">
        <v>0</v>
      </c>
      <c r="B4" s="26" t="s">
        <v>1</v>
      </c>
      <c r="C4" s="26"/>
      <c r="D4" s="69" t="s">
        <v>2</v>
      </c>
      <c r="E4" s="69"/>
      <c r="F4" s="69"/>
      <c r="G4" s="69"/>
      <c r="H4" s="69"/>
      <c r="I4" s="69"/>
      <c r="J4" s="69"/>
      <c r="K4" s="69"/>
      <c r="L4" s="69"/>
    </row>
    <row r="5" spans="1:12" ht="15.75" thickBot="1" x14ac:dyDescent="0.3">
      <c r="A5" s="66"/>
      <c r="B5" s="1" t="s">
        <v>3</v>
      </c>
      <c r="C5" s="58" t="s">
        <v>130</v>
      </c>
      <c r="D5" s="68" t="s">
        <v>4</v>
      </c>
      <c r="E5" s="68"/>
      <c r="F5" s="58" t="s">
        <v>131</v>
      </c>
      <c r="G5" s="68" t="s">
        <v>52</v>
      </c>
      <c r="H5" s="68"/>
      <c r="I5" s="49"/>
      <c r="J5" s="49"/>
      <c r="K5" s="1" t="s">
        <v>5</v>
      </c>
      <c r="L5" s="21" t="s">
        <v>51</v>
      </c>
    </row>
    <row r="6" spans="1:12" ht="15.75" thickTop="1" x14ac:dyDescent="0.25">
      <c r="B6" s="37" t="s">
        <v>1</v>
      </c>
      <c r="D6" s="37" t="s">
        <v>48</v>
      </c>
      <c r="E6" s="37" t="s">
        <v>49</v>
      </c>
      <c r="F6" s="37"/>
      <c r="G6" s="37">
        <v>1600</v>
      </c>
      <c r="H6" s="37">
        <v>1000</v>
      </c>
      <c r="I6" s="48">
        <v>700</v>
      </c>
      <c r="J6" s="48">
        <v>800</v>
      </c>
      <c r="K6" s="37" t="s">
        <v>5</v>
      </c>
    </row>
    <row r="7" spans="1:12" x14ac:dyDescent="0.25">
      <c r="A7" s="2" t="s">
        <v>6</v>
      </c>
      <c r="I7" s="33"/>
      <c r="J7" s="33"/>
    </row>
    <row r="8" spans="1:12" x14ac:dyDescent="0.25">
      <c r="I8" s="33"/>
      <c r="J8" s="33"/>
    </row>
    <row r="9" spans="1:12" x14ac:dyDescent="0.25">
      <c r="A9" t="s">
        <v>7</v>
      </c>
      <c r="I9" s="33"/>
      <c r="J9" s="33"/>
    </row>
    <row r="10" spans="1:12" x14ac:dyDescent="0.25">
      <c r="A10" s="3" t="s">
        <v>58</v>
      </c>
      <c r="B10" s="25">
        <f>+D10+G10</f>
        <v>129335.66666666666</v>
      </c>
      <c r="C10" s="25">
        <f>+D10+E10</f>
        <v>41284</v>
      </c>
      <c r="D10" s="38">
        <v>33395.333333333336</v>
      </c>
      <c r="E10" s="25">
        <v>7888.666666666667</v>
      </c>
      <c r="F10" s="25">
        <f>G10+I10</f>
        <v>123350.33333333333</v>
      </c>
      <c r="G10" s="25">
        <v>95940.333333333328</v>
      </c>
      <c r="H10" s="25" t="s">
        <v>78</v>
      </c>
      <c r="I10" s="38">
        <v>27410</v>
      </c>
      <c r="J10" s="38">
        <v>21185</v>
      </c>
      <c r="K10" s="25">
        <v>7104</v>
      </c>
      <c r="L10" s="25">
        <v>1348.6666666666667</v>
      </c>
    </row>
    <row r="11" spans="1:12" x14ac:dyDescent="0.25">
      <c r="A11" s="28" t="s">
        <v>37</v>
      </c>
      <c r="B11" s="25">
        <f t="shared" ref="B11:B16" si="0">+D11+G11</f>
        <v>106824</v>
      </c>
      <c r="C11" s="25">
        <f t="shared" ref="C11:C16" si="1">+D11+E11</f>
        <v>35270.333333333336</v>
      </c>
      <c r="D11" s="25">
        <v>27381.666666666668</v>
      </c>
      <c r="E11" s="25">
        <v>7888.666666666667</v>
      </c>
      <c r="F11" s="25">
        <f>G11+I11</f>
        <v>106852.33333333333</v>
      </c>
      <c r="G11" s="25">
        <v>79442.333333333328</v>
      </c>
      <c r="H11" s="25" t="s">
        <v>78</v>
      </c>
      <c r="I11" s="38">
        <v>27410</v>
      </c>
      <c r="J11" s="38">
        <v>21185</v>
      </c>
      <c r="K11" s="25">
        <v>7104</v>
      </c>
      <c r="L11" s="25">
        <v>1348.6666666666667</v>
      </c>
    </row>
    <row r="12" spans="1:12" x14ac:dyDescent="0.25">
      <c r="A12" s="3" t="s">
        <v>88</v>
      </c>
      <c r="B12" s="25">
        <f t="shared" si="0"/>
        <v>141513</v>
      </c>
      <c r="C12" s="25">
        <f t="shared" si="1"/>
        <v>43495</v>
      </c>
      <c r="D12" s="25">
        <f>947+28728+2737+3143</f>
        <v>35555</v>
      </c>
      <c r="E12" s="25">
        <v>7940</v>
      </c>
      <c r="F12" s="25">
        <f>SUM(G12:I12)</f>
        <v>139362</v>
      </c>
      <c r="G12" s="25">
        <v>105958</v>
      </c>
      <c r="H12" s="25">
        <v>4452</v>
      </c>
      <c r="I12" s="47">
        <v>28952</v>
      </c>
      <c r="J12" s="47">
        <v>31871</v>
      </c>
      <c r="K12" s="4">
        <v>8560</v>
      </c>
      <c r="L12" s="30">
        <v>3944</v>
      </c>
    </row>
    <row r="13" spans="1:12" x14ac:dyDescent="0.25">
      <c r="A13" s="28" t="s">
        <v>37</v>
      </c>
      <c r="B13" s="25">
        <f t="shared" si="0"/>
        <v>134686</v>
      </c>
      <c r="C13" s="25">
        <f t="shared" si="1"/>
        <v>36668</v>
      </c>
      <c r="D13" s="25">
        <v>28728</v>
      </c>
      <c r="E13" s="25">
        <v>7940</v>
      </c>
      <c r="F13" s="25">
        <f t="shared" ref="F13:F16" si="2">SUM(G13:I13)</f>
        <v>139362</v>
      </c>
      <c r="G13" s="25">
        <v>105958</v>
      </c>
      <c r="H13" s="25">
        <v>4452</v>
      </c>
      <c r="I13" s="47">
        <v>28952</v>
      </c>
      <c r="J13" s="47">
        <v>31871</v>
      </c>
      <c r="K13" s="4">
        <v>8560</v>
      </c>
      <c r="L13" s="30">
        <v>3944</v>
      </c>
    </row>
    <row r="14" spans="1:12" x14ac:dyDescent="0.25">
      <c r="A14" s="3" t="s">
        <v>89</v>
      </c>
      <c r="B14" s="25">
        <f t="shared" si="0"/>
        <v>127901</v>
      </c>
      <c r="C14" s="25">
        <f t="shared" si="1"/>
        <v>32125</v>
      </c>
      <c r="D14" s="38">
        <v>26839</v>
      </c>
      <c r="E14" s="25">
        <v>5286</v>
      </c>
      <c r="F14" s="25">
        <f t="shared" si="2"/>
        <v>125094</v>
      </c>
      <c r="G14" s="25">
        <v>101062</v>
      </c>
      <c r="H14" s="25">
        <v>3541</v>
      </c>
      <c r="I14" s="38">
        <v>20491</v>
      </c>
      <c r="J14" s="38">
        <v>24936</v>
      </c>
      <c r="K14" s="25">
        <v>8183</v>
      </c>
      <c r="L14" s="25">
        <v>937</v>
      </c>
    </row>
    <row r="15" spans="1:12" x14ac:dyDescent="0.25">
      <c r="A15" s="28" t="s">
        <v>37</v>
      </c>
      <c r="B15" s="25">
        <f t="shared" si="0"/>
        <v>104651</v>
      </c>
      <c r="C15" s="25">
        <f t="shared" si="1"/>
        <v>25679</v>
      </c>
      <c r="D15" s="25">
        <v>20393</v>
      </c>
      <c r="E15" s="25">
        <v>5286</v>
      </c>
      <c r="F15" s="25">
        <f t="shared" si="2"/>
        <v>108290</v>
      </c>
      <c r="G15" s="25">
        <v>84258</v>
      </c>
      <c r="H15" s="25">
        <v>3541</v>
      </c>
      <c r="I15" s="38">
        <v>20491</v>
      </c>
      <c r="J15" s="38">
        <v>24936</v>
      </c>
      <c r="K15" s="25">
        <v>8183</v>
      </c>
      <c r="L15" s="25">
        <v>937</v>
      </c>
    </row>
    <row r="16" spans="1:12" x14ac:dyDescent="0.25">
      <c r="A16" s="3" t="s">
        <v>82</v>
      </c>
      <c r="B16" s="25">
        <f t="shared" si="0"/>
        <v>136784</v>
      </c>
      <c r="C16" s="25">
        <f t="shared" si="1"/>
        <v>40532</v>
      </c>
      <c r="D16" s="4">
        <f>868+26334+2509+2881</f>
        <v>32592</v>
      </c>
      <c r="E16" s="4">
        <v>7940</v>
      </c>
      <c r="F16" s="25">
        <f t="shared" si="2"/>
        <v>135061.33000000002</v>
      </c>
      <c r="G16" s="4">
        <v>104192</v>
      </c>
      <c r="H16" s="4">
        <v>4081</v>
      </c>
      <c r="I16" s="5">
        <v>26788.33</v>
      </c>
      <c r="J16" s="5">
        <v>29215.08</v>
      </c>
      <c r="K16" s="4">
        <v>8560</v>
      </c>
      <c r="L16" s="5">
        <v>3615</v>
      </c>
    </row>
    <row r="17" spans="1:13" x14ac:dyDescent="0.25">
      <c r="B17" s="23"/>
      <c r="C17" s="23"/>
      <c r="D17" s="23"/>
      <c r="E17" s="23"/>
      <c r="F17" s="23"/>
      <c r="G17" s="23"/>
      <c r="H17" s="23"/>
      <c r="I17" s="47"/>
      <c r="J17" s="47"/>
      <c r="K17" s="23"/>
    </row>
    <row r="18" spans="1:13" x14ac:dyDescent="0.25">
      <c r="A18" s="6" t="s">
        <v>8</v>
      </c>
      <c r="B18" s="25"/>
      <c r="C18" s="25"/>
      <c r="D18" s="23"/>
      <c r="G18" s="23"/>
      <c r="H18" s="23"/>
      <c r="I18" s="38"/>
      <c r="J18" s="38"/>
      <c r="K18" s="23"/>
    </row>
    <row r="19" spans="1:13" x14ac:dyDescent="0.25">
      <c r="A19" s="3" t="s">
        <v>58</v>
      </c>
      <c r="B19" s="25">
        <f>C19+F19+K19+L19</f>
        <v>2993026840</v>
      </c>
      <c r="C19" s="41">
        <v>1379810240</v>
      </c>
      <c r="D19" s="41"/>
      <c r="E19" s="41"/>
      <c r="F19" s="41">
        <v>1445062220</v>
      </c>
      <c r="G19" s="41"/>
      <c r="H19" s="41"/>
      <c r="I19" s="41"/>
      <c r="J19" s="41"/>
      <c r="K19" s="25">
        <v>38255260</v>
      </c>
      <c r="L19" s="4">
        <v>129899120</v>
      </c>
    </row>
    <row r="20" spans="1:13" x14ac:dyDescent="0.25">
      <c r="A20" s="62" t="s">
        <v>80</v>
      </c>
      <c r="B20" s="25">
        <f t="shared" ref="B20:B23" si="3">C20+F20+K20+L20</f>
        <v>4856446920</v>
      </c>
      <c r="C20" s="41">
        <f>+D20+E20</f>
        <v>1634699100</v>
      </c>
      <c r="D20" s="41">
        <v>1617548700</v>
      </c>
      <c r="E20" s="41">
        <v>17150400</v>
      </c>
      <c r="F20" s="41">
        <v>2096395920</v>
      </c>
      <c r="G20" s="41"/>
      <c r="H20" s="41"/>
      <c r="I20" s="41"/>
      <c r="J20" s="41"/>
      <c r="K20" s="25">
        <v>644568000</v>
      </c>
      <c r="L20" s="5">
        <v>480783900</v>
      </c>
      <c r="M20" s="39"/>
    </row>
    <row r="21" spans="1:13" x14ac:dyDescent="0.25">
      <c r="A21" s="3" t="s">
        <v>89</v>
      </c>
      <c r="B21" s="38">
        <f t="shared" si="3"/>
        <v>3453739476</v>
      </c>
      <c r="C21" s="41">
        <v>987552472</v>
      </c>
      <c r="D21" s="41"/>
      <c r="E21" s="41"/>
      <c r="F21" s="41">
        <v>1647557971</v>
      </c>
      <c r="G21" s="41"/>
      <c r="H21" s="41"/>
      <c r="I21" s="41"/>
      <c r="J21" s="41"/>
      <c r="K21" s="25">
        <v>736730003</v>
      </c>
      <c r="L21" s="4">
        <v>81899030</v>
      </c>
    </row>
    <row r="22" spans="1:13" x14ac:dyDescent="0.25">
      <c r="A22" s="3" t="s">
        <v>82</v>
      </c>
      <c r="B22" s="25">
        <f t="shared" si="3"/>
        <v>18458834248</v>
      </c>
      <c r="C22" s="25">
        <f>+D22+E22</f>
        <v>5999613500</v>
      </c>
      <c r="D22" s="41">
        <v>5931011900</v>
      </c>
      <c r="E22" s="41">
        <v>68601600</v>
      </c>
      <c r="F22" s="41">
        <v>8118074448</v>
      </c>
      <c r="G22" s="41"/>
      <c r="H22" s="41"/>
      <c r="I22" s="41"/>
      <c r="J22" s="41"/>
      <c r="K22" s="4">
        <v>2578272000</v>
      </c>
      <c r="L22" s="5">
        <v>1762874300</v>
      </c>
      <c r="M22" s="39"/>
    </row>
    <row r="23" spans="1:13" x14ac:dyDescent="0.25">
      <c r="A23" s="3" t="s">
        <v>90</v>
      </c>
      <c r="B23" s="25">
        <f t="shared" si="3"/>
        <v>3453739476</v>
      </c>
      <c r="C23" s="4">
        <f>C21</f>
        <v>987552472</v>
      </c>
      <c r="D23" s="41"/>
      <c r="E23" s="41"/>
      <c r="F23" s="41">
        <f>F21</f>
        <v>1647557971</v>
      </c>
      <c r="G23" s="41"/>
      <c r="H23" s="41"/>
      <c r="I23" s="41"/>
      <c r="J23" s="41"/>
      <c r="K23" s="4">
        <f>K21</f>
        <v>736730003</v>
      </c>
      <c r="L23" s="4">
        <f>L21</f>
        <v>81899030</v>
      </c>
    </row>
    <row r="24" spans="1:13" x14ac:dyDescent="0.25">
      <c r="B24" s="23"/>
      <c r="C24" s="23"/>
      <c r="D24" s="23"/>
      <c r="E24" s="23"/>
      <c r="F24" s="23"/>
      <c r="G24" s="23"/>
      <c r="H24" s="23"/>
      <c r="I24" s="46"/>
      <c r="J24" s="46"/>
      <c r="K24" s="23"/>
    </row>
    <row r="25" spans="1:13" x14ac:dyDescent="0.25">
      <c r="A25" s="7" t="s">
        <v>9</v>
      </c>
      <c r="B25" s="24"/>
      <c r="C25" s="24"/>
      <c r="D25" s="24"/>
      <c r="E25" s="24"/>
      <c r="F25" s="24"/>
      <c r="G25" s="24"/>
      <c r="H25" s="24"/>
      <c r="I25" s="24"/>
      <c r="J25" s="24"/>
      <c r="K25" s="24"/>
      <c r="L25" s="24"/>
    </row>
    <row r="26" spans="1:13" x14ac:dyDescent="0.25">
      <c r="A26" s="9" t="s">
        <v>88</v>
      </c>
      <c r="B26" s="36">
        <f>B20</f>
        <v>4856446920</v>
      </c>
      <c r="C26" s="36"/>
      <c r="D26" s="24"/>
      <c r="E26" s="24"/>
      <c r="F26" s="24"/>
      <c r="G26" s="24"/>
      <c r="H26" s="24"/>
      <c r="I26" s="24"/>
      <c r="J26" s="24"/>
      <c r="K26" s="24"/>
      <c r="L26" s="24"/>
    </row>
    <row r="27" spans="1:13" x14ac:dyDescent="0.25">
      <c r="A27" s="9" t="s">
        <v>89</v>
      </c>
      <c r="B27" s="36">
        <v>3789444951.6599998</v>
      </c>
      <c r="C27" s="36"/>
      <c r="D27" s="24"/>
      <c r="E27" s="24"/>
      <c r="F27" s="24"/>
      <c r="G27" s="24"/>
      <c r="H27" s="24"/>
      <c r="I27" s="24"/>
      <c r="J27" s="24"/>
      <c r="K27" s="24"/>
      <c r="L27" s="24"/>
    </row>
    <row r="28" spans="1:13" x14ac:dyDescent="0.25">
      <c r="I28" s="33"/>
      <c r="J28" s="33"/>
    </row>
    <row r="29" spans="1:13" x14ac:dyDescent="0.25">
      <c r="A29" t="s">
        <v>10</v>
      </c>
      <c r="I29" s="33"/>
      <c r="J29" s="33"/>
    </row>
    <row r="30" spans="1:13" x14ac:dyDescent="0.25">
      <c r="A30" s="11" t="s">
        <v>59</v>
      </c>
      <c r="B30" s="12">
        <v>1.5290678841333332</v>
      </c>
      <c r="C30" s="12">
        <v>1.5290678841333332</v>
      </c>
      <c r="D30" s="12">
        <v>1.5290678841333332</v>
      </c>
      <c r="E30" s="12">
        <v>1.5290678841333332</v>
      </c>
      <c r="F30" s="12">
        <v>1.5290678841333332</v>
      </c>
      <c r="G30" s="12">
        <v>1.5290678841333332</v>
      </c>
      <c r="H30" s="12">
        <v>1.5290678841333332</v>
      </c>
      <c r="I30" s="12">
        <v>1.5290678841333332</v>
      </c>
      <c r="J30" s="12">
        <v>1.5290678841333332</v>
      </c>
      <c r="K30" s="12">
        <v>1.5290678841333332</v>
      </c>
      <c r="L30" s="12">
        <v>1.5290678841333332</v>
      </c>
    </row>
    <row r="31" spans="1:13" x14ac:dyDescent="0.25">
      <c r="A31" s="11" t="s">
        <v>91</v>
      </c>
      <c r="B31" s="12">
        <v>1.6173</v>
      </c>
      <c r="C31" s="12">
        <v>1.6173</v>
      </c>
      <c r="D31" s="12">
        <v>1.6173</v>
      </c>
      <c r="E31" s="12">
        <v>1.6173</v>
      </c>
      <c r="F31" s="12">
        <v>1.6173</v>
      </c>
      <c r="G31" s="12">
        <v>1.6173</v>
      </c>
      <c r="H31" s="12">
        <v>1.6173</v>
      </c>
      <c r="I31" s="12">
        <v>1.6173</v>
      </c>
      <c r="J31" s="12">
        <v>1.6173</v>
      </c>
      <c r="K31" s="12">
        <v>1.6173</v>
      </c>
      <c r="L31" s="12">
        <v>1.6173</v>
      </c>
    </row>
    <row r="32" spans="1:13" x14ac:dyDescent="0.25">
      <c r="A32" s="3" t="s">
        <v>11</v>
      </c>
      <c r="B32" s="4">
        <v>115935</v>
      </c>
      <c r="C32" s="4">
        <v>115935</v>
      </c>
      <c r="D32" s="4">
        <v>115935</v>
      </c>
      <c r="E32" s="4">
        <v>115935</v>
      </c>
      <c r="F32" s="4">
        <v>115935</v>
      </c>
      <c r="G32" s="4">
        <v>115935</v>
      </c>
      <c r="H32" s="4">
        <v>115935</v>
      </c>
      <c r="I32" s="4">
        <v>115935</v>
      </c>
      <c r="J32" s="4">
        <v>115935</v>
      </c>
      <c r="K32" s="4">
        <v>115935</v>
      </c>
      <c r="L32" s="4">
        <v>115935</v>
      </c>
    </row>
    <row r="33" spans="1:12" x14ac:dyDescent="0.25">
      <c r="I33" s="33"/>
      <c r="J33" s="33"/>
    </row>
    <row r="34" spans="1:12" x14ac:dyDescent="0.25">
      <c r="A34" s="13" t="s">
        <v>12</v>
      </c>
      <c r="B34" s="14"/>
      <c r="C34" s="14"/>
      <c r="D34" s="52"/>
      <c r="E34" s="52"/>
      <c r="F34" s="52"/>
      <c r="G34" s="64"/>
      <c r="H34" s="64"/>
      <c r="I34" s="64"/>
      <c r="J34" s="64"/>
      <c r="K34" s="14"/>
      <c r="L34" s="14"/>
    </row>
    <row r="35" spans="1:12" x14ac:dyDescent="0.25">
      <c r="A35" s="14" t="s">
        <v>60</v>
      </c>
      <c r="B35" s="15">
        <f>B19/B30</f>
        <v>1957419203.5930636</v>
      </c>
      <c r="C35" s="51">
        <f>C19/C30</f>
        <v>902386515.54837179</v>
      </c>
      <c r="D35" s="51"/>
      <c r="E35" s="51"/>
      <c r="F35" s="51">
        <f>F19/F30</f>
        <v>945060866.81629109</v>
      </c>
      <c r="G35" s="51"/>
      <c r="H35" s="51"/>
      <c r="I35" s="51"/>
      <c r="J35" s="51"/>
      <c r="K35" s="15">
        <f t="shared" ref="K35:L35" si="4">K19/K30</f>
        <v>25018679.940219175</v>
      </c>
      <c r="L35" s="15">
        <f t="shared" si="4"/>
        <v>84953141.288181633</v>
      </c>
    </row>
    <row r="36" spans="1:12" x14ac:dyDescent="0.25">
      <c r="A36" s="14" t="s">
        <v>92</v>
      </c>
      <c r="B36" s="15">
        <f>B21/B31</f>
        <v>2135497109.9981451</v>
      </c>
      <c r="C36" s="51">
        <f>C21/C31</f>
        <v>610617988.00469923</v>
      </c>
      <c r="D36" s="51"/>
      <c r="E36" s="51"/>
      <c r="F36" s="51">
        <f>F21/F31</f>
        <v>1018708941.4456192</v>
      </c>
      <c r="G36" s="51"/>
      <c r="H36" s="51"/>
      <c r="I36" s="51"/>
      <c r="J36" s="51"/>
      <c r="K36" s="15">
        <f>K21/K31</f>
        <v>455530824.83150929</v>
      </c>
      <c r="L36" s="15">
        <f>L21/L31</f>
        <v>50639355.716317318</v>
      </c>
    </row>
    <row r="37" spans="1:12" x14ac:dyDescent="0.25">
      <c r="A37" s="14" t="s">
        <v>61</v>
      </c>
      <c r="B37" s="15">
        <f>B35/B10</f>
        <v>15134.411520357084</v>
      </c>
      <c r="C37" s="51">
        <f>C35/C10</f>
        <v>21858.020432815905</v>
      </c>
      <c r="D37" s="51"/>
      <c r="E37" s="51"/>
      <c r="F37" s="51">
        <f>F35/F10</f>
        <v>7661.5996185630447</v>
      </c>
      <c r="G37" s="51"/>
      <c r="H37" s="51"/>
      <c r="I37" s="51"/>
      <c r="J37" s="51"/>
      <c r="K37" s="15">
        <f>K35/K10</f>
        <v>3521.7736402335549</v>
      </c>
      <c r="L37" s="15">
        <f>L35/L10</f>
        <v>62990.465611602791</v>
      </c>
    </row>
    <row r="38" spans="1:12" x14ac:dyDescent="0.25">
      <c r="A38" s="14" t="s">
        <v>93</v>
      </c>
      <c r="B38" s="15">
        <f>B36/B14</f>
        <v>16696.484859368928</v>
      </c>
      <c r="C38" s="51">
        <f>C36/C14</f>
        <v>19007.563828940052</v>
      </c>
      <c r="D38" s="51"/>
      <c r="E38" s="51"/>
      <c r="F38" s="51">
        <f>F36/F14</f>
        <v>8143.5475837819495</v>
      </c>
      <c r="G38" s="51"/>
      <c r="H38" s="51"/>
      <c r="I38" s="51"/>
      <c r="J38" s="51"/>
      <c r="K38" s="35">
        <f>K36/K14</f>
        <v>55667.948775694647</v>
      </c>
      <c r="L38" s="35">
        <f>L36/L14</f>
        <v>54044.136303433639</v>
      </c>
    </row>
    <row r="39" spans="1:12" x14ac:dyDescent="0.25">
      <c r="I39" s="33"/>
      <c r="J39" s="33"/>
    </row>
    <row r="40" spans="1:12" x14ac:dyDescent="0.25">
      <c r="A40" s="2" t="s">
        <v>13</v>
      </c>
      <c r="I40" s="33"/>
      <c r="J40" s="33"/>
    </row>
    <row r="41" spans="1:12" x14ac:dyDescent="0.25">
      <c r="I41" s="33"/>
      <c r="J41" s="33"/>
    </row>
    <row r="42" spans="1:12" x14ac:dyDescent="0.25">
      <c r="A42" t="s">
        <v>14</v>
      </c>
      <c r="I42" s="33"/>
      <c r="J42" s="33"/>
    </row>
    <row r="43" spans="1:12" x14ac:dyDescent="0.25">
      <c r="A43" t="s">
        <v>15</v>
      </c>
      <c r="B43" s="18">
        <f>(B13/B32)*100</f>
        <v>116.17371803165565</v>
      </c>
      <c r="C43" s="18">
        <f t="shared" ref="C43:L43" si="5">(C13/C32)*100</f>
        <v>31.628067451589253</v>
      </c>
      <c r="D43" s="18">
        <f t="shared" si="5"/>
        <v>24.77940225126148</v>
      </c>
      <c r="E43" s="18">
        <f t="shared" si="5"/>
        <v>6.848665200327769</v>
      </c>
      <c r="F43" s="18">
        <f t="shared" si="5"/>
        <v>120.20701255013586</v>
      </c>
      <c r="G43" s="18">
        <f t="shared" si="5"/>
        <v>91.39431578039418</v>
      </c>
      <c r="H43" s="18">
        <f t="shared" si="5"/>
        <v>3.8400828050200544</v>
      </c>
      <c r="I43" s="18">
        <f t="shared" si="5"/>
        <v>24.97261396472161</v>
      </c>
      <c r="J43" s="18">
        <f t="shared" si="5"/>
        <v>27.490404105748912</v>
      </c>
      <c r="K43" s="18">
        <f t="shared" si="5"/>
        <v>7.3834476215120546</v>
      </c>
      <c r="L43" s="18">
        <f t="shared" si="5"/>
        <v>3.4019062405658342</v>
      </c>
    </row>
    <row r="44" spans="1:12" x14ac:dyDescent="0.25">
      <c r="A44" t="s">
        <v>16</v>
      </c>
      <c r="B44" s="18">
        <f>(B15/B32)*100</f>
        <v>90.266959934446021</v>
      </c>
      <c r="C44" s="18">
        <f t="shared" ref="C44:L44" si="6">(C15/C32)*100</f>
        <v>22.149480312243931</v>
      </c>
      <c r="D44" s="18">
        <f t="shared" si="6"/>
        <v>17.590028895501788</v>
      </c>
      <c r="E44" s="18">
        <f t="shared" si="6"/>
        <v>4.5594514167421396</v>
      </c>
      <c r="F44" s="18">
        <f t="shared" si="6"/>
        <v>93.405787725880884</v>
      </c>
      <c r="G44" s="18">
        <f t="shared" si="6"/>
        <v>72.676931038944232</v>
      </c>
      <c r="H44" s="18">
        <f t="shared" si="6"/>
        <v>3.0542976667960495</v>
      </c>
      <c r="I44" s="18">
        <f t="shared" si="6"/>
        <v>17.674559020140595</v>
      </c>
      <c r="J44" s="18">
        <f t="shared" si="6"/>
        <v>21.508603959115021</v>
      </c>
      <c r="K44" s="18">
        <f t="shared" si="6"/>
        <v>7.0582654073403193</v>
      </c>
      <c r="L44" s="18">
        <f t="shared" si="6"/>
        <v>0.80821149782205548</v>
      </c>
    </row>
    <row r="45" spans="1:12" x14ac:dyDescent="0.25">
      <c r="I45" s="33"/>
      <c r="J45" s="33"/>
    </row>
    <row r="46" spans="1:12" x14ac:dyDescent="0.25">
      <c r="A46" t="s">
        <v>17</v>
      </c>
      <c r="I46" s="33"/>
      <c r="J46" s="33"/>
    </row>
    <row r="47" spans="1:12" x14ac:dyDescent="0.25">
      <c r="A47" t="s">
        <v>18</v>
      </c>
      <c r="B47" s="16">
        <f>B14/B12*100</f>
        <v>90.38109572972094</v>
      </c>
      <c r="C47" s="16">
        <f t="shared" ref="C47:L47" si="7">C14/C12*100</f>
        <v>73.8590642602598</v>
      </c>
      <c r="D47" s="16">
        <f t="shared" si="7"/>
        <v>75.485866966671352</v>
      </c>
      <c r="E47" s="16">
        <f t="shared" si="7"/>
        <v>66.57430730478589</v>
      </c>
      <c r="F47" s="16">
        <f t="shared" si="7"/>
        <v>89.761915012700726</v>
      </c>
      <c r="G47" s="16">
        <f t="shared" si="7"/>
        <v>95.379301232563847</v>
      </c>
      <c r="H47" s="16">
        <f t="shared" si="7"/>
        <v>79.537286612758308</v>
      </c>
      <c r="I47" s="16">
        <f t="shared" si="7"/>
        <v>70.775766786405086</v>
      </c>
      <c r="J47" s="16">
        <f t="shared" si="7"/>
        <v>78.240406639264535</v>
      </c>
      <c r="K47" s="16">
        <f t="shared" si="7"/>
        <v>95.595794392523374</v>
      </c>
      <c r="L47" s="16">
        <f t="shared" si="7"/>
        <v>23.75760649087221</v>
      </c>
    </row>
    <row r="48" spans="1:12" x14ac:dyDescent="0.25">
      <c r="A48" t="s">
        <v>19</v>
      </c>
      <c r="B48" s="16">
        <f>B21/B20*100</f>
        <v>71.116590645244813</v>
      </c>
      <c r="C48" s="16">
        <f>C21/C20*100</f>
        <v>60.411880816475637</v>
      </c>
      <c r="D48" s="16"/>
      <c r="E48" s="16"/>
      <c r="F48" s="59">
        <f>F21/F20*100</f>
        <v>78.590019913795672</v>
      </c>
      <c r="G48" s="59"/>
      <c r="H48" s="59"/>
      <c r="I48" s="59"/>
      <c r="J48" s="59"/>
      <c r="K48" s="16">
        <f>K21/K20*100</f>
        <v>114.29825914410891</v>
      </c>
      <c r="L48" s="16">
        <f>L21/L20*100</f>
        <v>17.034478483992498</v>
      </c>
    </row>
    <row r="49" spans="1:12" x14ac:dyDescent="0.25">
      <c r="A49" s="14" t="s">
        <v>20</v>
      </c>
      <c r="B49" s="17">
        <f>AVERAGE(B47:B48)</f>
        <v>80.748843187482876</v>
      </c>
      <c r="C49" s="17">
        <f t="shared" ref="C49:L49" si="8">AVERAGE(C47:C48)</f>
        <v>67.135472538367722</v>
      </c>
      <c r="D49" s="17"/>
      <c r="E49" s="17"/>
      <c r="F49" s="60">
        <f>AVERAGE(F47:F48)</f>
        <v>84.175967463248199</v>
      </c>
      <c r="G49" s="60"/>
      <c r="H49" s="60"/>
      <c r="I49" s="60"/>
      <c r="J49" s="60"/>
      <c r="K49" s="17">
        <f t="shared" si="8"/>
        <v>104.94702676831614</v>
      </c>
      <c r="L49" s="17">
        <f t="shared" si="8"/>
        <v>20.396042487432354</v>
      </c>
    </row>
    <row r="50" spans="1:12" x14ac:dyDescent="0.25">
      <c r="B50" s="16"/>
      <c r="C50" s="16"/>
      <c r="D50" s="16"/>
      <c r="E50" s="16"/>
      <c r="F50" s="16"/>
      <c r="G50" s="16"/>
      <c r="H50" s="16"/>
      <c r="I50" s="16"/>
      <c r="J50" s="16"/>
      <c r="K50" s="16"/>
      <c r="L50" s="16"/>
    </row>
    <row r="51" spans="1:12" x14ac:dyDescent="0.25">
      <c r="A51" t="s">
        <v>21</v>
      </c>
    </row>
    <row r="52" spans="1:12" x14ac:dyDescent="0.25">
      <c r="A52" t="s">
        <v>22</v>
      </c>
      <c r="B52" s="16">
        <f>((B14/B16)*100)</f>
        <v>93.505819394081186</v>
      </c>
      <c r="C52" s="16">
        <f t="shared" ref="C52:L52" si="9">((C14/C16)*100)</f>
        <v>79.258363761965853</v>
      </c>
      <c r="D52" s="16">
        <f t="shared" si="9"/>
        <v>82.348429062346582</v>
      </c>
      <c r="E52" s="16">
        <f t="shared" si="9"/>
        <v>66.57430730478589</v>
      </c>
      <c r="F52" s="16">
        <f t="shared" si="9"/>
        <v>92.620145233280311</v>
      </c>
      <c r="G52" s="16">
        <f t="shared" si="9"/>
        <v>96.995930589680597</v>
      </c>
      <c r="H52" s="16">
        <f t="shared" si="9"/>
        <v>86.767949032099978</v>
      </c>
      <c r="I52" s="16">
        <f t="shared" si="9"/>
        <v>76.492263608817709</v>
      </c>
      <c r="J52" s="16">
        <f t="shared" si="9"/>
        <v>85.353180617681005</v>
      </c>
      <c r="K52" s="16">
        <f t="shared" si="9"/>
        <v>95.595794392523374</v>
      </c>
      <c r="L52" s="16">
        <f t="shared" si="9"/>
        <v>25.919778699861691</v>
      </c>
    </row>
    <row r="53" spans="1:12" x14ac:dyDescent="0.25">
      <c r="A53" t="s">
        <v>23</v>
      </c>
      <c r="B53" s="16">
        <f>B21/B22*100</f>
        <v>18.710496175424566</v>
      </c>
      <c r="C53" s="16">
        <f>C21/C22*100</f>
        <v>16.46026818227541</v>
      </c>
      <c r="D53" s="16"/>
      <c r="E53" s="16"/>
      <c r="F53" s="16">
        <f>F21/F22*100</f>
        <v>20.294935474580413</v>
      </c>
      <c r="G53" s="16"/>
      <c r="H53" s="16"/>
      <c r="I53" s="16"/>
      <c r="J53" s="16"/>
      <c r="K53" s="16">
        <f t="shared" ref="K53:L53" si="10">K21/K22*100</f>
        <v>28.574564786027228</v>
      </c>
      <c r="L53" s="16">
        <f t="shared" si="10"/>
        <v>4.6457668592706804</v>
      </c>
    </row>
    <row r="54" spans="1:12" x14ac:dyDescent="0.25">
      <c r="A54" t="s">
        <v>24</v>
      </c>
      <c r="B54" s="16">
        <f>(B52+B53)/2</f>
        <v>56.108157784752876</v>
      </c>
      <c r="C54" s="16">
        <f t="shared" ref="C54:L54" si="11">(C52+C53)/2</f>
        <v>47.859315972120633</v>
      </c>
      <c r="D54" s="16"/>
      <c r="E54" s="16"/>
      <c r="F54" s="16">
        <f t="shared" ref="F54" si="12">(F52+F53)/2</f>
        <v>56.457540353930362</v>
      </c>
      <c r="G54" s="16"/>
      <c r="H54" s="16"/>
      <c r="I54" s="16"/>
      <c r="J54" s="16"/>
      <c r="K54" s="16">
        <f t="shared" si="11"/>
        <v>62.085179589275299</v>
      </c>
      <c r="L54" s="16">
        <f t="shared" si="11"/>
        <v>15.282772779566185</v>
      </c>
    </row>
    <row r="55" spans="1:12" x14ac:dyDescent="0.25">
      <c r="B55" s="16"/>
      <c r="C55" s="16"/>
      <c r="D55" s="16"/>
      <c r="E55" s="16"/>
      <c r="F55" s="16"/>
      <c r="G55" s="16"/>
      <c r="H55" s="16"/>
      <c r="I55" s="16"/>
      <c r="J55" s="16"/>
      <c r="K55" s="16"/>
      <c r="L55" s="16"/>
    </row>
    <row r="56" spans="1:12" x14ac:dyDescent="0.25">
      <c r="A56" t="s">
        <v>40</v>
      </c>
    </row>
    <row r="57" spans="1:12" x14ac:dyDescent="0.25">
      <c r="A57" t="s">
        <v>25</v>
      </c>
      <c r="B57" s="16">
        <f>B23/B21*100</f>
        <v>100</v>
      </c>
      <c r="C57" s="16"/>
      <c r="D57" s="16"/>
      <c r="E57" s="16"/>
      <c r="F57" s="16"/>
      <c r="G57" s="16"/>
      <c r="H57" s="16"/>
      <c r="I57" s="16"/>
      <c r="J57" s="16"/>
      <c r="K57" s="16"/>
      <c r="L57" s="16"/>
    </row>
    <row r="59" spans="1:12" x14ac:dyDescent="0.25">
      <c r="A59" t="s">
        <v>26</v>
      </c>
    </row>
    <row r="60" spans="1:12" x14ac:dyDescent="0.25">
      <c r="A60" t="s">
        <v>27</v>
      </c>
      <c r="B60" s="16">
        <f>((B14/B10)-1)*100</f>
        <v>-1.1092583381227539</v>
      </c>
      <c r="C60" s="16">
        <f t="shared" ref="C60:L60" si="13">((C14/C10)-1)*100</f>
        <v>-22.185350256758063</v>
      </c>
      <c r="D60" s="16">
        <f t="shared" si="13"/>
        <v>-19.632483580540207</v>
      </c>
      <c r="E60" s="16">
        <f t="shared" si="13"/>
        <v>-32.992478661370747</v>
      </c>
      <c r="F60" s="16">
        <f t="shared" si="13"/>
        <v>1.4135889377410171</v>
      </c>
      <c r="G60" s="16">
        <f t="shared" si="13"/>
        <v>5.338387400502409</v>
      </c>
      <c r="H60" s="16" t="e">
        <f t="shared" si="13"/>
        <v>#VALUE!</v>
      </c>
      <c r="I60" s="16">
        <f t="shared" si="13"/>
        <v>-25.242612185333822</v>
      </c>
      <c r="J60" s="16">
        <f t="shared" si="13"/>
        <v>17.705924002832198</v>
      </c>
      <c r="K60" s="16">
        <f t="shared" si="13"/>
        <v>15.188626126126126</v>
      </c>
      <c r="L60" s="16">
        <f t="shared" si="13"/>
        <v>-30.523974295600599</v>
      </c>
    </row>
    <row r="61" spans="1:12" x14ac:dyDescent="0.25">
      <c r="A61" t="s">
        <v>28</v>
      </c>
      <c r="B61" s="16">
        <f>((B36/B35)-1)*100</f>
        <v>9.0975865608245563</v>
      </c>
      <c r="C61" s="16">
        <f t="shared" ref="C61:L61" si="14">((C36/C35)-1)*100</f>
        <v>-32.332988416429018</v>
      </c>
      <c r="D61" s="16"/>
      <c r="E61" s="16"/>
      <c r="F61" s="16">
        <f t="shared" si="14"/>
        <v>7.7929451123537552</v>
      </c>
      <c r="G61" s="16"/>
      <c r="H61" s="16"/>
      <c r="I61" s="16"/>
      <c r="J61" s="16"/>
      <c r="K61" s="16">
        <f t="shared" si="14"/>
        <v>1720.7628296935582</v>
      </c>
      <c r="L61" s="16">
        <f t="shared" si="14"/>
        <v>-40.391426439975476</v>
      </c>
    </row>
    <row r="62" spans="1:12" x14ac:dyDescent="0.25">
      <c r="A62" s="14" t="s">
        <v>29</v>
      </c>
      <c r="B62" s="17">
        <f>((B38/B37)-1)*100</f>
        <v>10.321335169925305</v>
      </c>
      <c r="C62" s="17">
        <f t="shared" ref="C62:L62" si="15">((C38/C37)-1)*100</f>
        <v>-13.040781129458557</v>
      </c>
      <c r="D62" s="17"/>
      <c r="E62" s="17"/>
      <c r="F62" s="17">
        <f t="shared" si="15"/>
        <v>6.2904352773957006</v>
      </c>
      <c r="G62" s="17"/>
      <c r="H62" s="17"/>
      <c r="I62" s="17"/>
      <c r="J62" s="17"/>
      <c r="K62" s="17">
        <f t="shared" si="15"/>
        <v>1480.6793525776657</v>
      </c>
      <c r="L62" s="17">
        <f t="shared" si="15"/>
        <v>-14.202672136656258</v>
      </c>
    </row>
    <row r="63" spans="1:12" x14ac:dyDescent="0.25">
      <c r="B63" s="18"/>
      <c r="C63" s="18"/>
      <c r="D63" s="18"/>
      <c r="E63" s="18"/>
      <c r="F63" s="18"/>
      <c r="G63" s="18"/>
      <c r="H63" s="18"/>
      <c r="I63" s="18"/>
      <c r="J63" s="18"/>
      <c r="K63" s="18"/>
      <c r="L63" s="18"/>
    </row>
    <row r="64" spans="1:12" x14ac:dyDescent="0.25">
      <c r="A64" t="s">
        <v>30</v>
      </c>
    </row>
    <row r="65" spans="1:12" x14ac:dyDescent="0.25">
      <c r="A65" t="s">
        <v>46</v>
      </c>
      <c r="B65" s="4">
        <f>B20/(B12*3)</f>
        <v>11439.342251241935</v>
      </c>
      <c r="C65" s="4">
        <f>C20/(C12*3)</f>
        <v>12527.869870100012</v>
      </c>
      <c r="D65" s="4"/>
      <c r="E65" s="4"/>
      <c r="F65" s="4">
        <f t="shared" ref="F65" si="16">F20/(F12*3)</f>
        <v>5014.2696000344431</v>
      </c>
      <c r="G65" s="4"/>
      <c r="H65" s="41"/>
      <c r="I65" s="41"/>
      <c r="J65" s="41"/>
      <c r="K65" s="4">
        <f>K20/(K12*3)</f>
        <v>25100</v>
      </c>
      <c r="L65" s="4">
        <f>L20/(L12*3)</f>
        <v>40634.203853955376</v>
      </c>
    </row>
    <row r="66" spans="1:12" x14ac:dyDescent="0.25">
      <c r="A66" t="s">
        <v>47</v>
      </c>
      <c r="B66" s="4">
        <f>B21/(B14*3)</f>
        <v>9001.0749876857881</v>
      </c>
      <c r="C66" s="4">
        <f>C21/(C14*3)</f>
        <v>10246.977660181583</v>
      </c>
      <c r="D66" s="4"/>
      <c r="E66" s="45"/>
      <c r="F66" s="4">
        <f>F21/(F14*3)</f>
        <v>4390.1865024168492</v>
      </c>
      <c r="G66" s="41"/>
      <c r="H66" s="41"/>
      <c r="I66" s="41"/>
      <c r="J66" s="41"/>
      <c r="K66" s="4">
        <f>K21/(K14*3)</f>
        <v>30010.591184976984</v>
      </c>
      <c r="L66" s="4">
        <f>L21/(L14*3)</f>
        <v>29135.193881181076</v>
      </c>
    </row>
    <row r="67" spans="1:12" x14ac:dyDescent="0.25">
      <c r="A67" s="14" t="s">
        <v>33</v>
      </c>
      <c r="B67" s="17">
        <f>(B65/B66)*B49</f>
        <v>102.62259284332134</v>
      </c>
      <c r="C67" s="17">
        <f>(C65/C66)*C49</f>
        <v>82.079271715074626</v>
      </c>
      <c r="D67" s="17"/>
      <c r="E67" s="17"/>
      <c r="F67" s="17">
        <f t="shared" ref="F67" si="17">(F65/F66)*F49</f>
        <v>96.141928018796762</v>
      </c>
      <c r="G67" s="60"/>
      <c r="H67" s="60"/>
      <c r="I67" s="60"/>
      <c r="J67" s="60"/>
      <c r="K67" s="17">
        <f>(K65/K66)*K49</f>
        <v>87.774691129822713</v>
      </c>
      <c r="L67" s="17">
        <f>(L65/L66)*L49</f>
        <v>28.445904689296839</v>
      </c>
    </row>
    <row r="68" spans="1:12" x14ac:dyDescent="0.25">
      <c r="A68" t="s">
        <v>39</v>
      </c>
      <c r="B68" s="31">
        <f>B20/B12</f>
        <v>34318.026753725804</v>
      </c>
      <c r="C68" s="31">
        <f>C20/C12</f>
        <v>37583.609610300031</v>
      </c>
      <c r="D68" s="31"/>
      <c r="E68" s="31"/>
      <c r="F68" s="31">
        <f t="shared" ref="F68" si="18">F20/F12</f>
        <v>15042.808800103328</v>
      </c>
      <c r="G68" s="61"/>
      <c r="H68" s="61"/>
      <c r="I68" s="61"/>
      <c r="J68" s="61"/>
      <c r="K68" s="31">
        <f t="shared" ref="K68:L68" si="19">K20/K12</f>
        <v>75300</v>
      </c>
      <c r="L68" s="31">
        <f t="shared" si="19"/>
        <v>121902.61156186613</v>
      </c>
    </row>
    <row r="69" spans="1:12" x14ac:dyDescent="0.25">
      <c r="A69" t="s">
        <v>38</v>
      </c>
      <c r="B69" s="18">
        <f>B21/B14</f>
        <v>27003.224963057364</v>
      </c>
      <c r="C69" s="18">
        <f>C21/C14</f>
        <v>30740.932980544749</v>
      </c>
      <c r="D69" s="18"/>
      <c r="E69" s="18"/>
      <c r="F69" s="18">
        <f t="shared" ref="F69" si="20">F21/F14</f>
        <v>13170.559507250548</v>
      </c>
      <c r="G69" s="61"/>
      <c r="H69" s="61"/>
      <c r="I69" s="61"/>
      <c r="J69" s="61"/>
      <c r="K69" s="31">
        <f>K21/K14</f>
        <v>90031.773554930958</v>
      </c>
      <c r="L69" s="31">
        <f>L21/L14</f>
        <v>87405.581643543221</v>
      </c>
    </row>
    <row r="70" spans="1:12" x14ac:dyDescent="0.25">
      <c r="B70" s="16"/>
      <c r="C70" s="16"/>
      <c r="D70" s="16"/>
      <c r="E70" s="16"/>
      <c r="F70" s="16"/>
      <c r="G70" s="16"/>
      <c r="H70" s="16"/>
      <c r="I70" s="18"/>
      <c r="J70" s="18"/>
      <c r="K70" s="16"/>
      <c r="L70" s="16"/>
    </row>
    <row r="71" spans="1:12" x14ac:dyDescent="0.25">
      <c r="A71" t="s">
        <v>34</v>
      </c>
      <c r="B71" s="16"/>
      <c r="C71" s="16"/>
      <c r="D71" s="16"/>
      <c r="E71" s="16"/>
      <c r="F71" s="16"/>
      <c r="G71" s="16"/>
      <c r="H71" s="16"/>
      <c r="I71" s="18"/>
      <c r="J71" s="18"/>
      <c r="K71" s="16"/>
      <c r="L71" s="16"/>
    </row>
    <row r="72" spans="1:12" x14ac:dyDescent="0.25">
      <c r="A72" s="19" t="s">
        <v>35</v>
      </c>
      <c r="B72" s="20">
        <f>(B27/B26)*100</f>
        <v>78.029164409357946</v>
      </c>
      <c r="C72" s="20"/>
      <c r="D72" s="20"/>
      <c r="E72" s="20"/>
      <c r="F72" s="20"/>
      <c r="G72" s="20"/>
      <c r="H72" s="20"/>
      <c r="I72" s="20"/>
      <c r="J72" s="20"/>
      <c r="K72" s="20"/>
      <c r="L72" s="20"/>
    </row>
    <row r="73" spans="1:12" x14ac:dyDescent="0.25">
      <c r="A73" s="19" t="s">
        <v>36</v>
      </c>
      <c r="B73" s="20">
        <f>(B21/B27)*100</f>
        <v>91.141038332990135</v>
      </c>
      <c r="C73" s="20"/>
      <c r="D73" s="20"/>
      <c r="E73" s="20"/>
      <c r="F73" s="20"/>
      <c r="G73" s="20"/>
      <c r="H73" s="20"/>
      <c r="I73" s="20"/>
      <c r="J73" s="20"/>
      <c r="K73" s="20"/>
      <c r="L73" s="20"/>
    </row>
    <row r="74" spans="1:12" ht="15.75" thickBot="1" x14ac:dyDescent="0.3">
      <c r="A74" s="21"/>
      <c r="B74" s="21"/>
      <c r="C74" s="21"/>
      <c r="D74" s="21"/>
      <c r="E74" s="21"/>
      <c r="F74" s="21"/>
      <c r="G74" s="21"/>
      <c r="H74" s="21"/>
      <c r="I74" s="50"/>
      <c r="J74" s="50"/>
      <c r="K74" s="21"/>
      <c r="L74" s="21"/>
    </row>
    <row r="75" spans="1:12" ht="15.75" thickTop="1" x14ac:dyDescent="0.25">
      <c r="A75" s="34" t="s">
        <v>123</v>
      </c>
    </row>
    <row r="76" spans="1:12" x14ac:dyDescent="0.25">
      <c r="A76" t="s">
        <v>126</v>
      </c>
    </row>
    <row r="77" spans="1:12" x14ac:dyDescent="0.25">
      <c r="A77" t="s">
        <v>127</v>
      </c>
    </row>
    <row r="78" spans="1:12" x14ac:dyDescent="0.25">
      <c r="A78" t="s">
        <v>128</v>
      </c>
      <c r="B78" s="22"/>
      <c r="C78" s="22"/>
      <c r="D78" s="22"/>
      <c r="E78" s="22"/>
      <c r="F78" s="22"/>
      <c r="G78" s="22"/>
      <c r="H78" s="22"/>
      <c r="I78" s="22"/>
      <c r="J78" s="22"/>
    </row>
    <row r="80" spans="1:12" x14ac:dyDescent="0.25">
      <c r="A80" t="s">
        <v>43</v>
      </c>
    </row>
    <row r="81" spans="1:1" x14ac:dyDescent="0.25">
      <c r="A81" t="s">
        <v>53</v>
      </c>
    </row>
    <row r="82" spans="1:1" x14ac:dyDescent="0.25">
      <c r="A82" t="s">
        <v>129</v>
      </c>
    </row>
    <row r="83" spans="1:1" x14ac:dyDescent="0.25">
      <c r="A83" t="s">
        <v>50</v>
      </c>
    </row>
    <row r="84" spans="1:1" x14ac:dyDescent="0.25">
      <c r="A84" t="s">
        <v>125</v>
      </c>
    </row>
    <row r="86" spans="1:1" x14ac:dyDescent="0.25">
      <c r="A86" t="s">
        <v>124</v>
      </c>
    </row>
    <row r="87" spans="1:1" x14ac:dyDescent="0.25">
      <c r="A87" s="43">
        <v>41865</v>
      </c>
    </row>
  </sheetData>
  <mergeCells count="6">
    <mergeCell ref="G34:J34"/>
    <mergeCell ref="A2:K2"/>
    <mergeCell ref="A4:A5"/>
    <mergeCell ref="D5:E5"/>
    <mergeCell ref="G5:H5"/>
    <mergeCell ref="D4:L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87"/>
  <sheetViews>
    <sheetView zoomScale="60" zoomScaleNormal="60" workbookViewId="0">
      <pane xSplit="1" topLeftCell="B1" activePane="topRight" state="frozen"/>
      <selection activeCell="G56" sqref="G56"/>
      <selection pane="topRight" activeCell="A87" sqref="A87"/>
    </sheetView>
  </sheetViews>
  <sheetFormatPr baseColWidth="10" defaultColWidth="11.42578125" defaultRowHeight="15" x14ac:dyDescent="0.25"/>
  <cols>
    <col min="1" max="1" width="50.85546875" customWidth="1"/>
    <col min="2" max="3" width="26.7109375" customWidth="1"/>
    <col min="4" max="6" width="16.5703125" customWidth="1"/>
    <col min="7" max="7" width="16.140625" customWidth="1"/>
    <col min="8" max="10" width="17.42578125" customWidth="1"/>
    <col min="11" max="11" width="17.28515625" customWidth="1"/>
    <col min="12" max="12" width="16.42578125" customWidth="1"/>
    <col min="14" max="14" width="17.5703125" bestFit="1" customWidth="1"/>
  </cols>
  <sheetData>
    <row r="2" spans="1:12" ht="15.75" x14ac:dyDescent="0.25">
      <c r="A2" s="67" t="s">
        <v>94</v>
      </c>
      <c r="B2" s="67"/>
      <c r="C2" s="67"/>
      <c r="D2" s="67"/>
      <c r="E2" s="67"/>
      <c r="F2" s="67"/>
      <c r="G2" s="67"/>
      <c r="H2" s="67"/>
      <c r="I2" s="67"/>
      <c r="J2" s="67"/>
      <c r="K2" s="67"/>
    </row>
    <row r="4" spans="1:12" x14ac:dyDescent="0.25">
      <c r="A4" s="65" t="s">
        <v>0</v>
      </c>
      <c r="B4" s="26" t="s">
        <v>1</v>
      </c>
      <c r="C4" s="26"/>
      <c r="D4" s="69" t="s">
        <v>2</v>
      </c>
      <c r="E4" s="69"/>
      <c r="F4" s="69"/>
      <c r="G4" s="69"/>
      <c r="H4" s="69"/>
      <c r="I4" s="69"/>
      <c r="J4" s="69"/>
      <c r="K4" s="69"/>
      <c r="L4" s="69"/>
    </row>
    <row r="5" spans="1:12" ht="15.75" thickBot="1" x14ac:dyDescent="0.3">
      <c r="A5" s="66"/>
      <c r="B5" s="1" t="s">
        <v>3</v>
      </c>
      <c r="C5" s="58" t="s">
        <v>130</v>
      </c>
      <c r="D5" s="68" t="s">
        <v>4</v>
      </c>
      <c r="E5" s="68"/>
      <c r="F5" s="58" t="s">
        <v>131</v>
      </c>
      <c r="G5" s="68" t="s">
        <v>52</v>
      </c>
      <c r="H5" s="68"/>
      <c r="I5" s="49"/>
      <c r="J5" s="49"/>
      <c r="K5" s="1" t="s">
        <v>5</v>
      </c>
      <c r="L5" s="21" t="s">
        <v>51</v>
      </c>
    </row>
    <row r="6" spans="1:12" ht="15.75" thickTop="1" x14ac:dyDescent="0.25">
      <c r="B6" s="37" t="s">
        <v>1</v>
      </c>
      <c r="D6" s="37" t="s">
        <v>48</v>
      </c>
      <c r="E6" s="37" t="s">
        <v>49</v>
      </c>
      <c r="F6" s="37"/>
      <c r="G6" s="37">
        <v>1600</v>
      </c>
      <c r="H6" s="37">
        <v>1000</v>
      </c>
      <c r="I6" s="48">
        <v>700</v>
      </c>
      <c r="J6" s="48">
        <v>800</v>
      </c>
      <c r="K6" s="37" t="s">
        <v>5</v>
      </c>
    </row>
    <row r="7" spans="1:12" x14ac:dyDescent="0.25">
      <c r="A7" s="2" t="s">
        <v>6</v>
      </c>
      <c r="I7" s="33"/>
      <c r="J7" s="33"/>
    </row>
    <row r="8" spans="1:12" x14ac:dyDescent="0.25">
      <c r="I8" s="33"/>
      <c r="J8" s="33"/>
    </row>
    <row r="9" spans="1:12" x14ac:dyDescent="0.25">
      <c r="A9" t="s">
        <v>7</v>
      </c>
      <c r="I9" s="33"/>
      <c r="J9" s="33"/>
    </row>
    <row r="10" spans="1:12" x14ac:dyDescent="0.25">
      <c r="A10" s="3" t="s">
        <v>62</v>
      </c>
      <c r="B10" s="25">
        <f>+D10+G10</f>
        <v>131174.66666666666</v>
      </c>
      <c r="C10" s="25">
        <f>+D10+E10</f>
        <v>40858</v>
      </c>
      <c r="D10" s="38">
        <v>33958.333333333336</v>
      </c>
      <c r="E10" s="38">
        <v>6899.666666666667</v>
      </c>
      <c r="F10" s="38">
        <f>G10+I10</f>
        <v>125120.33333333333</v>
      </c>
      <c r="G10" s="38">
        <v>97216.333333333328</v>
      </c>
      <c r="H10" s="25" t="s">
        <v>78</v>
      </c>
      <c r="I10" s="38">
        <v>27904</v>
      </c>
      <c r="J10" s="38">
        <v>21473</v>
      </c>
      <c r="K10" s="25">
        <v>7205.333333333333</v>
      </c>
      <c r="L10" s="25">
        <v>1984</v>
      </c>
    </row>
    <row r="11" spans="1:12" x14ac:dyDescent="0.25">
      <c r="A11" s="28" t="s">
        <v>37</v>
      </c>
      <c r="B11" s="25">
        <f t="shared" ref="B11:B16" si="0">+D11+G11</f>
        <v>107902</v>
      </c>
      <c r="C11" s="25">
        <f t="shared" ref="C11:C16" si="1">+D11+E11</f>
        <v>34795.333333333336</v>
      </c>
      <c r="D11" s="38">
        <v>27895.666666666668</v>
      </c>
      <c r="E11" s="38">
        <v>6899.666666666667</v>
      </c>
      <c r="F11" s="38">
        <f>G11+I11</f>
        <v>107910.33333333333</v>
      </c>
      <c r="G11" s="38">
        <v>80006.333333333328</v>
      </c>
      <c r="H11" s="25" t="s">
        <v>78</v>
      </c>
      <c r="I11" s="38">
        <v>27904</v>
      </c>
      <c r="J11" s="38">
        <v>21473</v>
      </c>
      <c r="K11" s="25">
        <v>7205.333333333333</v>
      </c>
      <c r="L11" s="25">
        <v>1984</v>
      </c>
    </row>
    <row r="12" spans="1:12" x14ac:dyDescent="0.25">
      <c r="A12" s="3" t="s">
        <v>95</v>
      </c>
      <c r="B12" s="25">
        <f t="shared" si="0"/>
        <v>139092.33333333334</v>
      </c>
      <c r="C12" s="25">
        <f t="shared" si="1"/>
        <v>40857.666666666672</v>
      </c>
      <c r="D12" s="38">
        <v>32934.333333333336</v>
      </c>
      <c r="E12" s="25">
        <v>7923.333333333333</v>
      </c>
      <c r="F12" s="25">
        <f>SUM(G12:I12)</f>
        <v>137042.66666666666</v>
      </c>
      <c r="G12" s="25">
        <v>106158</v>
      </c>
      <c r="H12" s="25">
        <v>4096.333333333333</v>
      </c>
      <c r="I12" s="38">
        <v>26788.333333333332</v>
      </c>
      <c r="J12" s="38">
        <v>29215</v>
      </c>
      <c r="K12" s="4">
        <v>8760</v>
      </c>
      <c r="L12" s="30">
        <v>3944</v>
      </c>
    </row>
    <row r="13" spans="1:12" x14ac:dyDescent="0.25">
      <c r="A13" s="28" t="s">
        <v>37</v>
      </c>
      <c r="B13" s="25">
        <f t="shared" si="0"/>
        <v>131091</v>
      </c>
      <c r="C13" s="25">
        <f t="shared" si="1"/>
        <v>32856.333333333336</v>
      </c>
      <c r="D13" s="25">
        <v>24933</v>
      </c>
      <c r="E13" s="25">
        <v>7923.333333333333</v>
      </c>
      <c r="F13" s="25">
        <f t="shared" ref="F13:F16" si="2">SUM(G13:I13)</f>
        <v>137042.66666666666</v>
      </c>
      <c r="G13" s="25">
        <v>106158</v>
      </c>
      <c r="H13" s="25">
        <v>4096.333333333333</v>
      </c>
      <c r="I13" s="38">
        <v>26788.333333333332</v>
      </c>
      <c r="J13" s="38">
        <v>29215</v>
      </c>
      <c r="K13" s="4">
        <v>8760</v>
      </c>
      <c r="L13" s="30">
        <v>3944</v>
      </c>
    </row>
    <row r="14" spans="1:12" x14ac:dyDescent="0.25">
      <c r="A14" s="3" t="s">
        <v>96</v>
      </c>
      <c r="B14" s="25">
        <f t="shared" si="0"/>
        <v>130818</v>
      </c>
      <c r="C14" s="25">
        <f t="shared" si="1"/>
        <v>32411</v>
      </c>
      <c r="D14" s="38">
        <v>26039</v>
      </c>
      <c r="E14" s="38">
        <v>6372</v>
      </c>
      <c r="F14" s="25">
        <f t="shared" si="2"/>
        <v>128103</v>
      </c>
      <c r="G14" s="38">
        <v>104779</v>
      </c>
      <c r="H14" s="38">
        <v>3177</v>
      </c>
      <c r="I14" s="38">
        <v>20147</v>
      </c>
      <c r="J14" s="38">
        <v>25404</v>
      </c>
      <c r="K14" s="25">
        <v>7021</v>
      </c>
      <c r="L14" s="25">
        <v>993</v>
      </c>
    </row>
    <row r="15" spans="1:12" x14ac:dyDescent="0.25">
      <c r="A15" s="28" t="s">
        <v>37</v>
      </c>
      <c r="B15" s="25">
        <f t="shared" si="0"/>
        <v>105816</v>
      </c>
      <c r="C15" s="25">
        <f t="shared" si="1"/>
        <v>25945</v>
      </c>
      <c r="D15" s="38">
        <v>19573</v>
      </c>
      <c r="E15" s="38">
        <v>6372</v>
      </c>
      <c r="F15" s="25">
        <f t="shared" si="2"/>
        <v>109567</v>
      </c>
      <c r="G15" s="38">
        <v>86243</v>
      </c>
      <c r="H15" s="38">
        <v>3177</v>
      </c>
      <c r="I15" s="38">
        <v>20147</v>
      </c>
      <c r="J15" s="38">
        <v>25404</v>
      </c>
      <c r="K15" s="25">
        <v>7021</v>
      </c>
      <c r="L15" s="25">
        <v>993</v>
      </c>
    </row>
    <row r="16" spans="1:12" x14ac:dyDescent="0.25">
      <c r="A16" s="3" t="s">
        <v>82</v>
      </c>
      <c r="B16" s="25">
        <f t="shared" si="0"/>
        <v>136784</v>
      </c>
      <c r="C16" s="25">
        <f t="shared" si="1"/>
        <v>40532</v>
      </c>
      <c r="D16" s="4">
        <f>868+26334+2509+2881</f>
        <v>32592</v>
      </c>
      <c r="E16" s="4">
        <v>7940</v>
      </c>
      <c r="F16" s="25">
        <f t="shared" si="2"/>
        <v>135061.33000000002</v>
      </c>
      <c r="G16" s="4">
        <v>104192</v>
      </c>
      <c r="H16" s="4">
        <v>4081</v>
      </c>
      <c r="I16" s="5">
        <v>26788.33</v>
      </c>
      <c r="J16" s="5">
        <v>29215.08</v>
      </c>
      <c r="K16" s="4">
        <v>8560</v>
      </c>
      <c r="L16" s="5">
        <v>3615</v>
      </c>
    </row>
    <row r="17" spans="1:14" x14ac:dyDescent="0.25">
      <c r="B17" s="23"/>
      <c r="C17" s="23"/>
      <c r="D17" s="23"/>
      <c r="E17" s="23"/>
      <c r="F17" s="23"/>
      <c r="G17" s="23"/>
      <c r="H17" s="23"/>
      <c r="I17" s="38"/>
      <c r="J17" s="38"/>
      <c r="K17" s="23"/>
    </row>
    <row r="18" spans="1:14" x14ac:dyDescent="0.25">
      <c r="A18" s="6" t="s">
        <v>8</v>
      </c>
      <c r="B18" s="23"/>
      <c r="C18" s="23"/>
      <c r="D18" s="23"/>
      <c r="E18" s="23"/>
      <c r="F18" s="23"/>
      <c r="G18" s="23"/>
      <c r="H18" s="23"/>
      <c r="I18" s="38"/>
      <c r="J18" s="38"/>
      <c r="K18" s="23"/>
    </row>
    <row r="19" spans="1:14" x14ac:dyDescent="0.25">
      <c r="A19" s="3" t="s">
        <v>62</v>
      </c>
      <c r="B19" s="23">
        <f>C19+F19+K19+L19</f>
        <v>3721875100</v>
      </c>
      <c r="C19" s="41">
        <v>940448530</v>
      </c>
      <c r="D19" s="41"/>
      <c r="E19" s="41"/>
      <c r="F19" s="41">
        <v>1706378760</v>
      </c>
      <c r="G19" s="41"/>
      <c r="H19" s="41"/>
      <c r="I19" s="41"/>
      <c r="J19" s="41"/>
      <c r="K19" s="25">
        <v>860079800</v>
      </c>
      <c r="L19" s="5">
        <v>214968010</v>
      </c>
    </row>
    <row r="20" spans="1:14" x14ac:dyDescent="0.25">
      <c r="A20" s="62" t="s">
        <v>80</v>
      </c>
      <c r="B20" s="23">
        <f t="shared" ref="B20:B23" si="3">C20+F20+K20+L20</f>
        <v>4681760144</v>
      </c>
      <c r="C20" s="23">
        <f>+D20+E20</f>
        <v>1499931500</v>
      </c>
      <c r="D20" s="41">
        <v>1482781100</v>
      </c>
      <c r="E20" s="41">
        <v>17150400</v>
      </c>
      <c r="F20" s="41">
        <v>2056476744</v>
      </c>
      <c r="G20" s="41"/>
      <c r="H20" s="41"/>
      <c r="I20" s="41"/>
      <c r="J20" s="41"/>
      <c r="K20" s="4">
        <v>644568000</v>
      </c>
      <c r="L20" s="5">
        <v>480783900</v>
      </c>
      <c r="M20" s="39"/>
    </row>
    <row r="21" spans="1:14" x14ac:dyDescent="0.25">
      <c r="A21" s="3" t="s">
        <v>96</v>
      </c>
      <c r="B21" s="23">
        <f t="shared" si="3"/>
        <v>3420806142</v>
      </c>
      <c r="C21" s="41">
        <v>1156531079</v>
      </c>
      <c r="D21" s="41"/>
      <c r="E21" s="41"/>
      <c r="F21" s="41">
        <v>1870877092</v>
      </c>
      <c r="G21" s="41"/>
      <c r="H21" s="41"/>
      <c r="I21" s="41"/>
      <c r="J21" s="41"/>
      <c r="K21" s="25">
        <v>295165638</v>
      </c>
      <c r="L21" s="5">
        <v>98232333</v>
      </c>
      <c r="M21" s="33"/>
    </row>
    <row r="22" spans="1:14" x14ac:dyDescent="0.25">
      <c r="A22" s="3" t="s">
        <v>82</v>
      </c>
      <c r="B22" s="23">
        <f t="shared" si="3"/>
        <v>18458834248</v>
      </c>
      <c r="C22" s="23">
        <f>+D22+E22</f>
        <v>5999613500</v>
      </c>
      <c r="D22" s="41">
        <v>5931011900</v>
      </c>
      <c r="E22" s="41">
        <v>68601600</v>
      </c>
      <c r="F22" s="41">
        <v>8118074448</v>
      </c>
      <c r="G22" s="41"/>
      <c r="H22" s="41"/>
      <c r="I22" s="41"/>
      <c r="J22" s="41"/>
      <c r="K22" s="4">
        <v>2578272000</v>
      </c>
      <c r="L22" s="5">
        <v>1762874300</v>
      </c>
      <c r="M22" s="39"/>
    </row>
    <row r="23" spans="1:14" x14ac:dyDescent="0.25">
      <c r="A23" s="3" t="s">
        <v>97</v>
      </c>
      <c r="B23" s="23">
        <f t="shared" si="3"/>
        <v>3420806142</v>
      </c>
      <c r="C23" s="4">
        <f>C21</f>
        <v>1156531079</v>
      </c>
      <c r="D23" s="41"/>
      <c r="E23" s="41"/>
      <c r="F23" s="41">
        <f>F21</f>
        <v>1870877092</v>
      </c>
      <c r="G23" s="41"/>
      <c r="H23" s="41"/>
      <c r="I23" s="41"/>
      <c r="J23" s="41"/>
      <c r="K23" s="4">
        <f>K21</f>
        <v>295165638</v>
      </c>
      <c r="L23" s="4">
        <f>L21</f>
        <v>98232333</v>
      </c>
    </row>
    <row r="24" spans="1:14" x14ac:dyDescent="0.25">
      <c r="B24" s="23"/>
      <c r="C24" s="23"/>
      <c r="D24" s="23"/>
      <c r="E24" s="23"/>
      <c r="F24" s="23"/>
      <c r="G24" s="23"/>
      <c r="H24" s="23"/>
      <c r="I24" s="46"/>
      <c r="J24" s="46"/>
      <c r="K24" s="23"/>
      <c r="N24" s="23"/>
    </row>
    <row r="25" spans="1:14" x14ac:dyDescent="0.25">
      <c r="A25" s="7" t="s">
        <v>9</v>
      </c>
      <c r="B25" s="24"/>
      <c r="C25" s="24"/>
      <c r="D25" s="24"/>
      <c r="E25" s="24"/>
      <c r="F25" s="24"/>
      <c r="G25" s="24"/>
      <c r="H25" s="24"/>
      <c r="I25" s="24"/>
      <c r="J25" s="24"/>
      <c r="K25" s="24"/>
      <c r="L25" s="24"/>
    </row>
    <row r="26" spans="1:14" x14ac:dyDescent="0.25">
      <c r="A26" s="9" t="s">
        <v>95</v>
      </c>
      <c r="B26" s="24">
        <f>B20</f>
        <v>4681760144</v>
      </c>
      <c r="C26" s="24"/>
      <c r="D26" s="24"/>
      <c r="E26" s="24"/>
      <c r="F26" s="24"/>
      <c r="G26" s="24"/>
      <c r="H26" s="24"/>
      <c r="I26" s="24"/>
      <c r="J26" s="24"/>
      <c r="K26" s="24"/>
      <c r="L26" s="24"/>
    </row>
    <row r="27" spans="1:14" x14ac:dyDescent="0.25">
      <c r="A27" s="9" t="s">
        <v>96</v>
      </c>
      <c r="B27" s="24">
        <v>3866167219.3399992</v>
      </c>
      <c r="C27" s="24"/>
      <c r="D27" s="24"/>
      <c r="E27" s="24"/>
      <c r="F27" s="24"/>
      <c r="G27" s="24"/>
      <c r="H27" s="24"/>
      <c r="I27" s="24"/>
      <c r="J27" s="24"/>
      <c r="K27" s="24"/>
      <c r="L27" s="24"/>
    </row>
    <row r="28" spans="1:14" x14ac:dyDescent="0.25">
      <c r="I28" s="33"/>
      <c r="J28" s="33"/>
    </row>
    <row r="29" spans="1:14" x14ac:dyDescent="0.25">
      <c r="A29" t="s">
        <v>10</v>
      </c>
      <c r="I29" s="33"/>
      <c r="J29" s="33"/>
    </row>
    <row r="30" spans="1:14" x14ac:dyDescent="0.25">
      <c r="A30" s="11" t="s">
        <v>63</v>
      </c>
      <c r="B30" s="12">
        <v>1.5377000000000001</v>
      </c>
      <c r="C30" s="12">
        <v>1.5377000000000001</v>
      </c>
      <c r="D30" s="12">
        <v>1.5377000000000001</v>
      </c>
      <c r="E30" s="12">
        <v>1.5377000000000001</v>
      </c>
      <c r="F30" s="12">
        <v>1.5377000000000001</v>
      </c>
      <c r="G30" s="12">
        <v>1.5377000000000001</v>
      </c>
      <c r="H30" s="12">
        <v>1.5377000000000001</v>
      </c>
      <c r="I30" s="12">
        <v>1.5377000000000001</v>
      </c>
      <c r="J30" s="12">
        <v>1.5377000000000001</v>
      </c>
      <c r="K30" s="12">
        <v>1.5377000000000001</v>
      </c>
      <c r="L30" s="12">
        <v>1.5377000000000001</v>
      </c>
    </row>
    <row r="31" spans="1:14" x14ac:dyDescent="0.25">
      <c r="A31" s="11" t="s">
        <v>98</v>
      </c>
      <c r="B31" s="12">
        <v>1.6242666666666665</v>
      </c>
      <c r="C31" s="12">
        <v>1.6242666666666665</v>
      </c>
      <c r="D31" s="12">
        <v>1.6242666666666665</v>
      </c>
      <c r="E31" s="12">
        <v>1.6242666666666665</v>
      </c>
      <c r="F31" s="12">
        <v>1.6242666666666665</v>
      </c>
      <c r="G31" s="12">
        <v>1.6242666666666665</v>
      </c>
      <c r="H31" s="12">
        <v>1.6242666666666665</v>
      </c>
      <c r="I31" s="12">
        <v>1.6242666666666665</v>
      </c>
      <c r="J31" s="12">
        <v>1.6242666666666665</v>
      </c>
      <c r="K31" s="12">
        <v>1.6242666666666665</v>
      </c>
      <c r="L31" s="12">
        <v>1.6242666666666665</v>
      </c>
    </row>
    <row r="32" spans="1:14" x14ac:dyDescent="0.25">
      <c r="A32" s="3" t="s">
        <v>11</v>
      </c>
      <c r="B32" s="4">
        <v>115935</v>
      </c>
      <c r="C32" s="4">
        <v>115935</v>
      </c>
      <c r="D32" s="4">
        <v>115935</v>
      </c>
      <c r="E32" s="4">
        <v>115935</v>
      </c>
      <c r="F32" s="4">
        <v>115935</v>
      </c>
      <c r="G32" s="4">
        <v>115935</v>
      </c>
      <c r="H32" s="4">
        <v>115935</v>
      </c>
      <c r="I32" s="4">
        <v>115935</v>
      </c>
      <c r="J32" s="4">
        <v>115935</v>
      </c>
      <c r="K32" s="4">
        <v>115935</v>
      </c>
      <c r="L32" s="4">
        <v>115935</v>
      </c>
    </row>
    <row r="33" spans="1:12" x14ac:dyDescent="0.25">
      <c r="I33" s="33"/>
      <c r="J33" s="33"/>
    </row>
    <row r="34" spans="1:12" x14ac:dyDescent="0.25">
      <c r="A34" s="13" t="s">
        <v>12</v>
      </c>
      <c r="B34" s="14"/>
      <c r="C34" s="14"/>
      <c r="D34" s="52"/>
      <c r="E34" s="52"/>
      <c r="F34" s="52"/>
      <c r="G34" s="64"/>
      <c r="H34" s="64"/>
      <c r="I34" s="64"/>
      <c r="J34" s="64"/>
      <c r="K34" s="14"/>
      <c r="L34" s="14"/>
    </row>
    <row r="35" spans="1:12" x14ac:dyDescent="0.25">
      <c r="A35" s="14" t="s">
        <v>64</v>
      </c>
      <c r="B35" s="15">
        <f>B19/B30</f>
        <v>2420416921.376081</v>
      </c>
      <c r="C35" s="51">
        <f>C19/C30</f>
        <v>611594283.67041683</v>
      </c>
      <c r="D35" s="51"/>
      <c r="E35" s="51"/>
      <c r="F35" s="51">
        <f>F19/F30</f>
        <v>1109695493.2691681</v>
      </c>
      <c r="G35" s="51"/>
      <c r="H35" s="51"/>
      <c r="I35" s="51"/>
      <c r="J35" s="51"/>
      <c r="K35" s="15">
        <f t="shared" ref="K35:L35" si="4">K19/K30</f>
        <v>559328737.72517395</v>
      </c>
      <c r="L35" s="15">
        <f t="shared" si="4"/>
        <v>139798406.7113221</v>
      </c>
    </row>
    <row r="36" spans="1:12" x14ac:dyDescent="0.25">
      <c r="A36" s="14" t="s">
        <v>99</v>
      </c>
      <c r="B36" s="15">
        <f>B21/B31</f>
        <v>2106061899.9343295</v>
      </c>
      <c r="C36" s="51">
        <f>C21/C31</f>
        <v>712032760.83565927</v>
      </c>
      <c r="D36" s="51"/>
      <c r="E36" s="51"/>
      <c r="F36" s="51">
        <f>F21/F31</f>
        <v>1151828779.3465769</v>
      </c>
      <c r="G36" s="51"/>
      <c r="H36" s="51"/>
      <c r="I36" s="51"/>
      <c r="J36" s="51"/>
      <c r="K36" s="15">
        <f>K21/K31</f>
        <v>181722400.67312428</v>
      </c>
      <c r="L36" s="15">
        <f>L21/L31</f>
        <v>60477959.078968979</v>
      </c>
    </row>
    <row r="37" spans="1:12" x14ac:dyDescent="0.25">
      <c r="A37" s="14" t="s">
        <v>65</v>
      </c>
      <c r="B37" s="15">
        <f>B35/B10</f>
        <v>18451.862565252039</v>
      </c>
      <c r="C37" s="51">
        <f>C35/C10</f>
        <v>14968.776828783024</v>
      </c>
      <c r="D37" s="51"/>
      <c r="E37" s="51"/>
      <c r="F37" s="51">
        <f>F35/F10</f>
        <v>8869.0260304280528</v>
      </c>
      <c r="G37" s="51"/>
      <c r="H37" s="51"/>
      <c r="I37" s="51"/>
      <c r="J37" s="51"/>
      <c r="K37" s="15">
        <f>K35/K10</f>
        <v>77627.045391169595</v>
      </c>
      <c r="L37" s="15">
        <f>L35/L10</f>
        <v>70462.906608529287</v>
      </c>
    </row>
    <row r="38" spans="1:12" x14ac:dyDescent="0.25">
      <c r="A38" s="14" t="s">
        <v>100</v>
      </c>
      <c r="B38" s="15">
        <f>B36/B14</f>
        <v>16099.17518945657</v>
      </c>
      <c r="C38" s="51">
        <f>C36/C14</f>
        <v>21968.861214885663</v>
      </c>
      <c r="D38" s="51"/>
      <c r="E38" s="51"/>
      <c r="F38" s="51">
        <f>F36/F14</f>
        <v>8991.4270496910831</v>
      </c>
      <c r="G38" s="51"/>
      <c r="H38" s="51"/>
      <c r="I38" s="51"/>
      <c r="J38" s="51"/>
      <c r="K38" s="35">
        <f>K36/K14</f>
        <v>25882.694868697377</v>
      </c>
      <c r="L38" s="35">
        <f>L36/L14</f>
        <v>60904.289102687791</v>
      </c>
    </row>
    <row r="39" spans="1:12" x14ac:dyDescent="0.25">
      <c r="I39" s="33"/>
      <c r="J39" s="33"/>
    </row>
    <row r="40" spans="1:12" x14ac:dyDescent="0.25">
      <c r="A40" s="2" t="s">
        <v>13</v>
      </c>
      <c r="I40" s="33"/>
      <c r="J40" s="33"/>
    </row>
    <row r="41" spans="1:12" x14ac:dyDescent="0.25">
      <c r="I41" s="33"/>
      <c r="J41" s="33"/>
    </row>
    <row r="42" spans="1:12" x14ac:dyDescent="0.25">
      <c r="A42" t="s">
        <v>14</v>
      </c>
      <c r="I42" s="33"/>
      <c r="J42" s="33"/>
    </row>
    <row r="43" spans="1:12" x14ac:dyDescent="0.25">
      <c r="A43" t="s">
        <v>15</v>
      </c>
      <c r="B43" s="18">
        <f>(B13/B32)*100</f>
        <v>113.07284254107905</v>
      </c>
      <c r="C43" s="18">
        <f t="shared" ref="C43:L43" si="5">(C13/C32)*100</f>
        <v>28.340305631028883</v>
      </c>
      <c r="D43" s="18">
        <f t="shared" si="5"/>
        <v>21.506016302238322</v>
      </c>
      <c r="E43" s="18">
        <f t="shared" si="5"/>
        <v>6.8342893287905575</v>
      </c>
      <c r="F43" s="18">
        <f t="shared" si="5"/>
        <v>118.20646626701743</v>
      </c>
      <c r="G43" s="18">
        <f t="shared" si="5"/>
        <v>91.566826238840733</v>
      </c>
      <c r="H43" s="18">
        <f t="shared" si="5"/>
        <v>3.5333017064159513</v>
      </c>
      <c r="I43" s="18">
        <f t="shared" si="5"/>
        <v>23.106338321760756</v>
      </c>
      <c r="J43" s="18">
        <f t="shared" si="5"/>
        <v>25.199465217578815</v>
      </c>
      <c r="K43" s="18">
        <f t="shared" si="5"/>
        <v>7.5559580799585966</v>
      </c>
      <c r="L43" s="18">
        <f t="shared" si="5"/>
        <v>3.4019062405658342</v>
      </c>
    </row>
    <row r="44" spans="1:12" x14ac:dyDescent="0.25">
      <c r="A44" t="s">
        <v>16</v>
      </c>
      <c r="B44" s="18">
        <f>(B15/B32)*100</f>
        <v>91.27183335489714</v>
      </c>
      <c r="C44" s="18">
        <f t="shared" ref="C44:L44" si="6">(C15/C32)*100</f>
        <v>22.378919221977831</v>
      </c>
      <c r="D44" s="18">
        <f t="shared" si="6"/>
        <v>16.882736015870961</v>
      </c>
      <c r="E44" s="18">
        <f t="shared" si="6"/>
        <v>5.4961832061068705</v>
      </c>
      <c r="F44" s="18">
        <f t="shared" si="6"/>
        <v>94.507267003062054</v>
      </c>
      <c r="G44" s="18">
        <f t="shared" si="6"/>
        <v>74.389097339026179</v>
      </c>
      <c r="H44" s="18">
        <f t="shared" si="6"/>
        <v>2.7403286324233407</v>
      </c>
      <c r="I44" s="18">
        <f t="shared" si="6"/>
        <v>17.377841031612544</v>
      </c>
      <c r="J44" s="18">
        <f t="shared" si="6"/>
        <v>21.912278431879933</v>
      </c>
      <c r="K44" s="18">
        <f t="shared" si="6"/>
        <v>6.0559796437659035</v>
      </c>
      <c r="L44" s="18">
        <f t="shared" si="6"/>
        <v>0.85651442618708762</v>
      </c>
    </row>
    <row r="45" spans="1:12" x14ac:dyDescent="0.25">
      <c r="I45" s="33"/>
      <c r="J45" s="33"/>
    </row>
    <row r="46" spans="1:12" x14ac:dyDescent="0.25">
      <c r="A46" t="s">
        <v>17</v>
      </c>
      <c r="I46" s="33"/>
      <c r="J46" s="33"/>
    </row>
    <row r="47" spans="1:12" x14ac:dyDescent="0.25">
      <c r="A47" t="s">
        <v>18</v>
      </c>
      <c r="B47" s="16">
        <f>B14/B12*100</f>
        <v>94.051193811305183</v>
      </c>
      <c r="C47" s="16">
        <f t="shared" ref="C47:L47" si="7">C14/C12*100</f>
        <v>79.326605369861213</v>
      </c>
      <c r="D47" s="16">
        <f t="shared" si="7"/>
        <v>79.063388763499077</v>
      </c>
      <c r="E47" s="16">
        <f t="shared" si="7"/>
        <v>80.4206983592764</v>
      </c>
      <c r="F47" s="16">
        <f t="shared" si="7"/>
        <v>93.476727442548309</v>
      </c>
      <c r="G47" s="16">
        <f t="shared" si="7"/>
        <v>98.700992859699682</v>
      </c>
      <c r="H47" s="16">
        <f t="shared" si="7"/>
        <v>77.5571649442591</v>
      </c>
      <c r="I47" s="16">
        <f t="shared" si="7"/>
        <v>75.208112984508176</v>
      </c>
      <c r="J47" s="16">
        <f t="shared" si="7"/>
        <v>86.955331165497171</v>
      </c>
      <c r="K47" s="16">
        <f t="shared" si="7"/>
        <v>80.148401826484019</v>
      </c>
      <c r="L47" s="16">
        <f t="shared" si="7"/>
        <v>25.177484787018255</v>
      </c>
    </row>
    <row r="48" spans="1:12" x14ac:dyDescent="0.25">
      <c r="A48" t="s">
        <v>19</v>
      </c>
      <c r="B48" s="16">
        <f>B21/B20*100</f>
        <v>73.06666802194043</v>
      </c>
      <c r="C48" s="16">
        <f>C21/C20*100</f>
        <v>77.10559308875105</v>
      </c>
      <c r="D48" s="16"/>
      <c r="E48" s="16"/>
      <c r="F48" s="59">
        <f>F21/F20*100</f>
        <v>90.974872312973744</v>
      </c>
      <c r="G48" s="59"/>
      <c r="H48" s="59"/>
      <c r="I48" s="59"/>
      <c r="J48" s="59"/>
      <c r="K48" s="16">
        <f>K21/K20*100</f>
        <v>45.792784935026248</v>
      </c>
      <c r="L48" s="16">
        <f>L21/L20*100</f>
        <v>20.431701851913093</v>
      </c>
    </row>
    <row r="49" spans="1:12" x14ac:dyDescent="0.25">
      <c r="A49" s="14" t="s">
        <v>20</v>
      </c>
      <c r="B49" s="17">
        <f>AVERAGE(B47:B48)</f>
        <v>83.558930916622813</v>
      </c>
      <c r="C49" s="17">
        <f t="shared" ref="C49:L49" si="8">AVERAGE(C47:C48)</f>
        <v>78.216099229306138</v>
      </c>
      <c r="D49" s="17"/>
      <c r="E49" s="17"/>
      <c r="F49" s="60">
        <f>AVERAGE(F47:F48)</f>
        <v>92.225799877761034</v>
      </c>
      <c r="G49" s="60"/>
      <c r="H49" s="60"/>
      <c r="I49" s="60"/>
      <c r="J49" s="60"/>
      <c r="K49" s="17">
        <f t="shared" si="8"/>
        <v>62.970593380755133</v>
      </c>
      <c r="L49" s="17">
        <f t="shared" si="8"/>
        <v>22.804593319465674</v>
      </c>
    </row>
    <row r="50" spans="1:12" x14ac:dyDescent="0.25">
      <c r="B50" s="16"/>
      <c r="C50" s="16"/>
      <c r="D50" s="16"/>
      <c r="E50" s="16"/>
      <c r="F50" s="16"/>
      <c r="G50" s="16"/>
      <c r="H50" s="16"/>
      <c r="I50" s="16"/>
      <c r="J50" s="16"/>
      <c r="K50" s="16"/>
      <c r="L50" s="16"/>
    </row>
    <row r="51" spans="1:12" x14ac:dyDescent="0.25">
      <c r="A51" t="s">
        <v>21</v>
      </c>
    </row>
    <row r="52" spans="1:12" x14ac:dyDescent="0.25">
      <c r="A52" t="s">
        <v>22</v>
      </c>
      <c r="B52" s="16">
        <f>((B14/B16)*100)</f>
        <v>95.638378757749436</v>
      </c>
      <c r="C52" s="16">
        <f t="shared" ref="C52:L52" si="9">((C14/C16)*100)</f>
        <v>79.963979078259158</v>
      </c>
      <c r="D52" s="16">
        <f t="shared" si="9"/>
        <v>79.893838978890528</v>
      </c>
      <c r="E52" s="16">
        <f t="shared" si="9"/>
        <v>80.251889168765743</v>
      </c>
      <c r="F52" s="16">
        <f t="shared" si="9"/>
        <v>94.848022006002736</v>
      </c>
      <c r="G52" s="16">
        <f t="shared" si="9"/>
        <v>100.56338298525797</v>
      </c>
      <c r="H52" s="16">
        <f t="shared" si="9"/>
        <v>77.848566527811812</v>
      </c>
      <c r="I52" s="16">
        <f t="shared" si="9"/>
        <v>75.208122342826144</v>
      </c>
      <c r="J52" s="16">
        <f t="shared" si="9"/>
        <v>86.955093054682706</v>
      </c>
      <c r="K52" s="16">
        <f t="shared" si="9"/>
        <v>82.021028037383175</v>
      </c>
      <c r="L52" s="16">
        <f t="shared" si="9"/>
        <v>27.468879668049794</v>
      </c>
    </row>
    <row r="53" spans="1:12" x14ac:dyDescent="0.25">
      <c r="A53" t="s">
        <v>23</v>
      </c>
      <c r="B53" s="16">
        <f>B21/B22*100</f>
        <v>18.532081149006697</v>
      </c>
      <c r="C53" s="16">
        <f>C21/C22*100</f>
        <v>19.27675972793914</v>
      </c>
      <c r="D53" s="16"/>
      <c r="E53" s="16"/>
      <c r="F53" s="16">
        <f>F21/F22*100</f>
        <v>23.045823292011278</v>
      </c>
      <c r="G53" s="16"/>
      <c r="H53" s="16"/>
      <c r="I53" s="16"/>
      <c r="J53" s="16"/>
      <c r="K53" s="16">
        <f t="shared" ref="K53:L53" si="10">K21/K22*100</f>
        <v>11.448196233756562</v>
      </c>
      <c r="L53" s="16">
        <f t="shared" si="10"/>
        <v>5.5722823232490262</v>
      </c>
    </row>
    <row r="54" spans="1:12" x14ac:dyDescent="0.25">
      <c r="A54" t="s">
        <v>24</v>
      </c>
      <c r="B54" s="16">
        <f>(B52+B53)/2</f>
        <v>57.085229953378068</v>
      </c>
      <c r="C54" s="16">
        <f t="shared" ref="C54:L54" si="11">(C52+C53)/2</f>
        <v>49.620369403099147</v>
      </c>
      <c r="D54" s="16"/>
      <c r="E54" s="16"/>
      <c r="F54" s="16">
        <f t="shared" ref="F54" si="12">(F52+F53)/2</f>
        <v>58.946922649007007</v>
      </c>
      <c r="G54" s="16"/>
      <c r="H54" s="16"/>
      <c r="I54" s="16"/>
      <c r="J54" s="16"/>
      <c r="K54" s="16">
        <f t="shared" si="11"/>
        <v>46.734612135569868</v>
      </c>
      <c r="L54" s="16">
        <f t="shared" si="11"/>
        <v>16.520580995649411</v>
      </c>
    </row>
    <row r="55" spans="1:12" x14ac:dyDescent="0.25">
      <c r="B55" s="16"/>
      <c r="C55" s="16"/>
      <c r="D55" s="16"/>
      <c r="E55" s="16"/>
      <c r="F55" s="16"/>
      <c r="G55" s="16"/>
      <c r="H55" s="16"/>
      <c r="I55" s="16"/>
      <c r="J55" s="16"/>
      <c r="K55" s="16"/>
      <c r="L55" s="16"/>
    </row>
    <row r="56" spans="1:12" x14ac:dyDescent="0.25">
      <c r="A56" t="s">
        <v>40</v>
      </c>
    </row>
    <row r="57" spans="1:12" x14ac:dyDescent="0.25">
      <c r="A57" t="s">
        <v>25</v>
      </c>
      <c r="B57" s="16">
        <f>B23/B21*100</f>
        <v>100</v>
      </c>
      <c r="C57" s="16"/>
      <c r="D57" s="16"/>
      <c r="E57" s="16"/>
      <c r="F57" s="16"/>
      <c r="G57" s="16"/>
      <c r="H57" s="16"/>
      <c r="I57" s="16"/>
      <c r="J57" s="16"/>
      <c r="K57" s="16"/>
      <c r="L57" s="16"/>
    </row>
    <row r="59" spans="1:12" x14ac:dyDescent="0.25">
      <c r="A59" t="s">
        <v>26</v>
      </c>
    </row>
    <row r="60" spans="1:12" x14ac:dyDescent="0.25">
      <c r="A60" t="s">
        <v>27</v>
      </c>
      <c r="B60" s="16">
        <f>((B14/B10)-1)*100</f>
        <v>-0.27190209491669837</v>
      </c>
      <c r="C60" s="16">
        <f t="shared" ref="C60:L60" si="13">((C14/C10)-1)*100</f>
        <v>-20.674041803318811</v>
      </c>
      <c r="D60" s="16">
        <f t="shared" si="13"/>
        <v>-23.320736196319025</v>
      </c>
      <c r="E60" s="16">
        <f t="shared" si="13"/>
        <v>-7.647712449876809</v>
      </c>
      <c r="F60" s="16">
        <f t="shared" si="13"/>
        <v>2.3838384914788735</v>
      </c>
      <c r="G60" s="16">
        <f t="shared" si="13"/>
        <v>7.7792140552513489</v>
      </c>
      <c r="H60" s="16" t="e">
        <f t="shared" si="13"/>
        <v>#VALUE!</v>
      </c>
      <c r="I60" s="16">
        <f t="shared" si="13"/>
        <v>-27.798881880733951</v>
      </c>
      <c r="J60" s="16">
        <f t="shared" si="13"/>
        <v>18.30671075303869</v>
      </c>
      <c r="K60" s="16">
        <f t="shared" si="13"/>
        <v>-2.5582901554404125</v>
      </c>
      <c r="L60" s="16">
        <f t="shared" si="13"/>
        <v>-49.949596774193552</v>
      </c>
    </row>
    <row r="61" spans="1:12" x14ac:dyDescent="0.25">
      <c r="A61" t="s">
        <v>28</v>
      </c>
      <c r="B61" s="16">
        <f>((B36/B35)-1)*100</f>
        <v>-12.987639388301375</v>
      </c>
      <c r="C61" s="16">
        <f t="shared" ref="C61:L61" si="14">((C36/C35)-1)*100</f>
        <v>16.422402865257624</v>
      </c>
      <c r="D61" s="16"/>
      <c r="E61" s="16"/>
      <c r="F61" s="16">
        <f t="shared" si="14"/>
        <v>3.7968331252102194</v>
      </c>
      <c r="G61" s="16"/>
      <c r="H61" s="16"/>
      <c r="I61" s="16"/>
      <c r="J61" s="16"/>
      <c r="K61" s="16">
        <f t="shared" si="14"/>
        <v>-67.510626861011829</v>
      </c>
      <c r="L61" s="16">
        <f t="shared" si="14"/>
        <v>-56.73916427112546</v>
      </c>
    </row>
    <row r="62" spans="1:12" x14ac:dyDescent="0.25">
      <c r="A62" s="14" t="s">
        <v>29</v>
      </c>
      <c r="B62" s="17">
        <f>((B38/B37)-1)*100</f>
        <v>-12.750405914175712</v>
      </c>
      <c r="C62" s="17">
        <f t="shared" ref="C62:L62" si="15">((C38/C37)-1)*100</f>
        <v>46.764571789475681</v>
      </c>
      <c r="D62" s="17"/>
      <c r="E62" s="17"/>
      <c r="F62" s="17">
        <f t="shared" si="15"/>
        <v>1.3800953886378808</v>
      </c>
      <c r="G62" s="17"/>
      <c r="H62" s="17"/>
      <c r="I62" s="17"/>
      <c r="J62" s="17"/>
      <c r="K62" s="17">
        <f t="shared" si="15"/>
        <v>-66.657632351879201</v>
      </c>
      <c r="L62" s="17">
        <f t="shared" si="15"/>
        <v>-13.565460134856909</v>
      </c>
    </row>
    <row r="63" spans="1:12" x14ac:dyDescent="0.25">
      <c r="B63" s="18"/>
      <c r="C63" s="18"/>
      <c r="D63" s="18"/>
      <c r="E63" s="18"/>
      <c r="F63" s="18"/>
      <c r="G63" s="18"/>
      <c r="H63" s="18"/>
      <c r="I63" s="18"/>
      <c r="J63" s="18"/>
      <c r="K63" s="18"/>
      <c r="L63" s="18"/>
    </row>
    <row r="64" spans="1:12" x14ac:dyDescent="0.25">
      <c r="A64" t="s">
        <v>30</v>
      </c>
    </row>
    <row r="65" spans="1:12" x14ac:dyDescent="0.25">
      <c r="A65" t="s">
        <v>46</v>
      </c>
      <c r="B65" s="4">
        <f>B20/(B12*3)</f>
        <v>11219.789597797148</v>
      </c>
      <c r="C65" s="4">
        <f>C20/(C12*3)</f>
        <v>12237.046494741908</v>
      </c>
      <c r="D65" s="4"/>
      <c r="E65" s="4"/>
      <c r="F65" s="4">
        <f t="shared" ref="F65" si="16">F20/(F12*3)</f>
        <v>5002.0352396333992</v>
      </c>
      <c r="G65" s="4"/>
      <c r="H65" s="41"/>
      <c r="I65" s="41"/>
      <c r="J65" s="41"/>
      <c r="K65" s="4">
        <f>K20/(K12*3)</f>
        <v>24526.940639269407</v>
      </c>
      <c r="L65" s="4">
        <f>L20/(L12*3)</f>
        <v>40634.203853955376</v>
      </c>
    </row>
    <row r="66" spans="1:12" x14ac:dyDescent="0.25">
      <c r="A66" t="s">
        <v>47</v>
      </c>
      <c r="B66" s="4">
        <f>B21/(B14*3)</f>
        <v>8716.4512070204401</v>
      </c>
      <c r="C66" s="4">
        <f>C21/(C14*3)</f>
        <v>11894.429658654983</v>
      </c>
      <c r="D66" s="4"/>
      <c r="E66" s="45"/>
      <c r="F66" s="4">
        <f>F21/(F14*3)</f>
        <v>4868.158414192746</v>
      </c>
      <c r="G66" s="41"/>
      <c r="H66" s="41"/>
      <c r="I66" s="41"/>
      <c r="J66" s="41"/>
      <c r="K66" s="4">
        <f>K21/(K14*3)</f>
        <v>14013.466172909842</v>
      </c>
      <c r="L66" s="4">
        <f>L21/(L14*3)</f>
        <v>32974.935548841895</v>
      </c>
    </row>
    <row r="67" spans="1:12" x14ac:dyDescent="0.25">
      <c r="A67" s="14" t="s">
        <v>33</v>
      </c>
      <c r="B67" s="17">
        <f>(B65/B66)*B49</f>
        <v>107.55680283580077</v>
      </c>
      <c r="C67" s="17">
        <f>(C65/C66)*C49</f>
        <v>80.469099433440022</v>
      </c>
      <c r="D67" s="17"/>
      <c r="E67" s="17"/>
      <c r="F67" s="17">
        <f t="shared" ref="F67" si="17">(F65/F66)*F49</f>
        <v>94.762056149817255</v>
      </c>
      <c r="G67" s="60"/>
      <c r="H67" s="60"/>
      <c r="I67" s="60"/>
      <c r="J67" s="60"/>
      <c r="K67" s="17">
        <f>(K65/K66)*K49</f>
        <v>110.21370350577924</v>
      </c>
      <c r="L67" s="17">
        <f>(L65/L66)*L49</f>
        <v>28.101540710433976</v>
      </c>
    </row>
    <row r="68" spans="1:12" x14ac:dyDescent="0.25">
      <c r="A68" t="s">
        <v>39</v>
      </c>
      <c r="B68" s="31">
        <f>B20/B12</f>
        <v>33659.368793391441</v>
      </c>
      <c r="C68" s="31">
        <f>C20/C12</f>
        <v>36711.139484225721</v>
      </c>
      <c r="D68" s="31"/>
      <c r="E68" s="31"/>
      <c r="F68" s="31">
        <f t="shared" ref="F68" si="18">F20/F12</f>
        <v>15006.105718900197</v>
      </c>
      <c r="G68" s="61"/>
      <c r="H68" s="61"/>
      <c r="I68" s="61"/>
      <c r="J68" s="61"/>
      <c r="K68" s="31">
        <f t="shared" ref="K68:L68" si="19">K20/K12</f>
        <v>73580.821917808222</v>
      </c>
      <c r="L68" s="31">
        <f t="shared" si="19"/>
        <v>121902.61156186613</v>
      </c>
    </row>
    <row r="69" spans="1:12" x14ac:dyDescent="0.25">
      <c r="A69" t="s">
        <v>38</v>
      </c>
      <c r="B69" s="18">
        <f>B21/B14</f>
        <v>26149.35362106132</v>
      </c>
      <c r="C69" s="18">
        <f>C21/C14</f>
        <v>35683.288975964948</v>
      </c>
      <c r="D69" s="18"/>
      <c r="E69" s="18"/>
      <c r="F69" s="18">
        <f t="shared" ref="F69" si="20">F21/F14</f>
        <v>14604.475242578237</v>
      </c>
      <c r="G69" s="61"/>
      <c r="H69" s="61"/>
      <c r="I69" s="61"/>
      <c r="J69" s="61"/>
      <c r="K69" s="31">
        <f>K21/K14</f>
        <v>42040.398518729526</v>
      </c>
      <c r="L69" s="31">
        <f>L21/L14</f>
        <v>98924.806646525685</v>
      </c>
    </row>
    <row r="70" spans="1:12" x14ac:dyDescent="0.25">
      <c r="B70" s="16"/>
      <c r="C70" s="16"/>
      <c r="D70" s="16"/>
      <c r="E70" s="16"/>
      <c r="F70" s="16"/>
      <c r="G70" s="16"/>
      <c r="H70" s="16"/>
      <c r="I70" s="18"/>
      <c r="J70" s="18"/>
      <c r="K70" s="16"/>
      <c r="L70" s="16"/>
    </row>
    <row r="71" spans="1:12" x14ac:dyDescent="0.25">
      <c r="A71" t="s">
        <v>34</v>
      </c>
      <c r="B71" s="16"/>
      <c r="C71" s="16"/>
      <c r="D71" s="16"/>
      <c r="E71" s="16"/>
      <c r="F71" s="16"/>
      <c r="G71" s="16"/>
      <c r="H71" s="16"/>
      <c r="I71" s="18"/>
      <c r="J71" s="18"/>
      <c r="K71" s="16"/>
      <c r="L71" s="16"/>
    </row>
    <row r="72" spans="1:12" x14ac:dyDescent="0.25">
      <c r="A72" s="19" t="s">
        <v>35</v>
      </c>
      <c r="B72" s="20">
        <f>(B27/B26)*100</f>
        <v>82.579352645708695</v>
      </c>
      <c r="C72" s="20"/>
      <c r="D72" s="20"/>
      <c r="E72" s="20"/>
      <c r="F72" s="20"/>
      <c r="G72" s="20"/>
      <c r="H72" s="20"/>
      <c r="I72" s="20"/>
      <c r="J72" s="20"/>
      <c r="K72" s="20"/>
      <c r="L72" s="20"/>
    </row>
    <row r="73" spans="1:12" x14ac:dyDescent="0.25">
      <c r="A73" s="19" t="s">
        <v>36</v>
      </c>
      <c r="B73" s="20">
        <f>(B21/B27)*100</f>
        <v>88.480553166139885</v>
      </c>
      <c r="C73" s="20"/>
      <c r="D73" s="20"/>
      <c r="E73" s="20"/>
      <c r="F73" s="20"/>
      <c r="G73" s="20"/>
      <c r="H73" s="20"/>
      <c r="I73" s="20"/>
      <c r="J73" s="20"/>
      <c r="K73" s="20"/>
      <c r="L73" s="20"/>
    </row>
    <row r="74" spans="1:12" ht="15.75" thickBot="1" x14ac:dyDescent="0.3">
      <c r="A74" s="21"/>
      <c r="B74" s="21"/>
      <c r="C74" s="21"/>
      <c r="D74" s="21"/>
      <c r="E74" s="21"/>
      <c r="F74" s="21"/>
      <c r="G74" s="21"/>
      <c r="H74" s="21"/>
      <c r="I74" s="50"/>
      <c r="J74" s="50"/>
      <c r="K74" s="21"/>
      <c r="L74" s="21"/>
    </row>
    <row r="75" spans="1:12" ht="15.75" thickTop="1" x14ac:dyDescent="0.25">
      <c r="A75" s="34" t="s">
        <v>123</v>
      </c>
    </row>
    <row r="76" spans="1:12" x14ac:dyDescent="0.25">
      <c r="A76" t="s">
        <v>126</v>
      </c>
    </row>
    <row r="77" spans="1:12" x14ac:dyDescent="0.25">
      <c r="A77" t="s">
        <v>127</v>
      </c>
    </row>
    <row r="78" spans="1:12" x14ac:dyDescent="0.25">
      <c r="A78" t="s">
        <v>128</v>
      </c>
      <c r="B78" s="22"/>
      <c r="C78" s="22"/>
      <c r="D78" s="22"/>
      <c r="E78" s="22"/>
      <c r="F78" s="22"/>
      <c r="G78" s="22"/>
      <c r="H78" s="22"/>
      <c r="I78" s="22"/>
      <c r="J78" s="22"/>
    </row>
    <row r="80" spans="1:12" x14ac:dyDescent="0.25">
      <c r="A80" t="s">
        <v>43</v>
      </c>
    </row>
    <row r="81" spans="1:1" x14ac:dyDescent="0.25">
      <c r="A81" t="s">
        <v>53</v>
      </c>
    </row>
    <row r="82" spans="1:1" x14ac:dyDescent="0.25">
      <c r="A82" t="s">
        <v>129</v>
      </c>
    </row>
    <row r="83" spans="1:1" x14ac:dyDescent="0.25">
      <c r="A83" t="s">
        <v>50</v>
      </c>
    </row>
    <row r="84" spans="1:1" x14ac:dyDescent="0.25">
      <c r="A84" t="s">
        <v>125</v>
      </c>
    </row>
    <row r="86" spans="1:1" x14ac:dyDescent="0.25">
      <c r="A86" t="s">
        <v>124</v>
      </c>
    </row>
    <row r="87" spans="1:1" x14ac:dyDescent="0.25">
      <c r="A87" s="43">
        <v>41865</v>
      </c>
    </row>
  </sheetData>
  <mergeCells count="6">
    <mergeCell ref="G34:J34"/>
    <mergeCell ref="A2:K2"/>
    <mergeCell ref="A4:A5"/>
    <mergeCell ref="G5:H5"/>
    <mergeCell ref="D5:E5"/>
    <mergeCell ref="D4:L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87"/>
  <sheetViews>
    <sheetView zoomScale="85" zoomScaleNormal="85" workbookViewId="0">
      <selection activeCell="C22" sqref="C22"/>
    </sheetView>
  </sheetViews>
  <sheetFormatPr baseColWidth="10" defaultColWidth="11.42578125" defaultRowHeight="15" x14ac:dyDescent="0.25"/>
  <cols>
    <col min="1" max="1" width="50.85546875" customWidth="1"/>
    <col min="2" max="3" width="26.7109375" customWidth="1"/>
    <col min="4" max="6" width="15.5703125" customWidth="1"/>
    <col min="7" max="7" width="16.140625" customWidth="1"/>
    <col min="8" max="10" width="14.5703125" customWidth="1"/>
    <col min="11" max="11" width="15.42578125" customWidth="1"/>
    <col min="12" max="12" width="16.42578125" customWidth="1"/>
    <col min="15" max="15" width="23.85546875" customWidth="1"/>
  </cols>
  <sheetData>
    <row r="2" spans="1:12" ht="15.75" x14ac:dyDescent="0.25">
      <c r="A2" s="67" t="s">
        <v>101</v>
      </c>
      <c r="B2" s="67"/>
      <c r="C2" s="67"/>
      <c r="D2" s="67"/>
      <c r="E2" s="67"/>
      <c r="F2" s="67"/>
      <c r="G2" s="67"/>
      <c r="H2" s="67"/>
      <c r="I2" s="67"/>
      <c r="J2" s="67"/>
      <c r="K2" s="67"/>
    </row>
    <row r="4" spans="1:12" x14ac:dyDescent="0.25">
      <c r="A4" s="65" t="s">
        <v>0</v>
      </c>
      <c r="B4" s="26" t="s">
        <v>1</v>
      </c>
      <c r="C4" s="26"/>
      <c r="D4" s="69" t="s">
        <v>2</v>
      </c>
      <c r="E4" s="69"/>
      <c r="F4" s="69"/>
      <c r="G4" s="69"/>
      <c r="H4" s="69"/>
      <c r="I4" s="69"/>
      <c r="J4" s="69"/>
      <c r="K4" s="69"/>
      <c r="L4" s="69"/>
    </row>
    <row r="5" spans="1:12" ht="15.75" thickBot="1" x14ac:dyDescent="0.3">
      <c r="A5" s="66"/>
      <c r="B5" s="1" t="s">
        <v>3</v>
      </c>
      <c r="C5" s="58" t="s">
        <v>130</v>
      </c>
      <c r="D5" s="68" t="s">
        <v>4</v>
      </c>
      <c r="E5" s="68"/>
      <c r="F5" s="58" t="s">
        <v>131</v>
      </c>
      <c r="G5" s="68" t="s">
        <v>52</v>
      </c>
      <c r="H5" s="68"/>
      <c r="I5" s="49"/>
      <c r="J5" s="49"/>
      <c r="K5" s="1" t="s">
        <v>5</v>
      </c>
      <c r="L5" s="21" t="s">
        <v>51</v>
      </c>
    </row>
    <row r="6" spans="1:12" ht="15.75" thickTop="1" x14ac:dyDescent="0.25">
      <c r="B6" s="37" t="s">
        <v>1</v>
      </c>
      <c r="D6" s="37" t="s">
        <v>48</v>
      </c>
      <c r="E6" s="37" t="s">
        <v>49</v>
      </c>
      <c r="F6" s="37"/>
      <c r="G6" s="37">
        <v>1600</v>
      </c>
      <c r="H6" s="37">
        <v>1000</v>
      </c>
      <c r="I6" s="48">
        <v>700</v>
      </c>
      <c r="J6" s="48">
        <v>800</v>
      </c>
      <c r="K6" s="37" t="s">
        <v>5</v>
      </c>
    </row>
    <row r="7" spans="1:12" x14ac:dyDescent="0.25">
      <c r="A7" s="2" t="s">
        <v>6</v>
      </c>
      <c r="I7" s="33"/>
      <c r="J7" s="33"/>
    </row>
    <row r="8" spans="1:12" x14ac:dyDescent="0.25">
      <c r="I8" s="33"/>
      <c r="J8" s="33"/>
    </row>
    <row r="9" spans="1:12" x14ac:dyDescent="0.25">
      <c r="A9" t="s">
        <v>7</v>
      </c>
      <c r="I9" s="33"/>
      <c r="J9" s="33"/>
    </row>
    <row r="10" spans="1:12" x14ac:dyDescent="0.25">
      <c r="A10" s="3" t="s">
        <v>66</v>
      </c>
      <c r="B10" s="4">
        <f>+D10+G10</f>
        <v>131254.66666666666</v>
      </c>
      <c r="C10" s="4">
        <f>+D10+E10</f>
        <v>41446</v>
      </c>
      <c r="D10" s="5">
        <v>34179.666666666664</v>
      </c>
      <c r="E10" s="4">
        <v>7266.333333333333</v>
      </c>
      <c r="F10" s="4">
        <f>G10+I10</f>
        <v>125008</v>
      </c>
      <c r="G10" s="4">
        <v>97075</v>
      </c>
      <c r="H10" s="25" t="s">
        <v>78</v>
      </c>
      <c r="I10" s="38">
        <v>27933</v>
      </c>
      <c r="J10" s="38">
        <v>22709</v>
      </c>
      <c r="K10" s="4">
        <v>8103</v>
      </c>
      <c r="L10" s="5">
        <v>2301.6666666666665</v>
      </c>
    </row>
    <row r="11" spans="1:12" x14ac:dyDescent="0.25">
      <c r="A11" s="27" t="s">
        <v>37</v>
      </c>
      <c r="B11" s="4">
        <f t="shared" ref="B11:B16" si="0">+D11+G11</f>
        <v>107609</v>
      </c>
      <c r="C11" s="4">
        <f t="shared" ref="C11:C16" si="1">+D11+E11</f>
        <v>35199.666666666664</v>
      </c>
      <c r="D11" s="4">
        <v>27933.333333333332</v>
      </c>
      <c r="E11" s="4">
        <v>7266.333333333333</v>
      </c>
      <c r="F11" s="4">
        <f>G11+I11</f>
        <v>107608.66666666667</v>
      </c>
      <c r="G11" s="4">
        <v>79675.666666666672</v>
      </c>
      <c r="H11" s="25" t="s">
        <v>78</v>
      </c>
      <c r="I11" s="38">
        <v>27933</v>
      </c>
      <c r="J11" s="38">
        <v>22709</v>
      </c>
      <c r="K11" s="4">
        <v>8103</v>
      </c>
      <c r="L11" s="5">
        <v>2301.6666666666665</v>
      </c>
    </row>
    <row r="12" spans="1:12" x14ac:dyDescent="0.25">
      <c r="A12" s="3" t="s">
        <v>102</v>
      </c>
      <c r="B12" s="4">
        <f t="shared" si="0"/>
        <v>143022</v>
      </c>
      <c r="C12" s="4">
        <f t="shared" si="1"/>
        <v>44454</v>
      </c>
      <c r="D12" s="4">
        <v>36564</v>
      </c>
      <c r="E12" s="25">
        <v>7890</v>
      </c>
      <c r="F12" s="25">
        <f>SUM(G12:I12)</f>
        <v>140655</v>
      </c>
      <c r="G12" s="25">
        <v>106458</v>
      </c>
      <c r="H12" s="25">
        <v>4498</v>
      </c>
      <c r="I12" s="5">
        <v>29699</v>
      </c>
      <c r="J12" s="5">
        <v>31871</v>
      </c>
      <c r="K12" s="4">
        <v>9060</v>
      </c>
      <c r="L12" s="30">
        <v>3944</v>
      </c>
    </row>
    <row r="13" spans="1:12" x14ac:dyDescent="0.25">
      <c r="A13" s="27" t="s">
        <v>37</v>
      </c>
      <c r="B13" s="4">
        <f t="shared" si="0"/>
        <v>134171</v>
      </c>
      <c r="C13" s="4">
        <f t="shared" si="1"/>
        <v>35603</v>
      </c>
      <c r="D13" s="4">
        <v>27713</v>
      </c>
      <c r="E13" s="25">
        <v>7890</v>
      </c>
      <c r="F13" s="25">
        <f t="shared" ref="F13:F16" si="2">SUM(G13:I13)</f>
        <v>140655</v>
      </c>
      <c r="G13" s="25">
        <v>106458</v>
      </c>
      <c r="H13" s="25">
        <v>4498</v>
      </c>
      <c r="I13" s="5">
        <v>29699</v>
      </c>
      <c r="J13" s="5">
        <v>31871</v>
      </c>
      <c r="K13" s="4">
        <v>9060</v>
      </c>
      <c r="L13" s="30">
        <v>3944</v>
      </c>
    </row>
    <row r="14" spans="1:12" x14ac:dyDescent="0.25">
      <c r="A14" s="3" t="s">
        <v>103</v>
      </c>
      <c r="B14" s="4">
        <f t="shared" si="0"/>
        <v>130334</v>
      </c>
      <c r="C14" s="4">
        <f t="shared" si="1"/>
        <v>33652</v>
      </c>
      <c r="D14" s="5">
        <v>26327</v>
      </c>
      <c r="E14" s="4">
        <v>7325</v>
      </c>
      <c r="F14" s="25">
        <f t="shared" si="2"/>
        <v>127723</v>
      </c>
      <c r="G14" s="4">
        <v>104007</v>
      </c>
      <c r="H14" s="4">
        <v>3255</v>
      </c>
      <c r="I14" s="38">
        <v>20461</v>
      </c>
      <c r="J14" s="38">
        <v>25432</v>
      </c>
      <c r="K14" s="4">
        <v>10792</v>
      </c>
      <c r="L14" s="5">
        <v>1283</v>
      </c>
    </row>
    <row r="15" spans="1:12" x14ac:dyDescent="0.25">
      <c r="A15" s="27" t="s">
        <v>37</v>
      </c>
      <c r="B15" s="4">
        <f t="shared" si="0"/>
        <v>105011</v>
      </c>
      <c r="C15" s="4">
        <f t="shared" si="1"/>
        <v>27191</v>
      </c>
      <c r="D15" s="4">
        <v>19866</v>
      </c>
      <c r="E15" s="4">
        <v>7325</v>
      </c>
      <c r="F15" s="25">
        <f t="shared" si="2"/>
        <v>108861</v>
      </c>
      <c r="G15" s="4">
        <v>85145</v>
      </c>
      <c r="H15" s="4">
        <v>3255</v>
      </c>
      <c r="I15" s="38">
        <v>20461</v>
      </c>
      <c r="J15" s="38">
        <v>25432</v>
      </c>
      <c r="K15" s="4">
        <v>10792</v>
      </c>
      <c r="L15" s="5">
        <v>1283</v>
      </c>
    </row>
    <row r="16" spans="1:12" x14ac:dyDescent="0.25">
      <c r="A16" s="3" t="s">
        <v>82</v>
      </c>
      <c r="B16" s="4">
        <f t="shared" si="0"/>
        <v>136784</v>
      </c>
      <c r="C16" s="4">
        <f t="shared" si="1"/>
        <v>40532</v>
      </c>
      <c r="D16" s="4">
        <f>868+26334+2509+2881</f>
        <v>32592</v>
      </c>
      <c r="E16" s="4">
        <v>7940</v>
      </c>
      <c r="F16" s="25">
        <f t="shared" si="2"/>
        <v>135061.33000000002</v>
      </c>
      <c r="G16" s="4">
        <v>104192</v>
      </c>
      <c r="H16" s="4">
        <v>4081</v>
      </c>
      <c r="I16" s="5">
        <v>26788.33</v>
      </c>
      <c r="J16" s="5">
        <v>29215.08</v>
      </c>
      <c r="K16" s="4">
        <v>8560</v>
      </c>
      <c r="L16" s="5">
        <v>3615</v>
      </c>
    </row>
    <row r="17" spans="1:15" x14ac:dyDescent="0.25">
      <c r="I17" s="5"/>
      <c r="J17" s="5"/>
    </row>
    <row r="18" spans="1:15" x14ac:dyDescent="0.25">
      <c r="A18" s="6" t="s">
        <v>8</v>
      </c>
      <c r="I18" s="38"/>
      <c r="J18" s="38"/>
    </row>
    <row r="19" spans="1:15" x14ac:dyDescent="0.25">
      <c r="A19" s="3" t="s">
        <v>66</v>
      </c>
      <c r="B19" s="4">
        <f>C19+F19+K19+L19</f>
        <v>4103054130</v>
      </c>
      <c r="C19" s="45">
        <v>490106620</v>
      </c>
      <c r="D19" s="45"/>
      <c r="E19" s="45"/>
      <c r="F19" s="45">
        <v>2740855300</v>
      </c>
      <c r="G19" s="45"/>
      <c r="H19" s="45"/>
      <c r="I19" s="45"/>
      <c r="J19" s="45"/>
      <c r="K19" s="5">
        <v>676663750</v>
      </c>
      <c r="L19" s="5">
        <v>195428460</v>
      </c>
      <c r="O19" s="25"/>
    </row>
    <row r="20" spans="1:15" x14ac:dyDescent="0.25">
      <c r="A20" s="62" t="s">
        <v>80</v>
      </c>
      <c r="B20" s="4">
        <f t="shared" ref="B20:B23" si="3">C20+F20+K20+L20</f>
        <v>4856446920</v>
      </c>
      <c r="C20" s="4">
        <f>+D20+E20</f>
        <v>1634699100</v>
      </c>
      <c r="D20" s="41">
        <v>1617548700</v>
      </c>
      <c r="E20" s="41">
        <v>17150400</v>
      </c>
      <c r="F20" s="45">
        <v>2096395920.0000005</v>
      </c>
      <c r="G20" s="45"/>
      <c r="H20" s="45"/>
      <c r="I20" s="45"/>
      <c r="J20" s="45"/>
      <c r="K20" s="4">
        <v>644568000</v>
      </c>
      <c r="L20" s="5">
        <v>480783900</v>
      </c>
      <c r="M20" s="39"/>
      <c r="O20" s="25"/>
    </row>
    <row r="21" spans="1:15" x14ac:dyDescent="0.25">
      <c r="A21" s="3" t="s">
        <v>103</v>
      </c>
      <c r="B21" s="5">
        <f t="shared" si="3"/>
        <v>5013884287</v>
      </c>
      <c r="C21" s="45">
        <v>1018878246</v>
      </c>
      <c r="D21" s="45"/>
      <c r="E21" s="45"/>
      <c r="F21" s="45">
        <v>2927860656</v>
      </c>
      <c r="G21" s="45"/>
      <c r="H21" s="45"/>
      <c r="I21" s="45"/>
      <c r="J21" s="45"/>
      <c r="K21" s="5">
        <v>962474090</v>
      </c>
      <c r="L21" s="5">
        <v>104671295</v>
      </c>
      <c r="M21" s="33"/>
      <c r="O21" s="25"/>
    </row>
    <row r="22" spans="1:15" x14ac:dyDescent="0.25">
      <c r="A22" s="3" t="s">
        <v>82</v>
      </c>
      <c r="B22" s="4">
        <f t="shared" si="3"/>
        <v>18458834248</v>
      </c>
      <c r="C22" s="4">
        <f>+D22+E22</f>
        <v>5999613500</v>
      </c>
      <c r="D22" s="41">
        <v>5931011900</v>
      </c>
      <c r="E22" s="41">
        <v>68601600</v>
      </c>
      <c r="F22" s="41">
        <v>8118074448</v>
      </c>
      <c r="G22" s="41"/>
      <c r="H22" s="41"/>
      <c r="I22" s="41"/>
      <c r="J22" s="41"/>
      <c r="K22" s="4">
        <v>2578272000</v>
      </c>
      <c r="L22" s="5">
        <v>1762874300</v>
      </c>
      <c r="M22" s="10"/>
      <c r="O22" s="25"/>
    </row>
    <row r="23" spans="1:15" x14ac:dyDescent="0.25">
      <c r="A23" s="3" t="s">
        <v>104</v>
      </c>
      <c r="B23" s="4">
        <f t="shared" si="3"/>
        <v>5013884287</v>
      </c>
      <c r="C23" s="4">
        <f>C21</f>
        <v>1018878246</v>
      </c>
      <c r="D23" s="41"/>
      <c r="E23" s="41"/>
      <c r="F23" s="41">
        <f>F21</f>
        <v>2927860656</v>
      </c>
      <c r="G23" s="41"/>
      <c r="H23" s="41"/>
      <c r="I23" s="41"/>
      <c r="J23" s="41"/>
      <c r="K23" s="4">
        <f>K21</f>
        <v>962474090</v>
      </c>
      <c r="L23" s="4">
        <f>L21</f>
        <v>104671295</v>
      </c>
      <c r="O23" s="25"/>
    </row>
    <row r="24" spans="1:15" x14ac:dyDescent="0.25">
      <c r="B24" s="4"/>
      <c r="C24" s="4"/>
      <c r="D24" s="4"/>
      <c r="E24" s="4"/>
      <c r="F24" s="4"/>
      <c r="G24" s="4"/>
      <c r="H24" s="4"/>
      <c r="I24" s="5"/>
      <c r="J24" s="5"/>
      <c r="K24" s="4"/>
      <c r="O24" s="25"/>
    </row>
    <row r="25" spans="1:15" x14ac:dyDescent="0.25">
      <c r="A25" s="7" t="s">
        <v>9</v>
      </c>
      <c r="B25" s="8"/>
      <c r="C25" s="8"/>
      <c r="D25" s="8"/>
      <c r="E25" s="8"/>
      <c r="F25" s="8"/>
      <c r="G25" s="8"/>
      <c r="H25" s="8"/>
      <c r="I25" s="8"/>
      <c r="J25" s="8"/>
      <c r="K25" s="8"/>
      <c r="L25" s="8"/>
    </row>
    <row r="26" spans="1:15" x14ac:dyDescent="0.25">
      <c r="A26" s="9" t="s">
        <v>102</v>
      </c>
      <c r="B26" s="8">
        <f>B20</f>
        <v>4856446920</v>
      </c>
      <c r="C26" s="8"/>
      <c r="D26" s="8"/>
      <c r="E26" s="8"/>
      <c r="F26" s="8"/>
      <c r="G26" s="8"/>
      <c r="H26" s="8"/>
      <c r="I26" s="8"/>
      <c r="J26" s="8"/>
      <c r="K26" s="8"/>
      <c r="L26" s="8"/>
    </row>
    <row r="27" spans="1:15" x14ac:dyDescent="0.25">
      <c r="A27" s="9" t="s">
        <v>103</v>
      </c>
      <c r="B27" s="32">
        <v>3734591833.8299999</v>
      </c>
      <c r="C27" s="32"/>
      <c r="D27" s="29"/>
      <c r="E27" s="29"/>
      <c r="F27" s="29"/>
      <c r="G27" s="8"/>
      <c r="H27" s="8"/>
      <c r="I27" s="8"/>
      <c r="J27" s="8"/>
      <c r="K27" s="8"/>
      <c r="L27" s="8"/>
    </row>
    <row r="28" spans="1:15" x14ac:dyDescent="0.25">
      <c r="D28" s="30"/>
      <c r="I28" s="33"/>
      <c r="J28" s="33"/>
    </row>
    <row r="29" spans="1:15" x14ac:dyDescent="0.25">
      <c r="A29" t="s">
        <v>10</v>
      </c>
      <c r="I29" s="33"/>
      <c r="J29" s="33"/>
    </row>
    <row r="30" spans="1:15" x14ac:dyDescent="0.25">
      <c r="A30" s="11" t="s">
        <v>67</v>
      </c>
      <c r="B30" s="12">
        <v>1.5597333333333332</v>
      </c>
      <c r="C30" s="12">
        <v>1.5597333333333332</v>
      </c>
      <c r="D30" s="12">
        <v>1.5597333333333332</v>
      </c>
      <c r="E30" s="12">
        <v>1.5597333333333332</v>
      </c>
      <c r="F30" s="12">
        <v>1.5597333333333332</v>
      </c>
      <c r="G30" s="12">
        <v>1.5597333333333332</v>
      </c>
      <c r="H30" s="12">
        <v>1.5597333333333332</v>
      </c>
      <c r="I30" s="12">
        <v>1.5597333333333332</v>
      </c>
      <c r="J30" s="12">
        <v>1.5597333333333332</v>
      </c>
      <c r="K30" s="12">
        <v>1.5597333333333332</v>
      </c>
      <c r="L30" s="12">
        <v>1.5597333333333332</v>
      </c>
    </row>
    <row r="31" spans="1:15" x14ac:dyDescent="0.25">
      <c r="A31" s="11" t="s">
        <v>105</v>
      </c>
      <c r="B31" s="12">
        <v>1.6181333333333334</v>
      </c>
      <c r="C31" s="12">
        <v>1.6181333333333334</v>
      </c>
      <c r="D31" s="12">
        <v>1.6181333333333334</v>
      </c>
      <c r="E31" s="12">
        <v>1.6181333333333334</v>
      </c>
      <c r="F31" s="12">
        <v>1.6181333333333334</v>
      </c>
      <c r="G31" s="12">
        <v>1.6181333333333334</v>
      </c>
      <c r="H31" s="12">
        <v>1.6181333333333334</v>
      </c>
      <c r="I31" s="12">
        <v>1.6181333333333334</v>
      </c>
      <c r="J31" s="12">
        <v>1.6181333333333334</v>
      </c>
      <c r="K31" s="12">
        <v>1.6181333333333334</v>
      </c>
      <c r="L31" s="12">
        <v>1.6181333333333334</v>
      </c>
    </row>
    <row r="32" spans="1:15" x14ac:dyDescent="0.25">
      <c r="A32" s="3" t="s">
        <v>11</v>
      </c>
      <c r="B32" s="4">
        <v>115935</v>
      </c>
      <c r="C32" s="4">
        <v>115935</v>
      </c>
      <c r="D32" s="4">
        <v>115935</v>
      </c>
      <c r="E32" s="4">
        <v>115935</v>
      </c>
      <c r="F32" s="4">
        <v>115935</v>
      </c>
      <c r="G32" s="4">
        <v>115935</v>
      </c>
      <c r="H32" s="4">
        <v>115935</v>
      </c>
      <c r="I32" s="4">
        <v>115935</v>
      </c>
      <c r="J32" s="4">
        <v>115935</v>
      </c>
      <c r="K32" s="4">
        <v>115935</v>
      </c>
      <c r="L32" s="4">
        <v>115935</v>
      </c>
    </row>
    <row r="33" spans="1:12" x14ac:dyDescent="0.25">
      <c r="I33" s="33"/>
      <c r="J33" s="33"/>
    </row>
    <row r="34" spans="1:12" x14ac:dyDescent="0.25">
      <c r="A34" s="13" t="s">
        <v>12</v>
      </c>
      <c r="B34" s="14"/>
      <c r="C34" s="14"/>
      <c r="D34" s="52"/>
      <c r="E34" s="52"/>
      <c r="F34" s="52"/>
      <c r="G34" s="64"/>
      <c r="H34" s="64"/>
      <c r="I34" s="64"/>
      <c r="J34" s="64"/>
      <c r="K34" s="14"/>
      <c r="L34" s="14"/>
    </row>
    <row r="35" spans="1:12" x14ac:dyDescent="0.25">
      <c r="A35" s="14" t="s">
        <v>68</v>
      </c>
      <c r="B35" s="15">
        <f>B19/B30</f>
        <v>2630612581.2104635</v>
      </c>
      <c r="C35" s="51">
        <f>C19/C30</f>
        <v>314224623.86732775</v>
      </c>
      <c r="D35" s="51"/>
      <c r="E35" s="51"/>
      <c r="F35" s="51">
        <f>F19/F30</f>
        <v>1757258911.7797916</v>
      </c>
      <c r="G35" s="51"/>
      <c r="H35" s="51"/>
      <c r="I35" s="51"/>
      <c r="J35" s="51"/>
      <c r="K35" s="15">
        <f t="shared" ref="K35:L35" si="4">K19/K30</f>
        <v>433832973.58522826</v>
      </c>
      <c r="L35" s="15">
        <f t="shared" si="4"/>
        <v>125296071.97811593</v>
      </c>
    </row>
    <row r="36" spans="1:12" x14ac:dyDescent="0.25">
      <c r="A36" s="14" t="s">
        <v>106</v>
      </c>
      <c r="B36" s="15">
        <f>B21/B31</f>
        <v>3098560658.577785</v>
      </c>
      <c r="C36" s="51">
        <f>C21/C31</f>
        <v>629662726.18655241</v>
      </c>
      <c r="D36" s="51"/>
      <c r="E36" s="51"/>
      <c r="F36" s="51">
        <f>F21/F31</f>
        <v>1809406305.2076466</v>
      </c>
      <c r="G36" s="51"/>
      <c r="H36" s="51"/>
      <c r="I36" s="51"/>
      <c r="J36" s="51"/>
      <c r="K36" s="15">
        <f>K21/K31</f>
        <v>594805180.86684239</v>
      </c>
      <c r="L36" s="15">
        <f>L21/L31</f>
        <v>64686446.316743568</v>
      </c>
    </row>
    <row r="37" spans="1:12" x14ac:dyDescent="0.25">
      <c r="A37" s="14" t="s">
        <v>69</v>
      </c>
      <c r="B37" s="15">
        <f>B35/B10</f>
        <v>20042.049917289012</v>
      </c>
      <c r="C37" s="51">
        <f>C35/C10</f>
        <v>7581.5428236097032</v>
      </c>
      <c r="D37" s="51"/>
      <c r="E37" s="51"/>
      <c r="F37" s="51">
        <f>F35/F10</f>
        <v>14057.171635253677</v>
      </c>
      <c r="G37" s="51"/>
      <c r="H37" s="51"/>
      <c r="I37" s="51"/>
      <c r="J37" s="51"/>
      <c r="K37" s="15">
        <f>K35/K10</f>
        <v>53539.796814171081</v>
      </c>
      <c r="L37" s="15">
        <f>L35/L10</f>
        <v>54437.105855807073</v>
      </c>
    </row>
    <row r="38" spans="1:12" x14ac:dyDescent="0.25">
      <c r="A38" s="14" t="s">
        <v>107</v>
      </c>
      <c r="B38" s="15">
        <f>B36/B14</f>
        <v>23774.001093941602</v>
      </c>
      <c r="C38" s="51">
        <f>C36/C14</f>
        <v>18711.004581794616</v>
      </c>
      <c r="D38" s="51"/>
      <c r="E38" s="51"/>
      <c r="F38" s="51">
        <f>F36/F14</f>
        <v>14166.644263035214</v>
      </c>
      <c r="G38" s="51"/>
      <c r="H38" s="51"/>
      <c r="I38" s="51"/>
      <c r="J38" s="51"/>
      <c r="K38" s="35">
        <f>K36/K14</f>
        <v>55115.379991367903</v>
      </c>
      <c r="L38" s="35">
        <f>L36/L14</f>
        <v>50418.11871920777</v>
      </c>
    </row>
    <row r="39" spans="1:12" x14ac:dyDescent="0.25">
      <c r="I39" s="33"/>
      <c r="J39" s="33"/>
    </row>
    <row r="40" spans="1:12" x14ac:dyDescent="0.25">
      <c r="A40" s="2" t="s">
        <v>13</v>
      </c>
      <c r="I40" s="33"/>
      <c r="J40" s="33"/>
    </row>
    <row r="41" spans="1:12" x14ac:dyDescent="0.25">
      <c r="I41" s="33"/>
      <c r="J41" s="33"/>
    </row>
    <row r="42" spans="1:12" x14ac:dyDescent="0.25">
      <c r="A42" t="s">
        <v>14</v>
      </c>
      <c r="I42" s="33"/>
      <c r="J42" s="33"/>
    </row>
    <row r="43" spans="1:12" x14ac:dyDescent="0.25">
      <c r="A43" t="s">
        <v>15</v>
      </c>
      <c r="B43" s="18">
        <f>(B13/B32)*100</f>
        <v>115.72950360115581</v>
      </c>
      <c r="C43" s="18">
        <f t="shared" ref="C43:L43" si="5">(C13/C32)*100</f>
        <v>30.70944926036141</v>
      </c>
      <c r="D43" s="18">
        <f t="shared" si="5"/>
        <v>23.903911674645276</v>
      </c>
      <c r="E43" s="18">
        <f t="shared" si="5"/>
        <v>6.8055375857161344</v>
      </c>
      <c r="F43" s="18">
        <f t="shared" si="5"/>
        <v>121.32229266399276</v>
      </c>
      <c r="G43" s="18">
        <f t="shared" si="5"/>
        <v>91.82559192651054</v>
      </c>
      <c r="H43" s="18">
        <f t="shared" si="5"/>
        <v>3.8797602104627593</v>
      </c>
      <c r="I43" s="18">
        <f t="shared" si="5"/>
        <v>25.616940527019448</v>
      </c>
      <c r="J43" s="18">
        <f t="shared" si="5"/>
        <v>27.490404105748912</v>
      </c>
      <c r="K43" s="18">
        <f t="shared" si="5"/>
        <v>7.8147237676284123</v>
      </c>
      <c r="L43" s="18">
        <f t="shared" si="5"/>
        <v>3.4019062405658342</v>
      </c>
    </row>
    <row r="44" spans="1:12" x14ac:dyDescent="0.25">
      <c r="A44" t="s">
        <v>16</v>
      </c>
      <c r="B44" s="18">
        <f>(B15/B32)*100</f>
        <v>90.577478759649793</v>
      </c>
      <c r="C44" s="18">
        <f t="shared" ref="C44:L44" si="6">(C15/C32)*100</f>
        <v>23.453659378099797</v>
      </c>
      <c r="D44" s="18">
        <f t="shared" si="6"/>
        <v>17.135463837495148</v>
      </c>
      <c r="E44" s="18">
        <f t="shared" si="6"/>
        <v>6.3181955406046484</v>
      </c>
      <c r="F44" s="18">
        <f t="shared" si="6"/>
        <v>93.898305084745758</v>
      </c>
      <c r="G44" s="18">
        <f t="shared" si="6"/>
        <v>73.442014922154655</v>
      </c>
      <c r="H44" s="18">
        <f t="shared" si="6"/>
        <v>2.8076077112174929</v>
      </c>
      <c r="I44" s="18">
        <f t="shared" si="6"/>
        <v>17.648682451373617</v>
      </c>
      <c r="J44" s="18">
        <f t="shared" si="6"/>
        <v>21.93642989606245</v>
      </c>
      <c r="K44" s="18">
        <f t="shared" si="6"/>
        <v>9.308664337775479</v>
      </c>
      <c r="L44" s="18">
        <f t="shared" si="6"/>
        <v>1.1066545909345753</v>
      </c>
    </row>
    <row r="45" spans="1:12" x14ac:dyDescent="0.25">
      <c r="I45" s="33"/>
      <c r="J45" s="33"/>
    </row>
    <row r="46" spans="1:12" x14ac:dyDescent="0.25">
      <c r="A46" t="s">
        <v>17</v>
      </c>
      <c r="I46" s="33"/>
      <c r="J46" s="33"/>
    </row>
    <row r="47" spans="1:12" x14ac:dyDescent="0.25">
      <c r="A47" t="s">
        <v>18</v>
      </c>
      <c r="B47" s="16">
        <f>B14/B12*100</f>
        <v>91.128637552264692</v>
      </c>
      <c r="C47" s="16">
        <f t="shared" ref="C47:L47" si="7">C14/C12*100</f>
        <v>75.700724344265979</v>
      </c>
      <c r="D47" s="16">
        <f t="shared" si="7"/>
        <v>72.002516136090151</v>
      </c>
      <c r="E47" s="16">
        <f t="shared" si="7"/>
        <v>92.839036755386559</v>
      </c>
      <c r="F47" s="16">
        <f t="shared" si="7"/>
        <v>90.805872524972457</v>
      </c>
      <c r="G47" s="16">
        <f t="shared" si="7"/>
        <v>97.697683593529831</v>
      </c>
      <c r="H47" s="16">
        <f t="shared" si="7"/>
        <v>72.365495775900399</v>
      </c>
      <c r="I47" s="16">
        <f t="shared" si="7"/>
        <v>68.894575574935175</v>
      </c>
      <c r="J47" s="16">
        <f t="shared" si="7"/>
        <v>79.796680367732421</v>
      </c>
      <c r="K47" s="16">
        <f t="shared" si="7"/>
        <v>119.11699779249447</v>
      </c>
      <c r="L47" s="16">
        <f t="shared" si="7"/>
        <v>32.530425963488845</v>
      </c>
    </row>
    <row r="48" spans="1:12" x14ac:dyDescent="0.25">
      <c r="A48" t="s">
        <v>19</v>
      </c>
      <c r="B48" s="16">
        <f>B21/B20*100</f>
        <v>103.24182204795929</v>
      </c>
      <c r="C48" s="16">
        <f>C21/C20*100</f>
        <v>62.328182966516586</v>
      </c>
      <c r="D48" s="16"/>
      <c r="E48" s="16"/>
      <c r="F48" s="59">
        <f>F21/F20*100</f>
        <v>139.66162727506165</v>
      </c>
      <c r="G48" s="59"/>
      <c r="H48" s="59"/>
      <c r="I48" s="59"/>
      <c r="J48" s="59"/>
      <c r="K48" s="16">
        <f>K21/K20*100</f>
        <v>149.32079935708879</v>
      </c>
      <c r="L48" s="16">
        <f>L21/L20*100</f>
        <v>21.77096508431335</v>
      </c>
    </row>
    <row r="49" spans="1:12" x14ac:dyDescent="0.25">
      <c r="A49" s="14" t="s">
        <v>20</v>
      </c>
      <c r="B49" s="17">
        <f>AVERAGE(B47:B48)</f>
        <v>97.185229800111983</v>
      </c>
      <c r="C49" s="17">
        <f t="shared" ref="C49:L49" si="8">AVERAGE(C47:C48)</f>
        <v>69.014453655391279</v>
      </c>
      <c r="D49" s="17"/>
      <c r="E49" s="17"/>
      <c r="F49" s="60">
        <f>AVERAGE(F47:F48)</f>
        <v>115.23374990001705</v>
      </c>
      <c r="G49" s="60"/>
      <c r="H49" s="60"/>
      <c r="I49" s="60"/>
      <c r="J49" s="60"/>
      <c r="K49" s="17">
        <f t="shared" si="8"/>
        <v>134.21889857479164</v>
      </c>
      <c r="L49" s="17">
        <f t="shared" si="8"/>
        <v>27.150695523901099</v>
      </c>
    </row>
    <row r="50" spans="1:12" x14ac:dyDescent="0.25">
      <c r="B50" s="16"/>
      <c r="C50" s="16"/>
      <c r="D50" s="16"/>
      <c r="E50" s="16"/>
      <c r="F50" s="16"/>
      <c r="G50" s="16"/>
      <c r="H50" s="16"/>
      <c r="I50" s="16"/>
      <c r="J50" s="16"/>
      <c r="K50" s="16"/>
      <c r="L50" s="16"/>
    </row>
    <row r="51" spans="1:12" x14ac:dyDescent="0.25">
      <c r="A51" t="s">
        <v>21</v>
      </c>
    </row>
    <row r="52" spans="1:12" x14ac:dyDescent="0.25">
      <c r="A52" t="s">
        <v>22</v>
      </c>
      <c r="B52" s="16">
        <f>((B14/B16)*100)</f>
        <v>95.28453620306469</v>
      </c>
      <c r="C52" s="16">
        <f t="shared" ref="C52:L52" si="9">((C14/C16)*100)</f>
        <v>83.025757426231124</v>
      </c>
      <c r="D52" s="16">
        <f t="shared" si="9"/>
        <v>80.777491408934708</v>
      </c>
      <c r="E52" s="16">
        <f t="shared" si="9"/>
        <v>92.2544080604534</v>
      </c>
      <c r="F52" s="16">
        <f t="shared" si="9"/>
        <v>94.566668342448565</v>
      </c>
      <c r="G52" s="16">
        <f t="shared" si="9"/>
        <v>99.822443181818173</v>
      </c>
      <c r="H52" s="16">
        <f t="shared" si="9"/>
        <v>79.759862778730707</v>
      </c>
      <c r="I52" s="16">
        <f t="shared" si="9"/>
        <v>76.380274544923097</v>
      </c>
      <c r="J52" s="16">
        <f t="shared" si="9"/>
        <v>87.050933969717008</v>
      </c>
      <c r="K52" s="16">
        <f t="shared" si="9"/>
        <v>126.07476635514018</v>
      </c>
      <c r="L52" s="16">
        <f t="shared" si="9"/>
        <v>35.491009681881053</v>
      </c>
    </row>
    <row r="53" spans="1:12" x14ac:dyDescent="0.25">
      <c r="A53" t="s">
        <v>23</v>
      </c>
      <c r="B53" s="16">
        <f>B21/B22*100</f>
        <v>27.162518605654906</v>
      </c>
      <c r="C53" s="16">
        <f>C21/C22*100</f>
        <v>16.982398049474355</v>
      </c>
      <c r="D53" s="16"/>
      <c r="E53" s="16"/>
      <c r="F53" s="16">
        <f>F21/F22*100</f>
        <v>36.065949810565222</v>
      </c>
      <c r="G53" s="16"/>
      <c r="H53" s="16"/>
      <c r="I53" s="16"/>
      <c r="J53" s="16"/>
      <c r="K53" s="16">
        <f t="shared" ref="K53:L53" si="10">K21/K22*100</f>
        <v>37.330199839272197</v>
      </c>
      <c r="L53" s="16">
        <f t="shared" si="10"/>
        <v>5.9375359320854582</v>
      </c>
    </row>
    <row r="54" spans="1:12" x14ac:dyDescent="0.25">
      <c r="A54" t="s">
        <v>24</v>
      </c>
      <c r="B54" s="16">
        <f>(B52+B53)/2</f>
        <v>61.2235274043598</v>
      </c>
      <c r="C54" s="16">
        <f t="shared" ref="C54:L54" si="11">(C52+C53)/2</f>
        <v>50.004077737852739</v>
      </c>
      <c r="D54" s="16"/>
      <c r="E54" s="16"/>
      <c r="F54" s="16">
        <f t="shared" ref="F54" si="12">(F52+F53)/2</f>
        <v>65.316309076506897</v>
      </c>
      <c r="G54" s="16"/>
      <c r="H54" s="16"/>
      <c r="I54" s="16"/>
      <c r="J54" s="16"/>
      <c r="K54" s="16">
        <f t="shared" si="11"/>
        <v>81.702483097206198</v>
      </c>
      <c r="L54" s="16">
        <f t="shared" si="11"/>
        <v>20.714272806983256</v>
      </c>
    </row>
    <row r="55" spans="1:12" x14ac:dyDescent="0.25">
      <c r="B55" s="16"/>
      <c r="C55" s="16"/>
      <c r="D55" s="16"/>
      <c r="E55" s="16"/>
      <c r="F55" s="16"/>
      <c r="G55" s="16"/>
      <c r="H55" s="16"/>
      <c r="I55" s="16"/>
      <c r="J55" s="16"/>
      <c r="K55" s="16"/>
      <c r="L55" s="16"/>
    </row>
    <row r="56" spans="1:12" x14ac:dyDescent="0.25">
      <c r="A56" t="s">
        <v>40</v>
      </c>
    </row>
    <row r="57" spans="1:12" x14ac:dyDescent="0.25">
      <c r="A57" t="s">
        <v>25</v>
      </c>
      <c r="B57" s="16">
        <f>B23/B21*100</f>
        <v>100</v>
      </c>
      <c r="C57" s="16"/>
      <c r="D57" s="16"/>
      <c r="E57" s="16"/>
      <c r="F57" s="16"/>
      <c r="G57" s="16"/>
      <c r="H57" s="16"/>
      <c r="I57" s="16"/>
      <c r="J57" s="16"/>
      <c r="K57" s="16"/>
      <c r="L57" s="16"/>
    </row>
    <row r="59" spans="1:12" x14ac:dyDescent="0.25">
      <c r="A59" t="s">
        <v>26</v>
      </c>
    </row>
    <row r="60" spans="1:12" x14ac:dyDescent="0.25">
      <c r="A60" t="s">
        <v>27</v>
      </c>
      <c r="B60" s="16">
        <f>((B14/B10)-1)*100</f>
        <v>-0.70143537753577512</v>
      </c>
      <c r="C60" s="16">
        <f t="shared" ref="C60:L60" si="13">((C14/C10)-1)*100</f>
        <v>-18.805192298412386</v>
      </c>
      <c r="D60" s="16">
        <f t="shared" si="13"/>
        <v>-22.974673051229278</v>
      </c>
      <c r="E60" s="16">
        <f t="shared" si="13"/>
        <v>0.80737648515987193</v>
      </c>
      <c r="F60" s="16">
        <f t="shared" si="13"/>
        <v>2.1718610008959471</v>
      </c>
      <c r="G60" s="16">
        <f t="shared" si="13"/>
        <v>7.1408704609837725</v>
      </c>
      <c r="H60" s="16" t="e">
        <f t="shared" si="13"/>
        <v>#VALUE!</v>
      </c>
      <c r="I60" s="16">
        <f t="shared" si="13"/>
        <v>-26.749722550388434</v>
      </c>
      <c r="J60" s="16">
        <f t="shared" si="13"/>
        <v>11.990840635871237</v>
      </c>
      <c r="K60" s="16">
        <f t="shared" si="13"/>
        <v>33.185240034555093</v>
      </c>
      <c r="L60" s="16">
        <f t="shared" si="13"/>
        <v>-44.257784214337434</v>
      </c>
    </row>
    <row r="61" spans="1:12" x14ac:dyDescent="0.25">
      <c r="A61" t="s">
        <v>28</v>
      </c>
      <c r="B61" s="16">
        <f>((B36/B35)-1)*100</f>
        <v>17.788559239384362</v>
      </c>
      <c r="C61" s="16">
        <f t="shared" ref="C61:L61" si="14">((C36/C35)-1)*100</f>
        <v>100.38618184563704</v>
      </c>
      <c r="D61" s="16"/>
      <c r="E61" s="16"/>
      <c r="F61" s="16">
        <f t="shared" si="14"/>
        <v>2.967541839070198</v>
      </c>
      <c r="G61" s="16"/>
      <c r="H61" s="16"/>
      <c r="I61" s="16"/>
      <c r="J61" s="16"/>
      <c r="K61" s="16">
        <f t="shared" si="14"/>
        <v>37.104650195518275</v>
      </c>
      <c r="L61" s="16">
        <f t="shared" si="14"/>
        <v>-48.373125114375796</v>
      </c>
    </row>
    <row r="62" spans="1:12" x14ac:dyDescent="0.25">
      <c r="A62" s="14" t="s">
        <v>29</v>
      </c>
      <c r="B62" s="17">
        <f>((B38/B37)-1)*100</f>
        <v>18.620606135868734</v>
      </c>
      <c r="C62" s="17">
        <f t="shared" ref="C62:L62" si="15">((C38/C37)-1)*100</f>
        <v>146.79679343796127</v>
      </c>
      <c r="D62" s="17"/>
      <c r="E62" s="17"/>
      <c r="F62" s="17">
        <f t="shared" si="15"/>
        <v>0.77876709925766008</v>
      </c>
      <c r="G62" s="17"/>
      <c r="H62" s="17"/>
      <c r="I62" s="17"/>
      <c r="J62" s="17"/>
      <c r="K62" s="17">
        <f t="shared" si="15"/>
        <v>2.942826217038963</v>
      </c>
      <c r="L62" s="17">
        <f t="shared" si="15"/>
        <v>-7.3828082397414558</v>
      </c>
    </row>
    <row r="63" spans="1:12" x14ac:dyDescent="0.25">
      <c r="B63" s="18"/>
      <c r="C63" s="18"/>
      <c r="D63" s="18"/>
      <c r="E63" s="18"/>
      <c r="F63" s="18"/>
      <c r="G63" s="18"/>
      <c r="H63" s="18"/>
      <c r="I63" s="18"/>
      <c r="J63" s="18"/>
      <c r="K63" s="18"/>
      <c r="L63" s="18"/>
    </row>
    <row r="64" spans="1:12" x14ac:dyDescent="0.25">
      <c r="A64" t="s">
        <v>30</v>
      </c>
    </row>
    <row r="65" spans="1:12" x14ac:dyDescent="0.25">
      <c r="A65" t="s">
        <v>46</v>
      </c>
      <c r="B65" s="4">
        <f>B20/(B12*3)</f>
        <v>11318.6477604844</v>
      </c>
      <c r="C65" s="4">
        <f>C20/(C12*3)</f>
        <v>12257.607864309173</v>
      </c>
      <c r="D65" s="4"/>
      <c r="E65" s="4"/>
      <c r="F65" s="4">
        <f t="shared" ref="F65" si="16">F20/(F12*3)</f>
        <v>4968.174896022183</v>
      </c>
      <c r="G65" s="4"/>
      <c r="H65" s="41"/>
      <c r="I65" s="41"/>
      <c r="J65" s="41"/>
      <c r="K65" s="4">
        <f>K20/(K12*3)</f>
        <v>23714.790286975716</v>
      </c>
      <c r="L65" s="4">
        <f>L20/(L12*3)</f>
        <v>40634.203853955376</v>
      </c>
    </row>
    <row r="66" spans="1:12" x14ac:dyDescent="0.25">
      <c r="A66" t="s">
        <v>47</v>
      </c>
      <c r="B66" s="4">
        <f>B21/(B14*3)</f>
        <v>12823.167878936682</v>
      </c>
      <c r="C66" s="4">
        <f>C21/(C14*3)</f>
        <v>10092.300071318197</v>
      </c>
      <c r="D66" s="4"/>
      <c r="E66" s="45"/>
      <c r="F66" s="4">
        <f>F21/(F14*3)</f>
        <v>7641.1731011642387</v>
      </c>
      <c r="G66" s="41"/>
      <c r="H66" s="41"/>
      <c r="I66" s="41"/>
      <c r="J66" s="41"/>
      <c r="K66" s="4">
        <f>K21/(K14*3)</f>
        <v>29728.011181121819</v>
      </c>
      <c r="L66" s="4">
        <f>L21/(L14*3)</f>
        <v>27194.412834502469</v>
      </c>
    </row>
    <row r="67" spans="1:12" x14ac:dyDescent="0.25">
      <c r="A67" s="14" t="s">
        <v>33</v>
      </c>
      <c r="B67" s="17">
        <f>(B65/B66)*B49</f>
        <v>85.78265480217776</v>
      </c>
      <c r="C67" s="17">
        <f>(C65/C66)*C49</f>
        <v>83.82153759790377</v>
      </c>
      <c r="D67" s="17"/>
      <c r="E67" s="17"/>
      <c r="F67" s="17">
        <f t="shared" ref="F67" si="17">(F65/F66)*F49</f>
        <v>74.923237027641065</v>
      </c>
      <c r="G67" s="60"/>
      <c r="H67" s="60"/>
      <c r="I67" s="60"/>
      <c r="J67" s="60"/>
      <c r="K67" s="17">
        <f>(K65/K66)*K49</f>
        <v>107.06982760660864</v>
      </c>
      <c r="L67" s="17">
        <f>(L65/L66)*L49</f>
        <v>40.568880946572392</v>
      </c>
    </row>
    <row r="68" spans="1:12" x14ac:dyDescent="0.25">
      <c r="A68" t="s">
        <v>39</v>
      </c>
      <c r="B68" s="31">
        <f>B20/B12</f>
        <v>33955.943281453205</v>
      </c>
      <c r="C68" s="31">
        <f>C20/C12</f>
        <v>36772.823592927518</v>
      </c>
      <c r="D68" s="31"/>
      <c r="E68" s="31"/>
      <c r="F68" s="31">
        <f t="shared" ref="F68" si="18">F20/F12</f>
        <v>14904.524688066549</v>
      </c>
      <c r="G68" s="61"/>
      <c r="H68" s="61"/>
      <c r="I68" s="61"/>
      <c r="J68" s="61"/>
      <c r="K68" s="31">
        <f t="shared" ref="K68:L68" si="19">K20/K12</f>
        <v>71144.370860927156</v>
      </c>
      <c r="L68" s="31">
        <f t="shared" si="19"/>
        <v>121902.61156186613</v>
      </c>
    </row>
    <row r="69" spans="1:12" x14ac:dyDescent="0.25">
      <c r="A69" t="s">
        <v>38</v>
      </c>
      <c r="B69" s="18">
        <f>B21/B14</f>
        <v>38469.503636810041</v>
      </c>
      <c r="C69" s="18">
        <f>C21/C14</f>
        <v>30276.900213954596</v>
      </c>
      <c r="D69" s="18"/>
      <c r="E69" s="18"/>
      <c r="F69" s="18">
        <f t="shared" ref="F69" si="20">F21/F14</f>
        <v>22923.519303492714</v>
      </c>
      <c r="G69" s="61"/>
      <c r="H69" s="61"/>
      <c r="I69" s="61"/>
      <c r="J69" s="61"/>
      <c r="K69" s="31">
        <f>K21/K14</f>
        <v>89184.033543365455</v>
      </c>
      <c r="L69" s="31">
        <f>L21/L14</f>
        <v>81583.238503507411</v>
      </c>
    </row>
    <row r="70" spans="1:12" x14ac:dyDescent="0.25">
      <c r="B70" s="16"/>
      <c r="C70" s="16"/>
      <c r="D70" s="16"/>
      <c r="E70" s="16"/>
      <c r="F70" s="16"/>
      <c r="G70" s="16"/>
      <c r="H70" s="16"/>
      <c r="I70" s="18"/>
      <c r="J70" s="18"/>
      <c r="K70" s="16"/>
      <c r="L70" s="16"/>
    </row>
    <row r="71" spans="1:12" x14ac:dyDescent="0.25">
      <c r="A71" t="s">
        <v>34</v>
      </c>
      <c r="B71" s="16"/>
      <c r="C71" s="16"/>
      <c r="D71" s="16"/>
      <c r="E71" s="16"/>
      <c r="F71" s="16"/>
      <c r="G71" s="16"/>
      <c r="H71" s="16"/>
      <c r="I71" s="18"/>
      <c r="J71" s="18"/>
      <c r="K71" s="16"/>
      <c r="L71" s="16"/>
    </row>
    <row r="72" spans="1:12" x14ac:dyDescent="0.25">
      <c r="A72" s="19" t="s">
        <v>35</v>
      </c>
      <c r="B72" s="20">
        <f>(B27/B26)*100</f>
        <v>76.899673678097159</v>
      </c>
      <c r="C72" s="20"/>
      <c r="D72" s="20"/>
      <c r="E72" s="20"/>
      <c r="F72" s="20"/>
      <c r="G72" s="20"/>
      <c r="H72" s="20"/>
      <c r="I72" s="20"/>
      <c r="J72" s="20"/>
      <c r="K72" s="20"/>
      <c r="L72" s="20"/>
    </row>
    <row r="73" spans="1:12" x14ac:dyDescent="0.25">
      <c r="A73" s="19" t="s">
        <v>36</v>
      </c>
      <c r="B73" s="20">
        <f>(B21/B27)*100</f>
        <v>134.25521476219865</v>
      </c>
      <c r="C73" s="20"/>
      <c r="D73" s="20"/>
      <c r="E73" s="20"/>
      <c r="F73" s="20"/>
      <c r="G73" s="20"/>
      <c r="H73" s="20"/>
      <c r="I73" s="20"/>
      <c r="J73" s="20"/>
      <c r="K73" s="20"/>
      <c r="L73" s="20"/>
    </row>
    <row r="74" spans="1:12" ht="15.75" thickBot="1" x14ac:dyDescent="0.3">
      <c r="A74" s="21"/>
      <c r="B74" s="21"/>
      <c r="C74" s="21"/>
      <c r="D74" s="21"/>
      <c r="E74" s="21"/>
      <c r="F74" s="21"/>
      <c r="G74" s="21"/>
      <c r="H74" s="21"/>
      <c r="I74" s="50"/>
      <c r="J74" s="50"/>
      <c r="K74" s="21"/>
      <c r="L74" s="21"/>
    </row>
    <row r="75" spans="1:12" ht="15.75" thickTop="1" x14ac:dyDescent="0.25">
      <c r="A75" s="34" t="s">
        <v>123</v>
      </c>
    </row>
    <row r="76" spans="1:12" x14ac:dyDescent="0.25">
      <c r="A76" t="s">
        <v>126</v>
      </c>
    </row>
    <row r="77" spans="1:12" x14ac:dyDescent="0.25">
      <c r="A77" t="s">
        <v>127</v>
      </c>
    </row>
    <row r="78" spans="1:12" x14ac:dyDescent="0.25">
      <c r="A78" t="s">
        <v>128</v>
      </c>
      <c r="B78" s="22"/>
      <c r="C78" s="22"/>
      <c r="D78" s="22"/>
      <c r="E78" s="22"/>
      <c r="F78" s="22"/>
      <c r="G78" s="22"/>
      <c r="H78" s="22"/>
      <c r="I78" s="22"/>
      <c r="J78" s="22"/>
    </row>
    <row r="80" spans="1:12" x14ac:dyDescent="0.25">
      <c r="A80" t="s">
        <v>43</v>
      </c>
    </row>
    <row r="81" spans="1:1" x14ac:dyDescent="0.25">
      <c r="A81" t="s">
        <v>53</v>
      </c>
    </row>
    <row r="82" spans="1:1" x14ac:dyDescent="0.25">
      <c r="A82" t="s">
        <v>129</v>
      </c>
    </row>
    <row r="83" spans="1:1" x14ac:dyDescent="0.25">
      <c r="A83" t="s">
        <v>50</v>
      </c>
    </row>
    <row r="84" spans="1:1" x14ac:dyDescent="0.25">
      <c r="A84" t="s">
        <v>125</v>
      </c>
    </row>
    <row r="86" spans="1:1" x14ac:dyDescent="0.25">
      <c r="A86" t="s">
        <v>124</v>
      </c>
    </row>
    <row r="87" spans="1:1" x14ac:dyDescent="0.25">
      <c r="A87" s="43">
        <v>41865</v>
      </c>
    </row>
  </sheetData>
  <mergeCells count="6">
    <mergeCell ref="G34:J34"/>
    <mergeCell ref="A2:K2"/>
    <mergeCell ref="A4:A5"/>
    <mergeCell ref="D5:E5"/>
    <mergeCell ref="G5:H5"/>
    <mergeCell ref="D4:L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7"/>
  <sheetViews>
    <sheetView zoomScale="60" zoomScaleNormal="60" workbookViewId="0">
      <selection activeCell="B22" sqref="B22"/>
    </sheetView>
  </sheetViews>
  <sheetFormatPr baseColWidth="10" defaultColWidth="11.42578125" defaultRowHeight="15" x14ac:dyDescent="0.25"/>
  <cols>
    <col min="1" max="1" width="55.140625" customWidth="1"/>
    <col min="2" max="3" width="26.7109375" customWidth="1"/>
    <col min="4" max="6" width="16.5703125" customWidth="1"/>
    <col min="7" max="7" width="16.140625" customWidth="1"/>
    <col min="8" max="10" width="17.42578125" customWidth="1"/>
    <col min="11" max="11" width="24.5703125" customWidth="1"/>
    <col min="12" max="12" width="16.42578125" customWidth="1"/>
  </cols>
  <sheetData>
    <row r="1" spans="1:12" x14ac:dyDescent="0.25">
      <c r="G1" s="39"/>
      <c r="H1" s="39"/>
      <c r="I1" s="33"/>
      <c r="J1" s="33"/>
    </row>
    <row r="2" spans="1:12" ht="15.75" x14ac:dyDescent="0.25">
      <c r="A2" s="67" t="s">
        <v>108</v>
      </c>
      <c r="B2" s="67"/>
      <c r="C2" s="67"/>
      <c r="D2" s="67"/>
      <c r="E2" s="67"/>
      <c r="F2" s="67"/>
      <c r="G2" s="67"/>
      <c r="H2" s="67"/>
      <c r="I2" s="67"/>
      <c r="J2" s="67"/>
      <c r="K2" s="67"/>
    </row>
    <row r="4" spans="1:12" x14ac:dyDescent="0.25">
      <c r="A4" s="65" t="s">
        <v>0</v>
      </c>
      <c r="B4" s="26" t="s">
        <v>1</v>
      </c>
      <c r="C4" s="26"/>
      <c r="D4" s="69" t="s">
        <v>2</v>
      </c>
      <c r="E4" s="69"/>
      <c r="F4" s="69"/>
      <c r="G4" s="69"/>
      <c r="H4" s="69"/>
      <c r="I4" s="69"/>
      <c r="J4" s="69"/>
      <c r="K4" s="69"/>
      <c r="L4" s="69"/>
    </row>
    <row r="5" spans="1:12" ht="15.75" thickBot="1" x14ac:dyDescent="0.3">
      <c r="A5" s="66"/>
      <c r="B5" s="1" t="s">
        <v>3</v>
      </c>
      <c r="C5" s="58" t="s">
        <v>130</v>
      </c>
      <c r="D5" s="68" t="s">
        <v>4</v>
      </c>
      <c r="E5" s="68"/>
      <c r="F5" s="58" t="s">
        <v>131</v>
      </c>
      <c r="G5" s="68" t="s">
        <v>52</v>
      </c>
      <c r="H5" s="68"/>
      <c r="I5" s="49"/>
      <c r="J5" s="49"/>
      <c r="K5" s="1" t="s">
        <v>5</v>
      </c>
      <c r="L5" s="21" t="s">
        <v>51</v>
      </c>
    </row>
    <row r="6" spans="1:12" ht="15.75" thickTop="1" x14ac:dyDescent="0.25">
      <c r="B6" s="37" t="s">
        <v>1</v>
      </c>
      <c r="D6" s="37" t="s">
        <v>48</v>
      </c>
      <c r="E6" s="37" t="s">
        <v>49</v>
      </c>
      <c r="F6" s="37"/>
      <c r="G6" s="37">
        <v>1600</v>
      </c>
      <c r="H6" s="37">
        <v>1000</v>
      </c>
      <c r="I6" s="48">
        <v>700</v>
      </c>
      <c r="J6" s="48">
        <v>800</v>
      </c>
      <c r="K6" s="37" t="s">
        <v>5</v>
      </c>
    </row>
    <row r="7" spans="1:12" x14ac:dyDescent="0.25">
      <c r="A7" s="2" t="s">
        <v>6</v>
      </c>
      <c r="I7" s="33"/>
      <c r="J7" s="33"/>
    </row>
    <row r="8" spans="1:12" x14ac:dyDescent="0.25">
      <c r="I8" s="33"/>
      <c r="J8" s="33"/>
    </row>
    <row r="9" spans="1:12" x14ac:dyDescent="0.25">
      <c r="A9" t="s">
        <v>7</v>
      </c>
      <c r="I9" s="33"/>
      <c r="J9" s="33"/>
    </row>
    <row r="10" spans="1:12" x14ac:dyDescent="0.25">
      <c r="A10" s="3" t="s">
        <v>70</v>
      </c>
      <c r="B10" s="25">
        <f>+D10+G10</f>
        <v>119944.5</v>
      </c>
      <c r="C10" s="25">
        <f>(+'I Trimestre'!C10+'II Trimestre'!C10)/2</f>
        <v>36256.166666666664</v>
      </c>
      <c r="D10" s="25">
        <f>(+'I Trimestre'!D10+'II Trimestre'!D10)/2</f>
        <v>29977.166666666668</v>
      </c>
      <c r="E10" s="25">
        <f>(+'I Trimestre'!E10+'II Trimestre'!E10)/2</f>
        <v>6279</v>
      </c>
      <c r="F10" s="25">
        <f>G10+I10</f>
        <v>114869.33333333333</v>
      </c>
      <c r="G10" s="25">
        <f>(+'I Trimestre'!G10+'II Trimestre'!G10)/2</f>
        <v>89967.333333333328</v>
      </c>
      <c r="H10" s="25" t="s">
        <v>78</v>
      </c>
      <c r="I10" s="38">
        <f>(+'I Trimestre'!I10+'II Trimestre'!I10)/2</f>
        <v>24902</v>
      </c>
      <c r="J10" s="38">
        <f>(+'I Trimestre'!J10+'II Trimestre'!J10)/2</f>
        <v>17889</v>
      </c>
      <c r="K10" s="25">
        <f>(+'I Trimestre'!K10+'II Trimestre'!K10)/2</f>
        <v>4109.166666666667</v>
      </c>
      <c r="L10" s="25">
        <f>(+'I Trimestre'!L10+'II Trimestre'!L10)/2</f>
        <v>674.33333333333337</v>
      </c>
    </row>
    <row r="11" spans="1:12" x14ac:dyDescent="0.25">
      <c r="A11" s="28" t="s">
        <v>37</v>
      </c>
      <c r="B11" s="25">
        <f t="shared" ref="B11:B16" si="0">+D11+G11</f>
        <v>102020.5</v>
      </c>
      <c r="C11" s="25">
        <f>(+'I Trimestre'!C11+'II Trimestre'!C11)/2</f>
        <v>31019.166666666668</v>
      </c>
      <c r="D11" s="25">
        <f>(+'I Trimestre'!D11+'II Trimestre'!D11)/2</f>
        <v>24740.166666666668</v>
      </c>
      <c r="E11" s="25">
        <f>(+'I Trimestre'!E11+'II Trimestre'!E11)/2</f>
        <v>6279</v>
      </c>
      <c r="F11" s="25">
        <f>G11+I11</f>
        <v>102182.33333333333</v>
      </c>
      <c r="G11" s="25">
        <f>(+'I Trimestre'!G11+'II Trimestre'!G11)/2</f>
        <v>77280.333333333328</v>
      </c>
      <c r="H11" s="25" t="s">
        <v>78</v>
      </c>
      <c r="I11" s="38">
        <f>(+'I Trimestre'!I11+'II Trimestre'!I11)/2</f>
        <v>24902</v>
      </c>
      <c r="J11" s="38">
        <f>(+'I Trimestre'!J11+'II Trimestre'!J11)/2</f>
        <v>17889</v>
      </c>
      <c r="K11" s="25">
        <f>(+'I Trimestre'!K11+'II Trimestre'!K11)/2</f>
        <v>4109.166666666667</v>
      </c>
      <c r="L11" s="25">
        <f>(+'I Trimestre'!L11+'II Trimestre'!L11)/2</f>
        <v>674.33333333333337</v>
      </c>
    </row>
    <row r="12" spans="1:12" x14ac:dyDescent="0.25">
      <c r="A12" s="3" t="s">
        <v>109</v>
      </c>
      <c r="B12" s="25">
        <f t="shared" si="0"/>
        <v>133536.5</v>
      </c>
      <c r="C12" s="25">
        <f>(+'I Trimestre'!C12+'II Trimestre'!C12)/2</f>
        <v>39050.5</v>
      </c>
      <c r="D12" s="25">
        <f>(+'I Trimestre'!D12+'II Trimestre'!D12)/2</f>
        <v>31110.5</v>
      </c>
      <c r="E12" s="25">
        <f>(+'I Trimestre'!E12+'II Trimestre'!E12)/2</f>
        <v>7940</v>
      </c>
      <c r="F12" s="25">
        <f>SUM(G12:I12)</f>
        <v>131654.5</v>
      </c>
      <c r="G12" s="25">
        <f>(+'I Trimestre'!G12+'II Trimestre'!G12)/2</f>
        <v>102426</v>
      </c>
      <c r="H12" s="25">
        <f>(+'I Trimestre'!H12+'II Trimestre'!H12)/2</f>
        <v>3895.5</v>
      </c>
      <c r="I12" s="38">
        <f>(+'I Trimestre'!I12+'II Trimestre'!I12)/2</f>
        <v>25333</v>
      </c>
      <c r="J12" s="38">
        <f>(+'I Trimestre'!J12+'II Trimestre'!J12)/2</f>
        <v>27887</v>
      </c>
      <c r="K12" s="25">
        <f>(+'I Trimestre'!K12+'II Trimestre'!K12)/2</f>
        <v>8560</v>
      </c>
      <c r="L12" s="25">
        <f>(+'I Trimestre'!L12+'II Trimestre'!L12)/2</f>
        <v>3286.5</v>
      </c>
    </row>
    <row r="13" spans="1:12" x14ac:dyDescent="0.25">
      <c r="A13" s="28" t="s">
        <v>37</v>
      </c>
      <c r="B13" s="25">
        <f t="shared" si="0"/>
        <v>127563</v>
      </c>
      <c r="C13" s="25">
        <f>(+'I Trimestre'!C13+'II Trimestre'!C13)/2</f>
        <v>33077</v>
      </c>
      <c r="D13" s="25">
        <f>(+'I Trimestre'!D13+'II Trimestre'!D13)/2</f>
        <v>25137</v>
      </c>
      <c r="E13" s="25">
        <f>(+'I Trimestre'!E13+'II Trimestre'!E13)/2</f>
        <v>7940</v>
      </c>
      <c r="F13" s="25">
        <f t="shared" ref="F13:F16" si="1">SUM(G13:I13)</f>
        <v>131654.5</v>
      </c>
      <c r="G13" s="25">
        <f>(+'I Trimestre'!G13+'II Trimestre'!G13)/2</f>
        <v>102426</v>
      </c>
      <c r="H13" s="25">
        <f>(+'I Trimestre'!H13+'II Trimestre'!H13)/2</f>
        <v>3895.5</v>
      </c>
      <c r="I13" s="38">
        <f>(+'I Trimestre'!I13+'II Trimestre'!I13)/2</f>
        <v>25333</v>
      </c>
      <c r="J13" s="38">
        <f>(+'I Trimestre'!J13+'II Trimestre'!J13)/2</f>
        <v>27887</v>
      </c>
      <c r="K13" s="25">
        <f>(+'I Trimestre'!K13+'II Trimestre'!K13)/2</f>
        <v>8560</v>
      </c>
      <c r="L13" s="25">
        <f>(+'I Trimestre'!L13+'II Trimestre'!L13)/2</f>
        <v>3286.5</v>
      </c>
    </row>
    <row r="14" spans="1:12" x14ac:dyDescent="0.25">
      <c r="A14" s="3" t="s">
        <v>110</v>
      </c>
      <c r="B14" s="25">
        <f t="shared" si="0"/>
        <v>120548.33333333334</v>
      </c>
      <c r="C14" s="25">
        <f>(+'I Trimestre'!C14+'II Trimestre'!C14)/2</f>
        <v>26309</v>
      </c>
      <c r="D14" s="25">
        <f>(+'I Trimestre'!D14+'II Trimestre'!D14)/2</f>
        <v>22880.333333333336</v>
      </c>
      <c r="E14" s="25">
        <f>(+'I Trimestre'!E14+'II Trimestre'!E14)/2</f>
        <v>3428.6666666666665</v>
      </c>
      <c r="F14" s="25">
        <f t="shared" si="1"/>
        <v>118197.5</v>
      </c>
      <c r="G14" s="25">
        <f>(+'I Trimestre'!G14+'II Trimestre'!G14)/2</f>
        <v>97668</v>
      </c>
      <c r="H14" s="25">
        <f>(+'I Trimestre'!H14+'II Trimestre'!H14)/2</f>
        <v>2998.5</v>
      </c>
      <c r="I14" s="38">
        <f>(+'I Trimestre'!I14+'II Trimestre'!I14)/2</f>
        <v>17531</v>
      </c>
      <c r="J14" s="38">
        <f>(+'I Trimestre'!J14+'II Trimestre'!J14)/2</f>
        <v>22106.5</v>
      </c>
      <c r="K14" s="25">
        <f>(+'I Trimestre'!K14+'II Trimestre'!K14)/2</f>
        <v>4765.166666666667</v>
      </c>
      <c r="L14" s="25">
        <f>(+'I Trimestre'!L14+'II Trimestre'!L14)/2</f>
        <v>562.5</v>
      </c>
    </row>
    <row r="15" spans="1:12" x14ac:dyDescent="0.25">
      <c r="A15" s="28" t="s">
        <v>37</v>
      </c>
      <c r="B15" s="25">
        <f t="shared" si="0"/>
        <v>99582</v>
      </c>
      <c r="C15" s="25">
        <f>(+'I Trimestre'!C15+'II Trimestre'!C15)/2</f>
        <v>20948.166666666668</v>
      </c>
      <c r="D15" s="25">
        <f>(+'I Trimestre'!D15+'II Trimestre'!D15)/2</f>
        <v>17519.5</v>
      </c>
      <c r="E15" s="25">
        <f>(+'I Trimestre'!E15+'II Trimestre'!E15)/2</f>
        <v>3428.6666666666665</v>
      </c>
      <c r="F15" s="25">
        <f t="shared" si="1"/>
        <v>102592</v>
      </c>
      <c r="G15" s="25">
        <f>(+'I Trimestre'!G15+'II Trimestre'!G15)/2</f>
        <v>82062.5</v>
      </c>
      <c r="H15" s="25">
        <f>(+'I Trimestre'!H15+'II Trimestre'!H15)/2</f>
        <v>2998.5</v>
      </c>
      <c r="I15" s="38">
        <f>(+'I Trimestre'!I15+'II Trimestre'!I15)/2</f>
        <v>17531</v>
      </c>
      <c r="J15" s="38">
        <f>(+'I Trimestre'!J15+'II Trimestre'!J15)/2</f>
        <v>22106.5</v>
      </c>
      <c r="K15" s="25">
        <f>(+'I Trimestre'!K15+'II Trimestre'!K15)/2</f>
        <v>4765.166666666667</v>
      </c>
      <c r="L15" s="25">
        <f>(+'I Trimestre'!L15+'II Trimestre'!L15)/2</f>
        <v>562.5</v>
      </c>
    </row>
    <row r="16" spans="1:12" x14ac:dyDescent="0.25">
      <c r="A16" s="3" t="s">
        <v>82</v>
      </c>
      <c r="B16" s="25">
        <f t="shared" si="0"/>
        <v>136784</v>
      </c>
      <c r="C16" s="4">
        <f>+'II Trimestre'!C16</f>
        <v>40532</v>
      </c>
      <c r="D16" s="4">
        <f>+'II Trimestre'!D16</f>
        <v>32592</v>
      </c>
      <c r="E16" s="4">
        <f>+'II Trimestre'!E16</f>
        <v>7940</v>
      </c>
      <c r="F16" s="25">
        <f t="shared" si="1"/>
        <v>135061.33000000002</v>
      </c>
      <c r="G16" s="4">
        <f>+'II Trimestre'!G16</f>
        <v>104192</v>
      </c>
      <c r="H16" s="4">
        <f>+'II Trimestre'!H16</f>
        <v>4081</v>
      </c>
      <c r="I16" s="38">
        <f>'II Trimestre'!I16</f>
        <v>26788.33</v>
      </c>
      <c r="J16" s="38">
        <f>'II Trimestre'!J16</f>
        <v>29215.08</v>
      </c>
      <c r="K16" s="4">
        <f>+'II Trimestre'!K16</f>
        <v>8560</v>
      </c>
      <c r="L16" s="4">
        <f>+'II Trimestre'!L16</f>
        <v>3615</v>
      </c>
    </row>
    <row r="17" spans="1:12" x14ac:dyDescent="0.25">
      <c r="B17" s="23"/>
      <c r="C17" s="23"/>
      <c r="D17" s="23"/>
      <c r="E17" s="23"/>
      <c r="F17" s="23"/>
      <c r="G17" s="23"/>
      <c r="H17" s="23"/>
      <c r="I17" s="46"/>
      <c r="J17" s="46"/>
      <c r="K17" s="23"/>
    </row>
    <row r="18" spans="1:12" x14ac:dyDescent="0.25">
      <c r="A18" s="6" t="s">
        <v>8</v>
      </c>
      <c r="B18" s="23"/>
      <c r="C18" s="23"/>
      <c r="D18" s="23"/>
      <c r="E18" s="23"/>
      <c r="F18" s="23"/>
      <c r="G18" s="23"/>
      <c r="H18" s="23"/>
      <c r="I18" s="46"/>
      <c r="J18" s="46"/>
      <c r="K18" s="23"/>
    </row>
    <row r="19" spans="1:12" x14ac:dyDescent="0.25">
      <c r="A19" s="3" t="s">
        <v>70</v>
      </c>
      <c r="B19" s="25">
        <f>C19+F19+K19+L19</f>
        <v>5027249307</v>
      </c>
      <c r="C19" s="25">
        <f>+'I Trimestre'!C19+'II Trimestre'!C19</f>
        <v>2430200559</v>
      </c>
      <c r="D19" s="41"/>
      <c r="E19" s="41"/>
      <c r="F19" s="55">
        <f>+'I Trimestre'!F19+'II Trimestre'!F19</f>
        <v>2428894368</v>
      </c>
      <c r="G19" s="41"/>
      <c r="H19" s="41"/>
      <c r="I19" s="41"/>
      <c r="J19" s="41"/>
      <c r="K19" s="25">
        <f>+'I Trimestre'!K19+'II Trimestre'!K19</f>
        <v>38255260</v>
      </c>
      <c r="L19" s="25">
        <f>+'I Trimestre'!L19+'II Trimestre'!L19</f>
        <v>129899120</v>
      </c>
    </row>
    <row r="20" spans="1:12" x14ac:dyDescent="0.25">
      <c r="A20" s="62" t="s">
        <v>109</v>
      </c>
      <c r="B20" s="25">
        <f t="shared" ref="B20:B23" si="2">C20+F20+K20+L20</f>
        <v>8920627184</v>
      </c>
      <c r="C20" s="25">
        <f>+'I Trimestre'!C20+'II Trimestre'!C20</f>
        <v>2864982900</v>
      </c>
      <c r="D20" s="41"/>
      <c r="E20" s="41"/>
      <c r="F20" s="56">
        <f>+'I Trimestre'!F20+'II Trimestre'!F20</f>
        <v>3965201784</v>
      </c>
      <c r="G20" s="41"/>
      <c r="H20" s="41"/>
      <c r="I20" s="41"/>
      <c r="J20" s="41"/>
      <c r="K20" s="25">
        <f>+'I Trimestre'!K20+'II Trimestre'!K20</f>
        <v>1289136000</v>
      </c>
      <c r="L20" s="25">
        <f>+'I Trimestre'!L20+'II Trimestre'!L20</f>
        <v>801306500</v>
      </c>
    </row>
    <row r="21" spans="1:12" x14ac:dyDescent="0.25">
      <c r="A21" s="3" t="s">
        <v>110</v>
      </c>
      <c r="B21" s="38">
        <f t="shared" si="2"/>
        <v>5707875725</v>
      </c>
      <c r="C21" s="25">
        <f>+'I Trimestre'!C21+'II Trimestre'!C21</f>
        <v>2072896848</v>
      </c>
      <c r="D21" s="41"/>
      <c r="E21" s="41"/>
      <c r="F21" s="56">
        <f>+'I Trimestre'!F21+'II Trimestre'!F21</f>
        <v>2496351350</v>
      </c>
      <c r="G21" s="41"/>
      <c r="H21" s="41"/>
      <c r="I21" s="41"/>
      <c r="J21" s="41"/>
      <c r="K21" s="25">
        <f>+'I Trimestre'!K21+'II Trimestre'!K21</f>
        <v>1041345813</v>
      </c>
      <c r="L21" s="25">
        <f>+'I Trimestre'!L21+'II Trimestre'!L21</f>
        <v>97281714</v>
      </c>
    </row>
    <row r="22" spans="1:12" x14ac:dyDescent="0.25">
      <c r="A22" s="3" t="s">
        <v>82</v>
      </c>
      <c r="B22" s="25">
        <f t="shared" si="2"/>
        <v>18458834248</v>
      </c>
      <c r="C22" s="25">
        <f>+'II Trimestre'!C22</f>
        <v>5999613500</v>
      </c>
      <c r="D22" s="41"/>
      <c r="E22" s="41"/>
      <c r="F22" s="56">
        <f>+'II Trimestre'!F22</f>
        <v>8118074448</v>
      </c>
      <c r="G22" s="41"/>
      <c r="H22" s="41"/>
      <c r="I22" s="41"/>
      <c r="J22" s="41"/>
      <c r="K22" s="25">
        <f>+'II Trimestre'!K22</f>
        <v>2578272000</v>
      </c>
      <c r="L22" s="25">
        <f>+'II Trimestre'!L22</f>
        <v>1762874300</v>
      </c>
    </row>
    <row r="23" spans="1:12" x14ac:dyDescent="0.25">
      <c r="A23" s="3" t="s">
        <v>111</v>
      </c>
      <c r="B23" s="25">
        <f t="shared" si="2"/>
        <v>5707875725</v>
      </c>
      <c r="C23" s="4">
        <f>C21</f>
        <v>2072896848</v>
      </c>
      <c r="D23" s="41"/>
      <c r="E23" s="41"/>
      <c r="F23" s="41">
        <f>F21</f>
        <v>2496351350</v>
      </c>
      <c r="G23" s="41"/>
      <c r="H23" s="41"/>
      <c r="I23" s="41"/>
      <c r="J23" s="41"/>
      <c r="K23" s="4">
        <f>K21</f>
        <v>1041345813</v>
      </c>
      <c r="L23" s="4">
        <f>L21</f>
        <v>97281714</v>
      </c>
    </row>
    <row r="24" spans="1:12" x14ac:dyDescent="0.25">
      <c r="B24" s="23"/>
      <c r="C24" s="23"/>
      <c r="D24" s="23"/>
      <c r="E24" s="23"/>
      <c r="F24" s="23"/>
      <c r="G24" s="23"/>
      <c r="H24" s="23"/>
      <c r="I24" s="46"/>
      <c r="J24" s="46"/>
      <c r="K24" s="23"/>
    </row>
    <row r="25" spans="1:12" x14ac:dyDescent="0.25">
      <c r="A25" s="7" t="s">
        <v>9</v>
      </c>
      <c r="B25" s="24"/>
      <c r="C25" s="24"/>
      <c r="D25" s="24"/>
      <c r="E25" s="24"/>
      <c r="F25" s="24"/>
      <c r="G25" s="24"/>
      <c r="H25" s="24"/>
      <c r="I25" s="24"/>
      <c r="J25" s="24"/>
      <c r="K25" s="24"/>
      <c r="L25" s="24"/>
    </row>
    <row r="26" spans="1:12" x14ac:dyDescent="0.25">
      <c r="A26" s="9" t="s">
        <v>109</v>
      </c>
      <c r="B26" s="24">
        <f>+B20</f>
        <v>8920627184</v>
      </c>
      <c r="C26" s="24"/>
      <c r="D26" s="24"/>
      <c r="E26" s="24"/>
      <c r="F26" s="24"/>
      <c r="G26" s="24"/>
      <c r="H26" s="24"/>
      <c r="I26" s="24"/>
      <c r="J26" s="24"/>
      <c r="K26" s="24"/>
      <c r="L26" s="24"/>
    </row>
    <row r="27" spans="1:12" x14ac:dyDescent="0.25">
      <c r="A27" s="9" t="s">
        <v>110</v>
      </c>
      <c r="B27" s="24">
        <f>+'I Trimestre'!B27+'II Trimestre'!B27</f>
        <v>6966170262.1199999</v>
      </c>
      <c r="C27" s="24"/>
      <c r="D27" s="24"/>
      <c r="E27" s="24"/>
      <c r="F27" s="24"/>
      <c r="G27" s="24"/>
      <c r="H27" s="24"/>
      <c r="I27" s="24"/>
      <c r="J27" s="24"/>
      <c r="K27" s="24"/>
      <c r="L27" s="24"/>
    </row>
    <row r="28" spans="1:12" x14ac:dyDescent="0.25">
      <c r="I28" s="33"/>
      <c r="J28" s="33"/>
    </row>
    <row r="29" spans="1:12" x14ac:dyDescent="0.25">
      <c r="A29" t="s">
        <v>10</v>
      </c>
      <c r="I29" s="33"/>
      <c r="J29" s="33"/>
    </row>
    <row r="30" spans="1:12" x14ac:dyDescent="0.25">
      <c r="A30" s="11" t="s">
        <v>71</v>
      </c>
      <c r="B30" s="12">
        <v>1.5164078580333333</v>
      </c>
      <c r="C30" s="12">
        <v>1.5164078580333333</v>
      </c>
      <c r="D30" s="12">
        <v>1.5164078580333333</v>
      </c>
      <c r="E30" s="12">
        <v>1.5164078580333333</v>
      </c>
      <c r="F30" s="12">
        <v>1.5164078580333333</v>
      </c>
      <c r="G30" s="12">
        <v>1.5164078580333333</v>
      </c>
      <c r="H30" s="12">
        <v>1.5164078580333333</v>
      </c>
      <c r="I30" s="12">
        <v>1.5164078580333333</v>
      </c>
      <c r="J30" s="12">
        <v>1.5164078580333333</v>
      </c>
      <c r="K30" s="12">
        <v>1.5164078580333333</v>
      </c>
      <c r="L30" s="12">
        <v>1.5164078580333333</v>
      </c>
    </row>
    <row r="31" spans="1:12" x14ac:dyDescent="0.25">
      <c r="A31" s="11" t="s">
        <v>112</v>
      </c>
      <c r="B31" s="12">
        <v>1.6071376151833332</v>
      </c>
      <c r="C31" s="12">
        <v>1.6071376151833332</v>
      </c>
      <c r="D31" s="12">
        <v>1.6071376151833332</v>
      </c>
      <c r="E31" s="12">
        <v>1.6071376151833332</v>
      </c>
      <c r="F31" s="12">
        <v>1.6071376151833332</v>
      </c>
      <c r="G31" s="12">
        <v>1.6071376151833332</v>
      </c>
      <c r="H31" s="12">
        <v>1.6071376151833332</v>
      </c>
      <c r="I31" s="12">
        <v>1.6071376151833332</v>
      </c>
      <c r="J31" s="12">
        <v>1.6071376151833332</v>
      </c>
      <c r="K31" s="12">
        <v>1.6071376151833332</v>
      </c>
      <c r="L31" s="12">
        <v>1.6071376151833332</v>
      </c>
    </row>
    <row r="32" spans="1:12" x14ac:dyDescent="0.25">
      <c r="A32" s="3" t="s">
        <v>11</v>
      </c>
      <c r="B32" s="4">
        <v>115935</v>
      </c>
      <c r="C32" s="4">
        <v>115935</v>
      </c>
      <c r="D32" s="4">
        <v>115935</v>
      </c>
      <c r="E32" s="4">
        <v>115935</v>
      </c>
      <c r="F32" s="4">
        <v>115935</v>
      </c>
      <c r="G32" s="4">
        <v>115935</v>
      </c>
      <c r="H32" s="4">
        <v>115935</v>
      </c>
      <c r="I32" s="4">
        <v>115935</v>
      </c>
      <c r="J32" s="4">
        <v>115935</v>
      </c>
      <c r="K32" s="4">
        <v>115935</v>
      </c>
      <c r="L32" s="4">
        <v>115935</v>
      </c>
    </row>
    <row r="33" spans="1:12" x14ac:dyDescent="0.25">
      <c r="I33" s="33"/>
      <c r="J33" s="33"/>
    </row>
    <row r="34" spans="1:12" x14ac:dyDescent="0.25">
      <c r="A34" s="13" t="s">
        <v>12</v>
      </c>
      <c r="B34" s="14"/>
      <c r="C34" s="14"/>
      <c r="D34" s="52"/>
      <c r="E34" s="52"/>
      <c r="F34" s="52"/>
      <c r="G34" s="64"/>
      <c r="H34" s="64"/>
      <c r="I34" s="64"/>
      <c r="J34" s="64"/>
      <c r="K34" s="14"/>
      <c r="L34" s="14"/>
    </row>
    <row r="35" spans="1:12" x14ac:dyDescent="0.25">
      <c r="A35" s="14" t="s">
        <v>72</v>
      </c>
      <c r="B35" s="15">
        <f>B19/B30</f>
        <v>3315235594.676991</v>
      </c>
      <c r="C35" s="51">
        <f>C19/C30</f>
        <v>1602603512.0602624</v>
      </c>
      <c r="D35" s="51"/>
      <c r="E35" s="51"/>
      <c r="F35" s="51">
        <f>F19/F30</f>
        <v>1601742140.2379785</v>
      </c>
      <c r="G35" s="51"/>
      <c r="H35" s="51"/>
      <c r="I35" s="51"/>
      <c r="J35" s="51"/>
      <c r="K35" s="15">
        <f t="shared" ref="K35:L35" si="3">K19/K30</f>
        <v>25227553.258405156</v>
      </c>
      <c r="L35" s="15">
        <f t="shared" si="3"/>
        <v>85662389.120344818</v>
      </c>
    </row>
    <row r="36" spans="1:12" x14ac:dyDescent="0.25">
      <c r="A36" s="14" t="s">
        <v>113</v>
      </c>
      <c r="B36" s="15">
        <f>B21/B31</f>
        <v>3551578701.8331208</v>
      </c>
      <c r="C36" s="51">
        <f>C21/C31</f>
        <v>1289806690.1156662</v>
      </c>
      <c r="D36" s="51"/>
      <c r="E36" s="51"/>
      <c r="F36" s="51">
        <f>F21/F31</f>
        <v>1553290350.755203</v>
      </c>
      <c r="G36" s="51"/>
      <c r="H36" s="51"/>
      <c r="I36" s="51"/>
      <c r="J36" s="51"/>
      <c r="K36" s="15">
        <f>K21/K31</f>
        <v>647950619.26368332</v>
      </c>
      <c r="L36" s="15">
        <f>L21/L31</f>
        <v>60531041.698568329</v>
      </c>
    </row>
    <row r="37" spans="1:12" x14ac:dyDescent="0.25">
      <c r="A37" s="14" t="s">
        <v>73</v>
      </c>
      <c r="B37" s="15">
        <f>B35/B10</f>
        <v>27639.746671810637</v>
      </c>
      <c r="C37" s="51">
        <f>C35/C10</f>
        <v>44202.232596577021</v>
      </c>
      <c r="D37" s="51"/>
      <c r="E37" s="51"/>
      <c r="F37" s="51">
        <f>F35/F10</f>
        <v>13944.036182311309</v>
      </c>
      <c r="G37" s="51"/>
      <c r="H37" s="51"/>
      <c r="I37" s="51"/>
      <c r="J37" s="51"/>
      <c r="K37" s="15">
        <f>K35/K10</f>
        <v>6139.3356134833066</v>
      </c>
      <c r="L37" s="15">
        <f>L35/L10</f>
        <v>127032.70754376393</v>
      </c>
    </row>
    <row r="38" spans="1:12" x14ac:dyDescent="0.25">
      <c r="A38" s="14" t="s">
        <v>114</v>
      </c>
      <c r="B38" s="15">
        <f>B36/B14</f>
        <v>29461.864827384208</v>
      </c>
      <c r="C38" s="51">
        <f>C36/C14</f>
        <v>49025.302752505457</v>
      </c>
      <c r="D38" s="51"/>
      <c r="E38" s="51"/>
      <c r="F38" s="51">
        <f>F36/F14</f>
        <v>13141.482271242648</v>
      </c>
      <c r="G38" s="51"/>
      <c r="H38" s="51"/>
      <c r="I38" s="51"/>
      <c r="J38" s="51"/>
      <c r="K38" s="35">
        <f>K36/K14</f>
        <v>135976.48615235911</v>
      </c>
      <c r="L38" s="35">
        <f>L36/L14</f>
        <v>107610.74079745481</v>
      </c>
    </row>
    <row r="39" spans="1:12" x14ac:dyDescent="0.25">
      <c r="I39" s="33"/>
      <c r="J39" s="33"/>
    </row>
    <row r="40" spans="1:12" x14ac:dyDescent="0.25">
      <c r="A40" s="2" t="s">
        <v>13</v>
      </c>
      <c r="I40" s="33"/>
      <c r="J40" s="33"/>
    </row>
    <row r="41" spans="1:12" x14ac:dyDescent="0.25">
      <c r="I41" s="33"/>
      <c r="J41" s="33"/>
    </row>
    <row r="42" spans="1:12" x14ac:dyDescent="0.25">
      <c r="A42" t="s">
        <v>14</v>
      </c>
      <c r="I42" s="33"/>
      <c r="J42" s="33"/>
    </row>
    <row r="43" spans="1:12" x14ac:dyDescent="0.25">
      <c r="A43" t="s">
        <v>15</v>
      </c>
      <c r="B43" s="18">
        <f>(B13/B32)*100</f>
        <v>110.02975805408204</v>
      </c>
      <c r="C43" s="18">
        <f t="shared" ref="C43:L43" si="4">(C13/C32)*100</f>
        <v>28.530642170181569</v>
      </c>
      <c r="D43" s="18">
        <f t="shared" si="4"/>
        <v>21.681976969853796</v>
      </c>
      <c r="E43" s="18">
        <f t="shared" si="4"/>
        <v>6.848665200327769</v>
      </c>
      <c r="F43" s="18">
        <f t="shared" si="4"/>
        <v>113.55889075775218</v>
      </c>
      <c r="G43" s="18">
        <f t="shared" si="4"/>
        <v>88.347781084228231</v>
      </c>
      <c r="H43" s="18">
        <f t="shared" si="4"/>
        <v>3.3600724543925473</v>
      </c>
      <c r="I43" s="18">
        <f t="shared" si="4"/>
        <v>21.85103721913141</v>
      </c>
      <c r="J43" s="18">
        <f t="shared" si="4"/>
        <v>24.053995773493771</v>
      </c>
      <c r="K43" s="18">
        <f t="shared" si="4"/>
        <v>7.3834476215120546</v>
      </c>
      <c r="L43" s="18">
        <f t="shared" si="4"/>
        <v>2.8347781084228232</v>
      </c>
    </row>
    <row r="44" spans="1:12" x14ac:dyDescent="0.25">
      <c r="A44" t="s">
        <v>16</v>
      </c>
      <c r="B44" s="18">
        <f>(B15/B32)*100</f>
        <v>85.894682365118385</v>
      </c>
      <c r="C44" s="18">
        <f t="shared" ref="C44:L44" si="5">(C15/C32)*100</f>
        <v>18.068889176406323</v>
      </c>
      <c r="D44" s="18">
        <f t="shared" si="5"/>
        <v>15.111484883771078</v>
      </c>
      <c r="E44" s="18">
        <f t="shared" si="5"/>
        <v>2.9574042926352409</v>
      </c>
      <c r="F44" s="18">
        <f t="shared" si="5"/>
        <v>88.490964764738862</v>
      </c>
      <c r="G44" s="18">
        <f t="shared" si="5"/>
        <v>70.783197481347301</v>
      </c>
      <c r="H44" s="18">
        <f t="shared" si="5"/>
        <v>2.586363048259801</v>
      </c>
      <c r="I44" s="18">
        <f t="shared" si="5"/>
        <v>15.121404235131756</v>
      </c>
      <c r="J44" s="18">
        <f t="shared" si="5"/>
        <v>19.06801224824255</v>
      </c>
      <c r="K44" s="18">
        <f t="shared" si="5"/>
        <v>4.1102054312042666</v>
      </c>
      <c r="L44" s="18">
        <f t="shared" si="5"/>
        <v>0.4851856643809031</v>
      </c>
    </row>
    <row r="45" spans="1:12" x14ac:dyDescent="0.25">
      <c r="I45" s="33"/>
      <c r="J45" s="33"/>
    </row>
    <row r="46" spans="1:12" x14ac:dyDescent="0.25">
      <c r="A46" t="s">
        <v>17</v>
      </c>
      <c r="I46" s="33"/>
      <c r="J46" s="33"/>
    </row>
    <row r="47" spans="1:12" x14ac:dyDescent="0.25">
      <c r="A47" t="s">
        <v>18</v>
      </c>
      <c r="B47" s="16">
        <f>B14/B12*100</f>
        <v>90.273695456548097</v>
      </c>
      <c r="C47" s="16">
        <f t="shared" ref="C47:L47" si="6">C14/C12*100</f>
        <v>67.371736597482752</v>
      </c>
      <c r="D47" s="16">
        <f t="shared" si="6"/>
        <v>73.545373212688119</v>
      </c>
      <c r="E47" s="16">
        <f t="shared" si="6"/>
        <v>43.182199832073884</v>
      </c>
      <c r="F47" s="16">
        <f t="shared" si="6"/>
        <v>89.778549157074011</v>
      </c>
      <c r="G47" s="16">
        <f t="shared" si="6"/>
        <v>95.354695096948035</v>
      </c>
      <c r="H47" s="16">
        <f t="shared" si="6"/>
        <v>76.973430881786669</v>
      </c>
      <c r="I47" s="16">
        <f t="shared" si="6"/>
        <v>69.202226345083488</v>
      </c>
      <c r="J47" s="16">
        <f t="shared" si="6"/>
        <v>79.271703661204143</v>
      </c>
      <c r="K47" s="16">
        <f t="shared" si="6"/>
        <v>55.667834890965736</v>
      </c>
      <c r="L47" s="16">
        <f t="shared" si="6"/>
        <v>17.115472387037883</v>
      </c>
    </row>
    <row r="48" spans="1:12" x14ac:dyDescent="0.25">
      <c r="A48" t="s">
        <v>19</v>
      </c>
      <c r="B48" s="16">
        <f>B21/B20*100</f>
        <v>63.985139242649012</v>
      </c>
      <c r="C48" s="16">
        <f>C21/C20*100</f>
        <v>72.352852367809945</v>
      </c>
      <c r="D48" s="16"/>
      <c r="E48" s="16"/>
      <c r="F48" s="59">
        <f>F21/F20*100</f>
        <v>62.95647702149828</v>
      </c>
      <c r="G48" s="59"/>
      <c r="H48" s="59"/>
      <c r="I48" s="59"/>
      <c r="J48" s="59"/>
      <c r="K48" s="16">
        <f>K21/K20*100</f>
        <v>80.778584493800494</v>
      </c>
      <c r="L48" s="16">
        <f>L21/L20*100</f>
        <v>12.140387479697219</v>
      </c>
    </row>
    <row r="49" spans="1:12" x14ac:dyDescent="0.25">
      <c r="A49" s="14" t="s">
        <v>20</v>
      </c>
      <c r="B49" s="17">
        <f>AVERAGE(B47:B48)</f>
        <v>77.129417349598555</v>
      </c>
      <c r="C49" s="17">
        <f t="shared" ref="C49:L49" si="7">AVERAGE(C47:C48)</f>
        <v>69.862294482646348</v>
      </c>
      <c r="D49" s="17"/>
      <c r="E49" s="17"/>
      <c r="F49" s="60">
        <f>AVERAGE(F47:F48)</f>
        <v>76.367513089286149</v>
      </c>
      <c r="G49" s="60"/>
      <c r="H49" s="60"/>
      <c r="I49" s="60"/>
      <c r="J49" s="60"/>
      <c r="K49" s="17">
        <f t="shared" si="7"/>
        <v>68.223209692383108</v>
      </c>
      <c r="L49" s="17">
        <f t="shared" si="7"/>
        <v>14.62792993336755</v>
      </c>
    </row>
    <row r="50" spans="1:12" x14ac:dyDescent="0.25">
      <c r="B50" s="16"/>
      <c r="C50" s="16"/>
      <c r="D50" s="16"/>
      <c r="E50" s="16"/>
      <c r="F50" s="16"/>
      <c r="G50" s="16"/>
      <c r="H50" s="16"/>
      <c r="I50" s="16"/>
      <c r="J50" s="16"/>
      <c r="K50" s="16"/>
      <c r="L50" s="16"/>
    </row>
    <row r="51" spans="1:12" x14ac:dyDescent="0.25">
      <c r="A51" t="s">
        <v>21</v>
      </c>
    </row>
    <row r="52" spans="1:12" x14ac:dyDescent="0.25">
      <c r="A52" t="s">
        <v>22</v>
      </c>
      <c r="B52" s="16">
        <f>((B14/B16)*100)</f>
        <v>88.130434358794403</v>
      </c>
      <c r="C52" s="16">
        <f t="shared" ref="C52:L52" si="8">((C14/C16)*100)</f>
        <v>64.909207539721706</v>
      </c>
      <c r="D52" s="16">
        <f t="shared" si="8"/>
        <v>70.202299132711516</v>
      </c>
      <c r="E52" s="16">
        <f t="shared" si="8"/>
        <v>43.182199832073884</v>
      </c>
      <c r="F52" s="16">
        <f t="shared" si="8"/>
        <v>87.513946441960826</v>
      </c>
      <c r="G52" s="16">
        <f t="shared" si="8"/>
        <v>93.738482800982808</v>
      </c>
      <c r="H52" s="16">
        <f t="shared" si="8"/>
        <v>73.474638568978193</v>
      </c>
      <c r="I52" s="16">
        <f t="shared" si="8"/>
        <v>65.44267597121582</v>
      </c>
      <c r="J52" s="16">
        <f t="shared" si="8"/>
        <v>75.668113864483672</v>
      </c>
      <c r="K52" s="16">
        <f t="shared" si="8"/>
        <v>55.667834890965736</v>
      </c>
      <c r="L52" s="16">
        <f t="shared" si="8"/>
        <v>15.560165975103734</v>
      </c>
    </row>
    <row r="53" spans="1:12" x14ac:dyDescent="0.25">
      <c r="A53" t="s">
        <v>23</v>
      </c>
      <c r="B53" s="16">
        <f>B21/B22*100</f>
        <v>30.922189604787441</v>
      </c>
      <c r="C53" s="16">
        <f>C21/C22*100</f>
        <v>34.550506428455769</v>
      </c>
      <c r="D53" s="16"/>
      <c r="E53" s="16"/>
      <c r="F53" s="16">
        <f>F21/F22*100</f>
        <v>30.750535314627601</v>
      </c>
      <c r="G53" s="16"/>
      <c r="H53" s="16"/>
      <c r="I53" s="16"/>
      <c r="J53" s="16"/>
      <c r="K53" s="16">
        <f t="shared" ref="K53:L53" si="9">K21/K22*100</f>
        <v>40.389292246900247</v>
      </c>
      <c r="L53" s="16">
        <f t="shared" si="9"/>
        <v>5.518357945316918</v>
      </c>
    </row>
    <row r="54" spans="1:12" x14ac:dyDescent="0.25">
      <c r="A54" t="s">
        <v>24</v>
      </c>
      <c r="B54" s="16">
        <f>(B52+B53)/2</f>
        <v>59.526311981790926</v>
      </c>
      <c r="C54" s="16">
        <f t="shared" ref="C54:L54" si="10">(C52+C53)/2</f>
        <v>49.729856984088741</v>
      </c>
      <c r="D54" s="16"/>
      <c r="E54" s="16"/>
      <c r="F54" s="16">
        <f t="shared" ref="F54" si="11">(F52+F53)/2</f>
        <v>59.132240878294212</v>
      </c>
      <c r="G54" s="16"/>
      <c r="H54" s="16"/>
      <c r="I54" s="16"/>
      <c r="J54" s="16"/>
      <c r="K54" s="16">
        <f t="shared" si="10"/>
        <v>48.028563568932995</v>
      </c>
      <c r="L54" s="16">
        <f t="shared" si="10"/>
        <v>10.539261960210325</v>
      </c>
    </row>
    <row r="55" spans="1:12" x14ac:dyDescent="0.25">
      <c r="B55" s="16"/>
      <c r="C55" s="16"/>
      <c r="D55" s="16"/>
      <c r="E55" s="16"/>
      <c r="F55" s="16"/>
      <c r="G55" s="16"/>
      <c r="H55" s="16"/>
      <c r="I55" s="16"/>
      <c r="J55" s="16"/>
      <c r="K55" s="16"/>
      <c r="L55" s="16"/>
    </row>
    <row r="56" spans="1:12" x14ac:dyDescent="0.25">
      <c r="A56" t="s">
        <v>40</v>
      </c>
    </row>
    <row r="57" spans="1:12" x14ac:dyDescent="0.25">
      <c r="A57" t="s">
        <v>25</v>
      </c>
      <c r="B57" s="16">
        <f>B23/B21*100</f>
        <v>100</v>
      </c>
      <c r="C57" s="16"/>
      <c r="D57" s="16"/>
      <c r="E57" s="16"/>
      <c r="F57" s="16"/>
      <c r="G57" s="16"/>
      <c r="H57" s="16"/>
      <c r="I57" s="16"/>
      <c r="J57" s="16"/>
      <c r="K57" s="16"/>
      <c r="L57" s="16"/>
    </row>
    <row r="59" spans="1:12" x14ac:dyDescent="0.25">
      <c r="A59" t="s">
        <v>26</v>
      </c>
    </row>
    <row r="60" spans="1:12" x14ac:dyDescent="0.25">
      <c r="A60" t="s">
        <v>27</v>
      </c>
      <c r="B60" s="16">
        <f>((B14/B10)-1)*100</f>
        <v>0.50342727956125266</v>
      </c>
      <c r="C60" s="16">
        <f t="shared" ref="C60:L60" si="12">((C14/C10)-1)*100</f>
        <v>-27.435792531845149</v>
      </c>
      <c r="D60" s="16">
        <f t="shared" si="12"/>
        <v>-23.674129754313</v>
      </c>
      <c r="E60" s="16">
        <f t="shared" si="12"/>
        <v>-45.394701916441051</v>
      </c>
      <c r="F60" s="16">
        <f t="shared" si="12"/>
        <v>2.8973500325007118</v>
      </c>
      <c r="G60" s="16">
        <f t="shared" si="12"/>
        <v>8.5594030425858225</v>
      </c>
      <c r="H60" s="16" t="e">
        <f t="shared" si="12"/>
        <v>#VALUE!</v>
      </c>
      <c r="I60" s="16">
        <f t="shared" si="12"/>
        <v>-29.600032125933662</v>
      </c>
      <c r="J60" s="16">
        <f t="shared" si="12"/>
        <v>23.575940522108564</v>
      </c>
      <c r="K60" s="16">
        <f t="shared" si="12"/>
        <v>15.96430744270938</v>
      </c>
      <c r="L60" s="16">
        <f t="shared" si="12"/>
        <v>-16.584280771131986</v>
      </c>
    </row>
    <row r="61" spans="1:12" x14ac:dyDescent="0.25">
      <c r="A61" t="s">
        <v>28</v>
      </c>
      <c r="B61" s="16">
        <f>((B36/B35)-1)*100</f>
        <v>7.1289988420613959</v>
      </c>
      <c r="C61" s="16">
        <f t="shared" ref="C61:L61" si="13">((C36/C35)-1)*100</f>
        <v>-19.518041710920343</v>
      </c>
      <c r="D61" s="16"/>
      <c r="E61" s="16"/>
      <c r="F61" s="16">
        <f t="shared" si="13"/>
        <v>-3.0249431706639629</v>
      </c>
      <c r="G61" s="16"/>
      <c r="H61" s="16"/>
      <c r="I61" s="16"/>
      <c r="J61" s="16"/>
      <c r="K61" s="16">
        <f t="shared" si="13"/>
        <v>2468.4243439177089</v>
      </c>
      <c r="L61" s="16">
        <f t="shared" si="13"/>
        <v>-29.337668117649773</v>
      </c>
    </row>
    <row r="62" spans="1:12" x14ac:dyDescent="0.25">
      <c r="A62" s="14" t="s">
        <v>29</v>
      </c>
      <c r="B62" s="17">
        <f>((B38/B37)-1)*100</f>
        <v>6.592383704558058</v>
      </c>
      <c r="C62" s="17">
        <f t="shared" ref="C62:L62" si="14">((C38/C37)-1)*100</f>
        <v>10.911372282815247</v>
      </c>
      <c r="D62" s="17"/>
      <c r="E62" s="17"/>
      <c r="F62" s="17">
        <f t="shared" si="14"/>
        <v>-5.7555352021155803</v>
      </c>
      <c r="G62" s="17"/>
      <c r="H62" s="17"/>
      <c r="I62" s="17"/>
      <c r="J62" s="17"/>
      <c r="K62" s="17">
        <f t="shared" si="14"/>
        <v>2114.8404112934531</v>
      </c>
      <c r="L62" s="17">
        <f t="shared" si="14"/>
        <v>-15.288949690077313</v>
      </c>
    </row>
    <row r="63" spans="1:12" x14ac:dyDescent="0.25">
      <c r="B63" s="18"/>
      <c r="C63" s="18"/>
      <c r="D63" s="18"/>
      <c r="E63" s="18"/>
      <c r="F63" s="18"/>
      <c r="G63" s="18"/>
      <c r="H63" s="18"/>
      <c r="I63" s="18"/>
      <c r="J63" s="18"/>
      <c r="K63" s="18"/>
      <c r="L63" s="18"/>
    </row>
    <row r="64" spans="1:12" x14ac:dyDescent="0.25">
      <c r="A64" t="s">
        <v>30</v>
      </c>
    </row>
    <row r="65" spans="1:12" x14ac:dyDescent="0.25">
      <c r="A65" t="s">
        <v>31</v>
      </c>
      <c r="B65" s="4">
        <f>B20/(B12*6)</f>
        <v>11133.81882356759</v>
      </c>
      <c r="C65" s="4">
        <f>C20/(C12*6)</f>
        <v>12227.683384335667</v>
      </c>
      <c r="D65" s="4"/>
      <c r="E65" s="4"/>
      <c r="F65" s="4">
        <f>F20/(F12*6)</f>
        <v>5019.706610864042</v>
      </c>
      <c r="G65" s="4"/>
      <c r="H65" s="41"/>
      <c r="I65" s="41"/>
      <c r="J65" s="41"/>
      <c r="K65" s="4">
        <f>K20/(K12*6)</f>
        <v>25100</v>
      </c>
      <c r="L65" s="4">
        <f>L20/(L12*6)</f>
        <v>40636.264516456213</v>
      </c>
    </row>
    <row r="66" spans="1:12" x14ac:dyDescent="0.25">
      <c r="A66" t="s">
        <v>32</v>
      </c>
      <c r="B66" s="4">
        <f>B21/(B14*6)</f>
        <v>7891.5451962559973</v>
      </c>
      <c r="C66" s="4">
        <f>C21/(C14*6)</f>
        <v>13131.73469155042</v>
      </c>
      <c r="D66" s="4"/>
      <c r="E66" s="45"/>
      <c r="F66" s="4">
        <f>F21/(F14*6)</f>
        <v>3520.028412896494</v>
      </c>
      <c r="G66" s="41"/>
      <c r="H66" s="41"/>
      <c r="I66" s="41"/>
      <c r="J66" s="41"/>
      <c r="K66" s="4">
        <f>K21/(K14*6)</f>
        <v>36422.154279318667</v>
      </c>
      <c r="L66" s="4">
        <f>L21/(L14*6)</f>
        <v>28824.211555555554</v>
      </c>
    </row>
    <row r="67" spans="1:12" x14ac:dyDescent="0.25">
      <c r="A67" s="14" t="s">
        <v>33</v>
      </c>
      <c r="B67" s="17">
        <f>(B65/B66)*B49</f>
        <v>108.8183539955112</v>
      </c>
      <c r="C67" s="17">
        <f>(C65/C66)*C49</f>
        <v>65.052640607085038</v>
      </c>
      <c r="D67" s="17"/>
      <c r="E67" s="17"/>
      <c r="F67" s="17">
        <f t="shared" ref="F67" si="15">(F65/F66)*F49</f>
        <v>108.90324319686339</v>
      </c>
      <c r="G67" s="60"/>
      <c r="H67" s="60"/>
      <c r="I67" s="60"/>
      <c r="J67" s="60"/>
      <c r="K67" s="17">
        <f>(K65/K66)*K49</f>
        <v>47.015411283652639</v>
      </c>
      <c r="L67" s="17">
        <f>(L65/L66)*L49</f>
        <v>20.622400337120155</v>
      </c>
    </row>
    <row r="68" spans="1:12" x14ac:dyDescent="0.25">
      <c r="A68" t="s">
        <v>41</v>
      </c>
      <c r="B68" s="31">
        <f>B20/B12</f>
        <v>66802.912941405535</v>
      </c>
      <c r="C68" s="31">
        <f>C20/C12</f>
        <v>73366.100306014006</v>
      </c>
      <c r="D68" s="31"/>
      <c r="E68" s="31"/>
      <c r="F68" s="31">
        <f t="shared" ref="F68" si="16">F20/F12</f>
        <v>30118.23966518425</v>
      </c>
      <c r="G68" s="61"/>
      <c r="H68" s="61"/>
      <c r="I68" s="61"/>
      <c r="J68" s="61"/>
      <c r="K68" s="31">
        <f t="shared" ref="K68:L68" si="17">K20/K12</f>
        <v>150600</v>
      </c>
      <c r="L68" s="31">
        <f t="shared" si="17"/>
        <v>243817.58709873725</v>
      </c>
    </row>
    <row r="69" spans="1:12" x14ac:dyDescent="0.25">
      <c r="A69" t="s">
        <v>42</v>
      </c>
      <c r="B69" s="18">
        <f>B21/B14</f>
        <v>47349.271177535978</v>
      </c>
      <c r="C69" s="18">
        <f>C21/C14</f>
        <v>78790.408149302515</v>
      </c>
      <c r="D69" s="18"/>
      <c r="E69" s="18"/>
      <c r="F69" s="18">
        <f t="shared" ref="F69" si="18">F21/F14</f>
        <v>21120.170477378964</v>
      </c>
      <c r="G69" s="61"/>
      <c r="H69" s="61"/>
      <c r="I69" s="61"/>
      <c r="J69" s="61"/>
      <c r="K69" s="31">
        <f>K21/K14</f>
        <v>218532.92567591197</v>
      </c>
      <c r="L69" s="31">
        <f>L21/L14</f>
        <v>172945.26933333333</v>
      </c>
    </row>
    <row r="70" spans="1:12" x14ac:dyDescent="0.25">
      <c r="B70" s="16"/>
      <c r="C70" s="16"/>
      <c r="D70" s="16"/>
      <c r="E70" s="16"/>
      <c r="F70" s="16"/>
      <c r="G70" s="16"/>
      <c r="H70" s="16"/>
      <c r="I70" s="18"/>
      <c r="J70" s="18"/>
      <c r="K70" s="16"/>
      <c r="L70" s="16"/>
    </row>
    <row r="71" spans="1:12" x14ac:dyDescent="0.25">
      <c r="A71" t="s">
        <v>34</v>
      </c>
      <c r="B71" s="16"/>
      <c r="C71" s="16"/>
      <c r="D71" s="16"/>
      <c r="E71" s="16"/>
      <c r="F71" s="16"/>
      <c r="G71" s="16"/>
      <c r="H71" s="16"/>
      <c r="I71" s="18"/>
      <c r="J71" s="18"/>
      <c r="K71" s="16"/>
      <c r="L71" s="16"/>
    </row>
    <row r="72" spans="1:12" x14ac:dyDescent="0.25">
      <c r="A72" s="19" t="s">
        <v>35</v>
      </c>
      <c r="B72" s="20">
        <f>(B27/B26)*100</f>
        <v>78.090588457888856</v>
      </c>
      <c r="C72" s="20"/>
      <c r="D72" s="20"/>
      <c r="E72" s="20"/>
      <c r="F72" s="20"/>
      <c r="G72" s="20"/>
      <c r="H72" s="20"/>
      <c r="I72" s="20"/>
      <c r="J72" s="20"/>
      <c r="K72" s="20"/>
      <c r="L72" s="20"/>
    </row>
    <row r="73" spans="1:12" x14ac:dyDescent="0.25">
      <c r="A73" s="19" t="s">
        <v>36</v>
      </c>
      <c r="B73" s="20">
        <f>(B21/B27)*100</f>
        <v>81.937068866056322</v>
      </c>
      <c r="C73" s="20"/>
      <c r="D73" s="20"/>
      <c r="E73" s="20"/>
      <c r="F73" s="20"/>
      <c r="G73" s="20"/>
      <c r="H73" s="20"/>
      <c r="I73" s="20"/>
      <c r="J73" s="20"/>
      <c r="K73" s="20"/>
      <c r="L73" s="20"/>
    </row>
    <row r="74" spans="1:12" ht="15.75" thickBot="1" x14ac:dyDescent="0.3">
      <c r="A74" s="21"/>
      <c r="B74" s="21"/>
      <c r="C74" s="21"/>
      <c r="D74" s="21"/>
      <c r="E74" s="21"/>
      <c r="F74" s="21"/>
      <c r="G74" s="21"/>
      <c r="H74" s="21"/>
      <c r="I74" s="50"/>
      <c r="J74" s="50"/>
      <c r="K74" s="21"/>
      <c r="L74" s="21"/>
    </row>
    <row r="75" spans="1:12" ht="15.75" thickTop="1" x14ac:dyDescent="0.25">
      <c r="A75" s="34" t="s">
        <v>123</v>
      </c>
    </row>
    <row r="76" spans="1:12" x14ac:dyDescent="0.25">
      <c r="A76" t="s">
        <v>126</v>
      </c>
    </row>
    <row r="77" spans="1:12" x14ac:dyDescent="0.25">
      <c r="A77" t="s">
        <v>127</v>
      </c>
    </row>
    <row r="78" spans="1:12" x14ac:dyDescent="0.25">
      <c r="A78" t="s">
        <v>128</v>
      </c>
      <c r="B78" s="22"/>
      <c r="C78" s="22"/>
      <c r="D78" s="22"/>
      <c r="E78" s="22"/>
      <c r="F78" s="22"/>
      <c r="G78" s="22"/>
      <c r="H78" s="22"/>
      <c r="I78" s="22"/>
      <c r="J78" s="22"/>
    </row>
    <row r="80" spans="1:12" x14ac:dyDescent="0.25">
      <c r="A80" t="s">
        <v>43</v>
      </c>
    </row>
    <row r="81" spans="1:1" x14ac:dyDescent="0.25">
      <c r="A81" t="s">
        <v>53</v>
      </c>
    </row>
    <row r="82" spans="1:1" x14ac:dyDescent="0.25">
      <c r="A82" t="s">
        <v>129</v>
      </c>
    </row>
    <row r="83" spans="1:1" x14ac:dyDescent="0.25">
      <c r="A83" t="s">
        <v>50</v>
      </c>
    </row>
    <row r="84" spans="1:1" x14ac:dyDescent="0.25">
      <c r="A84" t="s">
        <v>125</v>
      </c>
    </row>
    <row r="86" spans="1:1" x14ac:dyDescent="0.25">
      <c r="A86" t="s">
        <v>124</v>
      </c>
    </row>
    <row r="87" spans="1:1" x14ac:dyDescent="0.25">
      <c r="A87" s="43">
        <v>41865</v>
      </c>
    </row>
  </sheetData>
  <mergeCells count="6">
    <mergeCell ref="G34:J34"/>
    <mergeCell ref="A2:K2"/>
    <mergeCell ref="A4:A5"/>
    <mergeCell ref="D5:E5"/>
    <mergeCell ref="G5:H5"/>
    <mergeCell ref="D4:L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87"/>
  <sheetViews>
    <sheetView topLeftCell="B1" zoomScale="70" zoomScaleNormal="70" workbookViewId="0">
      <selection activeCell="A21" sqref="A21"/>
    </sheetView>
  </sheetViews>
  <sheetFormatPr baseColWidth="10" defaultColWidth="11.42578125" defaultRowHeight="15" x14ac:dyDescent="0.25"/>
  <cols>
    <col min="1" max="1" width="55.140625" customWidth="1"/>
    <col min="2" max="3" width="26.7109375" customWidth="1"/>
    <col min="4" max="6" width="16.5703125" customWidth="1"/>
    <col min="7" max="7" width="16.140625" customWidth="1"/>
    <col min="8" max="10" width="17.42578125" customWidth="1"/>
    <col min="11" max="11" width="16.7109375" bestFit="1" customWidth="1"/>
    <col min="12" max="12" width="16.42578125" customWidth="1"/>
  </cols>
  <sheetData>
    <row r="2" spans="1:12" ht="15.75" x14ac:dyDescent="0.25">
      <c r="A2" s="67" t="s">
        <v>115</v>
      </c>
      <c r="B2" s="67"/>
      <c r="C2" s="67"/>
      <c r="D2" s="67"/>
      <c r="E2" s="67"/>
      <c r="F2" s="67"/>
      <c r="G2" s="67"/>
      <c r="H2" s="67"/>
      <c r="I2" s="67"/>
      <c r="J2" s="67"/>
      <c r="K2" s="67"/>
    </row>
    <row r="4" spans="1:12" x14ac:dyDescent="0.25">
      <c r="A4" s="65" t="s">
        <v>0</v>
      </c>
      <c r="B4" s="26" t="s">
        <v>1</v>
      </c>
      <c r="C4" s="26"/>
      <c r="D4" s="69" t="s">
        <v>2</v>
      </c>
      <c r="E4" s="69"/>
      <c r="F4" s="69"/>
      <c r="G4" s="69"/>
      <c r="H4" s="69"/>
      <c r="I4" s="69"/>
      <c r="J4" s="69"/>
      <c r="K4" s="69"/>
      <c r="L4" s="69"/>
    </row>
    <row r="5" spans="1:12" ht="15.75" thickBot="1" x14ac:dyDescent="0.3">
      <c r="A5" s="66"/>
      <c r="B5" s="1" t="s">
        <v>3</v>
      </c>
      <c r="C5" s="58" t="s">
        <v>130</v>
      </c>
      <c r="D5" s="68" t="s">
        <v>4</v>
      </c>
      <c r="E5" s="68"/>
      <c r="F5" s="58" t="s">
        <v>131</v>
      </c>
      <c r="G5" s="68" t="s">
        <v>52</v>
      </c>
      <c r="H5" s="68"/>
      <c r="I5" s="49"/>
      <c r="J5" s="49"/>
      <c r="K5" s="1" t="s">
        <v>5</v>
      </c>
      <c r="L5" s="21" t="s">
        <v>51</v>
      </c>
    </row>
    <row r="6" spans="1:12" ht="15.75" thickTop="1" x14ac:dyDescent="0.25">
      <c r="B6" s="37" t="s">
        <v>1</v>
      </c>
      <c r="D6" s="37" t="s">
        <v>48</v>
      </c>
      <c r="E6" s="37" t="s">
        <v>49</v>
      </c>
      <c r="F6" s="37"/>
      <c r="G6" s="37">
        <v>1600</v>
      </c>
      <c r="H6" s="37">
        <v>1000</v>
      </c>
      <c r="I6" s="48">
        <v>700</v>
      </c>
      <c r="J6" s="48">
        <v>800</v>
      </c>
      <c r="K6" s="37" t="s">
        <v>5</v>
      </c>
    </row>
    <row r="7" spans="1:12" x14ac:dyDescent="0.25">
      <c r="A7" s="2" t="s">
        <v>6</v>
      </c>
      <c r="I7" s="33"/>
      <c r="J7" s="33"/>
    </row>
    <row r="8" spans="1:12" x14ac:dyDescent="0.25">
      <c r="I8" s="33"/>
      <c r="J8" s="33"/>
    </row>
    <row r="9" spans="1:12" x14ac:dyDescent="0.25">
      <c r="A9" t="s">
        <v>7</v>
      </c>
      <c r="I9" s="33"/>
      <c r="J9" s="33"/>
    </row>
    <row r="10" spans="1:12" x14ac:dyDescent="0.25">
      <c r="A10" s="3" t="s">
        <v>62</v>
      </c>
      <c r="B10" s="25">
        <f>+D10+G10</f>
        <v>123687.88888888889</v>
      </c>
      <c r="C10" s="25">
        <f>+D10+E10</f>
        <v>37790.111111111109</v>
      </c>
      <c r="D10" s="25">
        <f>(+'I Trimestre'!D10+'II Trimestre'!D10+'III Trimestre'!D10)/3</f>
        <v>31304.222222222223</v>
      </c>
      <c r="E10" s="25">
        <f>(+'I Trimestre'!E10+'II Trimestre'!E10+'III Trimestre'!E10)/3</f>
        <v>6485.8888888888896</v>
      </c>
      <c r="F10" s="25">
        <f>G10+I10</f>
        <v>118286.33333333334</v>
      </c>
      <c r="G10" s="25">
        <f>(+'I Trimestre'!G10+'II Trimestre'!G10+'III Trimestre'!G10)/3</f>
        <v>92383.666666666672</v>
      </c>
      <c r="H10" s="25" t="s">
        <v>78</v>
      </c>
      <c r="I10" s="38">
        <f>(+'I Trimestre'!I10+'II Trimestre'!I10+'III Trimestre'!I10)/3</f>
        <v>25902.666666666668</v>
      </c>
      <c r="J10" s="38">
        <f>(+'I Trimestre'!J10+'II Trimestre'!J10+'III Trimestre'!J10)/3</f>
        <v>19083.666666666668</v>
      </c>
      <c r="K10" s="25">
        <f>(+'I Trimestre'!K10+'II Trimestre'!K10+'III Trimestre'!K10)/3</f>
        <v>5141.2222222222226</v>
      </c>
      <c r="L10" s="25">
        <f>(+'I Trimestre'!L10+'II Trimestre'!L10+'III Trimestre'!L10)/3</f>
        <v>1110.8888888888889</v>
      </c>
    </row>
    <row r="11" spans="1:12" x14ac:dyDescent="0.25">
      <c r="A11" s="28" t="s">
        <v>37</v>
      </c>
      <c r="B11" s="25">
        <f t="shared" ref="B11:B16" si="0">+D11+G11</f>
        <v>103981</v>
      </c>
      <c r="C11" s="25">
        <f t="shared" ref="C11:C16" si="1">+D11+E11</f>
        <v>32277.888888888891</v>
      </c>
      <c r="D11" s="25">
        <f>(+'I Trimestre'!D11+'II Trimestre'!D11+'III Trimestre'!D11)/3</f>
        <v>25792</v>
      </c>
      <c r="E11" s="25">
        <f>(+'I Trimestre'!E11+'II Trimestre'!E11+'III Trimestre'!E11)/3</f>
        <v>6485.8888888888896</v>
      </c>
      <c r="F11" s="25">
        <f>G11+I11</f>
        <v>104091.66666666667</v>
      </c>
      <c r="G11" s="25">
        <f>(+'I Trimestre'!G11+'II Trimestre'!G11+'III Trimestre'!G11)/3</f>
        <v>78189</v>
      </c>
      <c r="H11" s="25" t="s">
        <v>78</v>
      </c>
      <c r="I11" s="38">
        <f>(+'I Trimestre'!I11+'II Trimestre'!I11+'III Trimestre'!I11)/3</f>
        <v>25902.666666666668</v>
      </c>
      <c r="J11" s="38">
        <f>(+'I Trimestre'!J11+'II Trimestre'!J11+'III Trimestre'!J11)/3</f>
        <v>19083.666666666668</v>
      </c>
      <c r="K11" s="25">
        <f>(+'I Trimestre'!K11+'II Trimestre'!K11+'III Trimestre'!K11)/3</f>
        <v>5141.2222222222226</v>
      </c>
      <c r="L11" s="25">
        <f>(+'I Trimestre'!L11+'II Trimestre'!L11+'III Trimestre'!L11)/3</f>
        <v>1110.8888888888889</v>
      </c>
    </row>
    <row r="12" spans="1:12" x14ac:dyDescent="0.25">
      <c r="A12" s="3" t="s">
        <v>95</v>
      </c>
      <c r="B12" s="25">
        <f t="shared" si="0"/>
        <v>135388.44444444444</v>
      </c>
      <c r="C12" s="25">
        <f t="shared" si="1"/>
        <v>39652.888888888891</v>
      </c>
      <c r="D12" s="25">
        <f>(+'I Trimestre'!D12+'II Trimestre'!D12+'III Trimestre'!D12)/3</f>
        <v>31718.444444444449</v>
      </c>
      <c r="E12" s="25">
        <f>(+'I Trimestre'!E12+'II Trimestre'!E12+'III Trimestre'!E12)/3</f>
        <v>7934.4444444444443</v>
      </c>
      <c r="F12" s="25">
        <f>SUM(G12:I12)</f>
        <v>133450.55555555556</v>
      </c>
      <c r="G12" s="25">
        <f>(+'I Trimestre'!G12+'II Trimestre'!G12+'III Trimestre'!G12)/3</f>
        <v>103670</v>
      </c>
      <c r="H12" s="25">
        <f>(+'I Trimestre'!H12+'II Trimestre'!H12+'III Trimestre'!H12)/3</f>
        <v>3962.4444444444439</v>
      </c>
      <c r="I12" s="38">
        <f>(+'I Trimestre'!I12+'II Trimestre'!I12+'III Trimestre'!I12)/3</f>
        <v>25818.111111111109</v>
      </c>
      <c r="J12" s="38">
        <f>(+'I Trimestre'!J12+'II Trimestre'!J12+'III Trimestre'!J12)/3</f>
        <v>28329.666666666668</v>
      </c>
      <c r="K12" s="25">
        <f>(+'I Trimestre'!K12+'II Trimestre'!K12+'III Trimestre'!K12)/3</f>
        <v>8626.6666666666661</v>
      </c>
      <c r="L12" s="25">
        <f>(+'I Trimestre'!L12+'II Trimestre'!L12+'III Trimestre'!L12)/3</f>
        <v>3505.6666666666665</v>
      </c>
    </row>
    <row r="13" spans="1:12" x14ac:dyDescent="0.25">
      <c r="A13" s="28" t="s">
        <v>37</v>
      </c>
      <c r="B13" s="25">
        <f t="shared" si="0"/>
        <v>128739</v>
      </c>
      <c r="C13" s="25">
        <f t="shared" si="1"/>
        <v>33003.444444444445</v>
      </c>
      <c r="D13" s="25">
        <f>(+'I Trimestre'!D13+'II Trimestre'!D13+'III Trimestre'!D13)/3</f>
        <v>25069</v>
      </c>
      <c r="E13" s="25">
        <f>(+'I Trimestre'!E13+'II Trimestre'!E13+'III Trimestre'!E13)/3</f>
        <v>7934.4444444444443</v>
      </c>
      <c r="F13" s="25">
        <f t="shared" ref="F13:F16" si="2">SUM(G13:I13)</f>
        <v>133450.55555555556</v>
      </c>
      <c r="G13" s="25">
        <f>(+'I Trimestre'!G13+'II Trimestre'!G13+'III Trimestre'!G13)/3</f>
        <v>103670</v>
      </c>
      <c r="H13" s="25">
        <f>(+'I Trimestre'!H13+'II Trimestre'!H13+'III Trimestre'!H13)/3</f>
        <v>3962.4444444444439</v>
      </c>
      <c r="I13" s="38">
        <f>(+'I Trimestre'!I13+'II Trimestre'!I13+'III Trimestre'!I13)/3</f>
        <v>25818.111111111109</v>
      </c>
      <c r="J13" s="38">
        <f>(+'I Trimestre'!J13+'II Trimestre'!J13+'III Trimestre'!J13)/3</f>
        <v>28329.666666666668</v>
      </c>
      <c r="K13" s="25">
        <f>(+'I Trimestre'!K13+'II Trimestre'!K13+'III Trimestre'!K13)/3</f>
        <v>8626.6666666666661</v>
      </c>
      <c r="L13" s="25">
        <f>(+'I Trimestre'!L13+'II Trimestre'!L13+'III Trimestre'!L13)/3</f>
        <v>3505.6666666666665</v>
      </c>
    </row>
    <row r="14" spans="1:12" x14ac:dyDescent="0.25">
      <c r="A14" s="3" t="s">
        <v>96</v>
      </c>
      <c r="B14" s="25">
        <f t="shared" si="0"/>
        <v>123971.55555555555</v>
      </c>
      <c r="C14" s="25">
        <f t="shared" si="1"/>
        <v>28343</v>
      </c>
      <c r="D14" s="25">
        <f>(+'I Trimestre'!D14+'II Trimestre'!D14+'III Trimestre'!D14)/3</f>
        <v>23933.222222222223</v>
      </c>
      <c r="E14" s="25">
        <f>(+'I Trimestre'!E14+'II Trimestre'!E14+'III Trimestre'!E14)/3</f>
        <v>4409.7777777777774</v>
      </c>
      <c r="F14" s="25">
        <f t="shared" si="2"/>
        <v>121499.33333333333</v>
      </c>
      <c r="G14" s="25">
        <f>(+'I Trimestre'!G14+'II Trimestre'!G14+'III Trimestre'!G14)/3</f>
        <v>100038.33333333333</v>
      </c>
      <c r="H14" s="25">
        <f>(+'I Trimestre'!H14+'II Trimestre'!H14+'III Trimestre'!H14)/3</f>
        <v>3058</v>
      </c>
      <c r="I14" s="38">
        <f>(+'I Trimestre'!I14+'II Trimestre'!I14+'III Trimestre'!I14)/3</f>
        <v>18403</v>
      </c>
      <c r="J14" s="38">
        <f>(+'I Trimestre'!J14+'II Trimestre'!J14+'III Trimestre'!J14)/3</f>
        <v>23205.666666666668</v>
      </c>
      <c r="K14" s="25">
        <f>(+'I Trimestre'!K14+'II Trimestre'!K14+'III Trimestre'!K14)/3</f>
        <v>5517.1111111111122</v>
      </c>
      <c r="L14" s="25">
        <f>(+'I Trimestre'!L14+'II Trimestre'!L14+'III Trimestre'!L14)/3</f>
        <v>706</v>
      </c>
    </row>
    <row r="15" spans="1:12" x14ac:dyDescent="0.25">
      <c r="A15" s="28" t="s">
        <v>37</v>
      </c>
      <c r="B15" s="25">
        <f t="shared" si="0"/>
        <v>101660</v>
      </c>
      <c r="C15" s="25">
        <f t="shared" si="1"/>
        <v>22613.777777777777</v>
      </c>
      <c r="D15" s="25">
        <f>(+'I Trimestre'!D15+'II Trimestre'!D15+'III Trimestre'!D15)/3</f>
        <v>18204</v>
      </c>
      <c r="E15" s="25">
        <f>(+'I Trimestre'!E15+'II Trimestre'!E15+'III Trimestre'!E15)/3</f>
        <v>4409.7777777777774</v>
      </c>
      <c r="F15" s="25">
        <f t="shared" si="2"/>
        <v>104917</v>
      </c>
      <c r="G15" s="25">
        <f>(+'I Trimestre'!G15+'II Trimestre'!G15+'III Trimestre'!G15)/3</f>
        <v>83456</v>
      </c>
      <c r="H15" s="25">
        <f>(+'I Trimestre'!H15+'II Trimestre'!H15+'III Trimestre'!H15)/3</f>
        <v>3058</v>
      </c>
      <c r="I15" s="38">
        <f>(+'I Trimestre'!I15+'II Trimestre'!I15+'III Trimestre'!I15)/3</f>
        <v>18403</v>
      </c>
      <c r="J15" s="38">
        <f>(+'I Trimestre'!J15+'II Trimestre'!J15+'III Trimestre'!J15)/3</f>
        <v>23205.666666666668</v>
      </c>
      <c r="K15" s="25">
        <f>(+'I Trimestre'!K15+'II Trimestre'!K15+'III Trimestre'!K15)/3</f>
        <v>5517.1111111111122</v>
      </c>
      <c r="L15" s="25">
        <f>(+'I Trimestre'!L15+'II Trimestre'!L15+'III Trimestre'!L15)/3</f>
        <v>706</v>
      </c>
    </row>
    <row r="16" spans="1:12" x14ac:dyDescent="0.25">
      <c r="A16" s="3" t="s">
        <v>82</v>
      </c>
      <c r="B16" s="25">
        <f t="shared" si="0"/>
        <v>136784</v>
      </c>
      <c r="C16" s="25">
        <f t="shared" si="1"/>
        <v>40532</v>
      </c>
      <c r="D16" s="4">
        <f>+'III Trimestre'!D16</f>
        <v>32592</v>
      </c>
      <c r="E16" s="4">
        <f>+'III Trimestre'!E16</f>
        <v>7940</v>
      </c>
      <c r="F16" s="25">
        <f t="shared" si="2"/>
        <v>135061.33000000002</v>
      </c>
      <c r="G16" s="4">
        <f>+'III Trimestre'!G16</f>
        <v>104192</v>
      </c>
      <c r="H16" s="4">
        <f>+'III Trimestre'!H16</f>
        <v>4081</v>
      </c>
      <c r="I16" s="5">
        <f>'III Trimestre'!I16</f>
        <v>26788.33</v>
      </c>
      <c r="J16" s="5">
        <f>'III Trimestre'!J16</f>
        <v>29215.08</v>
      </c>
      <c r="K16" s="4">
        <f>+'III Trimestre'!K16</f>
        <v>8560</v>
      </c>
      <c r="L16" s="4">
        <f>+'III Trimestre'!L16</f>
        <v>3615</v>
      </c>
    </row>
    <row r="17" spans="1:12" x14ac:dyDescent="0.25">
      <c r="B17" s="23"/>
      <c r="C17" s="23"/>
      <c r="D17" s="23"/>
      <c r="E17" s="23"/>
      <c r="F17" s="23"/>
      <c r="G17" s="23"/>
      <c r="H17" s="23"/>
      <c r="I17" s="46"/>
      <c r="J17" s="46"/>
      <c r="K17" s="23"/>
    </row>
    <row r="18" spans="1:12" x14ac:dyDescent="0.25">
      <c r="A18" s="6" t="s">
        <v>8</v>
      </c>
      <c r="B18" s="23"/>
      <c r="C18" s="23"/>
      <c r="D18" s="23"/>
      <c r="E18" s="23"/>
      <c r="F18" s="23"/>
      <c r="G18" s="23"/>
      <c r="H18" s="23"/>
      <c r="I18" s="46"/>
      <c r="J18" s="46"/>
      <c r="K18" s="23"/>
    </row>
    <row r="19" spans="1:12" x14ac:dyDescent="0.25">
      <c r="A19" s="3" t="s">
        <v>62</v>
      </c>
      <c r="B19" s="25">
        <f>C19+F19+K19+L19</f>
        <v>8749124407</v>
      </c>
      <c r="C19" s="25">
        <f>+'I Trimestre'!C19+'II Trimestre'!C19+'III Trimestre'!C19</f>
        <v>3370649089</v>
      </c>
      <c r="D19" s="41"/>
      <c r="E19" s="41"/>
      <c r="F19" s="55">
        <f>+'I Trimestre'!F19+'II Trimestre'!F19+'III Trimestre'!F19</f>
        <v>4135273128</v>
      </c>
      <c r="G19" s="41"/>
      <c r="H19" s="41"/>
      <c r="I19" s="41"/>
      <c r="J19" s="41"/>
      <c r="K19" s="25">
        <f>+'I Trimestre'!K19+'II Trimestre'!K19+'III Trimestre'!K19</f>
        <v>898335060</v>
      </c>
      <c r="L19" s="25">
        <f>+'I Trimestre'!L19+'II Trimestre'!L19+'III Trimestre'!L19</f>
        <v>344867130</v>
      </c>
    </row>
    <row r="20" spans="1:12" x14ac:dyDescent="0.25">
      <c r="A20" s="62" t="s">
        <v>95</v>
      </c>
      <c r="B20" s="25">
        <f t="shared" ref="B20:B23" si="3">C20+F20+K20+L20</f>
        <v>13602387328</v>
      </c>
      <c r="C20" s="25">
        <f>+'I Trimestre'!C20+'II Trimestre'!C20+'III Trimestre'!C20</f>
        <v>4364914400</v>
      </c>
      <c r="D20" s="41"/>
      <c r="E20" s="41"/>
      <c r="F20" s="56">
        <f>+'I Trimestre'!F20+'II Trimestre'!F20+'III Trimestre'!F20</f>
        <v>6021678528</v>
      </c>
      <c r="G20" s="41"/>
      <c r="H20" s="41"/>
      <c r="I20" s="41"/>
      <c r="J20" s="41"/>
      <c r="K20" s="25">
        <f>+'I Trimestre'!K20+'II Trimestre'!K20+'III Trimestre'!K20</f>
        <v>1933704000</v>
      </c>
      <c r="L20" s="25">
        <f>+'I Trimestre'!L20+'II Trimestre'!L20+'III Trimestre'!L20</f>
        <v>1282090400</v>
      </c>
    </row>
    <row r="21" spans="1:12" x14ac:dyDescent="0.25">
      <c r="A21" s="3" t="s">
        <v>96</v>
      </c>
      <c r="B21" s="38">
        <f t="shared" si="3"/>
        <v>9128681867</v>
      </c>
      <c r="C21" s="25">
        <f>+'I Trimestre'!C21+'II Trimestre'!C21+'III Trimestre'!C21</f>
        <v>3229427927</v>
      </c>
      <c r="D21" s="41"/>
      <c r="E21" s="41"/>
      <c r="F21" s="56">
        <f>+'I Trimestre'!F21+'II Trimestre'!F21+'III Trimestre'!F21</f>
        <v>4367228442</v>
      </c>
      <c r="G21" s="41"/>
      <c r="H21" s="41"/>
      <c r="I21" s="41"/>
      <c r="J21" s="41"/>
      <c r="K21" s="25">
        <f>+'I Trimestre'!K21+'II Trimestre'!K21+'III Trimestre'!K21</f>
        <v>1336511451</v>
      </c>
      <c r="L21" s="25">
        <f>+'I Trimestre'!L21+'II Trimestre'!L21+'III Trimestre'!L21</f>
        <v>195514047</v>
      </c>
    </row>
    <row r="22" spans="1:12" x14ac:dyDescent="0.25">
      <c r="A22" s="3" t="s">
        <v>82</v>
      </c>
      <c r="B22" s="25">
        <f t="shared" si="3"/>
        <v>18458834248</v>
      </c>
      <c r="C22" s="25">
        <f>+'III Trimestre'!C22</f>
        <v>5999613500</v>
      </c>
      <c r="D22" s="41"/>
      <c r="E22" s="41"/>
      <c r="F22" s="56">
        <f>+'III Trimestre'!F22</f>
        <v>8118074448</v>
      </c>
      <c r="G22" s="41"/>
      <c r="H22" s="41"/>
      <c r="I22" s="41"/>
      <c r="J22" s="41"/>
      <c r="K22" s="40">
        <f>+'III Trimestre'!K22</f>
        <v>2578272000</v>
      </c>
      <c r="L22" s="40">
        <f>+'III Trimestre'!L22</f>
        <v>1762874300</v>
      </c>
    </row>
    <row r="23" spans="1:12" x14ac:dyDescent="0.25">
      <c r="A23" s="3" t="s">
        <v>97</v>
      </c>
      <c r="B23" s="25">
        <f t="shared" si="3"/>
        <v>9128681867</v>
      </c>
      <c r="C23" s="4">
        <f>C21</f>
        <v>3229427927</v>
      </c>
      <c r="D23" s="41"/>
      <c r="E23" s="41"/>
      <c r="F23" s="41">
        <f>F21</f>
        <v>4367228442</v>
      </c>
      <c r="G23" s="41"/>
      <c r="H23" s="41"/>
      <c r="I23" s="41"/>
      <c r="J23" s="41"/>
      <c r="K23" s="4">
        <f>K21</f>
        <v>1336511451</v>
      </c>
      <c r="L23" s="4">
        <f>L21</f>
        <v>195514047</v>
      </c>
    </row>
    <row r="24" spans="1:12" x14ac:dyDescent="0.25">
      <c r="B24" s="23"/>
      <c r="C24" s="23"/>
      <c r="D24" s="23"/>
      <c r="E24" s="23"/>
      <c r="F24" s="23"/>
      <c r="G24" s="23"/>
      <c r="H24" s="23"/>
      <c r="I24" s="46"/>
      <c r="J24" s="46"/>
      <c r="K24" s="23"/>
    </row>
    <row r="25" spans="1:12" x14ac:dyDescent="0.25">
      <c r="A25" s="7" t="s">
        <v>9</v>
      </c>
      <c r="B25" s="24"/>
      <c r="C25" s="24"/>
      <c r="D25" s="24"/>
      <c r="E25" s="24"/>
      <c r="F25" s="24"/>
      <c r="G25" s="24"/>
      <c r="H25" s="24"/>
      <c r="I25" s="24"/>
      <c r="J25" s="24"/>
      <c r="K25" s="24"/>
      <c r="L25" s="24"/>
    </row>
    <row r="26" spans="1:12" x14ac:dyDescent="0.25">
      <c r="A26" s="9" t="s">
        <v>95</v>
      </c>
      <c r="B26" s="36">
        <f>+B20</f>
        <v>13602387328</v>
      </c>
      <c r="C26" s="36"/>
      <c r="D26" s="24"/>
      <c r="E26" s="24"/>
      <c r="F26" s="24"/>
      <c r="G26" s="24"/>
      <c r="H26" s="24"/>
      <c r="I26" s="24"/>
      <c r="J26" s="24"/>
      <c r="K26" s="24"/>
      <c r="L26" s="24"/>
    </row>
    <row r="27" spans="1:12" x14ac:dyDescent="0.25">
      <c r="A27" s="9" t="s">
        <v>96</v>
      </c>
      <c r="B27" s="36">
        <f>+'I Trimestre'!B27+'II Trimestre'!B27+'III Trimestre'!B27</f>
        <v>10832337481.459999</v>
      </c>
      <c r="C27" s="36"/>
      <c r="D27" s="24"/>
      <c r="E27" s="24"/>
      <c r="F27" s="24"/>
      <c r="G27" s="24"/>
      <c r="H27" s="24"/>
      <c r="I27" s="24"/>
      <c r="J27" s="24"/>
      <c r="K27" s="24"/>
      <c r="L27" s="24"/>
    </row>
    <row r="28" spans="1:12" x14ac:dyDescent="0.25">
      <c r="I28" s="33"/>
      <c r="J28" s="33"/>
    </row>
    <row r="29" spans="1:12" x14ac:dyDescent="0.25">
      <c r="A29" t="s">
        <v>10</v>
      </c>
      <c r="I29" s="33"/>
      <c r="J29" s="33"/>
    </row>
    <row r="30" spans="1:12" x14ac:dyDescent="0.25">
      <c r="A30" s="11" t="s">
        <v>63</v>
      </c>
      <c r="B30" s="12">
        <v>1.523505238688889</v>
      </c>
      <c r="C30" s="12">
        <v>1.523505238688889</v>
      </c>
      <c r="D30" s="12">
        <v>1.523505238688889</v>
      </c>
      <c r="E30" s="12">
        <v>1.523505238688889</v>
      </c>
      <c r="F30" s="12">
        <v>1.523505238688889</v>
      </c>
      <c r="G30" s="12">
        <v>1.523505238688889</v>
      </c>
      <c r="H30" s="12">
        <v>1.523505238688889</v>
      </c>
      <c r="I30" s="12">
        <v>1.523505238688889</v>
      </c>
      <c r="J30" s="12">
        <v>1.523505238688889</v>
      </c>
      <c r="K30" s="12">
        <v>1.523505238688889</v>
      </c>
      <c r="L30" s="12">
        <v>1.523505238688889</v>
      </c>
    </row>
    <row r="31" spans="1:12" x14ac:dyDescent="0.25">
      <c r="A31" s="11" t="s">
        <v>98</v>
      </c>
      <c r="B31" s="12">
        <v>1.6128472990111107</v>
      </c>
      <c r="C31" s="12">
        <v>1.6128472990111107</v>
      </c>
      <c r="D31" s="12">
        <v>1.6128472990111107</v>
      </c>
      <c r="E31" s="12">
        <v>1.6128472990111107</v>
      </c>
      <c r="F31" s="12">
        <v>1.6128472990111107</v>
      </c>
      <c r="G31" s="12">
        <v>1.6128472990111107</v>
      </c>
      <c r="H31" s="12">
        <v>1.6128472990111107</v>
      </c>
      <c r="I31" s="12">
        <v>1.6128472990111107</v>
      </c>
      <c r="J31" s="12">
        <v>1.6128472990111107</v>
      </c>
      <c r="K31" s="12">
        <v>1.6128472990111107</v>
      </c>
      <c r="L31" s="12">
        <v>1.6128472990111107</v>
      </c>
    </row>
    <row r="32" spans="1:12" x14ac:dyDescent="0.25">
      <c r="A32" s="3" t="s">
        <v>11</v>
      </c>
      <c r="B32" s="4">
        <v>115935</v>
      </c>
      <c r="C32" s="4">
        <v>115935</v>
      </c>
      <c r="D32" s="4">
        <v>115935</v>
      </c>
      <c r="E32" s="4">
        <v>115935</v>
      </c>
      <c r="F32" s="4">
        <v>115935</v>
      </c>
      <c r="G32" s="4">
        <v>115935</v>
      </c>
      <c r="H32" s="4">
        <v>115935</v>
      </c>
      <c r="I32" s="4">
        <v>115935</v>
      </c>
      <c r="J32" s="4">
        <v>115935</v>
      </c>
      <c r="K32" s="4">
        <v>115935</v>
      </c>
      <c r="L32" s="4">
        <v>115935</v>
      </c>
    </row>
    <row r="33" spans="1:12" x14ac:dyDescent="0.25">
      <c r="I33" s="33"/>
      <c r="J33" s="33"/>
    </row>
    <row r="34" spans="1:12" x14ac:dyDescent="0.25">
      <c r="A34" s="13" t="s">
        <v>12</v>
      </c>
      <c r="B34" s="14"/>
      <c r="C34" s="14"/>
      <c r="D34" s="52"/>
      <c r="E34" s="14"/>
      <c r="F34" s="14"/>
      <c r="G34" s="64"/>
      <c r="H34" s="64"/>
      <c r="I34" s="64"/>
      <c r="J34" s="64"/>
      <c r="K34" s="14"/>
      <c r="L34" s="14"/>
    </row>
    <row r="35" spans="1:12" x14ac:dyDescent="0.25">
      <c r="A35" s="14" t="s">
        <v>64</v>
      </c>
      <c r="B35" s="15">
        <f>B19/B30</f>
        <v>5742759647.1735115</v>
      </c>
      <c r="C35" s="51">
        <f>C19/C30</f>
        <v>2212430258.4615602</v>
      </c>
      <c r="D35" s="51"/>
      <c r="E35" s="51"/>
      <c r="F35" s="51">
        <f>F19/F30</f>
        <v>2714315003.969903</v>
      </c>
      <c r="G35" s="51"/>
      <c r="H35" s="51"/>
      <c r="I35" s="51"/>
      <c r="J35" s="51"/>
      <c r="K35" s="15">
        <f t="shared" ref="K35:L35" si="4">K19/K30</f>
        <v>589650128.65534794</v>
      </c>
      <c r="L35" s="15">
        <f t="shared" si="4"/>
        <v>226364256.08669955</v>
      </c>
    </row>
    <row r="36" spans="1:12" x14ac:dyDescent="0.25">
      <c r="A36" s="14" t="s">
        <v>99</v>
      </c>
      <c r="B36" s="15">
        <f>B21/B31</f>
        <v>5659979015.1225681</v>
      </c>
      <c r="C36" s="51">
        <f>C21/C31</f>
        <v>2002314744.2290833</v>
      </c>
      <c r="D36" s="51"/>
      <c r="E36" s="51"/>
      <c r="F36" s="51">
        <f>F21/F31</f>
        <v>2707775525.1087255</v>
      </c>
      <c r="G36" s="51"/>
      <c r="H36" s="51"/>
      <c r="I36" s="51"/>
      <c r="J36" s="51"/>
      <c r="K36" s="15">
        <f>K21/K31</f>
        <v>828665833.28716791</v>
      </c>
      <c r="L36" s="15">
        <f>L21/L31</f>
        <v>121222912.49759109</v>
      </c>
    </row>
    <row r="37" spans="1:12" x14ac:dyDescent="0.25">
      <c r="A37" s="14" t="s">
        <v>65</v>
      </c>
      <c r="B37" s="15">
        <f>B35/B10</f>
        <v>46429.441869869232</v>
      </c>
      <c r="C37" s="51">
        <f>C35/C10</f>
        <v>58545.217079582966</v>
      </c>
      <c r="D37" s="51"/>
      <c r="E37" s="51"/>
      <c r="F37" s="51">
        <f>F35/F10</f>
        <v>22946.987428555309</v>
      </c>
      <c r="G37" s="51"/>
      <c r="H37" s="51"/>
      <c r="I37" s="51"/>
      <c r="J37" s="51"/>
      <c r="K37" s="15">
        <f>K35/K10</f>
        <v>114690.65198284306</v>
      </c>
      <c r="L37" s="15">
        <f>L35/L10</f>
        <v>203768.58419486857</v>
      </c>
    </row>
    <row r="38" spans="1:12" x14ac:dyDescent="0.25">
      <c r="A38" s="14" t="s">
        <v>100</v>
      </c>
      <c r="B38" s="15">
        <f>B36/B14</f>
        <v>45655.464995646958</v>
      </c>
      <c r="C38" s="51">
        <f>C36/C14</f>
        <v>70645.829454506704</v>
      </c>
      <c r="D38" s="51"/>
      <c r="E38" s="51"/>
      <c r="F38" s="51">
        <f>F36/F14</f>
        <v>22286.340598099789</v>
      </c>
      <c r="G38" s="51"/>
      <c r="H38" s="51"/>
      <c r="I38" s="51"/>
      <c r="J38" s="51"/>
      <c r="K38" s="35">
        <f>K36/K14</f>
        <v>150199.2286539757</v>
      </c>
      <c r="L38" s="35">
        <f>L36/L14</f>
        <v>171703.84206457663</v>
      </c>
    </row>
    <row r="39" spans="1:12" x14ac:dyDescent="0.25">
      <c r="I39" s="33"/>
      <c r="J39" s="33"/>
    </row>
    <row r="40" spans="1:12" x14ac:dyDescent="0.25">
      <c r="A40" s="2" t="s">
        <v>13</v>
      </c>
      <c r="I40" s="33"/>
      <c r="J40" s="33"/>
    </row>
    <row r="41" spans="1:12" x14ac:dyDescent="0.25">
      <c r="I41" s="33"/>
      <c r="J41" s="33"/>
    </row>
    <row r="42" spans="1:12" x14ac:dyDescent="0.25">
      <c r="A42" t="s">
        <v>14</v>
      </c>
      <c r="I42" s="33"/>
      <c r="J42" s="33"/>
    </row>
    <row r="43" spans="1:12" x14ac:dyDescent="0.25">
      <c r="A43" t="s">
        <v>15</v>
      </c>
      <c r="B43" s="18">
        <f>(B13/B32)*100</f>
        <v>111.04411954974771</v>
      </c>
      <c r="C43" s="18">
        <f t="shared" ref="C43:L43" si="5">(C13/C32)*100</f>
        <v>28.467196657130671</v>
      </c>
      <c r="D43" s="18">
        <f t="shared" si="5"/>
        <v>21.623323413981975</v>
      </c>
      <c r="E43" s="18">
        <f t="shared" si="5"/>
        <v>6.8438732431486988</v>
      </c>
      <c r="F43" s="18">
        <f t="shared" si="5"/>
        <v>115.10808259417395</v>
      </c>
      <c r="G43" s="18">
        <f t="shared" si="5"/>
        <v>89.420796135765741</v>
      </c>
      <c r="H43" s="18">
        <f t="shared" si="5"/>
        <v>3.4178155384003484</v>
      </c>
      <c r="I43" s="18">
        <f t="shared" si="5"/>
        <v>22.269470920007858</v>
      </c>
      <c r="J43" s="18">
        <f t="shared" si="5"/>
        <v>24.435818921522117</v>
      </c>
      <c r="K43" s="18">
        <f t="shared" si="5"/>
        <v>7.4409511076609007</v>
      </c>
      <c r="L43" s="18">
        <f t="shared" si="5"/>
        <v>3.0238208191371601</v>
      </c>
    </row>
    <row r="44" spans="1:12" x14ac:dyDescent="0.25">
      <c r="A44" t="s">
        <v>16</v>
      </c>
      <c r="B44" s="18">
        <f>(B15/B32)*100</f>
        <v>87.68706602837797</v>
      </c>
      <c r="C44" s="18">
        <f t="shared" ref="C44:L44" si="6">(C15/C32)*100</f>
        <v>19.505565858263491</v>
      </c>
      <c r="D44" s="18">
        <f t="shared" si="6"/>
        <v>15.701901927804373</v>
      </c>
      <c r="E44" s="18">
        <f t="shared" si="6"/>
        <v>3.8036639304591171</v>
      </c>
      <c r="F44" s="18">
        <f t="shared" si="6"/>
        <v>90.496398844179922</v>
      </c>
      <c r="G44" s="18">
        <f t="shared" si="6"/>
        <v>71.985164100573598</v>
      </c>
      <c r="H44" s="18">
        <f t="shared" si="6"/>
        <v>2.6376849096476471</v>
      </c>
      <c r="I44" s="18">
        <f t="shared" si="6"/>
        <v>15.873549833958684</v>
      </c>
      <c r="J44" s="18">
        <f t="shared" si="6"/>
        <v>20.016100976121677</v>
      </c>
      <c r="K44" s="18">
        <f t="shared" si="6"/>
        <v>4.7587968353914798</v>
      </c>
      <c r="L44" s="18">
        <f t="shared" si="6"/>
        <v>0.60896191831629798</v>
      </c>
    </row>
    <row r="45" spans="1:12" x14ac:dyDescent="0.25">
      <c r="I45" s="33"/>
      <c r="J45" s="33"/>
    </row>
    <row r="46" spans="1:12" x14ac:dyDescent="0.25">
      <c r="A46" t="s">
        <v>17</v>
      </c>
      <c r="I46" s="33"/>
      <c r="J46" s="33"/>
    </row>
    <row r="47" spans="1:12" x14ac:dyDescent="0.25">
      <c r="A47" t="s">
        <v>18</v>
      </c>
      <c r="B47" s="16">
        <f>B14/B12*100</f>
        <v>91.567309207416358</v>
      </c>
      <c r="C47" s="16">
        <f t="shared" ref="C47:L47" si="7">C14/C12*100</f>
        <v>71.477768188390371</v>
      </c>
      <c r="D47" s="16">
        <f t="shared" si="7"/>
        <v>75.455220586689819</v>
      </c>
      <c r="E47" s="16">
        <f t="shared" si="7"/>
        <v>55.577650189049145</v>
      </c>
      <c r="F47" s="16">
        <f t="shared" si="7"/>
        <v>91.044456748441988</v>
      </c>
      <c r="G47" s="16">
        <f t="shared" si="7"/>
        <v>96.496897205877616</v>
      </c>
      <c r="H47" s="16">
        <f t="shared" si="7"/>
        <v>77.174583590376329</v>
      </c>
      <c r="I47" s="16">
        <f t="shared" si="7"/>
        <v>71.279420561793401</v>
      </c>
      <c r="J47" s="16">
        <f t="shared" si="7"/>
        <v>81.912953441033537</v>
      </c>
      <c r="K47" s="16">
        <f t="shared" si="7"/>
        <v>63.954147346728504</v>
      </c>
      <c r="L47" s="16">
        <f t="shared" si="7"/>
        <v>20.138822858229535</v>
      </c>
    </row>
    <row r="48" spans="1:12" x14ac:dyDescent="0.25">
      <c r="A48" t="s">
        <v>19</v>
      </c>
      <c r="B48" s="16">
        <f>B21/B20*100</f>
        <v>67.11088022180455</v>
      </c>
      <c r="C48" s="16">
        <f>C21/C20*100</f>
        <v>73.986054044954457</v>
      </c>
      <c r="D48" s="16"/>
      <c r="E48" s="16"/>
      <c r="F48" s="59">
        <f>F21/F20*100</f>
        <v>72.525101127417742</v>
      </c>
      <c r="G48" s="59"/>
      <c r="H48" s="59"/>
      <c r="I48" s="59"/>
      <c r="J48" s="59"/>
      <c r="K48" s="16">
        <f>K21/K20*100</f>
        <v>69.116651307542426</v>
      </c>
      <c r="L48" s="16">
        <f>L21/L20*100</f>
        <v>15.249630369278172</v>
      </c>
    </row>
    <row r="49" spans="1:12" x14ac:dyDescent="0.25">
      <c r="A49" s="14" t="s">
        <v>20</v>
      </c>
      <c r="B49" s="17">
        <f>AVERAGE(B47:B48)</f>
        <v>79.339094714610454</v>
      </c>
      <c r="C49" s="17">
        <f t="shared" ref="C49:L49" si="8">AVERAGE(C47:C48)</f>
        <v>72.731911116672421</v>
      </c>
      <c r="D49" s="17"/>
      <c r="E49" s="17"/>
      <c r="F49" s="60">
        <f>AVERAGE(F47:F48)</f>
        <v>81.784778937929872</v>
      </c>
      <c r="G49" s="60"/>
      <c r="H49" s="60"/>
      <c r="I49" s="60"/>
      <c r="J49" s="60"/>
      <c r="K49" s="17">
        <f t="shared" si="8"/>
        <v>66.535399327135465</v>
      </c>
      <c r="L49" s="17">
        <f t="shared" si="8"/>
        <v>17.694226613753855</v>
      </c>
    </row>
    <row r="50" spans="1:12" x14ac:dyDescent="0.25">
      <c r="B50" s="16"/>
      <c r="C50" s="16"/>
      <c r="D50" s="16"/>
      <c r="E50" s="16"/>
      <c r="F50" s="16"/>
      <c r="G50" s="16"/>
      <c r="H50" s="16"/>
      <c r="I50" s="16"/>
      <c r="J50" s="16"/>
      <c r="K50" s="16"/>
      <c r="L50" s="16"/>
    </row>
    <row r="51" spans="1:12" x14ac:dyDescent="0.25">
      <c r="A51" t="s">
        <v>21</v>
      </c>
    </row>
    <row r="52" spans="1:12" x14ac:dyDescent="0.25">
      <c r="A52" t="s">
        <v>22</v>
      </c>
      <c r="B52" s="16">
        <f>((B14/B16)*100)</f>
        <v>90.633082491779405</v>
      </c>
      <c r="C52" s="16">
        <f t="shared" ref="C52:L52" si="9">((C14/C16)*100)</f>
        <v>69.927464719234194</v>
      </c>
      <c r="D52" s="16">
        <f t="shared" si="9"/>
        <v>73.432812414771178</v>
      </c>
      <c r="E52" s="16">
        <f t="shared" si="9"/>
        <v>55.538762944304501</v>
      </c>
      <c r="F52" s="16">
        <f t="shared" si="9"/>
        <v>89.958638296641467</v>
      </c>
      <c r="G52" s="16">
        <f t="shared" si="9"/>
        <v>96.013449529074521</v>
      </c>
      <c r="H52" s="16">
        <f t="shared" si="9"/>
        <v>74.932614555256066</v>
      </c>
      <c r="I52" s="16">
        <f t="shared" si="9"/>
        <v>68.697824761752585</v>
      </c>
      <c r="J52" s="16">
        <f t="shared" si="9"/>
        <v>79.430440261216688</v>
      </c>
      <c r="K52" s="16">
        <f t="shared" si="9"/>
        <v>64.45223260643823</v>
      </c>
      <c r="L52" s="16">
        <f t="shared" si="9"/>
        <v>19.529737206085755</v>
      </c>
    </row>
    <row r="53" spans="1:12" x14ac:dyDescent="0.25">
      <c r="A53" t="s">
        <v>23</v>
      </c>
      <c r="B53" s="16">
        <f>B21/B22*100</f>
        <v>49.454270753794141</v>
      </c>
      <c r="C53" s="16">
        <f>C21/C22*100</f>
        <v>53.827266156394906</v>
      </c>
      <c r="D53" s="16"/>
      <c r="E53" s="16"/>
      <c r="F53" s="16">
        <f>F21/F22*100</f>
        <v>53.796358606638883</v>
      </c>
      <c r="G53" s="16"/>
      <c r="H53" s="16"/>
      <c r="I53" s="16"/>
      <c r="J53" s="16"/>
      <c r="K53" s="16">
        <f t="shared" ref="K53:L53" si="10">K21/K22*100</f>
        <v>51.837488480656816</v>
      </c>
      <c r="L53" s="16">
        <f t="shared" si="10"/>
        <v>11.090640268565943</v>
      </c>
    </row>
    <row r="54" spans="1:12" x14ac:dyDescent="0.25">
      <c r="A54" t="s">
        <v>24</v>
      </c>
      <c r="B54" s="16">
        <f>(B52+B53)/2</f>
        <v>70.043676622786776</v>
      </c>
      <c r="C54" s="16">
        <f t="shared" ref="C54:L54" si="11">(C52+C53)/2</f>
        <v>61.877365437814547</v>
      </c>
      <c r="D54" s="16"/>
      <c r="E54" s="16"/>
      <c r="F54" s="16">
        <f t="shared" ref="F54" si="12">(F52+F53)/2</f>
        <v>71.877498451640179</v>
      </c>
      <c r="G54" s="16"/>
      <c r="H54" s="16"/>
      <c r="I54" s="16"/>
      <c r="J54" s="16"/>
      <c r="K54" s="16">
        <f t="shared" si="11"/>
        <v>58.144860543547523</v>
      </c>
      <c r="L54" s="16">
        <f t="shared" si="11"/>
        <v>15.310188737325849</v>
      </c>
    </row>
    <row r="55" spans="1:12" x14ac:dyDescent="0.25">
      <c r="B55" s="16"/>
      <c r="C55" s="16"/>
      <c r="D55" s="16"/>
      <c r="E55" s="16"/>
      <c r="F55" s="16"/>
      <c r="G55" s="16"/>
      <c r="H55" s="16"/>
      <c r="I55" s="16"/>
      <c r="J55" s="16"/>
      <c r="K55" s="16"/>
      <c r="L55" s="16"/>
    </row>
    <row r="56" spans="1:12" x14ac:dyDescent="0.25">
      <c r="A56" t="s">
        <v>40</v>
      </c>
    </row>
    <row r="57" spans="1:12" x14ac:dyDescent="0.25">
      <c r="A57" t="s">
        <v>25</v>
      </c>
      <c r="B57" s="16">
        <f>B23/B21*100</f>
        <v>100</v>
      </c>
      <c r="C57" s="16"/>
      <c r="D57" s="16"/>
      <c r="E57" s="16"/>
      <c r="F57" s="16"/>
      <c r="G57" s="16"/>
      <c r="H57" s="16"/>
      <c r="I57" s="16"/>
      <c r="J57" s="16"/>
      <c r="K57" s="16"/>
      <c r="L57" s="16"/>
    </row>
    <row r="59" spans="1:12" x14ac:dyDescent="0.25">
      <c r="A59" t="s">
        <v>26</v>
      </c>
    </row>
    <row r="60" spans="1:12" x14ac:dyDescent="0.25">
      <c r="A60" t="s">
        <v>27</v>
      </c>
      <c r="B60" s="16">
        <f>((B14/B10)-1)*100</f>
        <v>0.22934069714899419</v>
      </c>
      <c r="C60" s="16">
        <f t="shared" ref="C60:L60" si="13">((C14/C10)-1)*100</f>
        <v>-24.998897418783862</v>
      </c>
      <c r="D60" s="16">
        <f t="shared" si="13"/>
        <v>-23.546344476073511</v>
      </c>
      <c r="E60" s="16">
        <f t="shared" si="13"/>
        <v>-32.009662001267728</v>
      </c>
      <c r="F60" s="16">
        <f t="shared" si="13"/>
        <v>2.716290132136967</v>
      </c>
      <c r="G60" s="16">
        <f t="shared" si="13"/>
        <v>8.2857359345627444</v>
      </c>
      <c r="H60" s="16" t="e">
        <f t="shared" si="13"/>
        <v>#VALUE!</v>
      </c>
      <c r="I60" s="16">
        <f t="shared" si="13"/>
        <v>-28.953260925516034</v>
      </c>
      <c r="J60" s="16">
        <f t="shared" si="13"/>
        <v>21.599622714013723</v>
      </c>
      <c r="K60" s="16">
        <f t="shared" si="13"/>
        <v>7.3112748805947758</v>
      </c>
      <c r="L60" s="16">
        <f t="shared" si="13"/>
        <v>-36.447289457891586</v>
      </c>
    </row>
    <row r="61" spans="1:12" x14ac:dyDescent="0.25">
      <c r="A61" t="s">
        <v>28</v>
      </c>
      <c r="B61" s="16">
        <f>((B36/B35)-1)*100</f>
        <v>-1.4414782637070078</v>
      </c>
      <c r="C61" s="16">
        <f t="shared" ref="C61:L61" si="14">((C36/C35)-1)*100</f>
        <v>-9.4970457680588432</v>
      </c>
      <c r="D61" s="16"/>
      <c r="E61" s="16"/>
      <c r="F61" s="16">
        <f t="shared" si="14"/>
        <v>-0.24092556875723314</v>
      </c>
      <c r="G61" s="16"/>
      <c r="H61" s="16"/>
      <c r="I61" s="16"/>
      <c r="J61" s="16"/>
      <c r="K61" s="16">
        <f t="shared" si="14"/>
        <v>40.53517382873757</v>
      </c>
      <c r="L61" s="16">
        <f t="shared" si="14"/>
        <v>-46.447855949853832</v>
      </c>
    </row>
    <row r="62" spans="1:12" x14ac:dyDescent="0.25">
      <c r="A62" s="14" t="s">
        <v>29</v>
      </c>
      <c r="B62" s="17">
        <f>((B38/B37)-1)*100</f>
        <v>-1.6669958609271007</v>
      </c>
      <c r="C62" s="17">
        <f t="shared" ref="C62:L62" si="15">((C38/C37)-1)*100</f>
        <v>20.668831680092438</v>
      </c>
      <c r="D62" s="17"/>
      <c r="E62" s="17"/>
      <c r="F62" s="17">
        <f t="shared" si="15"/>
        <v>-2.8790133454878242</v>
      </c>
      <c r="G62" s="17"/>
      <c r="H62" s="17"/>
      <c r="I62" s="17"/>
      <c r="J62" s="17"/>
      <c r="K62" s="17">
        <f t="shared" si="15"/>
        <v>30.960305881288818</v>
      </c>
      <c r="L62" s="17">
        <f t="shared" si="15"/>
        <v>-15.735861470984991</v>
      </c>
    </row>
    <row r="63" spans="1:12" x14ac:dyDescent="0.25">
      <c r="B63" s="18"/>
      <c r="C63" s="18"/>
      <c r="D63" s="18"/>
      <c r="E63" s="18"/>
      <c r="F63" s="18"/>
      <c r="G63" s="18"/>
      <c r="H63" s="18"/>
      <c r="I63" s="18"/>
      <c r="J63" s="18"/>
      <c r="K63" s="18"/>
      <c r="L63" s="18"/>
    </row>
    <row r="64" spans="1:12" x14ac:dyDescent="0.25">
      <c r="A64" t="s">
        <v>30</v>
      </c>
    </row>
    <row r="65" spans="1:12" x14ac:dyDescent="0.25">
      <c r="A65" t="s">
        <v>31</v>
      </c>
      <c r="B65" s="4">
        <f>B20/(B12*9)</f>
        <v>11163.259730027838</v>
      </c>
      <c r="C65" s="4">
        <f>C20/(C12*9)</f>
        <v>12230.899247918045</v>
      </c>
      <c r="D65" s="4"/>
      <c r="E65" s="4"/>
      <c r="F65" s="4">
        <f>F20/(F12*9)</f>
        <v>5013.657599360562</v>
      </c>
      <c r="G65" s="4"/>
      <c r="H65" s="41"/>
      <c r="I65" s="41"/>
      <c r="J65" s="41"/>
      <c r="K65" s="4">
        <f>K20/(K12*9)</f>
        <v>24906.027820710973</v>
      </c>
      <c r="L65" s="4">
        <f>L20/(L12*9)</f>
        <v>40635.491743526356</v>
      </c>
    </row>
    <row r="66" spans="1:12" x14ac:dyDescent="0.25">
      <c r="A66" t="s">
        <v>32</v>
      </c>
      <c r="B66" s="4">
        <f>B21/(B14*9)</f>
        <v>8181.699267036166</v>
      </c>
      <c r="C66" s="4">
        <f>C21/(C14*9)</f>
        <v>12660.103913566743</v>
      </c>
      <c r="D66" s="4"/>
      <c r="E66" s="45"/>
      <c r="F66" s="4">
        <f>F21/(F14*9)</f>
        <v>3993.8293598318783</v>
      </c>
      <c r="G66" s="41"/>
      <c r="H66" s="41"/>
      <c r="I66" s="41"/>
      <c r="J66" s="41"/>
      <c r="K66" s="4">
        <f>K21/(K14*9)</f>
        <v>26916.491138679659</v>
      </c>
      <c r="L66" s="4">
        <f>L21/(L14*9)</f>
        <v>30770.230878186969</v>
      </c>
    </row>
    <row r="67" spans="1:12" x14ac:dyDescent="0.25">
      <c r="A67" s="14" t="s">
        <v>33</v>
      </c>
      <c r="B67" s="17">
        <f>(B65/B66)*B49</f>
        <v>108.25170812778059</v>
      </c>
      <c r="C67" s="17">
        <f>(C65/C66)*C49</f>
        <v>70.266143394231392</v>
      </c>
      <c r="D67" s="17"/>
      <c r="E67" s="17"/>
      <c r="F67" s="17">
        <f t="shared" ref="F67" si="16">(F65/F66)*F49</f>
        <v>102.66860235897424</v>
      </c>
      <c r="G67" s="60"/>
      <c r="H67" s="60"/>
      <c r="I67" s="60"/>
      <c r="J67" s="60"/>
      <c r="K67" s="17">
        <f>(K65/K66)*K49</f>
        <v>61.565695846677798</v>
      </c>
      <c r="L67" s="17">
        <f>(L65/L66)*L49</f>
        <v>23.367182466641424</v>
      </c>
    </row>
    <row r="68" spans="1:12" x14ac:dyDescent="0.25">
      <c r="A68" t="s">
        <v>41</v>
      </c>
      <c r="B68" s="31">
        <f>B20/B12</f>
        <v>100469.33757025054</v>
      </c>
      <c r="C68" s="31">
        <f>C20/C12</f>
        <v>110078.09323126239</v>
      </c>
      <c r="D68" s="31"/>
      <c r="E68" s="31"/>
      <c r="F68" s="31">
        <f t="shared" ref="F68" si="17">F20/F12</f>
        <v>45122.918394245055</v>
      </c>
      <c r="G68" s="61"/>
      <c r="H68" s="61"/>
      <c r="I68" s="61"/>
      <c r="J68" s="61"/>
      <c r="K68" s="31">
        <f t="shared" ref="K68:L68" si="18">K20/K12</f>
        <v>224154.25038639878</v>
      </c>
      <c r="L68" s="31">
        <f t="shared" si="18"/>
        <v>365719.42569173721</v>
      </c>
    </row>
    <row r="69" spans="1:12" x14ac:dyDescent="0.25">
      <c r="A69" t="s">
        <v>42</v>
      </c>
      <c r="B69" s="18">
        <f>B21/B14</f>
        <v>73635.293403325501</v>
      </c>
      <c r="C69" s="18">
        <f>C21/C14</f>
        <v>113940.9352221007</v>
      </c>
      <c r="D69" s="18"/>
      <c r="E69" s="18"/>
      <c r="F69" s="18">
        <f t="shared" ref="F69" si="19">F21/F14</f>
        <v>35944.464238486908</v>
      </c>
      <c r="G69" s="61"/>
      <c r="H69" s="61"/>
      <c r="I69" s="61"/>
      <c r="J69" s="61"/>
      <c r="K69" s="31">
        <f>K21/K14</f>
        <v>242248.42024811692</v>
      </c>
      <c r="L69" s="31">
        <f>L21/L14</f>
        <v>276932.07790368272</v>
      </c>
    </row>
    <row r="70" spans="1:12" x14ac:dyDescent="0.25">
      <c r="B70" s="16"/>
      <c r="C70" s="16"/>
      <c r="D70" s="16"/>
      <c r="E70" s="16"/>
      <c r="F70" s="16"/>
      <c r="G70" s="16"/>
      <c r="H70" s="16"/>
      <c r="I70" s="18"/>
      <c r="J70" s="18"/>
      <c r="K70" s="16"/>
      <c r="L70" s="16"/>
    </row>
    <row r="71" spans="1:12" x14ac:dyDescent="0.25">
      <c r="A71" t="s">
        <v>34</v>
      </c>
      <c r="B71" s="16"/>
      <c r="C71" s="16"/>
      <c r="D71" s="16"/>
      <c r="E71" s="16"/>
      <c r="F71" s="16"/>
      <c r="G71" s="16"/>
      <c r="H71" s="16"/>
      <c r="I71" s="18"/>
      <c r="J71" s="18"/>
      <c r="K71" s="16"/>
      <c r="L71" s="16"/>
    </row>
    <row r="72" spans="1:12" x14ac:dyDescent="0.25">
      <c r="A72" s="19" t="s">
        <v>35</v>
      </c>
      <c r="B72" s="20">
        <f>(B27/B26)*100</f>
        <v>79.635561172133677</v>
      </c>
      <c r="C72" s="20"/>
      <c r="D72" s="20"/>
      <c r="E72" s="20"/>
      <c r="F72" s="20"/>
      <c r="G72" s="20"/>
      <c r="H72" s="20"/>
      <c r="I72" s="20"/>
      <c r="J72" s="20"/>
      <c r="K72" s="20"/>
      <c r="L72" s="20"/>
    </row>
    <row r="73" spans="1:12" x14ac:dyDescent="0.25">
      <c r="A73" s="19" t="s">
        <v>36</v>
      </c>
      <c r="B73" s="20">
        <f>(B21/B27)*100</f>
        <v>84.272502427330409</v>
      </c>
      <c r="C73" s="20"/>
      <c r="D73" s="20"/>
      <c r="E73" s="20"/>
      <c r="F73" s="20"/>
      <c r="G73" s="20"/>
      <c r="H73" s="20"/>
      <c r="I73" s="20"/>
      <c r="J73" s="20"/>
      <c r="K73" s="20"/>
      <c r="L73" s="20"/>
    </row>
    <row r="74" spans="1:12" ht="15.75" thickBot="1" x14ac:dyDescent="0.3">
      <c r="A74" s="21"/>
      <c r="B74" s="21"/>
      <c r="C74" s="21"/>
      <c r="D74" s="21"/>
      <c r="E74" s="21"/>
      <c r="F74" s="21"/>
      <c r="G74" s="21"/>
      <c r="H74" s="21"/>
      <c r="I74" s="50"/>
      <c r="J74" s="50"/>
      <c r="K74" s="21"/>
      <c r="L74" s="21"/>
    </row>
    <row r="75" spans="1:12" ht="15.75" thickTop="1" x14ac:dyDescent="0.25">
      <c r="A75" s="34" t="s">
        <v>123</v>
      </c>
    </row>
    <row r="76" spans="1:12" x14ac:dyDescent="0.25">
      <c r="A76" t="s">
        <v>126</v>
      </c>
    </row>
    <row r="77" spans="1:12" x14ac:dyDescent="0.25">
      <c r="A77" t="s">
        <v>127</v>
      </c>
    </row>
    <row r="78" spans="1:12" x14ac:dyDescent="0.25">
      <c r="A78" t="s">
        <v>128</v>
      </c>
      <c r="B78" s="22"/>
      <c r="C78" s="22"/>
      <c r="D78" s="22"/>
      <c r="E78" s="22"/>
      <c r="F78" s="22"/>
      <c r="G78" s="22"/>
      <c r="H78" s="22"/>
      <c r="I78" s="22"/>
      <c r="J78" s="22"/>
    </row>
    <row r="80" spans="1:12" x14ac:dyDescent="0.25">
      <c r="A80" t="s">
        <v>43</v>
      </c>
    </row>
    <row r="81" spans="1:1" x14ac:dyDescent="0.25">
      <c r="A81" t="s">
        <v>53</v>
      </c>
    </row>
    <row r="82" spans="1:1" x14ac:dyDescent="0.25">
      <c r="A82" t="s">
        <v>129</v>
      </c>
    </row>
    <row r="83" spans="1:1" x14ac:dyDescent="0.25">
      <c r="A83" t="s">
        <v>50</v>
      </c>
    </row>
    <row r="84" spans="1:1" x14ac:dyDescent="0.25">
      <c r="A84" t="s">
        <v>125</v>
      </c>
    </row>
    <row r="86" spans="1:1" x14ac:dyDescent="0.25">
      <c r="A86" t="s">
        <v>124</v>
      </c>
    </row>
    <row r="87" spans="1:1" x14ac:dyDescent="0.25">
      <c r="A87" s="43">
        <v>41865</v>
      </c>
    </row>
  </sheetData>
  <mergeCells count="6">
    <mergeCell ref="G34:J34"/>
    <mergeCell ref="A2:K2"/>
    <mergeCell ref="A4:A5"/>
    <mergeCell ref="D5:E5"/>
    <mergeCell ref="G5:H5"/>
    <mergeCell ref="D4:L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7"/>
  <sheetViews>
    <sheetView tabSelected="1" zoomScale="60" zoomScaleNormal="60" workbookViewId="0">
      <pane xSplit="1" ySplit="6" topLeftCell="B7" activePane="bottomRight" state="frozen"/>
      <selection pane="topRight" activeCell="B1" sqref="B1"/>
      <selection pane="bottomLeft" activeCell="A7" sqref="A7"/>
      <selection pane="bottomRight" activeCell="G12" sqref="G12"/>
    </sheetView>
  </sheetViews>
  <sheetFormatPr baseColWidth="10" defaultColWidth="11.42578125" defaultRowHeight="15" x14ac:dyDescent="0.25"/>
  <cols>
    <col min="1" max="1" width="55.140625" customWidth="1"/>
    <col min="2" max="3" width="26.7109375" customWidth="1"/>
    <col min="4" max="4" width="20.85546875" customWidth="1"/>
    <col min="5" max="6" width="16.5703125" customWidth="1"/>
    <col min="7" max="7" width="16.140625" customWidth="1"/>
    <col min="8" max="10" width="17.42578125" customWidth="1"/>
    <col min="11" max="11" width="16.42578125" bestFit="1" customWidth="1"/>
    <col min="12" max="12" width="16.42578125" customWidth="1"/>
    <col min="15" max="15" width="15.42578125" bestFit="1" customWidth="1"/>
  </cols>
  <sheetData>
    <row r="1" spans="1:12" x14ac:dyDescent="0.25">
      <c r="G1" s="39"/>
      <c r="H1" s="39"/>
    </row>
    <row r="2" spans="1:12" ht="15.75" x14ac:dyDescent="0.25">
      <c r="A2" s="67" t="s">
        <v>116</v>
      </c>
      <c r="B2" s="67"/>
      <c r="C2" s="67"/>
      <c r="D2" s="67"/>
      <c r="E2" s="67"/>
      <c r="F2" s="67"/>
      <c r="G2" s="67"/>
      <c r="H2" s="67"/>
      <c r="I2" s="67"/>
      <c r="J2" s="67"/>
      <c r="K2" s="67"/>
    </row>
    <row r="4" spans="1:12" x14ac:dyDescent="0.25">
      <c r="A4" s="65" t="s">
        <v>0</v>
      </c>
      <c r="B4" s="26" t="s">
        <v>1</v>
      </c>
      <c r="C4" s="26"/>
      <c r="D4" s="69" t="s">
        <v>2</v>
      </c>
      <c r="E4" s="69"/>
      <c r="F4" s="69"/>
      <c r="G4" s="69"/>
      <c r="H4" s="69"/>
      <c r="I4" s="69"/>
      <c r="J4" s="69"/>
      <c r="K4" s="69"/>
      <c r="L4" s="69"/>
    </row>
    <row r="5" spans="1:12" ht="15.75" thickBot="1" x14ac:dyDescent="0.3">
      <c r="A5" s="66"/>
      <c r="B5" s="1" t="s">
        <v>3</v>
      </c>
      <c r="C5" s="58" t="s">
        <v>130</v>
      </c>
      <c r="D5" s="68" t="s">
        <v>4</v>
      </c>
      <c r="E5" s="68"/>
      <c r="F5" s="58" t="s">
        <v>131</v>
      </c>
      <c r="G5" s="68" t="s">
        <v>52</v>
      </c>
      <c r="H5" s="68"/>
      <c r="I5" s="49"/>
      <c r="J5" s="49"/>
      <c r="K5" s="1" t="s">
        <v>5</v>
      </c>
      <c r="L5" s="21" t="s">
        <v>51</v>
      </c>
    </row>
    <row r="6" spans="1:12" ht="15.75" thickTop="1" x14ac:dyDescent="0.25">
      <c r="B6" s="37" t="s">
        <v>1</v>
      </c>
      <c r="C6" s="37" t="s">
        <v>134</v>
      </c>
      <c r="D6" s="37" t="s">
        <v>48</v>
      </c>
      <c r="E6" s="37" t="s">
        <v>49</v>
      </c>
      <c r="F6" s="37" t="s">
        <v>135</v>
      </c>
      <c r="G6" s="37">
        <v>1600</v>
      </c>
      <c r="H6" s="37">
        <v>1000</v>
      </c>
      <c r="I6" s="48">
        <v>700</v>
      </c>
      <c r="J6" s="48">
        <v>800</v>
      </c>
      <c r="K6" s="37" t="s">
        <v>5</v>
      </c>
      <c r="L6" t="s">
        <v>136</v>
      </c>
    </row>
    <row r="7" spans="1:12" x14ac:dyDescent="0.25">
      <c r="A7" s="2" t="s">
        <v>6</v>
      </c>
      <c r="I7" s="33"/>
      <c r="J7" s="33"/>
    </row>
    <row r="8" spans="1:12" x14ac:dyDescent="0.25">
      <c r="I8" s="33"/>
      <c r="J8" s="33"/>
    </row>
    <row r="9" spans="1:12" x14ac:dyDescent="0.25">
      <c r="A9" t="s">
        <v>7</v>
      </c>
      <c r="I9" s="33"/>
      <c r="J9" s="33"/>
    </row>
    <row r="10" spans="1:12" x14ac:dyDescent="0.25">
      <c r="A10" s="3" t="s">
        <v>74</v>
      </c>
      <c r="B10" s="25">
        <f>+D10+G10</f>
        <v>125579.58333333334</v>
      </c>
      <c r="C10" s="25">
        <f>+D10+E10</f>
        <v>38704.083333333336</v>
      </c>
      <c r="D10" s="25">
        <f>(+'I Trimestre'!D10+'II Trimestre'!D10+'III Trimestre'!D10+'IV Trimestre'!D10)/4</f>
        <v>32023.083333333336</v>
      </c>
      <c r="E10" s="25">
        <f>(+'I Trimestre'!E10+'II Trimestre'!E10+'III Trimestre'!E10+'IV Trimestre'!E10)/4</f>
        <v>6681</v>
      </c>
      <c r="F10" s="25">
        <f>G10+I10</f>
        <v>119966.75</v>
      </c>
      <c r="G10" s="25">
        <f>(+'I Trimestre'!G10+'II Trimestre'!G10+'III Trimestre'!G10+'IV Trimestre'!G10)/4</f>
        <v>93556.5</v>
      </c>
      <c r="H10" s="25" t="s">
        <v>78</v>
      </c>
      <c r="I10" s="38">
        <f>(+'I Trimestre'!I10+'II Trimestre'!I10+'III Trimestre'!I10+'IV Trimestre'!I10)/4</f>
        <v>26410.25</v>
      </c>
      <c r="J10" s="38">
        <f>(+'I Trimestre'!J10+'II Trimestre'!J10+'III Trimestre'!J10+'IV Trimestre'!J10)/4</f>
        <v>19990</v>
      </c>
      <c r="K10" s="25">
        <f>(+'I Trimestre'!K10+'II Trimestre'!K10+'III Trimestre'!K10+'IV Trimestre'!K10)/4</f>
        <v>5881.666666666667</v>
      </c>
      <c r="L10" s="25">
        <f>(+'I Trimestre'!L10+'II Trimestre'!L10+'III Trimestre'!L10+'IV Trimestre'!L10)/4</f>
        <v>1408.5833333333335</v>
      </c>
    </row>
    <row r="11" spans="1:12" x14ac:dyDescent="0.25">
      <c r="A11" s="28" t="s">
        <v>37</v>
      </c>
      <c r="B11" s="25">
        <f t="shared" ref="B11:B16" si="0">+D11+G11</f>
        <v>104888</v>
      </c>
      <c r="C11" s="25">
        <f t="shared" ref="C11:C16" si="1">+D11+E11</f>
        <v>33008.333333333328</v>
      </c>
      <c r="D11" s="25">
        <f>(+'I Trimestre'!D11+'II Trimestre'!D11+'III Trimestre'!D11+'IV Trimestre'!D11)/4</f>
        <v>26327.333333333332</v>
      </c>
      <c r="E11" s="25">
        <f>(+'I Trimestre'!E11+'II Trimestre'!E11+'III Trimestre'!E11+'IV Trimestre'!E11)/4</f>
        <v>6681</v>
      </c>
      <c r="F11" s="25">
        <f>G11+I11</f>
        <v>104970.91666666667</v>
      </c>
      <c r="G11" s="25">
        <f>(+'I Trimestre'!G11+'II Trimestre'!G11+'III Trimestre'!G11+'IV Trimestre'!G11)/4</f>
        <v>78560.666666666672</v>
      </c>
      <c r="H11" s="25" t="s">
        <v>78</v>
      </c>
      <c r="I11" s="38">
        <f>(+'I Trimestre'!I11+'II Trimestre'!I11+'III Trimestre'!I11+'IV Trimestre'!I11)/4</f>
        <v>26410.25</v>
      </c>
      <c r="J11" s="38">
        <f>(+'I Trimestre'!J11+'II Trimestre'!J11+'III Trimestre'!J11+'IV Trimestre'!J11)/4</f>
        <v>19990</v>
      </c>
      <c r="K11" s="25">
        <f>(+'I Trimestre'!K11+'II Trimestre'!K11+'III Trimestre'!K11+'IV Trimestre'!K11)/4</f>
        <v>5881.666666666667</v>
      </c>
      <c r="L11" s="25">
        <f>(+'I Trimestre'!L11+'II Trimestre'!L11+'III Trimestre'!L11+'IV Trimestre'!L11)/4</f>
        <v>1408.5833333333335</v>
      </c>
    </row>
    <row r="12" spans="1:12" x14ac:dyDescent="0.25">
      <c r="A12" s="3" t="s">
        <v>117</v>
      </c>
      <c r="B12" s="25">
        <f t="shared" si="0"/>
        <v>137296.83333333334</v>
      </c>
      <c r="C12" s="25">
        <f t="shared" si="1"/>
        <v>40853.166666666672</v>
      </c>
      <c r="D12" s="25">
        <f>(+'I Trimestre'!D12+'II Trimestre'!D12+'III Trimestre'!D12+'IV Trimestre'!D12)/4</f>
        <v>32929.833333333336</v>
      </c>
      <c r="E12" s="25">
        <f>(+'I Trimestre'!E12+'II Trimestre'!E12+'III Trimestre'!E12+'IV Trimestre'!E12)/4</f>
        <v>7923.333333333333</v>
      </c>
      <c r="F12" s="25">
        <f>SUM(G12:I12)</f>
        <v>135251.66666666666</v>
      </c>
      <c r="G12" s="25">
        <f>(+'I Trimestre'!G12+'II Trimestre'!G12+'III Trimestre'!G12+'IV Trimestre'!G12)/4</f>
        <v>104367</v>
      </c>
      <c r="H12" s="25">
        <f>(+'I Trimestre'!H12+'II Trimestre'!H12+'III Trimestre'!H12+'IV Trimestre'!H12)/4</f>
        <v>4096.333333333333</v>
      </c>
      <c r="I12" s="38">
        <f>(+'I Trimestre'!I12+'II Trimestre'!I12+'III Trimestre'!I12+'IV Trimestre'!I12)/4</f>
        <v>26788.333333333332</v>
      </c>
      <c r="J12" s="38">
        <f>(+'I Trimestre'!J12+'II Trimestre'!J12+'III Trimestre'!J12+'IV Trimestre'!J12)/4</f>
        <v>29215</v>
      </c>
      <c r="K12" s="25">
        <f>(+'I Trimestre'!K12+'II Trimestre'!K12+'III Trimestre'!K12+'IV Trimestre'!K12)/4</f>
        <v>8735</v>
      </c>
      <c r="L12" s="25">
        <f>(+'I Trimestre'!L12+'II Trimestre'!L12+'III Trimestre'!L12+'IV Trimestre'!L12)/4</f>
        <v>3615.25</v>
      </c>
    </row>
    <row r="13" spans="1:12" x14ac:dyDescent="0.25">
      <c r="A13" s="28" t="s">
        <v>37</v>
      </c>
      <c r="B13" s="25">
        <f t="shared" si="0"/>
        <v>130097</v>
      </c>
      <c r="C13" s="25">
        <f t="shared" si="1"/>
        <v>33653.333333333336</v>
      </c>
      <c r="D13" s="25">
        <f>(+'I Trimestre'!D13+'II Trimestre'!D13+'III Trimestre'!D13+'IV Trimestre'!D13)/4</f>
        <v>25730</v>
      </c>
      <c r="E13" s="25">
        <f>(+'I Trimestre'!E13+'II Trimestre'!E13+'III Trimestre'!E13+'IV Trimestre'!E13)/4</f>
        <v>7923.333333333333</v>
      </c>
      <c r="F13" s="25">
        <f t="shared" ref="F13:F16" si="2">SUM(G13:I13)</f>
        <v>135251.66666666666</v>
      </c>
      <c r="G13" s="25">
        <f>(+'I Trimestre'!G13+'II Trimestre'!G13+'III Trimestre'!G13+'IV Trimestre'!G13)/4</f>
        <v>104367</v>
      </c>
      <c r="H13" s="25">
        <f>(+'I Trimestre'!H13+'II Trimestre'!H13+'III Trimestre'!H13+'IV Trimestre'!H13)/4</f>
        <v>4096.333333333333</v>
      </c>
      <c r="I13" s="38">
        <f>(+'I Trimestre'!I13+'II Trimestre'!I13+'III Trimestre'!I13+'IV Trimestre'!I13)/4</f>
        <v>26788.333333333332</v>
      </c>
      <c r="J13" s="38">
        <f>(+'I Trimestre'!J13+'II Trimestre'!J13+'III Trimestre'!J13+'IV Trimestre'!J13)/4</f>
        <v>29215</v>
      </c>
      <c r="K13" s="25">
        <f>(+'I Trimestre'!K13+'II Trimestre'!K13+'III Trimestre'!K13+'IV Trimestre'!K13)/4</f>
        <v>8735</v>
      </c>
      <c r="L13" s="25">
        <f>(+'I Trimestre'!L13+'II Trimestre'!L13+'III Trimestre'!L13+'IV Trimestre'!L13)/4</f>
        <v>3615.25</v>
      </c>
    </row>
    <row r="14" spans="1:12" x14ac:dyDescent="0.25">
      <c r="A14" s="3" t="s">
        <v>118</v>
      </c>
      <c r="B14" s="25">
        <f t="shared" si="0"/>
        <v>125562.16666666667</v>
      </c>
      <c r="C14" s="25">
        <f t="shared" si="1"/>
        <v>29670.25</v>
      </c>
      <c r="D14" s="25">
        <f>(+'I Trimestre'!D14+'II Trimestre'!D14+'III Trimestre'!D14+'IV Trimestre'!D14)/4</f>
        <v>24531.666666666668</v>
      </c>
      <c r="E14" s="25">
        <f>(+'I Trimestre'!E14+'II Trimestre'!E14+'III Trimestre'!E14+'IV Trimestre'!E14)/4</f>
        <v>5138.583333333333</v>
      </c>
      <c r="F14" s="25">
        <f t="shared" si="2"/>
        <v>123055.25</v>
      </c>
      <c r="G14" s="25">
        <f>(+'I Trimestre'!G14+'II Trimestre'!G14+'III Trimestre'!G14+'IV Trimestre'!G14)/4</f>
        <v>101030.5</v>
      </c>
      <c r="H14" s="25">
        <f>(+'I Trimestre'!H14+'II Trimestre'!H14+'III Trimestre'!H14+'IV Trimestre'!H14)/4</f>
        <v>3107.25</v>
      </c>
      <c r="I14" s="38">
        <f>(+'I Trimestre'!I14+'II Trimestre'!I14+'III Trimestre'!I14+'IV Trimestre'!I14)/4</f>
        <v>18917.5</v>
      </c>
      <c r="J14" s="38">
        <f>(+'I Trimestre'!J14+'II Trimestre'!J14+'III Trimestre'!J14+'IV Trimestre'!J14)/4</f>
        <v>23762.25</v>
      </c>
      <c r="K14" s="25">
        <f>(+'I Trimestre'!K14+'II Trimestre'!K14+'III Trimestre'!K14+'IV Trimestre'!K14)/4</f>
        <v>6835.8333333333339</v>
      </c>
      <c r="L14" s="25">
        <f>(+'I Trimestre'!L14+'II Trimestre'!L14+'III Trimestre'!L14+'IV Trimestre'!L14)/4</f>
        <v>850.25</v>
      </c>
    </row>
    <row r="15" spans="1:12" x14ac:dyDescent="0.25">
      <c r="A15" s="28" t="s">
        <v>37</v>
      </c>
      <c r="B15" s="25">
        <f t="shared" si="0"/>
        <v>102497.75</v>
      </c>
      <c r="C15" s="25">
        <f t="shared" si="1"/>
        <v>23758.083333333332</v>
      </c>
      <c r="D15" s="25">
        <f>(+'I Trimestre'!D15+'II Trimestre'!D15+'III Trimestre'!D15+'IV Trimestre'!D15)/4</f>
        <v>18619.5</v>
      </c>
      <c r="E15" s="25">
        <f>(+'I Trimestre'!E15+'II Trimestre'!E15+'III Trimestre'!E15+'IV Trimestre'!E15)/4</f>
        <v>5138.583333333333</v>
      </c>
      <c r="F15" s="25">
        <f t="shared" si="2"/>
        <v>105903</v>
      </c>
      <c r="G15" s="25">
        <f>(+'I Trimestre'!G15+'II Trimestre'!G15+'III Trimestre'!G15+'IV Trimestre'!G15)/4</f>
        <v>83878.25</v>
      </c>
      <c r="H15" s="25">
        <f>(+'I Trimestre'!H15+'II Trimestre'!H15+'III Trimestre'!H15+'IV Trimestre'!H15)/4</f>
        <v>3107.25</v>
      </c>
      <c r="I15" s="38">
        <f>(+'I Trimestre'!I15+'II Trimestre'!I15+'III Trimestre'!I15+'IV Trimestre'!I15)/4</f>
        <v>18917.5</v>
      </c>
      <c r="J15" s="38">
        <f>(+'I Trimestre'!J15+'II Trimestre'!J15+'III Trimestre'!J15+'IV Trimestre'!J15)/4</f>
        <v>23762.25</v>
      </c>
      <c r="K15" s="25">
        <f>(+'I Trimestre'!K15+'II Trimestre'!K15+'III Trimestre'!K15+'IV Trimestre'!K15)/4</f>
        <v>6835.8333333333339</v>
      </c>
      <c r="L15" s="25">
        <f>(+'I Trimestre'!L15+'II Trimestre'!L15+'III Trimestre'!L15+'IV Trimestre'!L15)/4</f>
        <v>850.25</v>
      </c>
    </row>
    <row r="16" spans="1:12" x14ac:dyDescent="0.25">
      <c r="A16" s="3" t="s">
        <v>82</v>
      </c>
      <c r="B16" s="25">
        <f t="shared" si="0"/>
        <v>136784</v>
      </c>
      <c r="C16" s="25">
        <f t="shared" si="1"/>
        <v>40532</v>
      </c>
      <c r="D16" s="4">
        <f>+'IV Trimestre'!D16</f>
        <v>32592</v>
      </c>
      <c r="E16" s="4">
        <f>+'IV Trimestre'!E16</f>
        <v>7940</v>
      </c>
      <c r="F16" s="25">
        <f t="shared" si="2"/>
        <v>135061.33000000002</v>
      </c>
      <c r="G16" s="4">
        <f>+'IV Trimestre'!G16</f>
        <v>104192</v>
      </c>
      <c r="H16" s="4">
        <f>+'IV Trimestre'!H16</f>
        <v>4081</v>
      </c>
      <c r="I16" s="5">
        <f>'IV Trimestre'!I16</f>
        <v>26788.33</v>
      </c>
      <c r="J16" s="5">
        <f>'IV Trimestre'!J16</f>
        <v>29215.08</v>
      </c>
      <c r="K16" s="4">
        <f>+'IV Trimestre'!K16</f>
        <v>8560</v>
      </c>
      <c r="L16" s="4">
        <f>+'IV Trimestre'!L16</f>
        <v>3615</v>
      </c>
    </row>
    <row r="17" spans="1:18" x14ac:dyDescent="0.25">
      <c r="B17" s="23"/>
      <c r="C17" s="23"/>
      <c r="D17" s="23"/>
      <c r="E17" s="23"/>
      <c r="F17" s="23"/>
      <c r="G17" s="23"/>
      <c r="H17" s="23"/>
      <c r="I17" s="46"/>
      <c r="J17" s="46"/>
      <c r="K17" s="23"/>
    </row>
    <row r="18" spans="1:18" x14ac:dyDescent="0.25">
      <c r="A18" s="6" t="s">
        <v>8</v>
      </c>
      <c r="B18" s="25"/>
      <c r="C18" s="25"/>
      <c r="D18" s="23"/>
      <c r="E18" s="25"/>
      <c r="F18" s="25"/>
      <c r="G18" s="25"/>
      <c r="H18" s="25"/>
      <c r="I18" s="38"/>
      <c r="J18" s="38"/>
      <c r="K18" s="25"/>
      <c r="L18" s="25"/>
      <c r="P18" s="71"/>
      <c r="Q18" s="71"/>
      <c r="R18" s="71"/>
    </row>
    <row r="19" spans="1:18" x14ac:dyDescent="0.25">
      <c r="A19" s="3" t="s">
        <v>74</v>
      </c>
      <c r="B19" s="25">
        <f>C19+F19+K19+L19</f>
        <v>12852178537</v>
      </c>
      <c r="C19" s="25">
        <f>+'I Trimestre'!C19+'II Trimestre'!C19+'III Trimestre'!C19+'IV Trimestre'!C19</f>
        <v>3860755709</v>
      </c>
      <c r="D19" s="41"/>
      <c r="E19" s="41"/>
      <c r="F19" s="55">
        <f>+'I Trimestre'!F19+'II Trimestre'!F19+'III Trimestre'!F19+'IV Trimestre'!F19</f>
        <v>6876128428</v>
      </c>
      <c r="G19" s="41"/>
      <c r="H19" s="41"/>
      <c r="I19" s="41"/>
      <c r="J19" s="41"/>
      <c r="K19" s="53">
        <f>+'I Trimestre'!K19+'II Trimestre'!K19+'III Trimestre'!K19+'IV Trimestre'!K19</f>
        <v>1574998810</v>
      </c>
      <c r="L19" s="53">
        <f>+'I Trimestre'!L19+'II Trimestre'!L19+'III Trimestre'!L19+'IV Trimestre'!L19</f>
        <v>540295590</v>
      </c>
      <c r="P19" s="71"/>
      <c r="Q19" s="71"/>
      <c r="R19" s="71"/>
    </row>
    <row r="20" spans="1:18" x14ac:dyDescent="0.25">
      <c r="A20" s="62" t="s">
        <v>133</v>
      </c>
      <c r="B20" s="25">
        <f t="shared" ref="B20:B23" si="3">C20+F20+K20+L20</f>
        <v>18458834248</v>
      </c>
      <c r="C20" s="25">
        <f>+'I Trimestre'!C20+'II Trimestre'!C20+'III Trimestre'!C20+'IV Trimestre'!C20</f>
        <v>5999613500</v>
      </c>
      <c r="D20" s="41"/>
      <c r="E20" s="41"/>
      <c r="F20" s="56">
        <f>+'I Trimestre'!F20+'II Trimestre'!F20+'III Trimestre'!F20+'IV Trimestre'!F20</f>
        <v>8118074448</v>
      </c>
      <c r="G20" s="41"/>
      <c r="H20" s="41"/>
      <c r="I20" s="41"/>
      <c r="J20" s="41"/>
      <c r="K20" s="53">
        <f>+'I Trimestre'!K20+'II Trimestre'!K20+'III Trimestre'!K20+'IV Trimestre'!K20</f>
        <v>2578272000</v>
      </c>
      <c r="L20" s="53">
        <f>+'I Trimestre'!L20+'II Trimestre'!L20+'III Trimestre'!L20+'IV Trimestre'!L20</f>
        <v>1762874300</v>
      </c>
      <c r="O20" s="4"/>
      <c r="P20" s="71"/>
      <c r="Q20" s="71"/>
      <c r="R20" s="71"/>
    </row>
    <row r="21" spans="1:18" x14ac:dyDescent="0.25">
      <c r="A21" s="3" t="s">
        <v>118</v>
      </c>
      <c r="B21" s="38">
        <f t="shared" si="3"/>
        <v>14142566154</v>
      </c>
      <c r="C21" s="25">
        <f>+'I Trimestre'!C21+'II Trimestre'!C21+'III Trimestre'!C21+'IV Trimestre'!C21</f>
        <v>4248306173</v>
      </c>
      <c r="D21" s="41"/>
      <c r="E21" s="41"/>
      <c r="F21" s="56">
        <f>+'I Trimestre'!F21+'II Trimestre'!F21+'III Trimestre'!F21+'IV Trimestre'!F21</f>
        <v>7295089098</v>
      </c>
      <c r="G21" s="41"/>
      <c r="H21" s="41"/>
      <c r="I21" s="41"/>
      <c r="J21" s="41"/>
      <c r="K21" s="53">
        <f>+'I Trimestre'!K21+'II Trimestre'!K21+'III Trimestre'!K21+'IV Trimestre'!K21</f>
        <v>2298985541</v>
      </c>
      <c r="L21" s="53">
        <f>+'I Trimestre'!L21+'II Trimestre'!L21+'III Trimestre'!L21+'IV Trimestre'!L21</f>
        <v>300185342</v>
      </c>
      <c r="P21" s="71"/>
      <c r="Q21" s="71"/>
      <c r="R21" s="71"/>
    </row>
    <row r="22" spans="1:18" x14ac:dyDescent="0.25">
      <c r="A22" s="3" t="s">
        <v>82</v>
      </c>
      <c r="B22" s="25">
        <f t="shared" si="3"/>
        <v>18458834248</v>
      </c>
      <c r="C22" s="25">
        <f>+'IV Trimestre'!C22</f>
        <v>5999613500</v>
      </c>
      <c r="D22" s="41"/>
      <c r="E22" s="41"/>
      <c r="F22" s="56">
        <f>+'IV Trimestre'!F22</f>
        <v>8118074448</v>
      </c>
      <c r="G22" s="41"/>
      <c r="H22" s="41"/>
      <c r="I22" s="41"/>
      <c r="J22" s="41"/>
      <c r="K22" s="25">
        <f>+'IV Trimestre'!K22</f>
        <v>2578272000</v>
      </c>
      <c r="L22" s="25">
        <f>+'IV Trimestre'!L22</f>
        <v>1762874300</v>
      </c>
      <c r="P22" s="71"/>
      <c r="Q22" s="71"/>
      <c r="R22" s="71"/>
    </row>
    <row r="23" spans="1:18" x14ac:dyDescent="0.25">
      <c r="A23" s="3" t="s">
        <v>119</v>
      </c>
      <c r="B23" s="25">
        <f t="shared" si="3"/>
        <v>14142566154</v>
      </c>
      <c r="C23" s="4">
        <f>C21</f>
        <v>4248306173</v>
      </c>
      <c r="D23" s="41"/>
      <c r="E23" s="41"/>
      <c r="F23" s="41">
        <f>F21</f>
        <v>7295089098</v>
      </c>
      <c r="G23" s="41"/>
      <c r="H23" s="41"/>
      <c r="I23" s="41"/>
      <c r="J23" s="41"/>
      <c r="K23" s="4">
        <f>K21</f>
        <v>2298985541</v>
      </c>
      <c r="L23" s="4">
        <f>L21</f>
        <v>300185342</v>
      </c>
    </row>
    <row r="24" spans="1:18" x14ac:dyDescent="0.25">
      <c r="B24" s="23"/>
      <c r="C24" s="23"/>
      <c r="D24" s="23"/>
      <c r="E24" s="23"/>
      <c r="F24" s="23"/>
      <c r="G24" s="23"/>
      <c r="H24" s="23"/>
      <c r="I24" s="46"/>
      <c r="J24" s="46"/>
      <c r="K24" s="23"/>
    </row>
    <row r="25" spans="1:18" x14ac:dyDescent="0.25">
      <c r="A25" s="7" t="s">
        <v>9</v>
      </c>
      <c r="B25" s="24"/>
      <c r="C25" s="24" t="s">
        <v>132</v>
      </c>
      <c r="D25" s="44"/>
      <c r="E25" s="44"/>
      <c r="F25" s="44"/>
      <c r="G25" s="24"/>
      <c r="H25" s="24"/>
      <c r="I25" s="24"/>
      <c r="J25" s="24"/>
      <c r="K25" s="24"/>
      <c r="L25" s="24"/>
    </row>
    <row r="26" spans="1:18" x14ac:dyDescent="0.25">
      <c r="A26" s="9" t="s">
        <v>117</v>
      </c>
      <c r="B26" s="24">
        <f>+B20</f>
        <v>18458834248</v>
      </c>
      <c r="C26" s="24"/>
      <c r="D26" s="44"/>
      <c r="E26" s="44"/>
      <c r="F26" s="44"/>
      <c r="G26" s="24"/>
      <c r="H26" s="24"/>
      <c r="I26" s="24"/>
      <c r="J26" s="24"/>
      <c r="K26" s="24"/>
      <c r="L26" s="24"/>
    </row>
    <row r="27" spans="1:18" x14ac:dyDescent="0.25">
      <c r="A27" s="9" t="s">
        <v>118</v>
      </c>
      <c r="B27" s="24">
        <f>+'I Trimestre'!B27+'II Trimestre'!B27+'III Trimestre'!B27+'IV Trimestre'!B27</f>
        <v>14566929315.289999</v>
      </c>
      <c r="C27" s="24"/>
      <c r="D27" s="44"/>
      <c r="E27" s="44"/>
      <c r="F27" s="44"/>
      <c r="G27" s="24"/>
      <c r="H27" s="24"/>
      <c r="I27" s="24"/>
      <c r="J27" s="24"/>
      <c r="K27" s="24"/>
      <c r="L27" s="24"/>
    </row>
    <row r="28" spans="1:18" x14ac:dyDescent="0.25">
      <c r="I28" s="33"/>
      <c r="J28" s="33"/>
    </row>
    <row r="29" spans="1:18" x14ac:dyDescent="0.25">
      <c r="A29" t="s">
        <v>10</v>
      </c>
      <c r="I29" s="33"/>
      <c r="J29" s="33"/>
    </row>
    <row r="30" spans="1:18" x14ac:dyDescent="0.25">
      <c r="A30" s="11" t="s">
        <v>75</v>
      </c>
      <c r="B30" s="12">
        <v>1.5325622623500001</v>
      </c>
      <c r="C30" s="12">
        <v>1.5325622623500001</v>
      </c>
      <c r="D30" s="12">
        <v>1.5325622623500001</v>
      </c>
      <c r="E30" s="12">
        <v>1.5325622623500001</v>
      </c>
      <c r="F30" s="12">
        <v>1.5325622623500001</v>
      </c>
      <c r="G30" s="12">
        <v>1.5325622623500001</v>
      </c>
      <c r="H30" s="12">
        <v>1.5325622623500001</v>
      </c>
      <c r="I30" s="12">
        <v>1.5325622623500001</v>
      </c>
      <c r="J30" s="12">
        <v>1.5325622623500001</v>
      </c>
      <c r="K30" s="12">
        <v>1.5325622623500001</v>
      </c>
      <c r="L30" s="12">
        <v>1.5325622623500001</v>
      </c>
    </row>
    <row r="31" spans="1:18" x14ac:dyDescent="0.25">
      <c r="A31" s="11" t="s">
        <v>120</v>
      </c>
      <c r="B31" s="12">
        <v>1.6141688075916665</v>
      </c>
      <c r="C31" s="12">
        <v>1.6141688075916665</v>
      </c>
      <c r="D31" s="12">
        <v>1.6141688075916665</v>
      </c>
      <c r="E31" s="12">
        <v>1.6141688075916665</v>
      </c>
      <c r="F31" s="12">
        <v>1.6141688075916665</v>
      </c>
      <c r="G31" s="12">
        <v>1.6141688075916665</v>
      </c>
      <c r="H31" s="12">
        <v>1.6141688075916665</v>
      </c>
      <c r="I31" s="12">
        <v>1.6141688075916665</v>
      </c>
      <c r="J31" s="12">
        <v>1.6141688075916665</v>
      </c>
      <c r="K31" s="12">
        <v>1.6141688075916665</v>
      </c>
      <c r="L31" s="12">
        <v>1.6141688075916665</v>
      </c>
    </row>
    <row r="32" spans="1:18" x14ac:dyDescent="0.25">
      <c r="A32" s="3" t="s">
        <v>11</v>
      </c>
      <c r="B32" s="4">
        <v>115935</v>
      </c>
      <c r="C32" s="4">
        <v>115935</v>
      </c>
      <c r="D32" s="4">
        <v>115935</v>
      </c>
      <c r="E32" s="4">
        <v>115935</v>
      </c>
      <c r="F32" s="4">
        <v>115935</v>
      </c>
      <c r="G32" s="4">
        <v>115935</v>
      </c>
      <c r="H32" s="4">
        <v>115935</v>
      </c>
      <c r="I32" s="4">
        <v>115935</v>
      </c>
      <c r="J32" s="4">
        <v>115935</v>
      </c>
      <c r="K32" s="4">
        <v>115935</v>
      </c>
      <c r="L32" s="4">
        <v>115935</v>
      </c>
    </row>
    <row r="33" spans="1:12" x14ac:dyDescent="0.25">
      <c r="I33" s="33"/>
      <c r="J33" s="33"/>
    </row>
    <row r="34" spans="1:12" x14ac:dyDescent="0.25">
      <c r="A34" s="13" t="s">
        <v>12</v>
      </c>
      <c r="B34" s="14"/>
      <c r="C34" s="14"/>
      <c r="D34" s="52"/>
      <c r="E34" s="52"/>
      <c r="F34" s="52"/>
      <c r="G34" s="64"/>
      <c r="H34" s="64"/>
      <c r="I34" s="64"/>
      <c r="J34" s="64"/>
      <c r="K34" s="14"/>
      <c r="L34" s="14"/>
    </row>
    <row r="35" spans="1:12" x14ac:dyDescent="0.25">
      <c r="A35" s="14" t="s">
        <v>76</v>
      </c>
      <c r="B35" s="15">
        <f>B19/B30</f>
        <v>8386072691.9457932</v>
      </c>
      <c r="C35" s="51">
        <f>C19/C30</f>
        <v>2519150969.4881792</v>
      </c>
      <c r="D35" s="51"/>
      <c r="E35" s="51"/>
      <c r="F35" s="51">
        <f>F19/F30</f>
        <v>4486687814.8599873</v>
      </c>
      <c r="G35" s="51"/>
      <c r="H35" s="51"/>
      <c r="I35" s="51"/>
      <c r="J35" s="51"/>
      <c r="K35" s="15">
        <f t="shared" ref="K35:L35" si="4">K19/K30</f>
        <v>1027689933.8399006</v>
      </c>
      <c r="L35" s="15">
        <f t="shared" si="4"/>
        <v>352543973.75772625</v>
      </c>
    </row>
    <row r="36" spans="1:12" x14ac:dyDescent="0.25">
      <c r="A36" s="14" t="s">
        <v>121</v>
      </c>
      <c r="B36" s="15">
        <f>B21/B31</f>
        <v>8761516197.9871559</v>
      </c>
      <c r="C36" s="51">
        <f>C21/C31</f>
        <v>2631884690.7582459</v>
      </c>
      <c r="D36" s="51"/>
      <c r="E36" s="51"/>
      <c r="F36" s="51">
        <f>F21/F31</f>
        <v>4519409038.0697193</v>
      </c>
      <c r="G36" s="51"/>
      <c r="H36" s="51"/>
      <c r="I36" s="51"/>
      <c r="J36" s="51"/>
      <c r="K36" s="15">
        <f>K21/K31</f>
        <v>1424253479.6779263</v>
      </c>
      <c r="L36" s="15">
        <f>L21/L31</f>
        <v>185968989.48126456</v>
      </c>
    </row>
    <row r="37" spans="1:12" x14ac:dyDescent="0.25">
      <c r="A37" s="14" t="s">
        <v>77</v>
      </c>
      <c r="B37" s="15">
        <f>B35/B10</f>
        <v>66778.949804970631</v>
      </c>
      <c r="C37" s="51">
        <f>C35/C10</f>
        <v>65087.472755583818</v>
      </c>
      <c r="D37" s="51"/>
      <c r="E37" s="51"/>
      <c r="F37" s="51">
        <f>F35/F10</f>
        <v>37399.427881975527</v>
      </c>
      <c r="G37" s="51"/>
      <c r="H37" s="51"/>
      <c r="I37" s="51"/>
      <c r="J37" s="51"/>
      <c r="K37" s="15">
        <f>K35/K10</f>
        <v>174727.67364804202</v>
      </c>
      <c r="L37" s="15">
        <f>L35/L10</f>
        <v>250282.65308482014</v>
      </c>
    </row>
    <row r="38" spans="1:12" x14ac:dyDescent="0.25">
      <c r="A38" s="14" t="s">
        <v>122</v>
      </c>
      <c r="B38" s="15">
        <f>B36/B14</f>
        <v>69778.313249775252</v>
      </c>
      <c r="C38" s="51">
        <f>C36/C14</f>
        <v>88704.499987638992</v>
      </c>
      <c r="D38" s="51"/>
      <c r="E38" s="51"/>
      <c r="F38" s="51">
        <f>F36/F14</f>
        <v>36726.665770617015</v>
      </c>
      <c r="G38" s="51"/>
      <c r="H38" s="51"/>
      <c r="I38" s="51"/>
      <c r="J38" s="51"/>
      <c r="K38" s="35">
        <f>K36/K14</f>
        <v>208351.11247269431</v>
      </c>
      <c r="L38" s="35">
        <f>L36/L14</f>
        <v>218722.71623788835</v>
      </c>
    </row>
    <row r="39" spans="1:12" x14ac:dyDescent="0.25">
      <c r="I39" s="33"/>
      <c r="J39" s="33"/>
    </row>
    <row r="40" spans="1:12" x14ac:dyDescent="0.25">
      <c r="A40" s="2" t="s">
        <v>13</v>
      </c>
      <c r="I40" s="33"/>
      <c r="J40" s="33"/>
    </row>
    <row r="41" spans="1:12" x14ac:dyDescent="0.25">
      <c r="I41" s="33"/>
      <c r="J41" s="33"/>
    </row>
    <row r="42" spans="1:12" x14ac:dyDescent="0.25">
      <c r="A42" t="s">
        <v>14</v>
      </c>
      <c r="I42" s="33"/>
      <c r="J42" s="33"/>
    </row>
    <row r="43" spans="1:12" x14ac:dyDescent="0.25">
      <c r="A43" t="s">
        <v>15</v>
      </c>
      <c r="B43" s="18">
        <f>(B13/B32)*100</f>
        <v>112.21546556259973</v>
      </c>
      <c r="C43" s="18">
        <f t="shared" ref="C43:L43" si="5">(C13/C32)*100</f>
        <v>29.027759807938359</v>
      </c>
      <c r="D43" s="18">
        <f t="shared" si="5"/>
        <v>22.193470479147798</v>
      </c>
      <c r="E43" s="18">
        <f t="shared" si="5"/>
        <v>6.8342893287905575</v>
      </c>
      <c r="F43" s="18">
        <f t="shared" si="5"/>
        <v>116.66163511162864</v>
      </c>
      <c r="G43" s="18">
        <f t="shared" si="5"/>
        <v>90.021995083451927</v>
      </c>
      <c r="H43" s="18">
        <f t="shared" si="5"/>
        <v>3.5333017064159513</v>
      </c>
      <c r="I43" s="18">
        <f t="shared" si="5"/>
        <v>23.106338321760756</v>
      </c>
      <c r="J43" s="18">
        <f t="shared" si="5"/>
        <v>25.199465217578815</v>
      </c>
      <c r="K43" s="18">
        <f t="shared" si="5"/>
        <v>7.5343942726527793</v>
      </c>
      <c r="L43" s="18">
        <f t="shared" si="5"/>
        <v>3.1183421744943285</v>
      </c>
    </row>
    <row r="44" spans="1:12" x14ac:dyDescent="0.25">
      <c r="A44" t="s">
        <v>16</v>
      </c>
      <c r="B44" s="18">
        <f>(B15/B32)*100</f>
        <v>88.409669211195933</v>
      </c>
      <c r="C44" s="18">
        <f t="shared" ref="C44:L44" si="6">(C15/C32)*100</f>
        <v>20.492589238222568</v>
      </c>
      <c r="D44" s="18">
        <f t="shared" si="6"/>
        <v>16.060292405227067</v>
      </c>
      <c r="E44" s="18">
        <f t="shared" si="6"/>
        <v>4.4322968329955001</v>
      </c>
      <c r="F44" s="18">
        <f t="shared" si="6"/>
        <v>91.346875404321381</v>
      </c>
      <c r="G44" s="18">
        <f t="shared" si="6"/>
        <v>72.349376805968859</v>
      </c>
      <c r="H44" s="18">
        <f t="shared" si="6"/>
        <v>2.6801656100401088</v>
      </c>
      <c r="I44" s="18">
        <f t="shared" si="6"/>
        <v>16.317332988312415</v>
      </c>
      <c r="J44" s="18">
        <f t="shared" si="6"/>
        <v>20.496183206106871</v>
      </c>
      <c r="K44" s="18">
        <f t="shared" si="6"/>
        <v>5.8962637109874789</v>
      </c>
      <c r="L44" s="18">
        <f t="shared" si="6"/>
        <v>0.73338508647086731</v>
      </c>
    </row>
    <row r="45" spans="1:12" x14ac:dyDescent="0.25">
      <c r="I45" s="33"/>
      <c r="J45" s="33"/>
    </row>
    <row r="46" spans="1:12" x14ac:dyDescent="0.25">
      <c r="A46" t="s">
        <v>17</v>
      </c>
      <c r="I46" s="33"/>
      <c r="J46" s="33"/>
    </row>
    <row r="47" spans="1:12" x14ac:dyDescent="0.25">
      <c r="A47" t="s">
        <v>18</v>
      </c>
      <c r="B47" s="16">
        <f>B14/B12*100</f>
        <v>91.453068230512713</v>
      </c>
      <c r="C47" s="16">
        <f t="shared" ref="C47:L47" si="7">C14/C12*100</f>
        <v>72.626560976505289</v>
      </c>
      <c r="D47" s="16">
        <f t="shared" si="7"/>
        <v>74.496783565054997</v>
      </c>
      <c r="E47" s="16">
        <f t="shared" si="7"/>
        <v>64.853807320151446</v>
      </c>
      <c r="F47" s="16">
        <f t="shared" si="7"/>
        <v>90.98242781974345</v>
      </c>
      <c r="G47" s="16">
        <f t="shared" si="7"/>
        <v>96.80310826219015</v>
      </c>
      <c r="H47" s="16">
        <f t="shared" si="7"/>
        <v>75.854422654406378</v>
      </c>
      <c r="I47" s="16">
        <f t="shared" si="7"/>
        <v>70.618428420332236</v>
      </c>
      <c r="J47" s="16">
        <f t="shared" si="7"/>
        <v>81.335786411090197</v>
      </c>
      <c r="K47" s="16">
        <f t="shared" si="7"/>
        <v>78.257966037015848</v>
      </c>
      <c r="L47" s="16">
        <f t="shared" si="7"/>
        <v>23.518428877670978</v>
      </c>
    </row>
    <row r="48" spans="1:12" x14ac:dyDescent="0.25">
      <c r="A48" t="s">
        <v>19</v>
      </c>
      <c r="B48" s="16">
        <f>B21/B20*100</f>
        <v>76.616789359449044</v>
      </c>
      <c r="C48" s="16">
        <f>C21/C20*100</f>
        <v>70.809664205869254</v>
      </c>
      <c r="D48" s="16"/>
      <c r="E48" s="16"/>
      <c r="F48" s="59">
        <f>F21/F20*100</f>
        <v>89.862308417204105</v>
      </c>
      <c r="G48" s="59"/>
      <c r="H48" s="59"/>
      <c r="I48" s="59"/>
      <c r="J48" s="59"/>
      <c r="K48" s="16">
        <f>K21/K20*100</f>
        <v>89.167688319928999</v>
      </c>
      <c r="L48" s="16">
        <f>L21/L20*100</f>
        <v>17.028176200651401</v>
      </c>
    </row>
    <row r="49" spans="1:12" x14ac:dyDescent="0.25">
      <c r="A49" s="14" t="s">
        <v>20</v>
      </c>
      <c r="B49" s="17">
        <f>AVERAGE(B47:B48)</f>
        <v>84.034928794980885</v>
      </c>
      <c r="C49" s="17">
        <f t="shared" ref="C49:L49" si="8">AVERAGE(C47:C48)</f>
        <v>71.718112591187264</v>
      </c>
      <c r="D49" s="17"/>
      <c r="E49" s="17"/>
      <c r="F49" s="60">
        <f>AVERAGE(F47:F48)</f>
        <v>90.42236811847377</v>
      </c>
      <c r="G49" s="60"/>
      <c r="H49" s="60"/>
      <c r="I49" s="60"/>
      <c r="J49" s="60"/>
      <c r="K49" s="17">
        <f t="shared" si="8"/>
        <v>83.712827178472423</v>
      </c>
      <c r="L49" s="17">
        <f t="shared" si="8"/>
        <v>20.27330253916119</v>
      </c>
    </row>
    <row r="50" spans="1:12" x14ac:dyDescent="0.25">
      <c r="B50" s="16"/>
      <c r="C50" s="16"/>
      <c r="D50" s="16"/>
      <c r="E50" s="16"/>
      <c r="F50" s="16"/>
      <c r="G50" s="16"/>
      <c r="H50" s="16"/>
      <c r="I50" s="16"/>
      <c r="J50" s="16"/>
      <c r="K50" s="16"/>
      <c r="L50" s="16"/>
    </row>
    <row r="51" spans="1:12" x14ac:dyDescent="0.25">
      <c r="A51" t="s">
        <v>21</v>
      </c>
    </row>
    <row r="52" spans="1:12" x14ac:dyDescent="0.25">
      <c r="A52" t="s">
        <v>22</v>
      </c>
      <c r="B52" s="16">
        <f>((B14/B16)*100)</f>
        <v>91.79594591960074</v>
      </c>
      <c r="C52" s="16">
        <f t="shared" ref="C52:L52" si="9">((C14/C16)*100)</f>
        <v>73.202037895983423</v>
      </c>
      <c r="D52" s="16">
        <f t="shared" si="9"/>
        <v>75.26898216331206</v>
      </c>
      <c r="E52" s="16">
        <f t="shared" si="9"/>
        <v>64.717674223341731</v>
      </c>
      <c r="F52" s="16">
        <f t="shared" si="9"/>
        <v>91.110645808093253</v>
      </c>
      <c r="G52" s="16">
        <f t="shared" si="9"/>
        <v>96.965697942260448</v>
      </c>
      <c r="H52" s="16">
        <f t="shared" si="9"/>
        <v>76.139426611124733</v>
      </c>
      <c r="I52" s="16">
        <f t="shared" si="9"/>
        <v>70.618437207545227</v>
      </c>
      <c r="J52" s="16">
        <f t="shared" si="9"/>
        <v>81.335563688341779</v>
      </c>
      <c r="K52" s="16">
        <f t="shared" si="9"/>
        <v>79.857866043613711</v>
      </c>
      <c r="L52" s="16">
        <f t="shared" si="9"/>
        <v>23.520055325034576</v>
      </c>
    </row>
    <row r="53" spans="1:12" x14ac:dyDescent="0.25">
      <c r="A53" t="s">
        <v>23</v>
      </c>
      <c r="B53" s="16">
        <f>B21/B22*100</f>
        <v>76.616789359449044</v>
      </c>
      <c r="C53" s="16">
        <f>C21/C22*100</f>
        <v>70.809664205869254</v>
      </c>
      <c r="D53" s="16"/>
      <c r="E53" s="16"/>
      <c r="F53" s="16">
        <f>F21/F22*100</f>
        <v>89.862308417204105</v>
      </c>
      <c r="G53" s="16"/>
      <c r="H53" s="16"/>
      <c r="I53" s="16"/>
      <c r="J53" s="16"/>
      <c r="K53" s="16">
        <f t="shared" ref="K53:L53" si="10">K21/K22*100</f>
        <v>89.167688319928999</v>
      </c>
      <c r="L53" s="16">
        <f t="shared" si="10"/>
        <v>17.028176200651401</v>
      </c>
    </row>
    <row r="54" spans="1:12" x14ac:dyDescent="0.25">
      <c r="A54" t="s">
        <v>24</v>
      </c>
      <c r="B54" s="16">
        <f>(B52+B53)/2</f>
        <v>84.206367639524899</v>
      </c>
      <c r="C54" s="16">
        <f t="shared" ref="C54:L54" si="11">(C52+C53)/2</f>
        <v>72.005851050926339</v>
      </c>
      <c r="D54" s="16"/>
      <c r="E54" s="16"/>
      <c r="F54" s="16">
        <f t="shared" ref="F54" si="12">(F52+F53)/2</f>
        <v>90.486477112648686</v>
      </c>
      <c r="G54" s="16"/>
      <c r="H54" s="16"/>
      <c r="I54" s="16"/>
      <c r="J54" s="16"/>
      <c r="K54" s="16">
        <f t="shared" si="11"/>
        <v>84.512777181771355</v>
      </c>
      <c r="L54" s="16">
        <f t="shared" si="11"/>
        <v>20.274115762842989</v>
      </c>
    </row>
    <row r="55" spans="1:12" x14ac:dyDescent="0.25">
      <c r="B55" s="16"/>
      <c r="C55" s="16"/>
      <c r="D55" s="16"/>
      <c r="E55" s="16"/>
      <c r="F55" s="16"/>
      <c r="G55" s="16"/>
      <c r="H55" s="16"/>
      <c r="I55" s="16"/>
      <c r="J55" s="16"/>
      <c r="K55" s="16"/>
      <c r="L55" s="16"/>
    </row>
    <row r="56" spans="1:12" x14ac:dyDescent="0.25">
      <c r="A56" t="s">
        <v>40</v>
      </c>
    </row>
    <row r="57" spans="1:12" x14ac:dyDescent="0.25">
      <c r="A57" t="s">
        <v>25</v>
      </c>
      <c r="B57" s="16">
        <f>B23/B21*100</f>
        <v>100</v>
      </c>
      <c r="C57" s="16"/>
      <c r="D57" s="16"/>
      <c r="E57" s="16"/>
      <c r="F57" s="16"/>
      <c r="G57" s="16"/>
      <c r="H57" s="16"/>
      <c r="I57" s="16"/>
      <c r="J57" s="16"/>
      <c r="K57" s="16"/>
      <c r="L57" s="16"/>
    </row>
    <row r="59" spans="1:12" x14ac:dyDescent="0.25">
      <c r="A59" t="s">
        <v>26</v>
      </c>
    </row>
    <row r="60" spans="1:12" x14ac:dyDescent="0.25">
      <c r="A60" t="s">
        <v>27</v>
      </c>
      <c r="B60" s="16">
        <f>((B14/B10)-1)*100</f>
        <v>-1.3869027276858237E-2</v>
      </c>
      <c r="C60" s="16">
        <f t="shared" ref="C60:L60" si="13">((C14/C10)-1)*100</f>
        <v>-23.340775844064687</v>
      </c>
      <c r="D60" s="16">
        <f t="shared" si="13"/>
        <v>-23.39380186688248</v>
      </c>
      <c r="E60" s="16">
        <f t="shared" si="13"/>
        <v>-23.0866137803722</v>
      </c>
      <c r="F60" s="16">
        <f t="shared" si="13"/>
        <v>2.5744633408840256</v>
      </c>
      <c r="G60" s="16">
        <f t="shared" si="13"/>
        <v>7.9887554579318287</v>
      </c>
      <c r="H60" s="16" t="e">
        <f t="shared" si="13"/>
        <v>#VALUE!</v>
      </c>
      <c r="I60" s="16">
        <f t="shared" si="13"/>
        <v>-28.370613682187784</v>
      </c>
      <c r="J60" s="16">
        <f t="shared" si="13"/>
        <v>18.870685342671333</v>
      </c>
      <c r="K60" s="16">
        <f t="shared" si="13"/>
        <v>16.222725984698229</v>
      </c>
      <c r="L60" s="16">
        <f t="shared" si="13"/>
        <v>-39.637934094539439</v>
      </c>
    </row>
    <row r="61" spans="1:12" x14ac:dyDescent="0.25">
      <c r="A61" t="s">
        <v>28</v>
      </c>
      <c r="B61" s="16">
        <f>((B36/B35)-1)*100</f>
        <v>4.4769884525559744</v>
      </c>
      <c r="C61" s="16">
        <f t="shared" ref="C61:L61" si="14">((C36/C35)-1)*100</f>
        <v>4.4750680937939658</v>
      </c>
      <c r="D61" s="16"/>
      <c r="E61" s="16"/>
      <c r="F61" s="16">
        <f t="shared" si="14"/>
        <v>0.72929574242626138</v>
      </c>
      <c r="G61" s="16"/>
      <c r="H61" s="16"/>
      <c r="I61" s="16"/>
      <c r="J61" s="16"/>
      <c r="K61" s="16">
        <f t="shared" si="14"/>
        <v>38.587859312418303</v>
      </c>
      <c r="L61" s="16">
        <f t="shared" si="14"/>
        <v>-47.249420405902221</v>
      </c>
    </row>
    <row r="62" spans="1:12" x14ac:dyDescent="0.25">
      <c r="A62" s="14" t="s">
        <v>29</v>
      </c>
      <c r="B62" s="17">
        <f>((B38/B37)-1)*100</f>
        <v>4.4914804044752454</v>
      </c>
      <c r="C62" s="17">
        <f t="shared" ref="C62:L62" si="15">((C38/C37)-1)*100</f>
        <v>36.285057987643384</v>
      </c>
      <c r="D62" s="17"/>
      <c r="E62" s="17"/>
      <c r="F62" s="17">
        <f t="shared" si="15"/>
        <v>-1.7988566923579752</v>
      </c>
      <c r="G62" s="17"/>
      <c r="H62" s="17"/>
      <c r="I62" s="17"/>
      <c r="J62" s="17"/>
      <c r="K62" s="17">
        <f t="shared" si="15"/>
        <v>19.243339147512927</v>
      </c>
      <c r="L62" s="17">
        <f t="shared" si="15"/>
        <v>-12.609718035966399</v>
      </c>
    </row>
    <row r="63" spans="1:12" x14ac:dyDescent="0.25">
      <c r="B63" s="18"/>
      <c r="C63" s="18"/>
      <c r="D63" s="18"/>
      <c r="E63" s="18"/>
      <c r="F63" s="18"/>
      <c r="G63" s="18"/>
      <c r="H63" s="18"/>
      <c r="I63" s="18"/>
      <c r="J63" s="18"/>
      <c r="K63" s="18"/>
      <c r="L63" s="18"/>
    </row>
    <row r="64" spans="1:12" x14ac:dyDescent="0.25">
      <c r="A64" t="s">
        <v>30</v>
      </c>
      <c r="B64">
        <f>(B66/B65)-1</f>
        <v>-0.16222833370300904</v>
      </c>
      <c r="K64">
        <f>(K66/K65)-1</f>
        <v>0.13940717904363753</v>
      </c>
    </row>
    <row r="65" spans="1:12" x14ac:dyDescent="0.25">
      <c r="A65" t="s">
        <v>31</v>
      </c>
      <c r="B65" s="4">
        <f>B20/(B12*12)</f>
        <v>11203.726626372785</v>
      </c>
      <c r="C65" s="4">
        <f>C20/(C12*12)</f>
        <v>12238.164932135003</v>
      </c>
      <c r="D65" s="4"/>
      <c r="E65" s="4"/>
      <c r="F65" s="4">
        <f>F20/(F12*12)</f>
        <v>5001.8326625673126</v>
      </c>
      <c r="G65" s="4"/>
      <c r="H65" s="41"/>
      <c r="I65" s="41"/>
      <c r="J65" s="41"/>
      <c r="K65" s="4">
        <f>K20/(K12*12)</f>
        <v>24597.137950772754</v>
      </c>
      <c r="L65" s="4">
        <f>L20/(L12*12)</f>
        <v>40635.140492819766</v>
      </c>
    </row>
    <row r="66" spans="1:12" x14ac:dyDescent="0.25">
      <c r="A66" t="s">
        <v>32</v>
      </c>
      <c r="B66" s="4">
        <f>B21/(B14*12)</f>
        <v>9386.1647245122931</v>
      </c>
      <c r="C66" s="4">
        <f>C21/(C14*12)</f>
        <v>11932.00308108852</v>
      </c>
      <c r="D66" s="4"/>
      <c r="E66" s="45"/>
      <c r="F66" s="4">
        <f>F21/(F14*12)</f>
        <v>4940.2531911478791</v>
      </c>
      <c r="G66" s="41"/>
      <c r="H66" s="41"/>
      <c r="I66" s="41"/>
      <c r="J66" s="41"/>
      <c r="K66" s="4">
        <f>K21/(K14*12)</f>
        <v>28026.155565037181</v>
      </c>
      <c r="L66" s="4">
        <f>L21/(L14*12)</f>
        <v>29421.282171910221</v>
      </c>
    </row>
    <row r="67" spans="1:12" x14ac:dyDescent="0.25">
      <c r="A67" s="14" t="s">
        <v>33</v>
      </c>
      <c r="B67" s="17">
        <f>(B65/B66)*B49</f>
        <v>100.30767591654312</v>
      </c>
      <c r="C67" s="17">
        <f>(C65/C66)*C49</f>
        <v>73.55831913113353</v>
      </c>
      <c r="D67" s="17"/>
      <c r="E67" s="17"/>
      <c r="F67" s="17">
        <f t="shared" ref="F67" si="16">(F65/F66)*F49</f>
        <v>91.549468576241054</v>
      </c>
      <c r="G67" s="60"/>
      <c r="H67" s="60"/>
      <c r="I67" s="60"/>
      <c r="J67" s="60"/>
      <c r="K67" s="17">
        <f>(K65/K66)*K49</f>
        <v>73.470510558601944</v>
      </c>
      <c r="L67" s="17">
        <f>(L65/L66)*L49</f>
        <v>28.000428129498054</v>
      </c>
    </row>
    <row r="68" spans="1:12" x14ac:dyDescent="0.25">
      <c r="A68" t="s">
        <v>41</v>
      </c>
      <c r="B68" s="31">
        <f>B20/B12</f>
        <v>134444.71951647341</v>
      </c>
      <c r="C68" s="31">
        <f>C20/C12</f>
        <v>146857.97918562003</v>
      </c>
      <c r="D68" s="31"/>
      <c r="E68" s="31"/>
      <c r="F68" s="31">
        <f t="shared" ref="F68" si="17">F20/F12</f>
        <v>60021.991950807758</v>
      </c>
      <c r="G68" s="61"/>
      <c r="H68" s="61"/>
      <c r="I68" s="61"/>
      <c r="J68" s="61"/>
      <c r="K68" s="31">
        <f t="shared" ref="K68:L68" si="18">K20/K12</f>
        <v>295165.65540927305</v>
      </c>
      <c r="L68" s="31">
        <f t="shared" si="18"/>
        <v>487621.68591383722</v>
      </c>
    </row>
    <row r="69" spans="1:12" x14ac:dyDescent="0.25">
      <c r="A69" t="s">
        <v>42</v>
      </c>
      <c r="B69" s="18">
        <f>B21/B14</f>
        <v>112633.97669414751</v>
      </c>
      <c r="C69" s="18">
        <f>C21/C14</f>
        <v>143184.03697306223</v>
      </c>
      <c r="D69" s="18"/>
      <c r="E69" s="18"/>
      <c r="F69" s="18">
        <f t="shared" ref="F69" si="19">F21/F14</f>
        <v>59283.038293774545</v>
      </c>
      <c r="G69" s="61"/>
      <c r="H69" s="61"/>
      <c r="I69" s="61"/>
      <c r="J69" s="61"/>
      <c r="K69" s="31">
        <f>K21/K14</f>
        <v>336313.86678044614</v>
      </c>
      <c r="L69" s="31">
        <f>L21/L14</f>
        <v>353055.38606292265</v>
      </c>
    </row>
    <row r="70" spans="1:12" x14ac:dyDescent="0.25">
      <c r="B70" s="16"/>
      <c r="C70" s="16"/>
      <c r="D70" s="16"/>
      <c r="E70" s="16"/>
      <c r="F70" s="16"/>
      <c r="G70" s="16"/>
      <c r="H70" s="16"/>
      <c r="I70" s="18"/>
      <c r="J70" s="18"/>
      <c r="K70" s="16"/>
      <c r="L70" s="16"/>
    </row>
    <row r="71" spans="1:12" x14ac:dyDescent="0.25">
      <c r="A71" t="s">
        <v>34</v>
      </c>
      <c r="B71" s="16"/>
      <c r="C71" s="16"/>
      <c r="D71" s="16"/>
      <c r="E71" s="16"/>
      <c r="F71" s="16"/>
      <c r="G71" s="16"/>
      <c r="H71" s="16"/>
      <c r="I71" s="18"/>
      <c r="J71" s="18"/>
      <c r="K71" s="16"/>
      <c r="L71" s="16"/>
    </row>
    <row r="72" spans="1:12" x14ac:dyDescent="0.25">
      <c r="A72" s="19" t="s">
        <v>35</v>
      </c>
      <c r="B72" s="20">
        <f>(B27/B26)*100</f>
        <v>78.915759898912967</v>
      </c>
      <c r="C72" s="20"/>
      <c r="D72" s="20"/>
      <c r="E72" s="20"/>
      <c r="F72" s="20"/>
      <c r="G72" s="20"/>
      <c r="H72" s="20"/>
      <c r="I72" s="20"/>
      <c r="J72" s="20"/>
      <c r="K72" s="20"/>
      <c r="L72" s="20"/>
    </row>
    <row r="73" spans="1:12" x14ac:dyDescent="0.25">
      <c r="A73" s="19" t="s">
        <v>36</v>
      </c>
      <c r="B73" s="20">
        <f>(B21/B27)*100</f>
        <v>97.086804280401282</v>
      </c>
      <c r="C73" s="20"/>
      <c r="D73" s="20"/>
      <c r="E73" s="20"/>
      <c r="F73" s="20"/>
      <c r="G73" s="20"/>
      <c r="H73" s="20"/>
      <c r="I73" s="20"/>
      <c r="J73" s="20"/>
      <c r="K73" s="20"/>
      <c r="L73" s="20"/>
    </row>
    <row r="74" spans="1:12" ht="15.75" thickBot="1" x14ac:dyDescent="0.3">
      <c r="A74" s="21"/>
      <c r="B74" s="21"/>
      <c r="C74" s="21"/>
      <c r="D74" s="21"/>
      <c r="E74" s="21"/>
      <c r="F74" s="21"/>
      <c r="G74" s="21"/>
      <c r="H74" s="21"/>
      <c r="I74" s="50"/>
      <c r="J74" s="50"/>
      <c r="K74" s="21"/>
      <c r="L74" s="21"/>
    </row>
    <row r="75" spans="1:12" ht="15.75" thickTop="1" x14ac:dyDescent="0.25">
      <c r="A75" s="34" t="s">
        <v>123</v>
      </c>
    </row>
    <row r="76" spans="1:12" x14ac:dyDescent="0.25">
      <c r="A76" t="s">
        <v>126</v>
      </c>
    </row>
    <row r="77" spans="1:12" x14ac:dyDescent="0.25">
      <c r="A77" t="s">
        <v>127</v>
      </c>
    </row>
    <row r="78" spans="1:12" x14ac:dyDescent="0.25">
      <c r="A78" t="s">
        <v>128</v>
      </c>
      <c r="B78" s="22"/>
      <c r="C78" s="22"/>
      <c r="D78" s="22"/>
      <c r="E78" s="22"/>
      <c r="F78" s="22"/>
      <c r="G78" s="22"/>
      <c r="H78" s="22"/>
      <c r="I78" s="22"/>
      <c r="J78" s="22"/>
    </row>
    <row r="80" spans="1:12" x14ac:dyDescent="0.25">
      <c r="A80" t="s">
        <v>43</v>
      </c>
    </row>
    <row r="81" spans="1:1" x14ac:dyDescent="0.25">
      <c r="A81" t="s">
        <v>53</v>
      </c>
    </row>
    <row r="82" spans="1:1" x14ac:dyDescent="0.25">
      <c r="A82" t="s">
        <v>129</v>
      </c>
    </row>
    <row r="83" spans="1:1" x14ac:dyDescent="0.25">
      <c r="A83" t="s">
        <v>50</v>
      </c>
    </row>
    <row r="84" spans="1:1" x14ac:dyDescent="0.25">
      <c r="A84" t="s">
        <v>125</v>
      </c>
    </row>
    <row r="86" spans="1:1" x14ac:dyDescent="0.25">
      <c r="A86" t="s">
        <v>124</v>
      </c>
    </row>
    <row r="87" spans="1:1" x14ac:dyDescent="0.25">
      <c r="A87" s="43">
        <v>41865</v>
      </c>
    </row>
  </sheetData>
  <mergeCells count="11">
    <mergeCell ref="P18:R18"/>
    <mergeCell ref="P19:R19"/>
    <mergeCell ref="P20:R20"/>
    <mergeCell ref="P21:R21"/>
    <mergeCell ref="P22:R22"/>
    <mergeCell ref="G34:J34"/>
    <mergeCell ref="A2:K2"/>
    <mergeCell ref="A4:A5"/>
    <mergeCell ref="D5:E5"/>
    <mergeCell ref="G5:H5"/>
    <mergeCell ref="D4:L4"/>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M28" sqref="M28"/>
    </sheetView>
  </sheetViews>
  <sheetFormatPr baseColWidth="10" defaultColWidth="11.42578125"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 Trimestre</vt:lpstr>
      <vt:lpstr>Hoja2 (2)</vt:lpstr>
      <vt:lpstr>II Trimestre</vt:lpstr>
      <vt:lpstr>III Trimestre</vt:lpstr>
      <vt:lpstr>IV Trimestre</vt:lpstr>
      <vt:lpstr>I Semestre</vt:lpstr>
      <vt:lpstr>III T Acumulado</vt:lpstr>
      <vt:lpstr>Anual</vt:lpstr>
      <vt:lpstr>Observaciones</vt: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catherine.mata</dc:creator>
  <cp:lastModifiedBy>Horacio Rodriguez</cp:lastModifiedBy>
  <dcterms:created xsi:type="dcterms:W3CDTF">2012-02-08T21:16:28Z</dcterms:created>
  <dcterms:modified xsi:type="dcterms:W3CDTF">2014-11-04T15:17:37Z</dcterms:modified>
</cp:coreProperties>
</file>