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  <sheet name="Hoja1" sheetId="16" r:id="rId10"/>
  </sheets>
  <calcPr calcId="152511"/>
</workbook>
</file>

<file path=xl/calcChain.xml><?xml version="1.0" encoding="utf-8"?>
<calcChain xmlns="http://schemas.openxmlformats.org/spreadsheetml/2006/main">
  <c r="B23" i="3" l="1"/>
  <c r="B23" i="6"/>
  <c r="E66" i="8" l="1"/>
  <c r="D66" i="8"/>
  <c r="F11" i="8"/>
  <c r="D22" i="8"/>
  <c r="D65" i="8" s="1"/>
  <c r="D15" i="9"/>
  <c r="E15" i="9"/>
  <c r="F15" i="9"/>
  <c r="G15" i="9"/>
  <c r="D15" i="10"/>
  <c r="E15" i="10"/>
  <c r="E31" i="10" s="1"/>
  <c r="F15" i="10"/>
  <c r="F31" i="10" s="1"/>
  <c r="F33" i="10" s="1"/>
  <c r="G15" i="10"/>
  <c r="G31" i="10" s="1"/>
  <c r="G33" i="10" s="1"/>
  <c r="D15" i="11"/>
  <c r="E15" i="11"/>
  <c r="E31" i="11" s="1"/>
  <c r="F15" i="11"/>
  <c r="G15" i="11"/>
  <c r="D9" i="9"/>
  <c r="E9" i="9"/>
  <c r="E55" i="9" s="1"/>
  <c r="F9" i="9"/>
  <c r="G9" i="9"/>
  <c r="D9" i="10"/>
  <c r="E9" i="10"/>
  <c r="E55" i="10" s="1"/>
  <c r="F9" i="10"/>
  <c r="G9" i="10"/>
  <c r="D9" i="11"/>
  <c r="E9" i="11"/>
  <c r="E55" i="11" s="1"/>
  <c r="F9" i="11"/>
  <c r="G9" i="11"/>
  <c r="B23" i="8"/>
  <c r="E65" i="8"/>
  <c r="E19" i="8"/>
  <c r="E52" i="8" s="1"/>
  <c r="F19" i="8"/>
  <c r="F52" i="8" s="1"/>
  <c r="G19" i="8"/>
  <c r="G52" i="8" s="1"/>
  <c r="D19" i="8"/>
  <c r="D52" i="8" s="1"/>
  <c r="E19" i="6"/>
  <c r="E52" i="6"/>
  <c r="F19" i="6"/>
  <c r="F52" i="6"/>
  <c r="G19" i="6"/>
  <c r="G52" i="6" s="1"/>
  <c r="D19" i="6"/>
  <c r="D52" i="6" s="1"/>
  <c r="E19" i="3"/>
  <c r="E52" i="3"/>
  <c r="F19" i="3"/>
  <c r="F52" i="3"/>
  <c r="G19" i="3"/>
  <c r="G52" i="3" s="1"/>
  <c r="D19" i="3"/>
  <c r="D52" i="3" s="1"/>
  <c r="E19" i="1"/>
  <c r="E52" i="1" s="1"/>
  <c r="F19" i="1"/>
  <c r="G19" i="1"/>
  <c r="D19" i="1"/>
  <c r="E66" i="6"/>
  <c r="D66" i="6"/>
  <c r="E22" i="6"/>
  <c r="E65" i="6" s="1"/>
  <c r="D22" i="6"/>
  <c r="D65" i="6"/>
  <c r="E66" i="3"/>
  <c r="D66" i="3"/>
  <c r="E22" i="3"/>
  <c r="E65" i="3" s="1"/>
  <c r="D22" i="3"/>
  <c r="D65" i="3" s="1"/>
  <c r="E22" i="1"/>
  <c r="E65" i="1" s="1"/>
  <c r="D22" i="1"/>
  <c r="D65" i="1" s="1"/>
  <c r="E23" i="9"/>
  <c r="E66" i="9" s="1"/>
  <c r="E23" i="10"/>
  <c r="D23" i="9"/>
  <c r="D23" i="10"/>
  <c r="D23" i="11"/>
  <c r="B23" i="1"/>
  <c r="D66" i="1"/>
  <c r="E23" i="11"/>
  <c r="E66" i="1"/>
  <c r="D17" i="10"/>
  <c r="E17" i="10"/>
  <c r="E19" i="10" s="1"/>
  <c r="E52" i="10" s="1"/>
  <c r="F17" i="10"/>
  <c r="F19" i="10" s="1"/>
  <c r="F52" i="10" s="1"/>
  <c r="G17" i="10"/>
  <c r="D16" i="10"/>
  <c r="E16" i="10"/>
  <c r="E60" i="10" s="1"/>
  <c r="F16" i="10"/>
  <c r="G16" i="10"/>
  <c r="G60" i="10" s="1"/>
  <c r="D17" i="11"/>
  <c r="D19" i="11" s="1"/>
  <c r="D52" i="11" s="1"/>
  <c r="E17" i="11"/>
  <c r="E32" i="11" s="1"/>
  <c r="E34" i="11" s="1"/>
  <c r="E19" i="11"/>
  <c r="E52" i="11" s="1"/>
  <c r="F17" i="11"/>
  <c r="G17" i="11"/>
  <c r="G19" i="11"/>
  <c r="D16" i="11"/>
  <c r="D22" i="11" s="1"/>
  <c r="E16" i="11"/>
  <c r="E44" i="11" s="1"/>
  <c r="F16" i="11"/>
  <c r="E22" i="11" s="1"/>
  <c r="G16" i="11"/>
  <c r="D17" i="9"/>
  <c r="E17" i="9"/>
  <c r="E19" i="9" s="1"/>
  <c r="E52" i="9" s="1"/>
  <c r="F17" i="9"/>
  <c r="G17" i="9"/>
  <c r="G19" i="9" s="1"/>
  <c r="G52" i="9" s="1"/>
  <c r="D16" i="9"/>
  <c r="D22" i="9"/>
  <c r="E16" i="9"/>
  <c r="F16" i="9"/>
  <c r="E22" i="9" s="1"/>
  <c r="E65" i="9" s="1"/>
  <c r="G16" i="9"/>
  <c r="D10" i="10"/>
  <c r="D39" i="10" s="1"/>
  <c r="E10" i="10"/>
  <c r="F10" i="10"/>
  <c r="F39" i="10" s="1"/>
  <c r="G10" i="10"/>
  <c r="D11" i="10"/>
  <c r="D40" i="10" s="1"/>
  <c r="E11" i="10"/>
  <c r="F11" i="10"/>
  <c r="G11" i="10"/>
  <c r="D11" i="11"/>
  <c r="D40" i="11" s="1"/>
  <c r="E11" i="11"/>
  <c r="F11" i="11"/>
  <c r="G11" i="11"/>
  <c r="D10" i="11"/>
  <c r="D39" i="11" s="1"/>
  <c r="E10" i="11"/>
  <c r="F10" i="11"/>
  <c r="F60" i="11" s="1"/>
  <c r="G10" i="11"/>
  <c r="D11" i="9"/>
  <c r="E11" i="9"/>
  <c r="G11" i="9"/>
  <c r="G61" i="9" s="1"/>
  <c r="D10" i="9"/>
  <c r="E10" i="9"/>
  <c r="F10" i="9"/>
  <c r="G10" i="9"/>
  <c r="G39" i="9" s="1"/>
  <c r="D18" i="9"/>
  <c r="E18" i="9"/>
  <c r="F18" i="9"/>
  <c r="F49" i="9" s="1"/>
  <c r="G18" i="9"/>
  <c r="D12" i="9"/>
  <c r="E12" i="9"/>
  <c r="F12" i="9"/>
  <c r="G12" i="9"/>
  <c r="G48" i="9" s="1"/>
  <c r="G50" i="9" s="1"/>
  <c r="D18" i="10"/>
  <c r="E18" i="10"/>
  <c r="F18" i="10"/>
  <c r="F49" i="10" s="1"/>
  <c r="G18" i="10"/>
  <c r="G49" i="10" s="1"/>
  <c r="D12" i="10"/>
  <c r="E12" i="10"/>
  <c r="F12" i="10"/>
  <c r="G12" i="10"/>
  <c r="G48" i="10" s="1"/>
  <c r="G50" i="10" s="1"/>
  <c r="D18" i="11"/>
  <c r="E18" i="11"/>
  <c r="F18" i="11"/>
  <c r="G18" i="11"/>
  <c r="D12" i="11"/>
  <c r="E12" i="11"/>
  <c r="F12" i="11"/>
  <c r="G12" i="11"/>
  <c r="C10" i="8"/>
  <c r="B10" i="8" s="1"/>
  <c r="B39" i="8" s="1"/>
  <c r="C11" i="8"/>
  <c r="C12" i="8"/>
  <c r="B12" i="8" s="1"/>
  <c r="C15" i="8"/>
  <c r="C16" i="8"/>
  <c r="B16" i="8" s="1"/>
  <c r="C17" i="8"/>
  <c r="C18" i="8"/>
  <c r="C18" i="9"/>
  <c r="C9" i="8"/>
  <c r="B9" i="8" s="1"/>
  <c r="C10" i="6"/>
  <c r="B10" i="6" s="1"/>
  <c r="B39" i="6" s="1"/>
  <c r="C11" i="6"/>
  <c r="C12" i="6"/>
  <c r="C15" i="6"/>
  <c r="C16" i="6"/>
  <c r="B16" i="6"/>
  <c r="B22" i="6" s="1"/>
  <c r="B65" i="6" s="1"/>
  <c r="C17" i="6"/>
  <c r="C18" i="6"/>
  <c r="C18" i="10" s="1"/>
  <c r="C19" i="6"/>
  <c r="B19" i="6" s="1"/>
  <c r="C9" i="6"/>
  <c r="B9" i="6" s="1"/>
  <c r="C10" i="3"/>
  <c r="B10" i="3"/>
  <c r="B39" i="3" s="1"/>
  <c r="C11" i="3"/>
  <c r="C12" i="3"/>
  <c r="C12" i="11"/>
  <c r="C9" i="3"/>
  <c r="C16" i="3"/>
  <c r="C17" i="3"/>
  <c r="B17" i="3" s="1"/>
  <c r="C18" i="3"/>
  <c r="C18" i="11" s="1"/>
  <c r="C15" i="3"/>
  <c r="B15" i="3"/>
  <c r="B31" i="3" s="1"/>
  <c r="B33" i="3" s="1"/>
  <c r="C16" i="1"/>
  <c r="B16" i="1" s="1"/>
  <c r="C17" i="1"/>
  <c r="B17" i="1" s="1"/>
  <c r="C18" i="1"/>
  <c r="B18" i="1" s="1"/>
  <c r="C15" i="1"/>
  <c r="B17" i="8"/>
  <c r="B66" i="8" s="1"/>
  <c r="B15" i="6"/>
  <c r="B9" i="3"/>
  <c r="C10" i="1"/>
  <c r="C11" i="1"/>
  <c r="C12" i="1"/>
  <c r="B12" i="1" s="1"/>
  <c r="C9" i="1"/>
  <c r="D65" i="9"/>
  <c r="B12" i="3"/>
  <c r="C52" i="6"/>
  <c r="B18" i="8"/>
  <c r="F19" i="9"/>
  <c r="F52" i="9" s="1"/>
  <c r="C17" i="11"/>
  <c r="B17" i="11" s="1"/>
  <c r="C17" i="10"/>
  <c r="D39" i="9"/>
  <c r="E39" i="9"/>
  <c r="E39" i="10"/>
  <c r="E39" i="11"/>
  <c r="D31" i="1"/>
  <c r="D33" i="1" s="1"/>
  <c r="E31" i="1"/>
  <c r="E33" i="1" s="1"/>
  <c r="D32" i="1"/>
  <c r="D34" i="1" s="1"/>
  <c r="E32" i="1"/>
  <c r="E34" i="1"/>
  <c r="D31" i="8"/>
  <c r="D33" i="8" s="1"/>
  <c r="E31" i="8"/>
  <c r="E56" i="8" s="1"/>
  <c r="D32" i="8"/>
  <c r="D34" i="8" s="1"/>
  <c r="E32" i="8"/>
  <c r="E34" i="8"/>
  <c r="D39" i="8"/>
  <c r="E39" i="8"/>
  <c r="D40" i="8"/>
  <c r="E40" i="8"/>
  <c r="D43" i="8"/>
  <c r="E43" i="8"/>
  <c r="E45" i="8"/>
  <c r="D48" i="8"/>
  <c r="E48" i="8"/>
  <c r="E50" i="8" s="1"/>
  <c r="D49" i="8"/>
  <c r="E49" i="8"/>
  <c r="D50" i="8"/>
  <c r="D55" i="8"/>
  <c r="E55" i="8"/>
  <c r="D61" i="8"/>
  <c r="E61" i="8"/>
  <c r="D31" i="6"/>
  <c r="D33" i="6" s="1"/>
  <c r="E31" i="6"/>
  <c r="E33" i="6" s="1"/>
  <c r="D32" i="6"/>
  <c r="D34" i="6" s="1"/>
  <c r="D57" i="6" s="1"/>
  <c r="E32" i="6"/>
  <c r="D39" i="6"/>
  <c r="E39" i="6"/>
  <c r="D40" i="6"/>
  <c r="E40" i="6"/>
  <c r="D43" i="6"/>
  <c r="E43" i="6"/>
  <c r="E45" i="6" s="1"/>
  <c r="D48" i="6"/>
  <c r="E48" i="6"/>
  <c r="D49" i="6"/>
  <c r="E49" i="6"/>
  <c r="D55" i="6"/>
  <c r="E55" i="6"/>
  <c r="D61" i="6"/>
  <c r="E61" i="6"/>
  <c r="D31" i="3"/>
  <c r="D33" i="3" s="1"/>
  <c r="E31" i="3"/>
  <c r="E33" i="3"/>
  <c r="D32" i="3"/>
  <c r="D56" i="3" s="1"/>
  <c r="E32" i="3"/>
  <c r="D39" i="3"/>
  <c r="E39" i="3"/>
  <c r="D40" i="3"/>
  <c r="E40" i="3"/>
  <c r="D43" i="3"/>
  <c r="E43" i="3"/>
  <c r="E45" i="3" s="1"/>
  <c r="D48" i="3"/>
  <c r="E48" i="3"/>
  <c r="E50" i="3" s="1"/>
  <c r="D49" i="3"/>
  <c r="E49" i="3"/>
  <c r="D55" i="3"/>
  <c r="E55" i="3"/>
  <c r="D61" i="3"/>
  <c r="E61" i="3"/>
  <c r="E44" i="6"/>
  <c r="D44" i="6"/>
  <c r="B14" i="13"/>
  <c r="B12" i="13"/>
  <c r="B13" i="13" s="1"/>
  <c r="B10" i="13"/>
  <c r="B11" i="13" s="1"/>
  <c r="B8" i="13"/>
  <c r="B6" i="13"/>
  <c r="B7" i="13" s="1"/>
  <c r="E56" i="6"/>
  <c r="E34" i="6"/>
  <c r="E57" i="6" s="1"/>
  <c r="D45" i="6"/>
  <c r="E50" i="6"/>
  <c r="E60" i="8"/>
  <c r="E44" i="8"/>
  <c r="E60" i="3"/>
  <c r="E44" i="3"/>
  <c r="E60" i="6"/>
  <c r="D50" i="6"/>
  <c r="D60" i="3"/>
  <c r="D44" i="3"/>
  <c r="D60" i="6"/>
  <c r="D62" i="6" s="1"/>
  <c r="D60" i="8"/>
  <c r="D44" i="8"/>
  <c r="D45" i="8" s="1"/>
  <c r="E60" i="11"/>
  <c r="D60" i="9"/>
  <c r="E60" i="9"/>
  <c r="D39" i="1"/>
  <c r="E39" i="1"/>
  <c r="D40" i="1"/>
  <c r="E40" i="1"/>
  <c r="D43" i="1"/>
  <c r="E43" i="1"/>
  <c r="E45" i="1" s="1"/>
  <c r="D44" i="1"/>
  <c r="E44" i="1"/>
  <c r="D48" i="1"/>
  <c r="E48" i="1"/>
  <c r="D49" i="1"/>
  <c r="D50" i="1" s="1"/>
  <c r="E49" i="1"/>
  <c r="D55" i="1"/>
  <c r="E55" i="1"/>
  <c r="D60" i="1"/>
  <c r="E60" i="1"/>
  <c r="D61" i="1"/>
  <c r="E61" i="1"/>
  <c r="D31" i="9"/>
  <c r="D33" i="9" s="1"/>
  <c r="E31" i="9"/>
  <c r="E33" i="9" s="1"/>
  <c r="D31" i="10"/>
  <c r="D33" i="10" s="1"/>
  <c r="D31" i="11"/>
  <c r="D33" i="11" s="1"/>
  <c r="E50" i="1"/>
  <c r="E49" i="11"/>
  <c r="E44" i="10"/>
  <c r="E49" i="10"/>
  <c r="D32" i="11"/>
  <c r="D56" i="11" s="1"/>
  <c r="D32" i="9"/>
  <c r="E44" i="9"/>
  <c r="E49" i="9"/>
  <c r="E43" i="11"/>
  <c r="E45" i="11" s="1"/>
  <c r="E48" i="11"/>
  <c r="E50" i="11" s="1"/>
  <c r="E61" i="11"/>
  <c r="E40" i="11"/>
  <c r="E43" i="9"/>
  <c r="E45" i="9" s="1"/>
  <c r="E48" i="9"/>
  <c r="E50" i="9" s="1"/>
  <c r="E61" i="9"/>
  <c r="E40" i="9"/>
  <c r="E40" i="10"/>
  <c r="E43" i="10"/>
  <c r="E48" i="10"/>
  <c r="E50" i="10" s="1"/>
  <c r="D40" i="9"/>
  <c r="D61" i="9"/>
  <c r="D43" i="11"/>
  <c r="D48" i="11"/>
  <c r="D43" i="10"/>
  <c r="D48" i="10"/>
  <c r="D55" i="10"/>
  <c r="F55" i="6"/>
  <c r="E45" i="10"/>
  <c r="C30" i="13"/>
  <c r="G39" i="10"/>
  <c r="G40" i="8"/>
  <c r="F40" i="8"/>
  <c r="C40" i="8"/>
  <c r="G39" i="8"/>
  <c r="F39" i="8"/>
  <c r="C39" i="8"/>
  <c r="G40" i="6"/>
  <c r="F40" i="6"/>
  <c r="G39" i="6"/>
  <c r="F39" i="6"/>
  <c r="F40" i="3"/>
  <c r="F39" i="3"/>
  <c r="C39" i="3"/>
  <c r="I20" i="13"/>
  <c r="J19" i="13" s="1"/>
  <c r="B29" i="13"/>
  <c r="D13" i="15"/>
  <c r="D30" i="15"/>
  <c r="C30" i="15"/>
  <c r="B29" i="15"/>
  <c r="K28" i="15"/>
  <c r="L27" i="15"/>
  <c r="D31" i="15" s="1"/>
  <c r="D32" i="15" s="1"/>
  <c r="I28" i="15"/>
  <c r="J27" i="15" s="1"/>
  <c r="C31" i="15" s="1"/>
  <c r="G28" i="15"/>
  <c r="H27" i="15"/>
  <c r="K26" i="15"/>
  <c r="L25" i="15" s="1"/>
  <c r="I26" i="15"/>
  <c r="G26" i="15"/>
  <c r="H25" i="15" s="1"/>
  <c r="J25" i="15"/>
  <c r="D24" i="15"/>
  <c r="C24" i="15"/>
  <c r="B23" i="15"/>
  <c r="K20" i="15"/>
  <c r="L19" i="15" s="1"/>
  <c r="I20" i="15"/>
  <c r="J19" i="15" s="1"/>
  <c r="C19" i="15" s="1"/>
  <c r="G20" i="15"/>
  <c r="H19" i="15" s="1"/>
  <c r="D18" i="15"/>
  <c r="C18" i="15"/>
  <c r="B18" i="15" s="1"/>
  <c r="B17" i="15"/>
  <c r="B14" i="15"/>
  <c r="C13" i="15"/>
  <c r="B12" i="15"/>
  <c r="B13" i="15" s="1"/>
  <c r="D11" i="15"/>
  <c r="C11" i="15"/>
  <c r="B10" i="15"/>
  <c r="B11" i="15" s="1"/>
  <c r="D9" i="15"/>
  <c r="C9" i="15"/>
  <c r="B8" i="15"/>
  <c r="D7" i="15"/>
  <c r="C7" i="15"/>
  <c r="B6" i="15"/>
  <c r="B7" i="15" s="1"/>
  <c r="B23" i="13"/>
  <c r="F30" i="13"/>
  <c r="M28" i="13"/>
  <c r="N27" i="13" s="1"/>
  <c r="F31" i="13" s="1"/>
  <c r="F32" i="13" s="1"/>
  <c r="K28" i="13"/>
  <c r="I28" i="13"/>
  <c r="J27" i="13" s="1"/>
  <c r="L27" i="13"/>
  <c r="M26" i="13"/>
  <c r="N25" i="13" s="1"/>
  <c r="K26" i="13"/>
  <c r="L25" i="13" s="1"/>
  <c r="I26" i="13"/>
  <c r="J25" i="13" s="1"/>
  <c r="M20" i="13"/>
  <c r="N19" i="13" s="1"/>
  <c r="K20" i="13"/>
  <c r="L19" i="13" s="1"/>
  <c r="C19" i="13" s="1"/>
  <c r="B9" i="15"/>
  <c r="C24" i="13"/>
  <c r="B17" i="13"/>
  <c r="C13" i="13"/>
  <c r="F13" i="13"/>
  <c r="C11" i="13"/>
  <c r="E10" i="13" s="1"/>
  <c r="F11" i="13"/>
  <c r="C9" i="13"/>
  <c r="F9" i="13"/>
  <c r="C7" i="13"/>
  <c r="E6" i="13" s="1"/>
  <c r="F7" i="13"/>
  <c r="E8" i="13"/>
  <c r="D8" i="13"/>
  <c r="D10" i="13"/>
  <c r="E12" i="13"/>
  <c r="D12" i="13"/>
  <c r="B9" i="13"/>
  <c r="C18" i="13"/>
  <c r="F18" i="13"/>
  <c r="F24" i="13"/>
  <c r="B24" i="13" s="1"/>
  <c r="F31" i="11"/>
  <c r="F33" i="11" s="1"/>
  <c r="F40" i="11"/>
  <c r="F43" i="11"/>
  <c r="F55" i="3"/>
  <c r="F32" i="10"/>
  <c r="C32" i="8"/>
  <c r="C49" i="8"/>
  <c r="C44" i="8"/>
  <c r="G55" i="10"/>
  <c r="C32" i="10"/>
  <c r="F44" i="10"/>
  <c r="F48" i="10"/>
  <c r="G43" i="10"/>
  <c r="G45" i="10" s="1"/>
  <c r="G44" i="10"/>
  <c r="G31" i="9"/>
  <c r="G33" i="9" s="1"/>
  <c r="F39" i="9"/>
  <c r="F32" i="9"/>
  <c r="F31" i="9"/>
  <c r="F56" i="9" s="1"/>
  <c r="F44" i="9"/>
  <c r="G44" i="9"/>
  <c r="G61" i="8"/>
  <c r="F61" i="8"/>
  <c r="G60" i="8"/>
  <c r="C60" i="8"/>
  <c r="G55" i="8"/>
  <c r="F55" i="8"/>
  <c r="G49" i="8"/>
  <c r="F49" i="8"/>
  <c r="G48" i="8"/>
  <c r="F48" i="8"/>
  <c r="C48" i="8"/>
  <c r="G44" i="8"/>
  <c r="F44" i="8"/>
  <c r="G43" i="8"/>
  <c r="G45" i="8" s="1"/>
  <c r="G62" i="8" s="1"/>
  <c r="C43" i="8"/>
  <c r="C45" i="8" s="1"/>
  <c r="G32" i="8"/>
  <c r="G34" i="8"/>
  <c r="F32" i="8"/>
  <c r="G31" i="8"/>
  <c r="G56" i="8" s="1"/>
  <c r="B32" i="8"/>
  <c r="F31" i="8"/>
  <c r="F56" i="8" s="1"/>
  <c r="F60" i="8"/>
  <c r="G61" i="6"/>
  <c r="F61" i="6"/>
  <c r="C61" i="6"/>
  <c r="G60" i="6"/>
  <c r="G55" i="6"/>
  <c r="G49" i="6"/>
  <c r="F49" i="6"/>
  <c r="C49" i="6"/>
  <c r="G48" i="6"/>
  <c r="G50" i="6"/>
  <c r="F48" i="6"/>
  <c r="F50" i="6" s="1"/>
  <c r="G44" i="6"/>
  <c r="G43" i="6"/>
  <c r="G45" i="6" s="1"/>
  <c r="F43" i="6"/>
  <c r="F45" i="6" s="1"/>
  <c r="F62" i="6" s="1"/>
  <c r="G32" i="6"/>
  <c r="G56" i="6" s="1"/>
  <c r="F32" i="6"/>
  <c r="G31" i="6"/>
  <c r="G33" i="6" s="1"/>
  <c r="F31" i="6"/>
  <c r="F33" i="6" s="1"/>
  <c r="C31" i="6"/>
  <c r="F60" i="6"/>
  <c r="B31" i="6"/>
  <c r="C60" i="3"/>
  <c r="F60" i="3"/>
  <c r="F61" i="3"/>
  <c r="F48" i="3"/>
  <c r="F49" i="3"/>
  <c r="C32" i="3"/>
  <c r="F32" i="3"/>
  <c r="F34" i="3" s="1"/>
  <c r="C31" i="3"/>
  <c r="C33" i="3" s="1"/>
  <c r="F31" i="3"/>
  <c r="F33" i="3" s="1"/>
  <c r="F44" i="3"/>
  <c r="F43" i="3"/>
  <c r="F45" i="3" s="1"/>
  <c r="F50" i="3"/>
  <c r="G50" i="8"/>
  <c r="F34" i="8"/>
  <c r="F44" i="6"/>
  <c r="G61" i="1"/>
  <c r="F61" i="1"/>
  <c r="G60" i="1"/>
  <c r="G55" i="1"/>
  <c r="F55" i="1"/>
  <c r="G52" i="1"/>
  <c r="F52" i="1"/>
  <c r="G49" i="1"/>
  <c r="F49" i="1"/>
  <c r="G48" i="1"/>
  <c r="G50" i="1" s="1"/>
  <c r="F48" i="1"/>
  <c r="C48" i="1"/>
  <c r="G44" i="1"/>
  <c r="F44" i="1"/>
  <c r="G43" i="1"/>
  <c r="G45" i="1" s="1"/>
  <c r="G40" i="1"/>
  <c r="F40" i="1"/>
  <c r="G39" i="1"/>
  <c r="G32" i="1"/>
  <c r="G34" i="1" s="1"/>
  <c r="F32" i="1"/>
  <c r="C32" i="1"/>
  <c r="G31" i="1"/>
  <c r="G33" i="1" s="1"/>
  <c r="F31" i="1"/>
  <c r="F33" i="1" s="1"/>
  <c r="F57" i="1" s="1"/>
  <c r="F60" i="1"/>
  <c r="F34" i="1"/>
  <c r="F39" i="1"/>
  <c r="F43" i="1"/>
  <c r="F45" i="1"/>
  <c r="C44" i="1"/>
  <c r="G57" i="8" l="1"/>
  <c r="F45" i="11"/>
  <c r="F62" i="11" s="1"/>
  <c r="D25" i="15"/>
  <c r="D26" i="15" s="1"/>
  <c r="D27" i="15" s="1"/>
  <c r="D33" i="15" s="1"/>
  <c r="B17" i="10"/>
  <c r="B32" i="10" s="1"/>
  <c r="C19" i="10"/>
  <c r="C52" i="10" s="1"/>
  <c r="B11" i="6"/>
  <c r="B55" i="6" s="1"/>
  <c r="C40" i="6"/>
  <c r="C55" i="6"/>
  <c r="C49" i="9"/>
  <c r="C15" i="9"/>
  <c r="B15" i="9" s="1"/>
  <c r="B31" i="9" s="1"/>
  <c r="B33" i="9" s="1"/>
  <c r="C31" i="8"/>
  <c r="F62" i="1"/>
  <c r="G55" i="9"/>
  <c r="D50" i="10"/>
  <c r="E62" i="1"/>
  <c r="E62" i="11"/>
  <c r="E62" i="8"/>
  <c r="E62" i="3"/>
  <c r="C10" i="10"/>
  <c r="C39" i="1"/>
  <c r="C31" i="1"/>
  <c r="C56" i="1" s="1"/>
  <c r="C15" i="10"/>
  <c r="B16" i="3"/>
  <c r="C16" i="9"/>
  <c r="C16" i="10"/>
  <c r="B16" i="10" s="1"/>
  <c r="B22" i="10" s="1"/>
  <c r="C48" i="3"/>
  <c r="C61" i="3"/>
  <c r="C43" i="3"/>
  <c r="D22" i="10"/>
  <c r="D65" i="10" s="1"/>
  <c r="D60" i="10"/>
  <c r="D19" i="10"/>
  <c r="D52" i="10" s="1"/>
  <c r="D32" i="10"/>
  <c r="D61" i="10"/>
  <c r="D66" i="10"/>
  <c r="D44" i="10"/>
  <c r="D45" i="10" s="1"/>
  <c r="C56" i="3"/>
  <c r="F57" i="3"/>
  <c r="B33" i="6"/>
  <c r="F50" i="8"/>
  <c r="G40" i="9"/>
  <c r="H62" i="9"/>
  <c r="D56" i="9"/>
  <c r="D34" i="9"/>
  <c r="D57" i="9" s="1"/>
  <c r="C11" i="10"/>
  <c r="B11" i="10" s="1"/>
  <c r="B40" i="10" s="1"/>
  <c r="C15" i="11"/>
  <c r="C9" i="9"/>
  <c r="B9" i="9" s="1"/>
  <c r="C9" i="11"/>
  <c r="B9" i="11" s="1"/>
  <c r="D43" i="9"/>
  <c r="D48" i="9"/>
  <c r="D50" i="9" s="1"/>
  <c r="F32" i="11"/>
  <c r="F34" i="11" s="1"/>
  <c r="F44" i="11"/>
  <c r="G19" i="10"/>
  <c r="G52" i="10" s="1"/>
  <c r="G32" i="10"/>
  <c r="G56" i="10" s="1"/>
  <c r="F43" i="8"/>
  <c r="F45" i="8" s="1"/>
  <c r="F62" i="8" s="1"/>
  <c r="F11" i="9"/>
  <c r="G33" i="8"/>
  <c r="C44" i="3"/>
  <c r="C34" i="3"/>
  <c r="C57" i="3" s="1"/>
  <c r="F62" i="3"/>
  <c r="F56" i="6"/>
  <c r="C50" i="8"/>
  <c r="F61" i="11"/>
  <c r="D6" i="13"/>
  <c r="C25" i="13"/>
  <c r="C25" i="15"/>
  <c r="B25" i="15" s="1"/>
  <c r="B30" i="15"/>
  <c r="C31" i="13"/>
  <c r="C32" i="13" s="1"/>
  <c r="D55" i="11"/>
  <c r="D55" i="9"/>
  <c r="D49" i="10"/>
  <c r="D60" i="11"/>
  <c r="E34" i="3"/>
  <c r="E57" i="3" s="1"/>
  <c r="E56" i="3"/>
  <c r="C10" i="9"/>
  <c r="F19" i="11"/>
  <c r="F52" i="11" s="1"/>
  <c r="B15" i="1"/>
  <c r="B31" i="1" s="1"/>
  <c r="B17" i="6"/>
  <c r="C32" i="6"/>
  <c r="C34" i="6" s="1"/>
  <c r="C44" i="6"/>
  <c r="C48" i="6"/>
  <c r="C50" i="6" s="1"/>
  <c r="B12" i="6"/>
  <c r="C19" i="8"/>
  <c r="B19" i="8" s="1"/>
  <c r="B52" i="8" s="1"/>
  <c r="G61" i="10"/>
  <c r="G62" i="10" s="1"/>
  <c r="G40" i="10"/>
  <c r="G60" i="9"/>
  <c r="D44" i="9"/>
  <c r="D66" i="9"/>
  <c r="D19" i="9"/>
  <c r="D52" i="9" s="1"/>
  <c r="D49" i="9"/>
  <c r="D45" i="1"/>
  <c r="D50" i="3"/>
  <c r="D45" i="3"/>
  <c r="D62" i="3" s="1"/>
  <c r="E62" i="6"/>
  <c r="D57" i="1"/>
  <c r="B12" i="11"/>
  <c r="F49" i="11"/>
  <c r="F50" i="11" s="1"/>
  <c r="F48" i="11"/>
  <c r="F55" i="10"/>
  <c r="C19" i="1"/>
  <c r="F50" i="1"/>
  <c r="G62" i="1"/>
  <c r="G62" i="6"/>
  <c r="F19" i="13"/>
  <c r="F20" i="13" s="1"/>
  <c r="F21" i="13" s="1"/>
  <c r="E62" i="9"/>
  <c r="D57" i="8"/>
  <c r="C17" i="9"/>
  <c r="C61" i="1"/>
  <c r="B11" i="8"/>
  <c r="B55" i="8" s="1"/>
  <c r="E66" i="11"/>
  <c r="C26" i="15"/>
  <c r="B31" i="15"/>
  <c r="C32" i="15"/>
  <c r="B60" i="3"/>
  <c r="B22" i="3"/>
  <c r="B65" i="3" s="1"/>
  <c r="B22" i="8"/>
  <c r="B60" i="8"/>
  <c r="B44" i="8"/>
  <c r="B32" i="3"/>
  <c r="B66" i="3"/>
  <c r="B44" i="3"/>
  <c r="D62" i="1"/>
  <c r="B61" i="10"/>
  <c r="B18" i="11"/>
  <c r="C49" i="11"/>
  <c r="B19" i="1"/>
  <c r="B52" i="1" s="1"/>
  <c r="C52" i="1"/>
  <c r="C26" i="13"/>
  <c r="C20" i="15"/>
  <c r="B10" i="10"/>
  <c r="B39" i="10" s="1"/>
  <c r="C39" i="10"/>
  <c r="C60" i="10"/>
  <c r="B22" i="1"/>
  <c r="B65" i="1" s="1"/>
  <c r="B43" i="8"/>
  <c r="B45" i="8" s="1"/>
  <c r="D62" i="8"/>
  <c r="B61" i="6"/>
  <c r="B65" i="8"/>
  <c r="B49" i="1"/>
  <c r="B44" i="1"/>
  <c r="B32" i="1"/>
  <c r="B56" i="1" s="1"/>
  <c r="C49" i="10"/>
  <c r="B18" i="10"/>
  <c r="E33" i="11"/>
  <c r="E57" i="11" s="1"/>
  <c r="E56" i="11"/>
  <c r="D19" i="15"/>
  <c r="D20" i="15" s="1"/>
  <c r="D21" i="15" s="1"/>
  <c r="B19" i="13"/>
  <c r="C20" i="13"/>
  <c r="B31" i="13"/>
  <c r="B43" i="6"/>
  <c r="C31" i="9"/>
  <c r="C49" i="1"/>
  <c r="C50" i="1" s="1"/>
  <c r="F56" i="3"/>
  <c r="C34" i="8"/>
  <c r="F33" i="9"/>
  <c r="F55" i="9"/>
  <c r="F40" i="9"/>
  <c r="G32" i="9"/>
  <c r="B49" i="10"/>
  <c r="F61" i="10"/>
  <c r="F56" i="10"/>
  <c r="C40" i="3"/>
  <c r="E32" i="9"/>
  <c r="D52" i="1"/>
  <c r="D56" i="6"/>
  <c r="B9" i="1"/>
  <c r="C19" i="3"/>
  <c r="G57" i="1"/>
  <c r="C40" i="1"/>
  <c r="C55" i="1"/>
  <c r="B49" i="8"/>
  <c r="C43" i="6"/>
  <c r="C55" i="8"/>
  <c r="F48" i="9"/>
  <c r="F50" i="9" s="1"/>
  <c r="C43" i="10"/>
  <c r="F60" i="10"/>
  <c r="C32" i="11"/>
  <c r="F55" i="11"/>
  <c r="B18" i="13"/>
  <c r="B24" i="15"/>
  <c r="E32" i="10"/>
  <c r="E34" i="10" s="1"/>
  <c r="D56" i="8"/>
  <c r="E33" i="8"/>
  <c r="E57" i="8" s="1"/>
  <c r="C19" i="11"/>
  <c r="C16" i="11"/>
  <c r="C44" i="11" s="1"/>
  <c r="B18" i="9"/>
  <c r="C52" i="8"/>
  <c r="C9" i="10"/>
  <c r="E22" i="10"/>
  <c r="E65" i="10" s="1"/>
  <c r="B10" i="1"/>
  <c r="B39" i="1" s="1"/>
  <c r="C12" i="9"/>
  <c r="B12" i="9" s="1"/>
  <c r="E57" i="1"/>
  <c r="C11" i="9"/>
  <c r="B18" i="3"/>
  <c r="B49" i="3" s="1"/>
  <c r="B11" i="1"/>
  <c r="C12" i="10"/>
  <c r="B12" i="10" s="1"/>
  <c r="B15" i="8"/>
  <c r="B31" i="8" s="1"/>
  <c r="B33" i="8" s="1"/>
  <c r="B34" i="8"/>
  <c r="C33" i="6"/>
  <c r="C57" i="6" s="1"/>
  <c r="F57" i="11"/>
  <c r="C34" i="1"/>
  <c r="B60" i="6"/>
  <c r="F34" i="6"/>
  <c r="F57" i="6" s="1"/>
  <c r="F33" i="8"/>
  <c r="F57" i="8" s="1"/>
  <c r="G43" i="9"/>
  <c r="G45" i="9" s="1"/>
  <c r="F43" i="10"/>
  <c r="F45" i="10" s="1"/>
  <c r="F62" i="10" s="1"/>
  <c r="F40" i="10"/>
  <c r="F39" i="11"/>
  <c r="F25" i="13"/>
  <c r="F26" i="13" s="1"/>
  <c r="F27" i="13" s="1"/>
  <c r="F33" i="13" s="1"/>
  <c r="B30" i="13"/>
  <c r="D34" i="11"/>
  <c r="D57" i="11" s="1"/>
  <c r="D44" i="11"/>
  <c r="D45" i="11" s="1"/>
  <c r="D56" i="1"/>
  <c r="D34" i="3"/>
  <c r="D57" i="3" s="1"/>
  <c r="B17" i="9"/>
  <c r="H17" i="9" s="1"/>
  <c r="C10" i="11"/>
  <c r="C11" i="11"/>
  <c r="B11" i="3"/>
  <c r="C43" i="1"/>
  <c r="C45" i="1" s="1"/>
  <c r="C55" i="3"/>
  <c r="C60" i="1"/>
  <c r="G34" i="6"/>
  <c r="G57" i="6" s="1"/>
  <c r="C60" i="6"/>
  <c r="G49" i="9"/>
  <c r="C48" i="10"/>
  <c r="C50" i="10" s="1"/>
  <c r="C61" i="10"/>
  <c r="F56" i="11"/>
  <c r="C39" i="6"/>
  <c r="E61" i="10"/>
  <c r="E62" i="10" s="1"/>
  <c r="D49" i="11"/>
  <c r="D50" i="11" s="1"/>
  <c r="E56" i="1"/>
  <c r="B18" i="6"/>
  <c r="F50" i="10"/>
  <c r="D65" i="11"/>
  <c r="C49" i="3"/>
  <c r="F60" i="9"/>
  <c r="F34" i="10"/>
  <c r="F57" i="10" s="1"/>
  <c r="C61" i="8"/>
  <c r="C62" i="8" s="1"/>
  <c r="D61" i="11"/>
  <c r="D45" i="9"/>
  <c r="D62" i="9" s="1"/>
  <c r="B66" i="1"/>
  <c r="E65" i="11"/>
  <c r="B23" i="10"/>
  <c r="B66" i="10" s="1"/>
  <c r="D66" i="11"/>
  <c r="B23" i="9"/>
  <c r="E66" i="10"/>
  <c r="B23" i="11"/>
  <c r="B66" i="11" s="1"/>
  <c r="E57" i="10"/>
  <c r="E33" i="10"/>
  <c r="F56" i="1"/>
  <c r="G56" i="1"/>
  <c r="B33" i="1"/>
  <c r="B32" i="11"/>
  <c r="B49" i="11"/>
  <c r="B60" i="10"/>
  <c r="B19" i="10"/>
  <c r="B52" i="10" s="1"/>
  <c r="F62" i="9" l="1"/>
  <c r="B45" i="6"/>
  <c r="B62" i="6" s="1"/>
  <c r="B62" i="8"/>
  <c r="B44" i="6"/>
  <c r="B32" i="6"/>
  <c r="B15" i="11"/>
  <c r="B31" i="11" s="1"/>
  <c r="B33" i="11" s="1"/>
  <c r="C31" i="11"/>
  <c r="C33" i="11" s="1"/>
  <c r="C31" i="10"/>
  <c r="B15" i="10"/>
  <c r="B31" i="10" s="1"/>
  <c r="B56" i="10" s="1"/>
  <c r="C50" i="3"/>
  <c r="B40" i="6"/>
  <c r="B61" i="8"/>
  <c r="D56" i="10"/>
  <c r="D34" i="10"/>
  <c r="D57" i="10" s="1"/>
  <c r="B52" i="6"/>
  <c r="B44" i="10"/>
  <c r="B43" i="10"/>
  <c r="B45" i="10" s="1"/>
  <c r="B62" i="10" s="1"/>
  <c r="B49" i="6"/>
  <c r="G62" i="9"/>
  <c r="B48" i="10"/>
  <c r="B50" i="10" s="1"/>
  <c r="C34" i="9"/>
  <c r="B34" i="10"/>
  <c r="G34" i="10"/>
  <c r="G57" i="10" s="1"/>
  <c r="B48" i="6"/>
  <c r="B48" i="8"/>
  <c r="B50" i="8" s="1"/>
  <c r="B40" i="8"/>
  <c r="C19" i="9"/>
  <c r="C32" i="9"/>
  <c r="F61" i="9"/>
  <c r="H60" i="9" s="1"/>
  <c r="F34" i="9"/>
  <c r="F57" i="9" s="1"/>
  <c r="D62" i="10"/>
  <c r="C45" i="3"/>
  <c r="C62" i="3" s="1"/>
  <c r="B16" i="9"/>
  <c r="C60" i="9"/>
  <c r="C44" i="10"/>
  <c r="C45" i="10" s="1"/>
  <c r="C62" i="10" s="1"/>
  <c r="C34" i="10"/>
  <c r="B66" i="9"/>
  <c r="C44" i="9"/>
  <c r="C40" i="10"/>
  <c r="F43" i="9"/>
  <c r="F45" i="9" s="1"/>
  <c r="B66" i="6"/>
  <c r="C45" i="6"/>
  <c r="C62" i="6" s="1"/>
  <c r="C33" i="1"/>
  <c r="I17" i="9"/>
  <c r="B10" i="9"/>
  <c r="B39" i="9" s="1"/>
  <c r="C39" i="9"/>
  <c r="C56" i="8"/>
  <c r="C33" i="8"/>
  <c r="C57" i="8" s="1"/>
  <c r="C56" i="6"/>
  <c r="C43" i="11"/>
  <c r="C45" i="11" s="1"/>
  <c r="B11" i="11"/>
  <c r="B34" i="11" s="1"/>
  <c r="B57" i="11" s="1"/>
  <c r="C55" i="11"/>
  <c r="C40" i="11"/>
  <c r="C48" i="11"/>
  <c r="C50" i="11" s="1"/>
  <c r="C61" i="11"/>
  <c r="G34" i="9"/>
  <c r="G57" i="9" s="1"/>
  <c r="G56" i="9"/>
  <c r="B25" i="13"/>
  <c r="C55" i="10"/>
  <c r="B9" i="10"/>
  <c r="B26" i="13"/>
  <c r="B26" i="15"/>
  <c r="B40" i="1"/>
  <c r="B48" i="1"/>
  <c r="B50" i="1" s="1"/>
  <c r="B43" i="1"/>
  <c r="B45" i="1" s="1"/>
  <c r="B55" i="1"/>
  <c r="B43" i="3"/>
  <c r="B45" i="3" s="1"/>
  <c r="B40" i="3"/>
  <c r="B55" i="3"/>
  <c r="B48" i="3"/>
  <c r="B50" i="3" s="1"/>
  <c r="C21" i="15"/>
  <c r="C27" i="15" s="1"/>
  <c r="C33" i="15" s="1"/>
  <c r="B20" i="15"/>
  <c r="B21" i="15" s="1"/>
  <c r="B56" i="3"/>
  <c r="B34" i="3"/>
  <c r="B57" i="3" s="1"/>
  <c r="D62" i="11"/>
  <c r="B50" i="6"/>
  <c r="B34" i="1"/>
  <c r="B57" i="1" s="1"/>
  <c r="C52" i="3"/>
  <c r="B19" i="3"/>
  <c r="B52" i="3" s="1"/>
  <c r="B32" i="15"/>
  <c r="B61" i="1"/>
  <c r="B19" i="15"/>
  <c r="B61" i="3"/>
  <c r="B62" i="3" s="1"/>
  <c r="B10" i="11"/>
  <c r="B39" i="11" s="1"/>
  <c r="C39" i="11"/>
  <c r="C56" i="9"/>
  <c r="C33" i="9"/>
  <c r="C57" i="9" s="1"/>
  <c r="C21" i="13"/>
  <c r="C27" i="13" s="1"/>
  <c r="C33" i="13" s="1"/>
  <c r="B20" i="13"/>
  <c r="B21" i="13" s="1"/>
  <c r="B56" i="8"/>
  <c r="B19" i="11"/>
  <c r="B52" i="11" s="1"/>
  <c r="C52" i="11"/>
  <c r="B32" i="13"/>
  <c r="C62" i="1"/>
  <c r="C57" i="1"/>
  <c r="B32" i="9"/>
  <c r="B49" i="9"/>
  <c r="B16" i="11"/>
  <c r="C60" i="11"/>
  <c r="C56" i="11"/>
  <c r="C34" i="11"/>
  <c r="B57" i="8"/>
  <c r="B60" i="1"/>
  <c r="E56" i="10"/>
  <c r="B11" i="9"/>
  <c r="C48" i="9"/>
  <c r="C50" i="9" s="1"/>
  <c r="C55" i="9"/>
  <c r="C43" i="9"/>
  <c r="C45" i="9" s="1"/>
  <c r="C62" i="9" s="1"/>
  <c r="C61" i="9"/>
  <c r="C40" i="9"/>
  <c r="E34" i="9"/>
  <c r="E57" i="9" s="1"/>
  <c r="E56" i="9"/>
  <c r="B65" i="10"/>
  <c r="B56" i="11"/>
  <c r="B22" i="9" l="1"/>
  <c r="B65" i="9" s="1"/>
  <c r="B60" i="9"/>
  <c r="B44" i="9"/>
  <c r="B62" i="1"/>
  <c r="C62" i="11"/>
  <c r="B34" i="6"/>
  <c r="B57" i="6" s="1"/>
  <c r="B56" i="6"/>
  <c r="C57" i="11"/>
  <c r="B27" i="15"/>
  <c r="C52" i="9"/>
  <c r="B19" i="9"/>
  <c r="B52" i="9" s="1"/>
  <c r="C33" i="10"/>
  <c r="C57" i="10" s="1"/>
  <c r="C56" i="10"/>
  <c r="B22" i="11"/>
  <c r="B65" i="11" s="1"/>
  <c r="B60" i="11"/>
  <c r="B44" i="11"/>
  <c r="B55" i="11"/>
  <c r="B48" i="11"/>
  <c r="B50" i="11" s="1"/>
  <c r="B40" i="11"/>
  <c r="B61" i="11"/>
  <c r="B43" i="11"/>
  <c r="B45" i="11" s="1"/>
  <c r="B40" i="9"/>
  <c r="B48" i="9"/>
  <c r="B50" i="9" s="1"/>
  <c r="B55" i="9"/>
  <c r="B61" i="9"/>
  <c r="H61" i="9" s="1"/>
  <c r="B43" i="9"/>
  <c r="B33" i="10"/>
  <c r="B57" i="10" s="1"/>
  <c r="B55" i="10"/>
  <c r="B33" i="15"/>
  <c r="B56" i="9"/>
  <c r="B34" i="9"/>
  <c r="B57" i="9" s="1"/>
  <c r="B27" i="13"/>
  <c r="B33" i="13" s="1"/>
  <c r="B45" i="9" l="1"/>
  <c r="B62" i="9" s="1"/>
  <c r="B62" i="11"/>
</calcChain>
</file>

<file path=xl/comments1.xml><?xml version="1.0" encoding="utf-8"?>
<comments xmlns="http://schemas.openxmlformats.org/spreadsheetml/2006/main">
  <authors>
    <author>Catherine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109 son Financiados con recursos del Fideicomiso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Corresponden a recursos del Fideicomiso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69 086 017 colones fueron financiados del fideicomiso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70 millones del fideicomiso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70 millones del fideicomiso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se suma el gasto de capacitación con fuente del fideicomiso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se resta el gasto de capacitación que fue financiado con fideicomiso</t>
        </r>
      </text>
    </comment>
  </commentList>
</comments>
</file>

<file path=xl/comments3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hay modificación en gasto</t>
        </r>
      </text>
    </comment>
  </commentList>
</comments>
</file>

<file path=xl/comments4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toma en cuenta el cambio de beneficiarios el 6 de dic</t>
        </r>
      </text>
    </comment>
  </commentList>
</comments>
</file>

<file path=xl/sharedStrings.xml><?xml version="1.0" encoding="utf-8"?>
<sst xmlns="http://schemas.openxmlformats.org/spreadsheetml/2006/main" count="590" uniqueCount="167">
  <si>
    <t>Indicador</t>
  </si>
  <si>
    <t>Total</t>
  </si>
  <si>
    <t>Productos</t>
  </si>
  <si>
    <t>Créditos</t>
  </si>
  <si>
    <t>Capacitación</t>
  </si>
  <si>
    <t>Asistencia T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</si>
  <si>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</si>
  <si>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</si>
  <si>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</si>
  <si>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</si>
  <si>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</si>
  <si>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</si>
  <si>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</si>
  <si>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</si>
  <si>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</si>
  <si>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</si>
  <si>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</si>
  <si>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</si>
  <si>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</si>
  <si>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</si>
  <si>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</si>
  <si>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</si>
  <si>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</si>
  <si>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</si>
  <si>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</si>
  <si>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</si>
  <si>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</si>
  <si>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</si>
  <si>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</si>
  <si>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</si>
  <si>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</si>
  <si>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</si>
  <si>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</si>
  <si>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</si>
  <si>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</si>
  <si>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</si>
  <si>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</si>
  <si>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</si>
  <si>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</si>
  <si>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</si>
  <si>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</si>
  <si>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</si>
  <si>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</si>
  <si>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</si>
  <si>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</si>
  <si>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</si>
  <si>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</si>
  <si>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</si>
  <si>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</si>
  <si>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</si>
  <si>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</si>
  <si>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</si>
  <si>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</si>
  <si>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</si>
  <si>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</si>
  <si>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</si>
  <si>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</si>
  <si>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</si>
  <si>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</si>
  <si>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</si>
  <si>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</si>
  <si>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</si>
  <si>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</si>
  <si>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</si>
  <si>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</si>
  <si>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</si>
  <si>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</si>
  <si>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</si>
  <si>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</si>
  <si>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</si>
  <si>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</si>
  <si>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</si>
  <si>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</si>
  <si>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NOTAS</t>
  </si>
  <si>
    <t>Capacitación: todo proviene de la transferencia Fodesaf</t>
  </si>
  <si>
    <t>Fuentes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</si>
  <si>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</si>
  <si>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</si>
  <si>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</si>
  <si>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</si>
  <si>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</si>
  <si>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</si>
  <si>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</si>
  <si>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</si>
  <si>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1S 2012</t>
  </si>
  <si>
    <t>IPC (1S 2012)</t>
  </si>
  <si>
    <t>Gasto efectivo real 1S 2012</t>
  </si>
  <si>
    <t>Gasto efectivo real por beneficiario 1S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</si>
  <si>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</si>
  <si>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</si>
  <si>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</si>
  <si>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</si>
  <si>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</si>
  <si>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</si>
  <si>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</si>
  <si>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</si>
  <si>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</si>
  <si>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</si>
  <si>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</si>
  <si>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</si>
  <si>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</si>
  <si>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</si>
  <si>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</si>
  <si>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</si>
  <si>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Metas y modificaciones, DESAF.</t>
  </si>
  <si>
    <t>Indicadores aplicados a PRONAMYPE.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</si>
  <si>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</si>
  <si>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</si>
  <si>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</si>
  <si>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</si>
  <si>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</si>
  <si>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</si>
  <si>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</si>
  <si>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aplicados a PRONAMYPE.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</si>
  <si>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</si>
  <si>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</si>
  <si>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</si>
  <si>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</si>
  <si>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</si>
  <si>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</si>
  <si>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Indicadores aplicados a PRONAMYPE. Tercer Trimestre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</si>
  <si>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</si>
  <si>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</si>
  <si>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</si>
  <si>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</si>
  <si>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</si>
  <si>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</si>
  <si>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aplicados a PRONAMYPE. Cuarto Trimestre 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</si>
  <si>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</si>
  <si>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</si>
  <si>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</si>
  <si>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</si>
  <si>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</si>
  <si>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</si>
  <si>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aplicados a PRONAMYPE.  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</si>
  <si>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</si>
  <si>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</si>
  <si>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</si>
  <si>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</si>
  <si>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</si>
  <si>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</si>
  <si>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aplicados a PRONAMYPE.  Tercer Trimestre Acumulado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</si>
  <si>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</si>
  <si>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</si>
  <si>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</si>
  <si>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</si>
  <si>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</si>
  <si>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</si>
  <si>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Indicadores aplicados a PRONAMYPE.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</si>
  <si>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</si>
  <si>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</si>
  <si>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</si>
  <si>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</si>
  <si>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</si>
  <si>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</si>
  <si>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Efectivos 2012</t>
  </si>
  <si>
    <t>Informes trimestrales 2012 y 2013, PRONAMYPE</t>
  </si>
  <si>
    <t>Efectivos3TA 2012</t>
  </si>
  <si>
    <t>Efectivos1S 2012</t>
  </si>
  <si>
    <t>Efectivos4T 2012</t>
  </si>
  <si>
    <t>Efectivos3T 2012</t>
  </si>
  <si>
    <t>Efectivos2T 2012</t>
  </si>
  <si>
    <t>IPC, BCCR</t>
  </si>
  <si>
    <t>ENAHO 2012</t>
  </si>
  <si>
    <t>.</t>
  </si>
  <si>
    <t>Beneficiarios: Personas diferentes, no promedios, nuevas en el programa</t>
  </si>
  <si>
    <t>Fecha de actualización: 05/09/2014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</si>
</sst>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 applyFill="1"/>
    <xf numFmtId="0" fontId="0" fillId="0" borderId="0" xfId="0" applyFill="1"/>
    <xf numFmtId="43" fontId="3" fillId="0" borderId="0" xfId="1" applyFont="1" applyFill="1"/>
    <xf numFmtId="0" fontId="4" fillId="0" borderId="1" xfId="0" applyFont="1" applyFill="1" applyBorder="1"/>
    <xf numFmtId="0" fontId="4" fillId="0" borderId="0" xfId="0" applyFont="1" applyFill="1"/>
    <xf numFmtId="3" fontId="0" fillId="0" borderId="0" xfId="0" applyNumberFormat="1" applyFill="1"/>
    <xf numFmtId="0" fontId="4" fillId="0" borderId="0" xfId="0" applyFont="1"/>
    <xf numFmtId="0" fontId="5" fillId="0" borderId="0" xfId="0" applyFont="1"/>
    <xf numFmtId="164" fontId="3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3" fillId="0" borderId="0" xfId="1" applyNumberFormat="1" applyFont="1" applyFill="1"/>
    <xf numFmtId="2" fontId="0" fillId="0" borderId="0" xfId="0" applyNumberFormat="1"/>
    <xf numFmtId="2" fontId="5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6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2" fontId="5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3" fontId="7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3" fontId="4" fillId="0" borderId="0" xfId="0" applyNumberFormat="1" applyFont="1" applyFill="1"/>
    <xf numFmtId="4" fontId="7" fillId="0" borderId="0" xfId="0" applyNumberFormat="1" applyFont="1" applyFill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/>
    <xf numFmtId="4" fontId="8" fillId="0" borderId="0" xfId="0" applyNumberFormat="1" applyFont="1" applyFill="1" applyAlignment="1">
      <alignment horizontal="right"/>
    </xf>
    <xf numFmtId="4" fontId="9" fillId="0" borderId="0" xfId="0" applyNumberFormat="1" applyFont="1" applyFill="1"/>
    <xf numFmtId="9" fontId="0" fillId="0" borderId="0" xfId="3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 sz="1400"/>
              <a:t>Pronamype:</a:t>
            </a:r>
            <a:r>
              <a:rPr lang="es-CR" sz="1400" baseline="0"/>
              <a:t> Indicadores</a:t>
            </a:r>
            <a:r>
              <a:rPr lang="es-CR" sz="1400"/>
              <a:t> de Cobertura Potencial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(Anual!$B$39,Anual!$D$39,Anual!$F$39)</c:f>
              <c:numCache>
                <c:formatCode>#,##0.00</c:formatCode>
                <c:ptCount val="3"/>
                <c:pt idx="0">
                  <c:v>3.8299243369086224</c:v>
                </c:pt>
                <c:pt idx="1">
                  <c:v>1.2316038912446994</c:v>
                </c:pt>
                <c:pt idx="2">
                  <c:v>2.5983204456639228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(Anual!$B$40,Anual!$D$40,Anual!$F$40)</c:f>
              <c:numCache>
                <c:formatCode>#,##0.00</c:formatCode>
                <c:ptCount val="3"/>
                <c:pt idx="0">
                  <c:v>3.6584351874948031</c:v>
                </c:pt>
                <c:pt idx="1">
                  <c:v>0.56539452897646958</c:v>
                </c:pt>
                <c:pt idx="2">
                  <c:v>3.0930406585183334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6779792"/>
        <c:axId val="446780184"/>
      </c:barChart>
      <c:catAx>
        <c:axId val="44677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46780184"/>
        <c:crosses val="autoZero"/>
        <c:auto val="1"/>
        <c:lblAlgn val="ctr"/>
        <c:lblOffset val="100"/>
        <c:noMultiLvlLbl val="0"/>
      </c:catAx>
      <c:valAx>
        <c:axId val="4467801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467797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 sz="1400"/>
              <a:t>Pronamype: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(Anual!$B$43,Anual!$D$43,Anual!$F$43)</c:f>
              <c:numCache>
                <c:formatCode>#,##0.00</c:formatCode>
                <c:ptCount val="3"/>
                <c:pt idx="0">
                  <c:v>95.522388059701484</c:v>
                </c:pt>
                <c:pt idx="1">
                  <c:v>45.907172995780591</c:v>
                </c:pt>
                <c:pt idx="2">
                  <c:v>119.03999999999999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(Anual!$B$44,Anual!$D$44,Anual!$F$44)</c:f>
              <c:numCache>
                <c:formatCode>#,##0.00</c:formatCode>
                <c:ptCount val="3"/>
                <c:pt idx="0">
                  <c:v>98.137410194780344</c:v>
                </c:pt>
                <c:pt idx="1">
                  <c:v>97.744062738862056</c:v>
                </c:pt>
                <c:pt idx="2">
                  <c:v>99.838372162162159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(Anual!$B$45,Anual!$D$45,Anual!$F$45)</c:f>
              <c:numCache>
                <c:formatCode>#,##0.00</c:formatCode>
                <c:ptCount val="3"/>
                <c:pt idx="0">
                  <c:v>96.829899127240907</c:v>
                </c:pt>
                <c:pt idx="1">
                  <c:v>71.825617867321327</c:v>
                </c:pt>
                <c:pt idx="2">
                  <c:v>109.43918608108108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07359688"/>
        <c:axId val="407360080"/>
      </c:barChart>
      <c:catAx>
        <c:axId val="407359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07360080"/>
        <c:crosses val="autoZero"/>
        <c:auto val="1"/>
        <c:lblAlgn val="ctr"/>
        <c:lblOffset val="100"/>
        <c:noMultiLvlLbl val="0"/>
      </c:catAx>
      <c:valAx>
        <c:axId val="4073600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073596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 sz="1400"/>
              <a:t>Pronamype: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(Anual!$B$55,Anual!$D$55,Anual!$F$55)</c:f>
              <c:numCache>
                <c:formatCode>#,##0.00</c:formatCode>
                <c:ptCount val="3"/>
                <c:pt idx="0">
                  <c:v>-12.503107133979618</c:v>
                </c:pt>
                <c:pt idx="1">
                  <c:v>-5.8823529411764719</c:v>
                </c:pt>
                <c:pt idx="2">
                  <c:v>-9.5990279465370634</c:v>
                </c:pt>
              </c:numCache>
            </c:numRef>
          </c:val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(Anual!$B$56,Anual!$D$56,Anual!$F$56)</c:f>
              <c:numCache>
                <c:formatCode>#,##0.00</c:formatCode>
                <c:ptCount val="3"/>
                <c:pt idx="0">
                  <c:v>-12.168672379859958</c:v>
                </c:pt>
                <c:pt idx="1">
                  <c:v>11.875753366002705</c:v>
                </c:pt>
                <c:pt idx="2">
                  <c:v>12.069000419898067</c:v>
                </c:pt>
              </c:numCache>
            </c:numRef>
          </c:val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(Anual!$B$57,Anual!$D$57,Anual!$F$57)</c:f>
              <c:numCache>
                <c:formatCode>#,##0.00</c:formatCode>
                <c:ptCount val="3"/>
                <c:pt idx="0">
                  <c:v>0.38222472040438937</c:v>
                </c:pt>
                <c:pt idx="1">
                  <c:v>18.867987951377874</c:v>
                </c:pt>
                <c:pt idx="2">
                  <c:v>23.968800195666784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07360864"/>
        <c:axId val="407361256"/>
      </c:barChart>
      <c:catAx>
        <c:axId val="40736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07361256"/>
        <c:crosses val="autoZero"/>
        <c:auto val="1"/>
        <c:lblAlgn val="ctr"/>
        <c:lblOffset val="900"/>
        <c:noMultiLvlLbl val="0"/>
      </c:catAx>
      <c:valAx>
        <c:axId val="4073612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07360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 sz="1400"/>
              <a:t>Pronamype: Indicadores de Gasto Medio Anual 2013</a:t>
            </a:r>
          </a:p>
        </c:rich>
      </c:tx>
      <c:layout>
        <c:manualLayout>
          <c:xMode val="edge"/>
          <c:yMode val="edge"/>
          <c:x val="0.12693044619422569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(Anual!$B$60,Anual!$D$60,Anual!$F$60)</c:f>
              <c:numCache>
                <c:formatCode>#,##0.00</c:formatCode>
                <c:ptCount val="3"/>
                <c:pt idx="0">
                  <c:v>534599.72756852105</c:v>
                </c:pt>
                <c:pt idx="1">
                  <c:v>1350210.967164557</c:v>
                </c:pt>
                <c:pt idx="2">
                  <c:v>148000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(Anual!$B$61,Anual!$D$61,Anual!$F$61)</c:f>
              <c:numCache>
                <c:formatCode>#,##0.00</c:formatCode>
                <c:ptCount val="3"/>
                <c:pt idx="0">
                  <c:v>549234.93664772727</c:v>
                </c:pt>
                <c:pt idx="1">
                  <c:v>2874825.3676470588</c:v>
                </c:pt>
                <c:pt idx="2">
                  <c:v>124127.00840053764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4954448"/>
        <c:axId val="444954840"/>
      </c:barChart>
      <c:catAx>
        <c:axId val="44495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44954840"/>
        <c:crosses val="autoZero"/>
        <c:auto val="1"/>
        <c:lblAlgn val="ctr"/>
        <c:lblOffset val="100"/>
        <c:noMultiLvlLbl val="0"/>
      </c:catAx>
      <c:valAx>
        <c:axId val="4449548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4449544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Pronamype: Indicadores de giro de recursos 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(Anual!$B$65,Anual!$D$65,Anual!$E$65)</c:f>
              <c:numCache>
                <c:formatCode>#,##0.00</c:formatCode>
                <c:ptCount val="3"/>
                <c:pt idx="0">
                  <c:v>77.068984924537943</c:v>
                </c:pt>
                <c:pt idx="1">
                  <c:v>72.949640889361135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Anual!$J$2:$L$2</c:f>
              <c:strCache>
                <c:ptCount val="3"/>
                <c:pt idx="0">
                  <c:v>Total Programa</c:v>
                </c:pt>
                <c:pt idx="1">
                  <c:v>Créditos</c:v>
                </c:pt>
                <c:pt idx="2">
                  <c:v>Capacitación</c:v>
                </c:pt>
              </c:strCache>
            </c:strRef>
          </c:cat>
          <c:val>
            <c:numRef>
              <c:f>(Anual!$B$66,Anual!$D$66,Anual!$E$66)</c:f>
              <c:numCache>
                <c:formatCode>#,##0.00</c:formatCode>
                <c:ptCount val="3"/>
                <c:pt idx="0">
                  <c:v>127.33709973067837</c:v>
                </c:pt>
                <c:pt idx="1">
                  <c:v>134.04300867057003</c:v>
                </c:pt>
                <c:pt idx="2">
                  <c:v>100.10532000000001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44955624"/>
        <c:axId val="331034592"/>
      </c:barChart>
      <c:catAx>
        <c:axId val="444955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331034592"/>
        <c:crosses val="autoZero"/>
        <c:auto val="1"/>
        <c:lblAlgn val="ctr"/>
        <c:lblOffset val="100"/>
        <c:noMultiLvlLbl val="0"/>
      </c:catAx>
      <c:valAx>
        <c:axId val="331034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one"/>
        <c:crossAx val="444955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9525</xdr:rowOff>
    </xdr:from>
    <xdr:to>
      <xdr:col>15</xdr:col>
      <xdr:colOff>127000</xdr:colOff>
      <xdr:row>16</xdr:row>
      <xdr:rowOff>63500</xdr:rowOff>
    </xdr:to>
    <xdr:graphicFrame macro="">
      <xdr:nvGraphicFramePr>
        <xdr:cNvPr id="3686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19</xdr:row>
      <xdr:rowOff>85725</xdr:rowOff>
    </xdr:from>
    <xdr:to>
      <xdr:col>15</xdr:col>
      <xdr:colOff>123825</xdr:colOff>
      <xdr:row>33</xdr:row>
      <xdr:rowOff>161925</xdr:rowOff>
    </xdr:to>
    <xdr:graphicFrame macro="">
      <xdr:nvGraphicFramePr>
        <xdr:cNvPr id="368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128058</xdr:colOff>
      <xdr:row>37</xdr:row>
      <xdr:rowOff>21167</xdr:rowOff>
    </xdr:from>
    <xdr:to>
      <xdr:col>15</xdr:col>
      <xdr:colOff>270933</xdr:colOff>
      <xdr:row>51</xdr:row>
      <xdr:rowOff>98426</xdr:rowOff>
    </xdr:to>
    <xdr:graphicFrame macro="">
      <xdr:nvGraphicFramePr>
        <xdr:cNvPr id="3686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102658</xdr:colOff>
      <xdr:row>52</xdr:row>
      <xdr:rowOff>127001</xdr:rowOff>
    </xdr:from>
    <xdr:to>
      <xdr:col>15</xdr:col>
      <xdr:colOff>102658</xdr:colOff>
      <xdr:row>67</xdr:row>
      <xdr:rowOff>12701</xdr:rowOff>
    </xdr:to>
    <xdr:graphicFrame macro="">
      <xdr:nvGraphicFramePr>
        <xdr:cNvPr id="3686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747183</xdr:colOff>
      <xdr:row>68</xdr:row>
      <xdr:rowOff>151342</xdr:rowOff>
    </xdr:from>
    <xdr:to>
      <xdr:col>14</xdr:col>
      <xdr:colOff>677333</xdr:colOff>
      <xdr:row>82</xdr:row>
      <xdr:rowOff>74083</xdr:rowOff>
    </xdr:to>
    <xdr:graphicFrame macro="">
      <xdr:nvGraphicFramePr>
        <xdr:cNvPr id="3687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opLeftCell="A121" zoomScaleNormal="100" workbookViewId="0">
      <selection activeCell="B134" sqref="B134:F136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3.42578125" style="2" customWidth="1"/>
    <col min="8" max="8" width="13.140625" style="2" bestFit="1" customWidth="1"/>
    <col min="9" max="16384" width="11.42578125" style="2"/>
  </cols>
  <sheetData>
    <row r="1" spans="1:8" x14ac:dyDescent="0.25">
      <c r="A1" s="47" t="s">
        <v>105</v>
      </c>
      <c r="B1" s="47"/>
      <c r="C1" s="47"/>
      <c r="D1" s="47"/>
      <c r="E1" s="47"/>
      <c r="F1" s="47"/>
      <c r="G1" s="47"/>
    </row>
    <row r="3" spans="1:8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8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8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76</v>
      </c>
      <c r="B9" s="6">
        <f>+C9+F9+G9</f>
        <v>563</v>
      </c>
      <c r="C9" s="6">
        <f>SUM(D9:E9)</f>
        <v>85</v>
      </c>
      <c r="D9" s="6">
        <v>85</v>
      </c>
      <c r="E9" s="6">
        <v>0</v>
      </c>
      <c r="F9" s="6">
        <v>478</v>
      </c>
      <c r="G9" s="6">
        <v>0</v>
      </c>
      <c r="H9" s="40"/>
    </row>
    <row r="10" spans="1:8" x14ac:dyDescent="0.25">
      <c r="A10" s="2" t="s">
        <v>106</v>
      </c>
      <c r="B10" s="6">
        <f t="shared" ref="B10:B18" si="0">+C10+F10+G10</f>
        <v>660</v>
      </c>
      <c r="C10" s="6">
        <f>SUM(D10:E10)</f>
        <v>160</v>
      </c>
      <c r="D10" s="6">
        <v>160</v>
      </c>
      <c r="E10" s="6">
        <v>0</v>
      </c>
      <c r="F10" s="6">
        <v>500</v>
      </c>
      <c r="G10" s="6">
        <v>0</v>
      </c>
    </row>
    <row r="11" spans="1:8" x14ac:dyDescent="0.25">
      <c r="A11" s="2" t="s">
        <v>107</v>
      </c>
      <c r="B11" s="6">
        <f t="shared" si="0"/>
        <v>562</v>
      </c>
      <c r="C11" s="6">
        <f>SUM(D11:E11)</f>
        <v>88</v>
      </c>
      <c r="D11" s="6">
        <v>88</v>
      </c>
      <c r="E11" s="6">
        <v>0</v>
      </c>
      <c r="F11" s="6">
        <v>474</v>
      </c>
      <c r="G11" s="6">
        <v>0</v>
      </c>
    </row>
    <row r="12" spans="1:8" x14ac:dyDescent="0.25">
      <c r="A12" s="2" t="s">
        <v>108</v>
      </c>
      <c r="B12" s="6">
        <f t="shared" si="0"/>
        <v>3685</v>
      </c>
      <c r="C12" s="6">
        <f>SUM(D12:E12)</f>
        <v>1185</v>
      </c>
      <c r="D12" s="6">
        <v>1185</v>
      </c>
      <c r="E12" s="6">
        <v>0</v>
      </c>
      <c r="F12" s="6">
        <v>2500</v>
      </c>
      <c r="G12" s="6">
        <v>0</v>
      </c>
    </row>
    <row r="13" spans="1:8" x14ac:dyDescent="0.25">
      <c r="B13" s="6"/>
      <c r="C13" s="1"/>
      <c r="D13" s="1"/>
      <c r="E13" s="1"/>
      <c r="F13" s="1"/>
      <c r="G13" s="1"/>
    </row>
    <row r="14" spans="1:8" x14ac:dyDescent="0.25">
      <c r="A14" s="2" t="s">
        <v>8</v>
      </c>
      <c r="B14" s="6"/>
      <c r="C14" s="1"/>
      <c r="D14" s="1"/>
      <c r="E14" s="1"/>
      <c r="F14" s="1"/>
      <c r="G14" s="1"/>
    </row>
    <row r="15" spans="1:8" x14ac:dyDescent="0.25">
      <c r="A15" s="2" t="s">
        <v>76</v>
      </c>
      <c r="B15" s="6">
        <f t="shared" si="0"/>
        <v>227668220</v>
      </c>
      <c r="C15" s="6">
        <f>SUM(D15:E15)</f>
        <v>212920000</v>
      </c>
      <c r="D15" s="6">
        <v>212920000</v>
      </c>
      <c r="E15" s="6">
        <v>0</v>
      </c>
      <c r="F15" s="6">
        <v>14748220</v>
      </c>
      <c r="G15" s="6">
        <v>0</v>
      </c>
      <c r="H15" s="3"/>
    </row>
    <row r="16" spans="1:8" x14ac:dyDescent="0.25">
      <c r="A16" s="2" t="s">
        <v>106</v>
      </c>
      <c r="B16" s="6">
        <f t="shared" si="0"/>
        <v>263333332.88999999</v>
      </c>
      <c r="C16" s="6">
        <f>SUM(D16:E16)</f>
        <v>213333332.88999999</v>
      </c>
      <c r="D16" s="6">
        <v>213333332.88999999</v>
      </c>
      <c r="E16" s="6">
        <v>0</v>
      </c>
      <c r="F16" s="6">
        <v>50000000</v>
      </c>
      <c r="G16" s="6">
        <v>0</v>
      </c>
    </row>
    <row r="17" spans="1:7" x14ac:dyDescent="0.25">
      <c r="A17" s="2" t="s">
        <v>107</v>
      </c>
      <c r="B17" s="6">
        <f t="shared" si="0"/>
        <v>267240400</v>
      </c>
      <c r="C17" s="6">
        <f>SUM(D17:E17)</f>
        <v>237230000</v>
      </c>
      <c r="D17" s="6">
        <v>237230000</v>
      </c>
      <c r="E17" s="6">
        <v>0</v>
      </c>
      <c r="F17" s="6">
        <v>30010400</v>
      </c>
      <c r="G17" s="6">
        <v>0</v>
      </c>
    </row>
    <row r="18" spans="1:7" x14ac:dyDescent="0.25">
      <c r="A18" s="2" t="s">
        <v>108</v>
      </c>
      <c r="B18" s="6">
        <f t="shared" si="0"/>
        <v>1899999996.0899999</v>
      </c>
      <c r="C18" s="6">
        <f>SUM(D18:E18)</f>
        <v>1599999996.0899999</v>
      </c>
      <c r="D18" s="6">
        <v>1599999996.0899999</v>
      </c>
      <c r="E18" s="6">
        <v>0</v>
      </c>
      <c r="F18" s="6">
        <v>300000000</v>
      </c>
      <c r="G18" s="6">
        <v>0</v>
      </c>
    </row>
    <row r="19" spans="1:7" x14ac:dyDescent="0.25">
      <c r="A19" s="2" t="s">
        <v>109</v>
      </c>
      <c r="B19" s="6">
        <f>+C19+F19+G19</f>
        <v>267240400</v>
      </c>
      <c r="C19" s="6">
        <f>SUM(D19:E19)</f>
        <v>237230000</v>
      </c>
      <c r="D19" s="1">
        <f>D17</f>
        <v>237230000</v>
      </c>
      <c r="E19" s="1">
        <f>E17</f>
        <v>0</v>
      </c>
      <c r="F19" s="1">
        <f>F17</f>
        <v>30010400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106</v>
      </c>
      <c r="B22" s="6">
        <f>B16</f>
        <v>263333332.88999999</v>
      </c>
      <c r="C22" s="1"/>
      <c r="D22" s="6">
        <f>D16</f>
        <v>213333332.88999999</v>
      </c>
      <c r="E22" s="6">
        <f>F16</f>
        <v>50000000</v>
      </c>
      <c r="F22" s="1"/>
      <c r="G22" s="1"/>
    </row>
    <row r="23" spans="1:7" x14ac:dyDescent="0.25">
      <c r="A23" s="2" t="s">
        <v>107</v>
      </c>
      <c r="B23" s="6">
        <f>+D23+E23</f>
        <v>387700000</v>
      </c>
      <c r="C23" s="1"/>
      <c r="D23" s="6">
        <v>337700000</v>
      </c>
      <c r="E23" s="6">
        <v>50000000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77</v>
      </c>
      <c r="B26" s="1">
        <v>1.5037478319333335</v>
      </c>
      <c r="C26" s="1">
        <v>1.5037478319333335</v>
      </c>
      <c r="D26" s="1">
        <v>1.5037478319333335</v>
      </c>
      <c r="E26" s="1">
        <v>1.5037478319333335</v>
      </c>
      <c r="F26" s="1">
        <v>1.5037478319333335</v>
      </c>
      <c r="G26" s="1">
        <v>1.5037478319333335</v>
      </c>
    </row>
    <row r="27" spans="1:7" x14ac:dyDescent="0.25">
      <c r="A27" s="2" t="s">
        <v>110</v>
      </c>
      <c r="B27" s="1">
        <v>1.5987436681</v>
      </c>
      <c r="C27" s="1">
        <v>1.5987436681</v>
      </c>
      <c r="D27" s="1">
        <v>1.5987436681</v>
      </c>
      <c r="E27" s="1">
        <v>1.5987436681</v>
      </c>
      <c r="F27" s="1">
        <v>1.5987436681</v>
      </c>
      <c r="G27" s="1">
        <v>1.5987436681</v>
      </c>
    </row>
    <row r="28" spans="1:7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78</v>
      </c>
      <c r="B31" s="1">
        <f t="shared" ref="B31:G31" si="1">B15/B26</f>
        <v>151400530.83720312</v>
      </c>
      <c r="C31" s="1">
        <f t="shared" si="1"/>
        <v>141592889.09913421</v>
      </c>
      <c r="D31" s="1">
        <f t="shared" si="1"/>
        <v>141592889.09913421</v>
      </c>
      <c r="E31" s="1">
        <f t="shared" si="1"/>
        <v>0</v>
      </c>
      <c r="F31" s="1">
        <f t="shared" si="1"/>
        <v>9807641.738068914</v>
      </c>
      <c r="G31" s="1">
        <f t="shared" si="1"/>
        <v>0</v>
      </c>
    </row>
    <row r="32" spans="1:7" x14ac:dyDescent="0.25">
      <c r="A32" s="2" t="s">
        <v>111</v>
      </c>
      <c r="B32" s="1">
        <f t="shared" ref="B32:G32" si="2">B17/B27</f>
        <v>167156502.52901226</v>
      </c>
      <c r="C32" s="1">
        <f t="shared" si="2"/>
        <v>148385263.21228969</v>
      </c>
      <c r="D32" s="1">
        <f t="shared" si="2"/>
        <v>148385263.21228969</v>
      </c>
      <c r="E32" s="1">
        <f t="shared" si="2"/>
        <v>0</v>
      </c>
      <c r="F32" s="1">
        <f t="shared" si="2"/>
        <v>18771239.316722583</v>
      </c>
      <c r="G32" s="1">
        <f t="shared" si="2"/>
        <v>0</v>
      </c>
    </row>
    <row r="33" spans="1:7" x14ac:dyDescent="0.25">
      <c r="A33" s="2" t="s">
        <v>79</v>
      </c>
      <c r="B33" s="1">
        <f t="shared" ref="B33:G33" si="3">B31/B9</f>
        <v>268917.46152256324</v>
      </c>
      <c r="C33" s="1">
        <f t="shared" si="3"/>
        <v>1665798.6952839319</v>
      </c>
      <c r="D33" s="1">
        <f t="shared" si="3"/>
        <v>1665798.6952839319</v>
      </c>
      <c r="E33" s="1" t="e">
        <f t="shared" si="3"/>
        <v>#DIV/0!</v>
      </c>
      <c r="F33" s="1">
        <f t="shared" si="3"/>
        <v>20518.078949934967</v>
      </c>
      <c r="G33" s="1" t="e">
        <f t="shared" si="3"/>
        <v>#DIV/0!</v>
      </c>
    </row>
    <row r="34" spans="1:7" x14ac:dyDescent="0.25">
      <c r="A34" s="2" t="s">
        <v>112</v>
      </c>
      <c r="B34" s="1">
        <f t="shared" ref="B34:G34" si="4">B32/B11</f>
        <v>297431.4991619435</v>
      </c>
      <c r="C34" s="1">
        <f t="shared" si="4"/>
        <v>1686196.1728669284</v>
      </c>
      <c r="D34" s="1">
        <f t="shared" si="4"/>
        <v>1686196.1728669284</v>
      </c>
      <c r="E34" s="1" t="e">
        <f t="shared" si="4"/>
        <v>#DIV/0!</v>
      </c>
      <c r="F34" s="1">
        <f t="shared" si="4"/>
        <v>39601.770710385194</v>
      </c>
      <c r="G34" s="1" t="e">
        <f t="shared" si="4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5">B10/B28*100</f>
        <v>0.68595659765527561</v>
      </c>
      <c r="C39" s="1">
        <f t="shared" si="5"/>
        <v>0.16629250852249106</v>
      </c>
      <c r="D39" s="1">
        <f t="shared" si="5"/>
        <v>0.16629250852249106</v>
      </c>
      <c r="E39" s="1">
        <f t="shared" si="5"/>
        <v>0</v>
      </c>
      <c r="F39" s="1">
        <f t="shared" si="5"/>
        <v>0.5196640891327845</v>
      </c>
      <c r="G39" s="1">
        <f t="shared" si="5"/>
        <v>0</v>
      </c>
    </row>
    <row r="40" spans="1:7" x14ac:dyDescent="0.25">
      <c r="A40" s="2" t="s">
        <v>16</v>
      </c>
      <c r="B40" s="1">
        <f t="shared" ref="B40:G40" si="6">B11/B28*100</f>
        <v>0.58410243618524982</v>
      </c>
      <c r="C40" s="1">
        <f t="shared" si="6"/>
        <v>9.1460879687370086E-2</v>
      </c>
      <c r="D40" s="1">
        <f t="shared" si="6"/>
        <v>9.1460879687370086E-2</v>
      </c>
      <c r="E40" s="1">
        <f t="shared" si="6"/>
        <v>0</v>
      </c>
      <c r="F40" s="1">
        <f t="shared" si="6"/>
        <v>0.49264155649787983</v>
      </c>
      <c r="G40" s="1">
        <f t="shared" si="6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7">B11/B10*100</f>
        <v>85.151515151515156</v>
      </c>
      <c r="C43" s="1">
        <f t="shared" si="7"/>
        <v>55.000000000000007</v>
      </c>
      <c r="D43" s="1">
        <f t="shared" si="7"/>
        <v>55.000000000000007</v>
      </c>
      <c r="E43" s="1" t="e">
        <f t="shared" si="7"/>
        <v>#DIV/0!</v>
      </c>
      <c r="F43" s="1">
        <f t="shared" si="7"/>
        <v>94.8</v>
      </c>
      <c r="G43" s="1" t="e">
        <f t="shared" si="7"/>
        <v>#DIV/0!</v>
      </c>
    </row>
    <row r="44" spans="1:7" x14ac:dyDescent="0.25">
      <c r="A44" s="2" t="s">
        <v>19</v>
      </c>
      <c r="B44" s="1">
        <f t="shared" ref="B44:G44" si="8">B17/B16*100</f>
        <v>101.48369637338395</v>
      </c>
      <c r="C44" s="1">
        <f t="shared" si="8"/>
        <v>111.20156273109076</v>
      </c>
      <c r="D44" s="1">
        <f t="shared" si="8"/>
        <v>111.20156273109076</v>
      </c>
      <c r="E44" s="1" t="e">
        <f t="shared" si="8"/>
        <v>#DIV/0!</v>
      </c>
      <c r="F44" s="1">
        <f t="shared" si="8"/>
        <v>60.020799999999994</v>
      </c>
      <c r="G44" s="1" t="e">
        <f t="shared" si="8"/>
        <v>#DIV/0!</v>
      </c>
    </row>
    <row r="45" spans="1:7" x14ac:dyDescent="0.25">
      <c r="A45" s="2" t="s">
        <v>20</v>
      </c>
      <c r="B45" s="1">
        <f t="shared" ref="B45:G45" si="9">AVERAGE(B43:B44)</f>
        <v>93.317605762449546</v>
      </c>
      <c r="C45" s="1">
        <f t="shared" si="9"/>
        <v>83.100781365545387</v>
      </c>
      <c r="D45" s="1">
        <f t="shared" si="9"/>
        <v>83.100781365545387</v>
      </c>
      <c r="E45" s="1" t="e">
        <f t="shared" si="9"/>
        <v>#DIV/0!</v>
      </c>
      <c r="F45" s="1">
        <f t="shared" si="9"/>
        <v>77.410399999999996</v>
      </c>
      <c r="G45" s="1" t="e">
        <f t="shared" si="9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0">B11/B12*100</f>
        <v>15.251017639077341</v>
      </c>
      <c r="C48" s="1">
        <f t="shared" si="10"/>
        <v>7.4261603375527425</v>
      </c>
      <c r="D48" s="1">
        <f t="shared" si="10"/>
        <v>7.4261603375527425</v>
      </c>
      <c r="E48" s="1" t="e">
        <f t="shared" si="10"/>
        <v>#DIV/0!</v>
      </c>
      <c r="F48" s="1">
        <f t="shared" si="10"/>
        <v>18.96</v>
      </c>
      <c r="G48" s="1" t="e">
        <f t="shared" si="10"/>
        <v>#DIV/0!</v>
      </c>
    </row>
    <row r="49" spans="1:7" x14ac:dyDescent="0.25">
      <c r="A49" s="2" t="s">
        <v>23</v>
      </c>
      <c r="B49" s="1">
        <f t="shared" ref="B49:G49" si="11">B17/B18*100</f>
        <v>14.06528423947119</v>
      </c>
      <c r="C49" s="1">
        <f t="shared" si="11"/>
        <v>14.826875036233178</v>
      </c>
      <c r="D49" s="1">
        <f t="shared" si="11"/>
        <v>14.826875036233178</v>
      </c>
      <c r="E49" s="1" t="e">
        <f t="shared" si="11"/>
        <v>#DIV/0!</v>
      </c>
      <c r="F49" s="1">
        <f t="shared" si="11"/>
        <v>10.003466666666666</v>
      </c>
      <c r="G49" s="1" t="e">
        <f t="shared" si="11"/>
        <v>#DIV/0!</v>
      </c>
    </row>
    <row r="50" spans="1:7" x14ac:dyDescent="0.25">
      <c r="A50" s="2" t="s">
        <v>24</v>
      </c>
      <c r="B50" s="1">
        <f t="shared" ref="B50:G50" si="12">(B48+B49)/2</f>
        <v>14.658150939274265</v>
      </c>
      <c r="C50" s="1">
        <f t="shared" si="12"/>
        <v>11.12651768689296</v>
      </c>
      <c r="D50" s="1">
        <f t="shared" si="12"/>
        <v>11.12651768689296</v>
      </c>
      <c r="E50" s="1" t="e">
        <f t="shared" si="12"/>
        <v>#DIV/0!</v>
      </c>
      <c r="F50" s="1">
        <f t="shared" si="12"/>
        <v>14.481733333333334</v>
      </c>
      <c r="G50" s="1" t="e">
        <f t="shared" si="12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3">B19/B17*100</f>
        <v>100</v>
      </c>
      <c r="C52" s="1">
        <f t="shared" si="13"/>
        <v>100</v>
      </c>
      <c r="D52" s="1">
        <f t="shared" si="13"/>
        <v>100</v>
      </c>
      <c r="E52" s="1" t="e">
        <f t="shared" si="13"/>
        <v>#DIV/0!</v>
      </c>
      <c r="F52" s="1">
        <f t="shared" si="13"/>
        <v>100</v>
      </c>
      <c r="G52" s="1" t="e">
        <f t="shared" si="13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4">((B11/B9)-1)*100</f>
        <v>-0.17761989342806039</v>
      </c>
      <c r="C55" s="1">
        <f t="shared" si="14"/>
        <v>3.529411764705892</v>
      </c>
      <c r="D55" s="1">
        <f t="shared" si="14"/>
        <v>3.529411764705892</v>
      </c>
      <c r="E55" s="1" t="e">
        <f t="shared" si="14"/>
        <v>#DIV/0!</v>
      </c>
      <c r="F55" s="1">
        <f t="shared" si="14"/>
        <v>-0.83682008368201055</v>
      </c>
      <c r="G55" s="1" t="e">
        <f t="shared" si="14"/>
        <v>#DIV/0!</v>
      </c>
    </row>
    <row r="56" spans="1:7" x14ac:dyDescent="0.25">
      <c r="A56" s="2" t="s">
        <v>28</v>
      </c>
      <c r="B56" s="1">
        <f t="shared" ref="B56:G56" si="15">((B32/B31)-1)*100</f>
        <v>10.406814034721656</v>
      </c>
      <c r="C56" s="1">
        <f t="shared" si="15"/>
        <v>4.7971152763186531</v>
      </c>
      <c r="D56" s="1">
        <f t="shared" si="15"/>
        <v>4.7971152763186531</v>
      </c>
      <c r="E56" s="1" t="e">
        <f t="shared" si="15"/>
        <v>#DIV/0!</v>
      </c>
      <c r="F56" s="1">
        <f t="shared" si="15"/>
        <v>91.394015177583015</v>
      </c>
      <c r="G56" s="1" t="e">
        <f t="shared" si="15"/>
        <v>#DIV/0!</v>
      </c>
    </row>
    <row r="57" spans="1:7" x14ac:dyDescent="0.25">
      <c r="A57" s="2" t="s">
        <v>29</v>
      </c>
      <c r="B57" s="1">
        <f t="shared" ref="B57:F57" si="16">((B34/B33)-1)*100</f>
        <v>10.603267440477392</v>
      </c>
      <c r="C57" s="1">
        <f t="shared" si="16"/>
        <v>1.2244863464441424</v>
      </c>
      <c r="D57" s="1">
        <f t="shared" si="16"/>
        <v>1.2244863464441424</v>
      </c>
      <c r="E57" s="1" t="e">
        <f t="shared" si="16"/>
        <v>#DIV/0!</v>
      </c>
      <c r="F57" s="1">
        <f t="shared" si="16"/>
        <v>93.00915454617018</v>
      </c>
      <c r="G57" s="1" t="e">
        <f>((G34/G33)-1)*100</f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 t="shared" ref="B60:G61" si="17">B16/B10</f>
        <v>398989.8983181818</v>
      </c>
      <c r="C60" s="1">
        <f t="shared" si="17"/>
        <v>1333333.3305624998</v>
      </c>
      <c r="D60" s="1">
        <f>D16/D10</f>
        <v>1333333.3305624998</v>
      </c>
      <c r="E60" s="1" t="e">
        <f>E16/E10</f>
        <v>#DIV/0!</v>
      </c>
      <c r="F60" s="1">
        <f t="shared" si="17"/>
        <v>100000</v>
      </c>
      <c r="G60" s="1" t="e">
        <f t="shared" si="17"/>
        <v>#DIV/0!</v>
      </c>
    </row>
    <row r="61" spans="1:7" x14ac:dyDescent="0.25">
      <c r="A61" s="2" t="s">
        <v>32</v>
      </c>
      <c r="B61" s="1">
        <f t="shared" si="17"/>
        <v>475516.72597864771</v>
      </c>
      <c r="C61" s="1">
        <f t="shared" si="17"/>
        <v>2695795.4545454546</v>
      </c>
      <c r="D61" s="1">
        <f>D17/D11</f>
        <v>2695795.4545454546</v>
      </c>
      <c r="E61" s="1" t="e">
        <f>E17/E11</f>
        <v>#DIV/0!</v>
      </c>
      <c r="F61" s="1">
        <f t="shared" si="17"/>
        <v>63313.080168776374</v>
      </c>
      <c r="G61" s="1" t="e">
        <f t="shared" si="17"/>
        <v>#DIV/0!</v>
      </c>
    </row>
    <row r="62" spans="1:7" x14ac:dyDescent="0.25">
      <c r="A62" s="2" t="s">
        <v>33</v>
      </c>
      <c r="B62" s="1">
        <f>(B60/B61)*B45</f>
        <v>78.299626491219982</v>
      </c>
      <c r="C62" s="1">
        <f>(C60/C61)*C45</f>
        <v>41.101427559588799</v>
      </c>
      <c r="D62" s="1">
        <f>(D60/D61)*D45</f>
        <v>41.101427559588799</v>
      </c>
      <c r="E62" s="1" t="e">
        <f>(E60/E61)*E45</f>
        <v>#DIV/0!</v>
      </c>
      <c r="F62" s="1">
        <f>(F60/F61)*F45</f>
        <v>122.26604643723508</v>
      </c>
      <c r="G62" s="1" t="e">
        <f>G60/G61*G45</f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(B23/B22)*100</f>
        <v>147.22784834913043</v>
      </c>
      <c r="C65" s="1"/>
      <c r="D65" s="1">
        <f>(D23/D22)*100</f>
        <v>158.29687532896071</v>
      </c>
      <c r="E65" s="1">
        <f>(E23/E22)*100</f>
        <v>100</v>
      </c>
      <c r="F65" s="1"/>
      <c r="G65" s="1"/>
    </row>
    <row r="66" spans="1:7" x14ac:dyDescent="0.25">
      <c r="A66" s="2" t="s">
        <v>36</v>
      </c>
      <c r="B66" s="1">
        <f>(B17/B23)*100</f>
        <v>68.929687903017793</v>
      </c>
      <c r="C66" s="1"/>
      <c r="D66" s="1">
        <f>(D17/D23)*100</f>
        <v>70.248741486526498</v>
      </c>
      <c r="E66" s="1">
        <f>(F17/E23)*100</f>
        <v>60.020799999999994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80" spans="1:7" x14ac:dyDescent="0.25">
      <c r="A80" s="2" t="s">
        <v>166</v>
      </c>
    </row>
    <row r="135" spans="3:3" x14ac:dyDescent="0.25">
      <c r="C135" s="1"/>
    </row>
    <row r="136" spans="3:3" x14ac:dyDescent="0.25">
      <c r="C136" s="1"/>
    </row>
  </sheetData>
  <mergeCells count="7">
    <mergeCell ref="F4:F5"/>
    <mergeCell ref="B3:B5"/>
    <mergeCell ref="G4:G5"/>
    <mergeCell ref="A1:G1"/>
    <mergeCell ref="C3:G3"/>
    <mergeCell ref="C4:E4"/>
    <mergeCell ref="A3:A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A79" sqref="A79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8" width="12.7109375" style="2" bestFit="1" customWidth="1"/>
    <col min="9" max="16384" width="11.42578125" style="2"/>
  </cols>
  <sheetData>
    <row r="1" spans="1:8" x14ac:dyDescent="0.25">
      <c r="A1" s="47" t="s">
        <v>113</v>
      </c>
      <c r="B1" s="47"/>
      <c r="C1" s="47"/>
      <c r="D1" s="47"/>
      <c r="E1" s="47"/>
      <c r="F1" s="47"/>
      <c r="G1" s="47"/>
    </row>
    <row r="3" spans="1:8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8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8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8" ht="15.75" thickTop="1" x14ac:dyDescent="0.25">
      <c r="A6" s="37"/>
      <c r="B6" s="38"/>
      <c r="C6" s="39"/>
      <c r="D6" s="39"/>
      <c r="E6" s="39"/>
      <c r="F6" s="38"/>
      <c r="G6" s="38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80</v>
      </c>
      <c r="B9" s="6">
        <f>+C9+F9+G9</f>
        <v>2289</v>
      </c>
      <c r="C9" s="6">
        <f>SUM(D9:E9)</f>
        <v>298</v>
      </c>
      <c r="D9" s="6">
        <v>145</v>
      </c>
      <c r="E9" s="6">
        <v>153</v>
      </c>
      <c r="F9" s="6">
        <v>1991</v>
      </c>
      <c r="G9" s="6">
        <v>0</v>
      </c>
    </row>
    <row r="10" spans="1:8" x14ac:dyDescent="0.25">
      <c r="A10" s="2" t="s">
        <v>114</v>
      </c>
      <c r="B10" s="6">
        <f t="shared" ref="B10:B19" si="0">+C10+F10+G10</f>
        <v>1095</v>
      </c>
      <c r="C10" s="6">
        <f>SUM(D10:E10)</f>
        <v>345</v>
      </c>
      <c r="D10" s="6">
        <v>345</v>
      </c>
      <c r="E10" s="6">
        <v>0</v>
      </c>
      <c r="F10" s="6">
        <v>750</v>
      </c>
      <c r="G10" s="6">
        <v>0</v>
      </c>
    </row>
    <row r="11" spans="1:8" x14ac:dyDescent="0.25">
      <c r="A11" s="2" t="s">
        <v>115</v>
      </c>
      <c r="B11" s="6">
        <f t="shared" si="0"/>
        <v>1288</v>
      </c>
      <c r="C11" s="6">
        <f>SUM(D11:E11)</f>
        <v>124</v>
      </c>
      <c r="D11" s="6">
        <v>124</v>
      </c>
      <c r="E11" s="6">
        <v>0</v>
      </c>
      <c r="F11" s="6">
        <v>1164</v>
      </c>
      <c r="G11" s="6">
        <v>0</v>
      </c>
    </row>
    <row r="12" spans="1:8" x14ac:dyDescent="0.25">
      <c r="A12" s="2" t="s">
        <v>108</v>
      </c>
      <c r="B12" s="6">
        <f t="shared" si="0"/>
        <v>3685</v>
      </c>
      <c r="C12" s="6">
        <f>SUM(D12:E12)</f>
        <v>1185</v>
      </c>
      <c r="D12" s="6">
        <v>1185</v>
      </c>
      <c r="E12" s="6">
        <v>0</v>
      </c>
      <c r="F12" s="6">
        <v>2500</v>
      </c>
      <c r="G12" s="6">
        <v>0</v>
      </c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8</v>
      </c>
      <c r="B14" s="1"/>
      <c r="C14" s="1"/>
      <c r="D14" s="1"/>
      <c r="E14" s="1"/>
      <c r="F14" s="1"/>
      <c r="G14" s="1"/>
    </row>
    <row r="15" spans="1:8" x14ac:dyDescent="0.25">
      <c r="A15" s="2" t="s">
        <v>161</v>
      </c>
      <c r="B15" s="6">
        <f t="shared" si="0"/>
        <v>844750279</v>
      </c>
      <c r="C15" s="6">
        <f>SUM(D15:E15)</f>
        <v>780133419</v>
      </c>
      <c r="D15" s="6">
        <v>330435000</v>
      </c>
      <c r="E15" s="6">
        <v>449698419</v>
      </c>
      <c r="F15" s="6">
        <v>64616860</v>
      </c>
      <c r="G15" s="6">
        <v>0</v>
      </c>
      <c r="H15" s="1"/>
    </row>
    <row r="16" spans="1:8" x14ac:dyDescent="0.25">
      <c r="A16" s="2" t="s">
        <v>114</v>
      </c>
      <c r="B16" s="6">
        <f t="shared" si="0"/>
        <v>559999998.85000002</v>
      </c>
      <c r="C16" s="6">
        <f>SUM(D16:E16)</f>
        <v>459999998.85000002</v>
      </c>
      <c r="D16" s="6">
        <v>459999998.85000002</v>
      </c>
      <c r="E16" s="6">
        <v>0</v>
      </c>
      <c r="F16" s="6">
        <v>100000000</v>
      </c>
      <c r="G16" s="6">
        <v>0</v>
      </c>
    </row>
    <row r="17" spans="1:7" x14ac:dyDescent="0.25">
      <c r="A17" s="2" t="s">
        <v>115</v>
      </c>
      <c r="B17" s="6">
        <f t="shared" si="0"/>
        <v>396964238</v>
      </c>
      <c r="C17" s="6">
        <f>SUM(D17:E17)</f>
        <v>322100000</v>
      </c>
      <c r="D17" s="6">
        <v>322100000</v>
      </c>
      <c r="E17" s="6">
        <v>0</v>
      </c>
      <c r="F17" s="6">
        <v>74864238</v>
      </c>
      <c r="G17" s="6">
        <v>0</v>
      </c>
    </row>
    <row r="18" spans="1:7" x14ac:dyDescent="0.25">
      <c r="A18" s="2" t="s">
        <v>108</v>
      </c>
      <c r="B18" s="6">
        <f t="shared" si="0"/>
        <v>1899999996.0899999</v>
      </c>
      <c r="C18" s="6">
        <f>SUM(D18:E18)</f>
        <v>1599999996.0899999</v>
      </c>
      <c r="D18" s="6">
        <v>1599999996.0899999</v>
      </c>
      <c r="E18" s="6">
        <v>0</v>
      </c>
      <c r="F18" s="6">
        <v>300000000</v>
      </c>
      <c r="G18" s="6">
        <v>0</v>
      </c>
    </row>
    <row r="19" spans="1:7" x14ac:dyDescent="0.25">
      <c r="A19" s="2" t="s">
        <v>116</v>
      </c>
      <c r="B19" s="6">
        <f t="shared" si="0"/>
        <v>396964238</v>
      </c>
      <c r="C19" s="6">
        <f>SUM(D19:E19)</f>
        <v>322100000</v>
      </c>
      <c r="D19" s="1">
        <f>D17</f>
        <v>322100000</v>
      </c>
      <c r="E19" s="1">
        <f>E17</f>
        <v>0</v>
      </c>
      <c r="F19" s="1">
        <f>F17</f>
        <v>74864238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114</v>
      </c>
      <c r="B22" s="6">
        <f>B16</f>
        <v>559999998.85000002</v>
      </c>
      <c r="C22" s="6"/>
      <c r="D22" s="6">
        <f>D16</f>
        <v>459999998.85000002</v>
      </c>
      <c r="E22" s="6">
        <f>F16</f>
        <v>100000000</v>
      </c>
      <c r="F22" s="6"/>
      <c r="G22" s="6"/>
    </row>
    <row r="23" spans="1:7" x14ac:dyDescent="0.25">
      <c r="A23" s="2" t="s">
        <v>115</v>
      </c>
      <c r="B23" s="6">
        <f>D23+E23</f>
        <v>424000000</v>
      </c>
      <c r="C23" s="1"/>
      <c r="D23" s="6">
        <v>324000000</v>
      </c>
      <c r="E23" s="6">
        <v>100000000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81</v>
      </c>
      <c r="B26" s="1">
        <v>1.5319088546000001</v>
      </c>
      <c r="C26" s="1">
        <v>1.5319088546000001</v>
      </c>
      <c r="D26" s="1">
        <v>1.5319088546000001</v>
      </c>
      <c r="E26" s="1">
        <v>1.5319088546000001</v>
      </c>
      <c r="F26" s="1">
        <v>1.5319088546000001</v>
      </c>
      <c r="G26" s="1"/>
    </row>
    <row r="27" spans="1:7" x14ac:dyDescent="0.25">
      <c r="A27" s="2" t="s">
        <v>117</v>
      </c>
      <c r="B27" s="1">
        <v>1.62</v>
      </c>
      <c r="C27" s="1">
        <v>1.62</v>
      </c>
      <c r="D27" s="1">
        <v>1.62</v>
      </c>
      <c r="E27" s="1">
        <v>1.62</v>
      </c>
      <c r="F27" s="1">
        <v>1.62</v>
      </c>
      <c r="G27" s="1"/>
    </row>
    <row r="28" spans="1:7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82</v>
      </c>
      <c r="B31" s="1">
        <f>B15/B26</f>
        <v>551436383.74005902</v>
      </c>
      <c r="C31" s="1">
        <f>C15/C26</f>
        <v>509255767.18054956</v>
      </c>
      <c r="D31" s="1">
        <f>D15/D26</f>
        <v>215701475.32457507</v>
      </c>
      <c r="E31" s="1">
        <f>E15/E26</f>
        <v>293554291.8559745</v>
      </c>
      <c r="F31" s="1">
        <f>F15/F26</f>
        <v>42180616.559509501</v>
      </c>
      <c r="G31" s="1"/>
    </row>
    <row r="32" spans="1:7" x14ac:dyDescent="0.25">
      <c r="A32" s="2" t="s">
        <v>118</v>
      </c>
      <c r="B32" s="1">
        <f>B17/B27</f>
        <v>245039653.08641973</v>
      </c>
      <c r="C32" s="1">
        <f>C17/C27</f>
        <v>198827160.49382713</v>
      </c>
      <c r="D32" s="1">
        <f>D17/D27</f>
        <v>198827160.49382713</v>
      </c>
      <c r="E32" s="1">
        <f>E17/E27</f>
        <v>0</v>
      </c>
      <c r="F32" s="1">
        <f>F17/F27</f>
        <v>46212492.59259259</v>
      </c>
      <c r="G32" s="1"/>
    </row>
    <row r="33" spans="1:7" x14ac:dyDescent="0.25">
      <c r="A33" s="2" t="s">
        <v>83</v>
      </c>
      <c r="B33" s="1">
        <f>B31/B9</f>
        <v>240907.11391003017</v>
      </c>
      <c r="C33" s="1">
        <f>C31/C9</f>
        <v>1708911.9704045288</v>
      </c>
      <c r="D33" s="1">
        <f>D31/D9</f>
        <v>1487596.3815487935</v>
      </c>
      <c r="E33" s="1">
        <f>E31/E9</f>
        <v>1918655.5023266308</v>
      </c>
      <c r="F33" s="1">
        <f>F31/F9</f>
        <v>21185.643676298092</v>
      </c>
      <c r="G33" s="1"/>
    </row>
    <row r="34" spans="1:7" x14ac:dyDescent="0.25">
      <c r="A34" s="2" t="s">
        <v>119</v>
      </c>
      <c r="B34" s="1">
        <f>B32/B11</f>
        <v>190248.17786212711</v>
      </c>
      <c r="C34" s="1">
        <f>C32/C11</f>
        <v>1603444.8426921542</v>
      </c>
      <c r="D34" s="1">
        <f>D32/D11</f>
        <v>1603444.8426921542</v>
      </c>
      <c r="E34" s="1" t="e">
        <f>E32/E11</f>
        <v>#DIV/0!</v>
      </c>
      <c r="F34" s="1">
        <f>F32/F11</f>
        <v>39701.454117347588</v>
      </c>
      <c r="G34" s="1"/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>B10/B28*100</f>
        <v>1.1380643552007983</v>
      </c>
      <c r="C39" s="1">
        <f>C10/C28*100</f>
        <v>0.35856822150162132</v>
      </c>
      <c r="D39" s="1">
        <f>D10/D28*100</f>
        <v>0.35856822150162132</v>
      </c>
      <c r="E39" s="1">
        <f>E10/E28*100</f>
        <v>0</v>
      </c>
      <c r="F39" s="1">
        <f>F10/F28*100</f>
        <v>0.77949613369917681</v>
      </c>
      <c r="G39" s="1"/>
    </row>
    <row r="40" spans="1:7" x14ac:dyDescent="0.25">
      <c r="A40" s="2" t="s">
        <v>16</v>
      </c>
      <c r="B40" s="1">
        <f>B11/B28*100</f>
        <v>1.338654693606053</v>
      </c>
      <c r="C40" s="1">
        <f>C11/C28*100</f>
        <v>0.12887669410493058</v>
      </c>
      <c r="D40" s="1">
        <f>D11/D28*100</f>
        <v>0.12887669410493058</v>
      </c>
      <c r="E40" s="1">
        <f>E11/E28*100</f>
        <v>0</v>
      </c>
      <c r="F40" s="1">
        <f>F11/F28*100</f>
        <v>1.2097779995011224</v>
      </c>
      <c r="G40" s="1"/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>B11/B10*100</f>
        <v>117.6255707762557</v>
      </c>
      <c r="C43" s="1">
        <f>C11/C10*100</f>
        <v>35.94202898550725</v>
      </c>
      <c r="D43" s="1">
        <f>D11/D10*100</f>
        <v>35.94202898550725</v>
      </c>
      <c r="E43" s="1" t="e">
        <f>E11/E10*100</f>
        <v>#DIV/0!</v>
      </c>
      <c r="F43" s="1">
        <f>F11/F10*100</f>
        <v>155.20000000000002</v>
      </c>
      <c r="G43" s="1"/>
    </row>
    <row r="44" spans="1:7" x14ac:dyDescent="0.25">
      <c r="A44" s="2" t="s">
        <v>19</v>
      </c>
      <c r="B44" s="1">
        <f>B17/B16*100</f>
        <v>70.886471216998999</v>
      </c>
      <c r="C44" s="1">
        <f>C17/C16*100</f>
        <v>70.021739305489135</v>
      </c>
      <c r="D44" s="1">
        <f>D17/D16*100</f>
        <v>70.021739305489135</v>
      </c>
      <c r="E44" s="1" t="e">
        <f>E17/E16*100</f>
        <v>#DIV/0!</v>
      </c>
      <c r="F44" s="1">
        <f>F17/F16*100</f>
        <v>74.864238</v>
      </c>
      <c r="G44" s="1"/>
    </row>
    <row r="45" spans="1:7" x14ac:dyDescent="0.25">
      <c r="A45" s="2" t="s">
        <v>20</v>
      </c>
      <c r="B45" s="1">
        <f>AVERAGE(B43:B44)</f>
        <v>94.256020996627342</v>
      </c>
      <c r="C45" s="1">
        <f>AVERAGE(C43:C44)</f>
        <v>52.981884145498192</v>
      </c>
      <c r="D45" s="1">
        <f>AVERAGE(D43:D44)</f>
        <v>52.981884145498192</v>
      </c>
      <c r="E45" s="1" t="e">
        <f>AVERAGE(E43:E44)</f>
        <v>#DIV/0!</v>
      </c>
      <c r="F45" s="1">
        <f>AVERAGE(F43:F44)</f>
        <v>115.03211900000001</v>
      </c>
      <c r="G45" s="1"/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>B11/B12*100</f>
        <v>34.952510176390774</v>
      </c>
      <c r="C48" s="1">
        <f>C11/C12*100</f>
        <v>10.464135021097047</v>
      </c>
      <c r="D48" s="1">
        <f>D11/D12*100</f>
        <v>10.464135021097047</v>
      </c>
      <c r="E48" s="1" t="e">
        <f>E11/E12*100</f>
        <v>#DIV/0!</v>
      </c>
      <c r="F48" s="1">
        <f>F11/F12*100</f>
        <v>46.56</v>
      </c>
      <c r="G48" s="1"/>
    </row>
    <row r="49" spans="1:7" x14ac:dyDescent="0.25">
      <c r="A49" s="2" t="s">
        <v>23</v>
      </c>
      <c r="B49" s="1">
        <f>B17/B18*100</f>
        <v>20.892854674574242</v>
      </c>
      <c r="C49" s="1">
        <f>C17/C18*100</f>
        <v>20.131250049195742</v>
      </c>
      <c r="D49" s="1">
        <f>D17/D18*100</f>
        <v>20.131250049195742</v>
      </c>
      <c r="E49" s="1" t="e">
        <f>E17/E18*100</f>
        <v>#DIV/0!</v>
      </c>
      <c r="F49" s="1">
        <f>F17/F18*100</f>
        <v>24.954746</v>
      </c>
      <c r="G49" s="1"/>
    </row>
    <row r="50" spans="1:7" x14ac:dyDescent="0.25">
      <c r="A50" s="2" t="s">
        <v>24</v>
      </c>
      <c r="B50" s="1">
        <f>AVERAGE(B48:B49)</f>
        <v>27.922682425482506</v>
      </c>
      <c r="C50" s="1">
        <f>AVERAGE(C48:C49)</f>
        <v>15.297692535146394</v>
      </c>
      <c r="D50" s="1">
        <f>AVERAGE(D48:D49)</f>
        <v>15.297692535146394</v>
      </c>
      <c r="E50" s="1" t="e">
        <f>AVERAGE(E48:E49)</f>
        <v>#DIV/0!</v>
      </c>
      <c r="F50" s="1">
        <f>AVERAGE(F48:F49)</f>
        <v>35.757373000000001</v>
      </c>
      <c r="G50" s="1"/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">B19/B17*100</f>
        <v>100</v>
      </c>
      <c r="C52" s="1">
        <f t="shared" si="1"/>
        <v>100</v>
      </c>
      <c r="D52" s="1">
        <f t="shared" si="1"/>
        <v>100</v>
      </c>
      <c r="E52" s="1" t="e">
        <f t="shared" si="1"/>
        <v>#DIV/0!</v>
      </c>
      <c r="F52" s="1">
        <f t="shared" si="1"/>
        <v>100</v>
      </c>
      <c r="G52" s="1" t="e">
        <f t="shared" si="1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>((B11/B9)-1)*100</f>
        <v>-43.730886850152906</v>
      </c>
      <c r="C55" s="1">
        <f>((C11/C9)-1)*100</f>
        <v>-58.389261744966433</v>
      </c>
      <c r="D55" s="1">
        <f>((D11/D9)-1)*100</f>
        <v>-14.482758620689651</v>
      </c>
      <c r="E55" s="1">
        <f>((E11/E9)-1)*100</f>
        <v>-100</v>
      </c>
      <c r="F55" s="1">
        <f>((F11/F9)-1)*100</f>
        <v>-41.536916122551482</v>
      </c>
      <c r="G55" s="1"/>
    </row>
    <row r="56" spans="1:7" x14ac:dyDescent="0.25">
      <c r="A56" s="2" t="s">
        <v>28</v>
      </c>
      <c r="B56" s="1">
        <f>((B32/B31)-1)*100</f>
        <v>-55.563386763770616</v>
      </c>
      <c r="C56" s="1">
        <f>((C32/C31)-1)*100</f>
        <v>-60.957308035092758</v>
      </c>
      <c r="D56" s="1">
        <f>((D32/D31)-1)*100</f>
        <v>-7.8229946296641923</v>
      </c>
      <c r="E56" s="1">
        <f>((E32/E31)-1)*100</f>
        <v>-100</v>
      </c>
      <c r="F56" s="1">
        <f>((F32/F31)-1)*100</f>
        <v>9.5585990958544151</v>
      </c>
      <c r="G56" s="1"/>
    </row>
    <row r="57" spans="1:7" x14ac:dyDescent="0.25">
      <c r="A57" s="2" t="s">
        <v>29</v>
      </c>
      <c r="B57" s="1">
        <f>((B34/B33)-1)*100</f>
        <v>-21.028410172570609</v>
      </c>
      <c r="C57" s="1">
        <f>((C34/C33)-1)*100</f>
        <v>-6.1715951165939087</v>
      </c>
      <c r="D57" s="1">
        <f>((D34/D33)-1)*100</f>
        <v>7.7876272475700947</v>
      </c>
      <c r="E57" s="1" t="e">
        <f>((E34/E33)-1)*100</f>
        <v>#DIV/0!</v>
      </c>
      <c r="F57" s="1">
        <f>((F34/F33)-1)*100</f>
        <v>87.39791305828706</v>
      </c>
      <c r="G57" s="1"/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6">
        <f t="shared" ref="B60:F61" si="2">B16/B10</f>
        <v>511415.52406392695</v>
      </c>
      <c r="C60" s="6">
        <f t="shared" si="2"/>
        <v>1333333.33</v>
      </c>
      <c r="D60" s="6">
        <f t="shared" si="2"/>
        <v>1333333.33</v>
      </c>
      <c r="E60" s="6" t="e">
        <f t="shared" si="2"/>
        <v>#DIV/0!</v>
      </c>
      <c r="F60" s="6">
        <f t="shared" si="2"/>
        <v>133333.33333333334</v>
      </c>
      <c r="G60" s="1"/>
    </row>
    <row r="61" spans="1:7" x14ac:dyDescent="0.25">
      <c r="A61" s="2" t="s">
        <v>32</v>
      </c>
      <c r="B61" s="6">
        <f t="shared" si="2"/>
        <v>308202.04813664599</v>
      </c>
      <c r="C61" s="6">
        <f t="shared" si="2"/>
        <v>2597580.6451612902</v>
      </c>
      <c r="D61" s="6">
        <f t="shared" si="2"/>
        <v>2597580.6451612902</v>
      </c>
      <c r="E61" s="6" t="e">
        <f t="shared" si="2"/>
        <v>#DIV/0!</v>
      </c>
      <c r="F61" s="6">
        <f t="shared" si="2"/>
        <v>64316.35567010309</v>
      </c>
      <c r="G61" s="1"/>
    </row>
    <row r="62" spans="1:7" x14ac:dyDescent="0.25">
      <c r="A62" s="2" t="s">
        <v>33</v>
      </c>
      <c r="B62" s="1">
        <f>(B60/B61)*B45</f>
        <v>156.40386774068003</v>
      </c>
      <c r="C62" s="1">
        <f>(C60/C61)*C45</f>
        <v>27.19550291883429</v>
      </c>
      <c r="D62" s="1">
        <f>(D60/D61)*D45</f>
        <v>27.19550291883429</v>
      </c>
      <c r="E62" s="1" t="e">
        <f>(E60/E61)*E45</f>
        <v>#DIV/0!</v>
      </c>
      <c r="F62" s="1">
        <f>(F60/F61)*F45</f>
        <v>238.47146976637904</v>
      </c>
      <c r="G62" s="1"/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B23/B22*100</f>
        <v>75.714285869770407</v>
      </c>
      <c r="C65" s="1"/>
      <c r="D65" s="1">
        <f>D23/D22*100</f>
        <v>70.434782784782598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93.623641037735851</v>
      </c>
      <c r="C66" s="1"/>
      <c r="D66" s="1">
        <f>D17/D23*100</f>
        <v>99.413580246913583</v>
      </c>
      <c r="E66" s="1">
        <f>F17/E23*100</f>
        <v>74.864238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79" spans="1:7" x14ac:dyDescent="0.25">
      <c r="A79" s="2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4" workbookViewId="0">
      <selection activeCell="A80" sqref="A80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28515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7" t="s">
        <v>120</v>
      </c>
      <c r="B1" s="47"/>
      <c r="C1" s="47"/>
      <c r="D1" s="47"/>
      <c r="E1" s="47"/>
      <c r="F1" s="47"/>
      <c r="G1" s="47"/>
    </row>
    <row r="3" spans="1:7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7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7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88</v>
      </c>
      <c r="B9" s="6">
        <f>+C9+F9+G9</f>
        <v>673</v>
      </c>
      <c r="C9" s="6">
        <f>SUM(D9:E9)</f>
        <v>236</v>
      </c>
      <c r="D9" s="6">
        <v>236</v>
      </c>
      <c r="E9" s="6">
        <v>0</v>
      </c>
      <c r="F9" s="6">
        <v>437</v>
      </c>
      <c r="G9" s="6">
        <v>0</v>
      </c>
    </row>
    <row r="10" spans="1:7" x14ac:dyDescent="0.25">
      <c r="A10" s="2" t="s">
        <v>121</v>
      </c>
      <c r="B10" s="6">
        <f t="shared" ref="B10:B19" si="0">+C10+F10+G10</f>
        <v>1155</v>
      </c>
      <c r="C10" s="6">
        <f t="shared" ref="C10:C19" si="1">SUM(D10:E10)</f>
        <v>405</v>
      </c>
      <c r="D10" s="6">
        <v>405</v>
      </c>
      <c r="E10" s="6">
        <v>0</v>
      </c>
      <c r="F10" s="6">
        <v>750</v>
      </c>
      <c r="G10" s="6">
        <v>0</v>
      </c>
    </row>
    <row r="11" spans="1:7" x14ac:dyDescent="0.25">
      <c r="A11" s="2" t="s">
        <v>122</v>
      </c>
      <c r="B11" s="6">
        <f t="shared" si="0"/>
        <v>725</v>
      </c>
      <c r="C11" s="6">
        <f t="shared" si="1"/>
        <v>172</v>
      </c>
      <c r="D11" s="6">
        <v>172</v>
      </c>
      <c r="E11" s="6">
        <v>0</v>
      </c>
      <c r="F11" s="6">
        <v>553</v>
      </c>
      <c r="G11" s="6"/>
    </row>
    <row r="12" spans="1:7" x14ac:dyDescent="0.25">
      <c r="A12" s="2" t="s">
        <v>108</v>
      </c>
      <c r="B12" s="6">
        <f t="shared" si="0"/>
        <v>3685</v>
      </c>
      <c r="C12" s="6">
        <f t="shared" si="1"/>
        <v>1185</v>
      </c>
      <c r="D12" s="6">
        <v>1185</v>
      </c>
      <c r="E12" s="6">
        <v>0</v>
      </c>
      <c r="F12" s="6">
        <v>2500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8</v>
      </c>
      <c r="B14" s="1"/>
      <c r="C14" s="6"/>
      <c r="D14" s="1"/>
      <c r="E14" s="1"/>
      <c r="F14" s="1"/>
      <c r="G14" s="1"/>
    </row>
    <row r="15" spans="1:7" x14ac:dyDescent="0.25">
      <c r="A15" s="2" t="s">
        <v>160</v>
      </c>
      <c r="B15" s="6">
        <f t="shared" si="0"/>
        <v>580518540</v>
      </c>
      <c r="C15" s="6">
        <f t="shared" si="1"/>
        <v>479142000</v>
      </c>
      <c r="D15" s="6">
        <v>479142000</v>
      </c>
      <c r="E15" s="6">
        <v>0</v>
      </c>
      <c r="F15" s="6">
        <v>101376540</v>
      </c>
      <c r="G15" s="6">
        <v>0</v>
      </c>
    </row>
    <row r="16" spans="1:7" x14ac:dyDescent="0.25">
      <c r="A16" s="2" t="s">
        <v>121</v>
      </c>
      <c r="B16" s="6">
        <f t="shared" si="0"/>
        <v>689999998.64999998</v>
      </c>
      <c r="C16" s="6">
        <f t="shared" si="1"/>
        <v>539999998.64999998</v>
      </c>
      <c r="D16" s="6">
        <v>539999998.64999998</v>
      </c>
      <c r="E16" s="6">
        <v>0</v>
      </c>
      <c r="F16" s="6">
        <v>150000000</v>
      </c>
      <c r="G16" s="6">
        <v>0</v>
      </c>
    </row>
    <row r="17" spans="1:7" x14ac:dyDescent="0.25">
      <c r="A17" s="2" t="s">
        <v>122</v>
      </c>
      <c r="B17" s="6">
        <f t="shared" si="0"/>
        <v>564633258.79999995</v>
      </c>
      <c r="C17" s="6">
        <f t="shared" si="1"/>
        <v>471260000</v>
      </c>
      <c r="D17" s="6">
        <v>471260000</v>
      </c>
      <c r="E17" s="6">
        <v>0</v>
      </c>
      <c r="F17" s="6">
        <v>93373258.799999997</v>
      </c>
      <c r="G17" s="6"/>
    </row>
    <row r="18" spans="1:7" x14ac:dyDescent="0.25">
      <c r="A18" s="2" t="s">
        <v>108</v>
      </c>
      <c r="B18" s="6">
        <f t="shared" si="0"/>
        <v>1899999996.0899999</v>
      </c>
      <c r="C18" s="6">
        <f t="shared" si="1"/>
        <v>1599999996.0899999</v>
      </c>
      <c r="D18" s="6">
        <v>1599999996.0899999</v>
      </c>
      <c r="E18" s="6">
        <v>0</v>
      </c>
      <c r="F18" s="6">
        <v>300000000</v>
      </c>
      <c r="G18" s="6">
        <v>0</v>
      </c>
    </row>
    <row r="19" spans="1:7" x14ac:dyDescent="0.25">
      <c r="A19" s="2" t="s">
        <v>123</v>
      </c>
      <c r="B19" s="6">
        <f t="shared" si="0"/>
        <v>564633258.79999995</v>
      </c>
      <c r="C19" s="6">
        <f t="shared" si="1"/>
        <v>471260000</v>
      </c>
      <c r="D19" s="1">
        <f>D17</f>
        <v>471260000</v>
      </c>
      <c r="E19" s="1">
        <f>E17</f>
        <v>0</v>
      </c>
      <c r="F19" s="1">
        <f>F17</f>
        <v>93373258.799999997</v>
      </c>
      <c r="G19" s="1">
        <f>G17</f>
        <v>0</v>
      </c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7" x14ac:dyDescent="0.25">
      <c r="A22" s="2" t="s">
        <v>121</v>
      </c>
      <c r="B22" s="6">
        <f>B16</f>
        <v>689999998.64999998</v>
      </c>
      <c r="C22" s="1"/>
      <c r="D22" s="6">
        <f>D16</f>
        <v>539999998.64999998</v>
      </c>
      <c r="E22" s="6">
        <f>+E16+F16</f>
        <v>150000000</v>
      </c>
      <c r="F22" s="1"/>
      <c r="G22" s="1"/>
    </row>
    <row r="23" spans="1:7" x14ac:dyDescent="0.25">
      <c r="A23" s="2" t="s">
        <v>122</v>
      </c>
      <c r="B23" s="6">
        <f>D23+E23</f>
        <v>417559000</v>
      </c>
      <c r="C23" s="1"/>
      <c r="D23" s="6">
        <v>267559000</v>
      </c>
      <c r="E23" s="6">
        <v>150000000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89</v>
      </c>
      <c r="B26" s="1">
        <v>1.5396358920333333</v>
      </c>
      <c r="C26" s="1">
        <v>1.5396358920333333</v>
      </c>
      <c r="D26" s="1">
        <v>1.5396358920333333</v>
      </c>
      <c r="E26" s="1">
        <v>1.5396358920333333</v>
      </c>
      <c r="F26" s="1">
        <v>1.5396358920333333</v>
      </c>
      <c r="G26" s="1">
        <v>1.5396358920333333</v>
      </c>
    </row>
    <row r="27" spans="1:7" x14ac:dyDescent="0.25">
      <c r="A27" s="2" t="s">
        <v>124</v>
      </c>
      <c r="B27" s="1">
        <v>1.6242666666666665</v>
      </c>
      <c r="C27" s="1">
        <v>1.6242666666666665</v>
      </c>
      <c r="D27" s="1">
        <v>1.6242666666666665</v>
      </c>
      <c r="E27" s="1">
        <v>1.6242666666666665</v>
      </c>
      <c r="F27" s="1">
        <v>1.6242666666666665</v>
      </c>
      <c r="G27" s="1">
        <v>1.6242666666666665</v>
      </c>
    </row>
    <row r="28" spans="1:7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90</v>
      </c>
      <c r="B31" s="6">
        <f t="shared" ref="B31:G31" si="2">B15/B26</f>
        <v>377049238.07234269</v>
      </c>
      <c r="C31" s="6">
        <f t="shared" si="2"/>
        <v>311204748.13510424</v>
      </c>
      <c r="D31" s="6">
        <f t="shared" si="2"/>
        <v>311204748.13510424</v>
      </c>
      <c r="E31" s="6">
        <f t="shared" si="2"/>
        <v>0</v>
      </c>
      <c r="F31" s="6">
        <f t="shared" si="2"/>
        <v>65844489.937238477</v>
      </c>
      <c r="G31" s="6">
        <f t="shared" si="2"/>
        <v>0</v>
      </c>
    </row>
    <row r="32" spans="1:7" x14ac:dyDescent="0.25">
      <c r="A32" s="2" t="s">
        <v>125</v>
      </c>
      <c r="B32" s="6">
        <f t="shared" ref="B32:G32" si="3">B17/B27</f>
        <v>347623497.04482025</v>
      </c>
      <c r="C32" s="6">
        <f t="shared" si="3"/>
        <v>290137087.50615662</v>
      </c>
      <c r="D32" s="6">
        <f t="shared" si="3"/>
        <v>290137087.50615662</v>
      </c>
      <c r="E32" s="6">
        <f t="shared" si="3"/>
        <v>0</v>
      </c>
      <c r="F32" s="6">
        <f t="shared" si="3"/>
        <v>57486409.538663603</v>
      </c>
      <c r="G32" s="6">
        <f t="shared" si="3"/>
        <v>0</v>
      </c>
    </row>
    <row r="33" spans="1:7" x14ac:dyDescent="0.25">
      <c r="A33" s="2" t="s">
        <v>91</v>
      </c>
      <c r="B33" s="6">
        <f t="shared" ref="B33:G33" si="4">B31/B9</f>
        <v>560251.46816098469</v>
      </c>
      <c r="C33" s="6">
        <f t="shared" si="4"/>
        <v>1318664.1870131535</v>
      </c>
      <c r="D33" s="6">
        <f t="shared" si="4"/>
        <v>1318664.1870131535</v>
      </c>
      <c r="E33" s="6" t="e">
        <f t="shared" si="4"/>
        <v>#DIV/0!</v>
      </c>
      <c r="F33" s="6">
        <f t="shared" si="4"/>
        <v>150673.89001656402</v>
      </c>
      <c r="G33" s="6" t="e">
        <f t="shared" si="4"/>
        <v>#DIV/0!</v>
      </c>
    </row>
    <row r="34" spans="1:7" x14ac:dyDescent="0.25">
      <c r="A34" s="2" t="s">
        <v>126</v>
      </c>
      <c r="B34" s="6">
        <f t="shared" ref="B34:G34" si="5">B32/B11</f>
        <v>479480.68557906244</v>
      </c>
      <c r="C34" s="6">
        <f t="shared" si="5"/>
        <v>1686843.5320125385</v>
      </c>
      <c r="D34" s="6">
        <f t="shared" si="5"/>
        <v>1686843.5320125385</v>
      </c>
      <c r="E34" s="6" t="e">
        <f t="shared" si="5"/>
        <v>#DIV/0!</v>
      </c>
      <c r="F34" s="6">
        <f t="shared" si="5"/>
        <v>103953.72430138083</v>
      </c>
      <c r="G34" s="6" t="e">
        <f t="shared" si="5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6">B10/B28*100</f>
        <v>1.2004240458967324</v>
      </c>
      <c r="C39" s="1">
        <f t="shared" si="6"/>
        <v>0.42092791219755554</v>
      </c>
      <c r="D39" s="1">
        <f t="shared" si="6"/>
        <v>0.42092791219755554</v>
      </c>
      <c r="E39" s="1">
        <f t="shared" si="6"/>
        <v>0</v>
      </c>
      <c r="F39" s="1">
        <f t="shared" si="6"/>
        <v>0.77949613369917681</v>
      </c>
      <c r="G39" s="1">
        <f t="shared" si="6"/>
        <v>0</v>
      </c>
    </row>
    <row r="40" spans="1:7" x14ac:dyDescent="0.25">
      <c r="A40" s="2" t="s">
        <v>16</v>
      </c>
      <c r="B40" s="1">
        <f t="shared" ref="B40:G40" si="7">B11/B28*100</f>
        <v>0.75351292924253765</v>
      </c>
      <c r="C40" s="1">
        <f t="shared" si="7"/>
        <v>0.1787644466616779</v>
      </c>
      <c r="D40" s="1">
        <f t="shared" si="7"/>
        <v>0.1787644466616779</v>
      </c>
      <c r="E40" s="1">
        <f t="shared" si="7"/>
        <v>0</v>
      </c>
      <c r="F40" s="1">
        <f t="shared" si="7"/>
        <v>0.57474848258085975</v>
      </c>
      <c r="G40" s="1">
        <f t="shared" si="7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8">B11/B10*100</f>
        <v>62.770562770562762</v>
      </c>
      <c r="C43" s="1">
        <f t="shared" si="8"/>
        <v>42.46913580246914</v>
      </c>
      <c r="D43" s="1">
        <f t="shared" si="8"/>
        <v>42.46913580246914</v>
      </c>
      <c r="E43" s="1" t="e">
        <f t="shared" si="8"/>
        <v>#DIV/0!</v>
      </c>
      <c r="F43" s="1">
        <f t="shared" si="8"/>
        <v>73.733333333333334</v>
      </c>
      <c r="G43" s="1" t="e">
        <f t="shared" si="8"/>
        <v>#DIV/0!</v>
      </c>
    </row>
    <row r="44" spans="1:7" x14ac:dyDescent="0.25">
      <c r="A44" s="2" t="s">
        <v>19</v>
      </c>
      <c r="B44" s="1">
        <f t="shared" ref="B44:G44" si="9">B17/B16*100</f>
        <v>81.830907232567711</v>
      </c>
      <c r="C44" s="1">
        <f t="shared" si="9"/>
        <v>87.270370588546299</v>
      </c>
      <c r="D44" s="1">
        <f t="shared" si="9"/>
        <v>87.270370588546299</v>
      </c>
      <c r="E44" s="1" t="e">
        <f t="shared" si="9"/>
        <v>#DIV/0!</v>
      </c>
      <c r="F44" s="1">
        <f t="shared" si="9"/>
        <v>62.248839199999992</v>
      </c>
      <c r="G44" s="1" t="e">
        <f t="shared" si="9"/>
        <v>#DIV/0!</v>
      </c>
    </row>
    <row r="45" spans="1:7" x14ac:dyDescent="0.25">
      <c r="A45" s="2" t="s">
        <v>20</v>
      </c>
      <c r="B45" s="1">
        <f t="shared" ref="B45:G45" si="10">AVERAGE(B43:B44)</f>
        <v>72.300735001565243</v>
      </c>
      <c r="C45" s="1">
        <f t="shared" si="10"/>
        <v>64.869753195507712</v>
      </c>
      <c r="D45" s="1">
        <f t="shared" si="10"/>
        <v>64.869753195507712</v>
      </c>
      <c r="E45" s="1" t="e">
        <f t="shared" si="10"/>
        <v>#DIV/0!</v>
      </c>
      <c r="F45" s="1">
        <f t="shared" si="10"/>
        <v>67.991086266666656</v>
      </c>
      <c r="G45" s="1" t="e">
        <f t="shared" si="10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1">B11/B12*100</f>
        <v>19.674355495251017</v>
      </c>
      <c r="C48" s="1">
        <f t="shared" si="11"/>
        <v>14.51476793248945</v>
      </c>
      <c r="D48" s="1">
        <f t="shared" si="11"/>
        <v>14.51476793248945</v>
      </c>
      <c r="E48" s="1" t="e">
        <f t="shared" si="11"/>
        <v>#DIV/0!</v>
      </c>
      <c r="F48" s="1">
        <f t="shared" si="11"/>
        <v>22.12</v>
      </c>
      <c r="G48" s="1" t="e">
        <f t="shared" si="11"/>
        <v>#DIV/0!</v>
      </c>
    </row>
    <row r="49" spans="1:7" x14ac:dyDescent="0.25">
      <c r="A49" s="2" t="s">
        <v>23</v>
      </c>
      <c r="B49" s="1">
        <f t="shared" ref="B49:G49" si="12">B17/B18*100</f>
        <v>29.717539997997672</v>
      </c>
      <c r="C49" s="1">
        <f t="shared" si="12"/>
        <v>29.453750071977602</v>
      </c>
      <c r="D49" s="1">
        <f t="shared" si="12"/>
        <v>29.453750071977602</v>
      </c>
      <c r="E49" s="1" t="e">
        <f t="shared" si="12"/>
        <v>#DIV/0!</v>
      </c>
      <c r="F49" s="1">
        <f t="shared" si="12"/>
        <v>31.124419599999996</v>
      </c>
      <c r="G49" s="1" t="e">
        <f t="shared" si="12"/>
        <v>#DIV/0!</v>
      </c>
    </row>
    <row r="50" spans="1:7" x14ac:dyDescent="0.25">
      <c r="A50" s="2" t="s">
        <v>24</v>
      </c>
      <c r="B50" s="1">
        <f t="shared" ref="B50:G50" si="13">AVERAGE(B48:B49)</f>
        <v>24.695947746624345</v>
      </c>
      <c r="C50" s="1">
        <f t="shared" si="13"/>
        <v>21.984259002233525</v>
      </c>
      <c r="D50" s="1">
        <f t="shared" si="13"/>
        <v>21.984259002233525</v>
      </c>
      <c r="E50" s="1" t="e">
        <f t="shared" si="13"/>
        <v>#DIV/0!</v>
      </c>
      <c r="F50" s="1">
        <f t="shared" si="13"/>
        <v>26.6222098</v>
      </c>
      <c r="G50" s="1" t="e">
        <f t="shared" si="1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4">B19/B17*100</f>
        <v>100</v>
      </c>
      <c r="C52" s="1">
        <f t="shared" si="14"/>
        <v>100</v>
      </c>
      <c r="D52" s="1">
        <f t="shared" si="14"/>
        <v>100</v>
      </c>
      <c r="E52" s="1" t="e">
        <f t="shared" si="14"/>
        <v>#DIV/0!</v>
      </c>
      <c r="F52" s="1">
        <f t="shared" si="14"/>
        <v>100</v>
      </c>
      <c r="G52" s="1" t="e">
        <f t="shared" si="14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5">((B11/B9)-1)*100</f>
        <v>7.7265973254086129</v>
      </c>
      <c r="C55" s="1">
        <f t="shared" si="15"/>
        <v>-27.118644067796616</v>
      </c>
      <c r="D55" s="1">
        <f t="shared" si="15"/>
        <v>-27.118644067796616</v>
      </c>
      <c r="E55" s="1" t="e">
        <f t="shared" si="15"/>
        <v>#DIV/0!</v>
      </c>
      <c r="F55" s="1">
        <f t="shared" si="15"/>
        <v>26.544622425629292</v>
      </c>
      <c r="G55" s="1" t="e">
        <f t="shared" si="15"/>
        <v>#DIV/0!</v>
      </c>
    </row>
    <row r="56" spans="1:7" x14ac:dyDescent="0.25">
      <c r="A56" s="2" t="s">
        <v>28</v>
      </c>
      <c r="B56" s="1">
        <f t="shared" ref="B56:G56" si="16">((B32/B31)-1)*100</f>
        <v>-7.8042170773135684</v>
      </c>
      <c r="C56" s="1">
        <f t="shared" si="16"/>
        <v>-6.7697105379000977</v>
      </c>
      <c r="D56" s="1">
        <f t="shared" si="16"/>
        <v>-6.7697105379000977</v>
      </c>
      <c r="E56" s="1" t="e">
        <f t="shared" si="16"/>
        <v>#DIV/0!</v>
      </c>
      <c r="F56" s="1">
        <f t="shared" si="16"/>
        <v>-12.693667164164557</v>
      </c>
      <c r="G56" s="1" t="e">
        <f t="shared" si="16"/>
        <v>#DIV/0!</v>
      </c>
    </row>
    <row r="57" spans="1:7" x14ac:dyDescent="0.25">
      <c r="A57" s="2" t="s">
        <v>29</v>
      </c>
      <c r="B57" s="1">
        <f t="shared" ref="B57:G57" si="17">((B34/B33)-1)*100</f>
        <v>-14.416880128320031</v>
      </c>
      <c r="C57" s="1">
        <f t="shared" si="17"/>
        <v>27.920629727067325</v>
      </c>
      <c r="D57" s="1">
        <f t="shared" si="17"/>
        <v>27.920629727067325</v>
      </c>
      <c r="E57" s="1" t="e">
        <f t="shared" si="17"/>
        <v>#DIV/0!</v>
      </c>
      <c r="F57" s="1">
        <f t="shared" si="17"/>
        <v>-31.007472966979954</v>
      </c>
      <c r="G57" s="1" t="e">
        <f t="shared" si="1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597402.59623376618</v>
      </c>
      <c r="C60" s="1">
        <f t="shared" ref="C60:G61" si="18">C16/C10</f>
        <v>1333333.3299999998</v>
      </c>
      <c r="D60" s="1">
        <f>D16/D10</f>
        <v>1333333.3299999998</v>
      </c>
      <c r="E60" s="1" t="e">
        <f>E16/E10</f>
        <v>#DIV/0!</v>
      </c>
      <c r="F60" s="1">
        <f t="shared" si="18"/>
        <v>200000</v>
      </c>
      <c r="G60" s="1" t="e">
        <f t="shared" si="18"/>
        <v>#DIV/0!</v>
      </c>
    </row>
    <row r="61" spans="1:7" x14ac:dyDescent="0.25">
      <c r="A61" s="2" t="s">
        <v>32</v>
      </c>
      <c r="B61" s="1">
        <f>B17/B11</f>
        <v>778804.49489655171</v>
      </c>
      <c r="C61" s="1">
        <f t="shared" si="18"/>
        <v>2739883.7209302327</v>
      </c>
      <c r="D61" s="1">
        <f>D17/D11</f>
        <v>2739883.7209302327</v>
      </c>
      <c r="E61" s="1" t="e">
        <f>E17/E11</f>
        <v>#DIV/0!</v>
      </c>
      <c r="F61" s="1">
        <f t="shared" si="18"/>
        <v>168848.5692585895</v>
      </c>
      <c r="G61" s="1" t="e">
        <f t="shared" si="18"/>
        <v>#DIV/0!</v>
      </c>
    </row>
    <row r="62" spans="1:7" x14ac:dyDescent="0.25">
      <c r="A62" s="2" t="s">
        <v>33</v>
      </c>
      <c r="B62" s="1">
        <f t="shared" ref="B62:G62" si="19">(B60/B61)*B45</f>
        <v>55.460191977040232</v>
      </c>
      <c r="C62" s="1">
        <f t="shared" si="19"/>
        <v>31.568129473421127</v>
      </c>
      <c r="D62" s="1">
        <f t="shared" si="19"/>
        <v>31.568129473421127</v>
      </c>
      <c r="E62" s="1" t="e">
        <f t="shared" si="19"/>
        <v>#DIV/0!</v>
      </c>
      <c r="F62" s="1">
        <f t="shared" si="19"/>
        <v>80.534986544705802</v>
      </c>
      <c r="G62" s="1" t="e">
        <f t="shared" si="19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1" t="s">
        <v>1</v>
      </c>
      <c r="C64" s="1"/>
      <c r="D64" s="1" t="s">
        <v>70</v>
      </c>
      <c r="E64" s="1" t="s">
        <v>72</v>
      </c>
      <c r="F64" s="1"/>
      <c r="G64" s="1"/>
    </row>
    <row r="65" spans="1:7" x14ac:dyDescent="0.25">
      <c r="A65" s="2" t="s">
        <v>35</v>
      </c>
      <c r="B65" s="1">
        <f>B23/B22*100</f>
        <v>60.515797219849752</v>
      </c>
      <c r="C65" s="1"/>
      <c r="D65" s="1">
        <f>D23/D22*100</f>
        <v>49.547963086832873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135.22238984191455</v>
      </c>
      <c r="C66" s="1"/>
      <c r="D66" s="1">
        <f>D17/D23*100</f>
        <v>176.1331145653856</v>
      </c>
      <c r="E66" s="1">
        <f>F17/E23*100</f>
        <v>62.248839199999992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80" spans="1:7" x14ac:dyDescent="0.25">
      <c r="A80" s="2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workbookViewId="0">
      <selection activeCell="E66" sqref="E66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47"/>
    </row>
    <row r="3" spans="1:7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7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7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92</v>
      </c>
      <c r="B9" s="6">
        <f>+C9+F9+G9</f>
        <v>498</v>
      </c>
      <c r="C9" s="6">
        <f>SUM(D9:E9)</f>
        <v>112</v>
      </c>
      <c r="D9" s="6">
        <v>112</v>
      </c>
      <c r="E9" s="6">
        <v>0</v>
      </c>
      <c r="F9" s="6">
        <v>386</v>
      </c>
      <c r="G9" s="6">
        <v>0</v>
      </c>
    </row>
    <row r="10" spans="1:7" x14ac:dyDescent="0.25">
      <c r="A10" s="2" t="s">
        <v>128</v>
      </c>
      <c r="B10" s="6">
        <f t="shared" ref="B10:B19" si="0">+C10+F10+G10</f>
        <v>775</v>
      </c>
      <c r="C10" s="6">
        <f t="shared" ref="C10:C19" si="1">SUM(D10:E10)</f>
        <v>275</v>
      </c>
      <c r="D10" s="6">
        <v>275</v>
      </c>
      <c r="E10" s="6">
        <v>0</v>
      </c>
      <c r="F10" s="6">
        <v>500</v>
      </c>
      <c r="G10" s="6">
        <v>0</v>
      </c>
    </row>
    <row r="11" spans="1:7" x14ac:dyDescent="0.25">
      <c r="A11" s="2" t="s">
        <v>129</v>
      </c>
      <c r="B11" s="6">
        <f t="shared" si="0"/>
        <v>945</v>
      </c>
      <c r="C11" s="6">
        <f t="shared" si="1"/>
        <v>160</v>
      </c>
      <c r="D11" s="6">
        <v>160</v>
      </c>
      <c r="E11" s="6">
        <v>0</v>
      </c>
      <c r="F11" s="6">
        <f>676+109</f>
        <v>785</v>
      </c>
      <c r="G11" s="6"/>
    </row>
    <row r="12" spans="1:7" x14ac:dyDescent="0.25">
      <c r="A12" s="2" t="s">
        <v>108</v>
      </c>
      <c r="B12" s="6">
        <f t="shared" si="0"/>
        <v>3685</v>
      </c>
      <c r="C12" s="6">
        <f t="shared" si="1"/>
        <v>1185</v>
      </c>
      <c r="D12" s="6">
        <v>1185</v>
      </c>
      <c r="E12" s="6">
        <v>0</v>
      </c>
      <c r="F12" s="6">
        <v>2500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8</v>
      </c>
      <c r="B14" s="1"/>
      <c r="C14" s="6"/>
      <c r="D14" s="1"/>
      <c r="E14" s="1"/>
      <c r="F14" s="1"/>
      <c r="G14" s="1"/>
    </row>
    <row r="15" spans="1:7" x14ac:dyDescent="0.25">
      <c r="A15" s="2" t="s">
        <v>159</v>
      </c>
      <c r="B15" s="6">
        <f t="shared" si="0"/>
        <v>436939100</v>
      </c>
      <c r="C15" s="6">
        <f t="shared" si="1"/>
        <v>304725000</v>
      </c>
      <c r="D15" s="6">
        <v>304725000</v>
      </c>
      <c r="E15" s="6">
        <v>0</v>
      </c>
      <c r="F15" s="6">
        <v>132214100</v>
      </c>
      <c r="G15" s="6">
        <v>0</v>
      </c>
    </row>
    <row r="16" spans="1:7" x14ac:dyDescent="0.25">
      <c r="A16" s="2" t="s">
        <v>128</v>
      </c>
      <c r="B16" s="6">
        <f t="shared" si="0"/>
        <v>456666665.69999999</v>
      </c>
      <c r="C16" s="6">
        <f t="shared" si="1"/>
        <v>386666665.69999999</v>
      </c>
      <c r="D16" s="6">
        <v>386666665.69999999</v>
      </c>
      <c r="E16" s="6">
        <v>0</v>
      </c>
      <c r="F16" s="6">
        <v>70000000</v>
      </c>
      <c r="G16" s="6">
        <v>0</v>
      </c>
    </row>
    <row r="17" spans="1:7" x14ac:dyDescent="0.25">
      <c r="A17" s="2" t="s">
        <v>129</v>
      </c>
      <c r="B17" s="6">
        <f t="shared" si="0"/>
        <v>704469080.20000005</v>
      </c>
      <c r="C17" s="6">
        <f t="shared" si="1"/>
        <v>533315000</v>
      </c>
      <c r="D17" s="6">
        <v>533315000</v>
      </c>
      <c r="E17" s="6">
        <v>0</v>
      </c>
      <c r="F17" s="6">
        <v>171154080.19999999</v>
      </c>
      <c r="G17" s="6"/>
    </row>
    <row r="18" spans="1:7" x14ac:dyDescent="0.25">
      <c r="A18" s="2" t="s">
        <v>108</v>
      </c>
      <c r="B18" s="6">
        <f t="shared" si="0"/>
        <v>1969999996.0899999</v>
      </c>
      <c r="C18" s="6">
        <f t="shared" si="1"/>
        <v>1599999996.0899999</v>
      </c>
      <c r="D18" s="6">
        <v>1599999996.0899999</v>
      </c>
      <c r="E18" s="6">
        <v>0</v>
      </c>
      <c r="F18" s="6">
        <v>370000000</v>
      </c>
      <c r="G18" s="6">
        <v>0</v>
      </c>
    </row>
    <row r="19" spans="1:7" x14ac:dyDescent="0.25">
      <c r="A19" s="2" t="s">
        <v>130</v>
      </c>
      <c r="B19" s="6">
        <f t="shared" si="0"/>
        <v>704469080.20000005</v>
      </c>
      <c r="C19" s="6">
        <f t="shared" si="1"/>
        <v>533315000</v>
      </c>
      <c r="D19" s="6">
        <f>D17</f>
        <v>533315000</v>
      </c>
      <c r="E19" s="6">
        <f>E17</f>
        <v>0</v>
      </c>
      <c r="F19" s="6">
        <f>F17</f>
        <v>171154080.19999999</v>
      </c>
      <c r="G19" s="6">
        <f>G17</f>
        <v>0</v>
      </c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/>
      <c r="G21" s="6"/>
    </row>
    <row r="22" spans="1:7" x14ac:dyDescent="0.25">
      <c r="A22" s="2" t="s">
        <v>128</v>
      </c>
      <c r="B22" s="6">
        <f>B16</f>
        <v>456666665.69999999</v>
      </c>
      <c r="C22" s="6"/>
      <c r="D22" s="6">
        <f>D16+70000000</f>
        <v>456666665.69999999</v>
      </c>
      <c r="E22" s="6"/>
      <c r="F22" s="6"/>
      <c r="G22" s="6"/>
    </row>
    <row r="23" spans="1:7" x14ac:dyDescent="0.25">
      <c r="A23" s="2" t="s">
        <v>129</v>
      </c>
      <c r="B23" s="6">
        <f>D23+E23</f>
        <v>289000000</v>
      </c>
      <c r="C23" s="1"/>
      <c r="D23" s="6">
        <v>289000000</v>
      </c>
      <c r="E23" s="6">
        <v>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93</v>
      </c>
      <c r="B26" s="1">
        <v>1.5597333333333332</v>
      </c>
      <c r="C26" s="1">
        <v>1.5597333333333332</v>
      </c>
      <c r="D26" s="1">
        <v>1.5597333333333332</v>
      </c>
      <c r="E26" s="1">
        <v>1.5597333333333332</v>
      </c>
      <c r="F26" s="1">
        <v>1.5597333333333332</v>
      </c>
      <c r="G26" s="1">
        <v>1.5597333333333332</v>
      </c>
    </row>
    <row r="27" spans="1:7" x14ac:dyDescent="0.25">
      <c r="A27" s="2" t="s">
        <v>131</v>
      </c>
      <c r="B27" s="1">
        <v>1.6181333333333334</v>
      </c>
      <c r="C27" s="1">
        <v>1.6181333333333334</v>
      </c>
      <c r="D27" s="1">
        <v>1.6181333333333334</v>
      </c>
      <c r="E27" s="1">
        <v>1.6181333333333334</v>
      </c>
      <c r="F27" s="1">
        <v>1.6181333333333334</v>
      </c>
      <c r="G27" s="1">
        <v>1.6181333333333334</v>
      </c>
    </row>
    <row r="28" spans="1:7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94</v>
      </c>
      <c r="B31" s="1">
        <f t="shared" ref="B31:G31" si="2">B15/B26</f>
        <v>280137053.34245175</v>
      </c>
      <c r="C31" s="1">
        <f t="shared" si="2"/>
        <v>195369935.03162935</v>
      </c>
      <c r="D31" s="1">
        <f t="shared" si="2"/>
        <v>195369935.03162935</v>
      </c>
      <c r="E31" s="1">
        <f t="shared" si="2"/>
        <v>0</v>
      </c>
      <c r="F31" s="1">
        <f t="shared" si="2"/>
        <v>84767118.310822368</v>
      </c>
      <c r="G31" s="1">
        <f t="shared" si="2"/>
        <v>0</v>
      </c>
    </row>
    <row r="32" spans="1:7" x14ac:dyDescent="0.25">
      <c r="A32" s="2" t="s">
        <v>132</v>
      </c>
      <c r="B32" s="1">
        <f t="shared" ref="B32:G32" si="3">B17/B27</f>
        <v>435359105.26532632</v>
      </c>
      <c r="C32" s="1">
        <f t="shared" si="3"/>
        <v>329586560.64601183</v>
      </c>
      <c r="D32" s="1">
        <f t="shared" si="3"/>
        <v>329586560.64601183</v>
      </c>
      <c r="E32" s="1">
        <f t="shared" si="3"/>
        <v>0</v>
      </c>
      <c r="F32" s="1">
        <f t="shared" si="3"/>
        <v>105772544.61931442</v>
      </c>
      <c r="G32" s="1">
        <f t="shared" si="3"/>
        <v>0</v>
      </c>
    </row>
    <row r="33" spans="1:7" x14ac:dyDescent="0.25">
      <c r="A33" s="2" t="s">
        <v>95</v>
      </c>
      <c r="B33" s="1">
        <f t="shared" ref="B33:G33" si="4">B31/B9</f>
        <v>562524.20349889912</v>
      </c>
      <c r="C33" s="1">
        <f t="shared" si="4"/>
        <v>1744374.419925262</v>
      </c>
      <c r="D33" s="1">
        <f t="shared" si="4"/>
        <v>1744374.419925262</v>
      </c>
      <c r="E33" s="1" t="e">
        <f t="shared" si="4"/>
        <v>#DIV/0!</v>
      </c>
      <c r="F33" s="1">
        <f t="shared" si="4"/>
        <v>219603.93344772633</v>
      </c>
      <c r="G33" s="1" t="e">
        <f t="shared" si="4"/>
        <v>#DIV/0!</v>
      </c>
    </row>
    <row r="34" spans="1:7" x14ac:dyDescent="0.25">
      <c r="A34" s="2" t="s">
        <v>133</v>
      </c>
      <c r="B34" s="1">
        <f t="shared" ref="B34:G34" si="5">B32/B11</f>
        <v>460697.46588923421</v>
      </c>
      <c r="C34" s="1">
        <f t="shared" si="5"/>
        <v>2059916.0040375739</v>
      </c>
      <c r="D34" s="1">
        <f t="shared" si="5"/>
        <v>2059916.0040375739</v>
      </c>
      <c r="E34" s="1" t="e">
        <f t="shared" si="5"/>
        <v>#DIV/0!</v>
      </c>
      <c r="F34" s="1">
        <f t="shared" si="5"/>
        <v>134742.09505645148</v>
      </c>
      <c r="G34" s="1" t="e">
        <f t="shared" si="5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6">B10/B28*100</f>
        <v>0.80547933815581607</v>
      </c>
      <c r="C39" s="1">
        <f t="shared" si="6"/>
        <v>0.28581524902303151</v>
      </c>
      <c r="D39" s="1">
        <f t="shared" si="6"/>
        <v>0.28581524902303151</v>
      </c>
      <c r="E39" s="1">
        <f t="shared" si="6"/>
        <v>0</v>
      </c>
      <c r="F39" s="1">
        <f t="shared" si="6"/>
        <v>0.5196640891327845</v>
      </c>
      <c r="G39" s="1">
        <f t="shared" si="6"/>
        <v>0</v>
      </c>
    </row>
    <row r="40" spans="1:7" x14ac:dyDescent="0.25">
      <c r="A40" s="2" t="s">
        <v>16</v>
      </c>
      <c r="B40" s="1">
        <f t="shared" ref="B40:G40" si="7">B11/B28*100</f>
        <v>0.98216512846096282</v>
      </c>
      <c r="C40" s="1">
        <f t="shared" si="7"/>
        <v>0.16629250852249106</v>
      </c>
      <c r="D40" s="1">
        <f t="shared" si="7"/>
        <v>0.16629250852249106</v>
      </c>
      <c r="E40" s="1">
        <f t="shared" si="7"/>
        <v>0</v>
      </c>
      <c r="F40" s="1">
        <f t="shared" si="7"/>
        <v>0.81587261993847171</v>
      </c>
      <c r="G40" s="1">
        <f t="shared" si="7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8">B11/B10*100</f>
        <v>121.93548387096773</v>
      </c>
      <c r="C43" s="1">
        <f t="shared" si="8"/>
        <v>58.18181818181818</v>
      </c>
      <c r="D43" s="1">
        <f t="shared" si="8"/>
        <v>58.18181818181818</v>
      </c>
      <c r="E43" s="1" t="e">
        <f t="shared" si="8"/>
        <v>#DIV/0!</v>
      </c>
      <c r="F43" s="1">
        <f t="shared" si="8"/>
        <v>157</v>
      </c>
      <c r="G43" s="1" t="e">
        <f t="shared" si="8"/>
        <v>#DIV/0!</v>
      </c>
    </row>
    <row r="44" spans="1:7" x14ac:dyDescent="0.25">
      <c r="A44" s="2" t="s">
        <v>19</v>
      </c>
      <c r="B44" s="1">
        <f t="shared" ref="B44:G44" si="9">B17/B16*100</f>
        <v>154.26330256011943</v>
      </c>
      <c r="C44" s="1">
        <f t="shared" si="9"/>
        <v>137.926293448264</v>
      </c>
      <c r="D44" s="1">
        <f t="shared" si="9"/>
        <v>137.926293448264</v>
      </c>
      <c r="E44" s="1" t="e">
        <f t="shared" si="9"/>
        <v>#DIV/0!</v>
      </c>
      <c r="F44" s="1">
        <f t="shared" si="9"/>
        <v>244.50582885714286</v>
      </c>
      <c r="G44" s="1" t="e">
        <f t="shared" si="9"/>
        <v>#DIV/0!</v>
      </c>
    </row>
    <row r="45" spans="1:7" x14ac:dyDescent="0.25">
      <c r="A45" s="2" t="s">
        <v>20</v>
      </c>
      <c r="B45" s="1">
        <f t="shared" ref="B45:G45" si="10">AVERAGE(B43:B44)</f>
        <v>138.09939321554359</v>
      </c>
      <c r="C45" s="1">
        <f t="shared" si="10"/>
        <v>98.054055815041096</v>
      </c>
      <c r="D45" s="1">
        <f t="shared" si="10"/>
        <v>98.054055815041096</v>
      </c>
      <c r="E45" s="1" t="e">
        <f t="shared" si="10"/>
        <v>#DIV/0!</v>
      </c>
      <c r="F45" s="1">
        <f t="shared" si="10"/>
        <v>200.75291442857144</v>
      </c>
      <c r="G45" s="1" t="e">
        <f t="shared" si="10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1">B11/B12*100</f>
        <v>25.64450474898236</v>
      </c>
      <c r="C48" s="1">
        <f t="shared" si="11"/>
        <v>13.502109704641349</v>
      </c>
      <c r="D48" s="1">
        <f t="shared" si="11"/>
        <v>13.502109704641349</v>
      </c>
      <c r="E48" s="1" t="e">
        <f t="shared" si="11"/>
        <v>#DIV/0!</v>
      </c>
      <c r="F48" s="1">
        <f t="shared" si="11"/>
        <v>31.4</v>
      </c>
      <c r="G48" s="1" t="e">
        <f t="shared" si="11"/>
        <v>#DIV/0!</v>
      </c>
    </row>
    <row r="49" spans="1:7" x14ac:dyDescent="0.25">
      <c r="A49" s="2" t="s">
        <v>23</v>
      </c>
      <c r="B49" s="1">
        <f t="shared" ref="B49:G49" si="12">B17/B18*100</f>
        <v>35.759851857777171</v>
      </c>
      <c r="C49" s="1">
        <f t="shared" si="12"/>
        <v>33.332187581455536</v>
      </c>
      <c r="D49" s="1">
        <f t="shared" si="12"/>
        <v>33.332187581455536</v>
      </c>
      <c r="E49" s="1" t="e">
        <f t="shared" si="12"/>
        <v>#DIV/0!</v>
      </c>
      <c r="F49" s="1">
        <f t="shared" si="12"/>
        <v>46.257859513513509</v>
      </c>
      <c r="G49" s="1" t="e">
        <f t="shared" si="12"/>
        <v>#DIV/0!</v>
      </c>
    </row>
    <row r="50" spans="1:7" x14ac:dyDescent="0.25">
      <c r="A50" s="2" t="s">
        <v>24</v>
      </c>
      <c r="B50" s="1">
        <f t="shared" ref="B50:G50" si="13">AVERAGE(B48:B49)</f>
        <v>30.702178303379767</v>
      </c>
      <c r="C50" s="1">
        <f t="shared" si="13"/>
        <v>23.417148643048442</v>
      </c>
      <c r="D50" s="1">
        <f t="shared" si="13"/>
        <v>23.417148643048442</v>
      </c>
      <c r="E50" s="1" t="e">
        <f t="shared" si="13"/>
        <v>#DIV/0!</v>
      </c>
      <c r="F50" s="1">
        <f t="shared" si="13"/>
        <v>38.82892975675675</v>
      </c>
      <c r="G50" s="1" t="e">
        <f t="shared" si="1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4">B19/B17*100</f>
        <v>100</v>
      </c>
      <c r="C52" s="1">
        <f t="shared" si="14"/>
        <v>100</v>
      </c>
      <c r="D52" s="1">
        <f t="shared" si="14"/>
        <v>100</v>
      </c>
      <c r="E52" s="1" t="e">
        <f t="shared" si="14"/>
        <v>#DIV/0!</v>
      </c>
      <c r="F52" s="1">
        <f t="shared" si="14"/>
        <v>100</v>
      </c>
      <c r="G52" s="1" t="e">
        <f t="shared" si="14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5">((B11/B9)-1)*100</f>
        <v>89.759036144578317</v>
      </c>
      <c r="C55" s="1">
        <f t="shared" si="15"/>
        <v>42.857142857142861</v>
      </c>
      <c r="D55" s="1">
        <f t="shared" si="15"/>
        <v>42.857142857142861</v>
      </c>
      <c r="E55" s="1" t="e">
        <f t="shared" si="15"/>
        <v>#DIV/0!</v>
      </c>
      <c r="F55" s="1">
        <f t="shared" si="15"/>
        <v>103.3678756476684</v>
      </c>
      <c r="G55" s="1" t="e">
        <f t="shared" si="15"/>
        <v>#DIV/0!</v>
      </c>
    </row>
    <row r="56" spans="1:7" x14ac:dyDescent="0.25">
      <c r="A56" s="2" t="s">
        <v>28</v>
      </c>
      <c r="B56" s="1">
        <f t="shared" ref="B56:G56" si="16">((B32/B31)-1)*100</f>
        <v>55.40932556791207</v>
      </c>
      <c r="C56" s="1">
        <f t="shared" si="16"/>
        <v>68.698710266067039</v>
      </c>
      <c r="D56" s="1">
        <f t="shared" si="16"/>
        <v>68.698710266067039</v>
      </c>
      <c r="E56" s="1" t="e">
        <f t="shared" si="16"/>
        <v>#DIV/0!</v>
      </c>
      <c r="F56" s="1">
        <f t="shared" si="16"/>
        <v>24.780158541511078</v>
      </c>
      <c r="G56" s="1" t="e">
        <f t="shared" si="16"/>
        <v>#DIV/0!</v>
      </c>
    </row>
    <row r="57" spans="1:7" x14ac:dyDescent="0.25">
      <c r="A57" s="2" t="s">
        <v>29</v>
      </c>
      <c r="B57" s="1">
        <f t="shared" ref="B57:G57" si="17">((B34/B33)-1)*100</f>
        <v>-18.101752240401904</v>
      </c>
      <c r="C57" s="1">
        <f t="shared" si="17"/>
        <v>18.089097186246939</v>
      </c>
      <c r="D57" s="1">
        <f t="shared" si="17"/>
        <v>18.089097186246939</v>
      </c>
      <c r="E57" s="1" t="e">
        <f t="shared" si="17"/>
        <v>#DIV/0!</v>
      </c>
      <c r="F57" s="1">
        <f t="shared" si="17"/>
        <v>-38.643132233091372</v>
      </c>
      <c r="G57" s="1" t="e">
        <f t="shared" si="1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589247.31058064511</v>
      </c>
      <c r="C60" s="1">
        <f t="shared" ref="C60:G61" si="18">C16/C10</f>
        <v>1406060.6025454544</v>
      </c>
      <c r="D60" s="1">
        <f>D16/D10</f>
        <v>1406060.6025454544</v>
      </c>
      <c r="E60" s="1" t="e">
        <f>E16/E10</f>
        <v>#DIV/0!</v>
      </c>
      <c r="F60" s="1">
        <f t="shared" si="18"/>
        <v>140000</v>
      </c>
      <c r="G60" s="1" t="e">
        <f t="shared" si="18"/>
        <v>#DIV/0!</v>
      </c>
    </row>
    <row r="61" spans="1:7" x14ac:dyDescent="0.25">
      <c r="A61" s="2" t="s">
        <v>32</v>
      </c>
      <c r="B61" s="1">
        <f>B17/B11</f>
        <v>745469.92613756622</v>
      </c>
      <c r="C61" s="1">
        <f>C17/C11</f>
        <v>3333218.75</v>
      </c>
      <c r="D61" s="1">
        <f>D17/D11</f>
        <v>3333218.75</v>
      </c>
      <c r="E61" s="1" t="e">
        <f>E17/E11</f>
        <v>#DIV/0!</v>
      </c>
      <c r="F61" s="1">
        <f t="shared" si="18"/>
        <v>218030.67541401272</v>
      </c>
      <c r="G61" s="1" t="e">
        <f t="shared" si="18"/>
        <v>#DIV/0!</v>
      </c>
    </row>
    <row r="62" spans="1:7" x14ac:dyDescent="0.25">
      <c r="A62" s="2" t="s">
        <v>33</v>
      </c>
      <c r="B62" s="1">
        <f t="shared" ref="B62:G62" si="19">(B60/B61)*B45</f>
        <v>109.15892538642996</v>
      </c>
      <c r="C62" s="1">
        <f t="shared" si="19"/>
        <v>41.362405273077954</v>
      </c>
      <c r="D62" s="1">
        <f t="shared" si="19"/>
        <v>41.362405273077954</v>
      </c>
      <c r="E62" s="1" t="e">
        <f t="shared" si="19"/>
        <v>#DIV/0!</v>
      </c>
      <c r="F62" s="1">
        <f t="shared" si="19"/>
        <v>128.90575129683648</v>
      </c>
      <c r="G62" s="1" t="e">
        <f t="shared" si="19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/>
      <c r="G64" s="1"/>
    </row>
    <row r="65" spans="1:7" x14ac:dyDescent="0.25">
      <c r="A65" s="2" t="s">
        <v>35</v>
      </c>
      <c r="B65" s="1">
        <f>B23/B22*100</f>
        <v>63.284671666806972</v>
      </c>
      <c r="C65" s="1"/>
      <c r="D65" s="1">
        <f>D23/D22*100</f>
        <v>63.284671666806972</v>
      </c>
      <c r="E65" s="1" t="e">
        <f>E23/E22*100</f>
        <v>#DIV/0!</v>
      </c>
      <c r="F65" s="1"/>
      <c r="G65" s="1"/>
    </row>
    <row r="66" spans="1:7" x14ac:dyDescent="0.25">
      <c r="A66" s="2" t="s">
        <v>36</v>
      </c>
      <c r="B66" s="1">
        <f>B17/B23*100</f>
        <v>243.76092740484432</v>
      </c>
      <c r="C66" s="1"/>
      <c r="D66" s="1">
        <f>(D17+69086017)/D23*100</f>
        <v>208.44325847750866</v>
      </c>
      <c r="E66" s="1" t="e">
        <f>(F17-69086017)/E23*100</f>
        <v>#DIV/0!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78" spans="1:7" x14ac:dyDescent="0.25">
      <c r="A78" s="2" t="s">
        <v>162</v>
      </c>
    </row>
    <row r="79" spans="1:7" x14ac:dyDescent="0.25">
      <c r="A79" s="2" t="s">
        <v>163</v>
      </c>
    </row>
    <row r="81" spans="1:1" x14ac:dyDescent="0.25">
      <c r="A81" s="2" t="s">
        <v>166</v>
      </c>
    </row>
    <row r="82" spans="1:1" x14ac:dyDescent="0.25">
      <c r="A82" s="2" t="s">
        <v>164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A23" sqref="A23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7" t="s">
        <v>134</v>
      </c>
      <c r="B1" s="47"/>
      <c r="C1" s="47"/>
      <c r="D1" s="47"/>
      <c r="E1" s="47"/>
      <c r="F1" s="47"/>
      <c r="G1" s="47"/>
    </row>
    <row r="3" spans="1:7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7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7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84</v>
      </c>
      <c r="B9" s="6">
        <f>+C9+F9+G9</f>
        <v>2852</v>
      </c>
      <c r="C9" s="6">
        <f>'I trimestre'!C9+'II Trimestre'!C9</f>
        <v>383</v>
      </c>
      <c r="D9" s="6">
        <f>'I trimestre'!D9+'II Trimestre'!D9</f>
        <v>230</v>
      </c>
      <c r="E9" s="6">
        <f>'I trimestre'!E9+'II Trimestre'!E9</f>
        <v>153</v>
      </c>
      <c r="F9" s="6">
        <f>'I trimestre'!F9+'II Trimestre'!F9</f>
        <v>2469</v>
      </c>
      <c r="G9" s="6">
        <f>'I trimestre'!G9+'II Trimestre'!G9</f>
        <v>0</v>
      </c>
    </row>
    <row r="10" spans="1:7" x14ac:dyDescent="0.25">
      <c r="A10" s="2" t="s">
        <v>135</v>
      </c>
      <c r="B10" s="6">
        <f t="shared" ref="B10:B19" si="0">+C10+F10+G10</f>
        <v>1755</v>
      </c>
      <c r="C10" s="6">
        <f>'I trimestre'!C10+'II Trimestre'!C10</f>
        <v>505</v>
      </c>
      <c r="D10" s="6">
        <f>'I trimestre'!D10+'II Trimestre'!D10</f>
        <v>505</v>
      </c>
      <c r="E10" s="6">
        <f>'I trimestre'!E10+'II Trimestre'!E10</f>
        <v>0</v>
      </c>
      <c r="F10" s="6">
        <f>'I trimestre'!F10+'II Trimestre'!F10</f>
        <v>1250</v>
      </c>
      <c r="G10" s="6">
        <f>'I trimestre'!G10+'II Trimestre'!G10</f>
        <v>0</v>
      </c>
    </row>
    <row r="11" spans="1:7" x14ac:dyDescent="0.25">
      <c r="A11" s="2" t="s">
        <v>136</v>
      </c>
      <c r="B11" s="6">
        <f t="shared" si="0"/>
        <v>1850</v>
      </c>
      <c r="C11" s="6">
        <f>'I trimestre'!C11+'II Trimestre'!C11</f>
        <v>212</v>
      </c>
      <c r="D11" s="6">
        <f>'I trimestre'!D11+'II Trimestre'!D11</f>
        <v>212</v>
      </c>
      <c r="E11" s="6">
        <f>'I trimestre'!E11+'II Trimestre'!E11</f>
        <v>0</v>
      </c>
      <c r="F11" s="6">
        <f>'I trimestre'!F11+'II Trimestre'!F11</f>
        <v>1638</v>
      </c>
      <c r="G11" s="6">
        <f>'I trimestre'!G11+'II Trimestre'!G11</f>
        <v>0</v>
      </c>
    </row>
    <row r="12" spans="1:7" x14ac:dyDescent="0.25">
      <c r="A12" s="2" t="s">
        <v>108</v>
      </c>
      <c r="B12" s="6">
        <f t="shared" si="0"/>
        <v>3685</v>
      </c>
      <c r="C12" s="6">
        <f>'II Trimestre'!C12</f>
        <v>1185</v>
      </c>
      <c r="D12" s="6">
        <f>'II Trimestre'!D12</f>
        <v>1185</v>
      </c>
      <c r="E12" s="6">
        <f>'II Trimestre'!E12</f>
        <v>0</v>
      </c>
      <c r="F12" s="6">
        <f>'II Trimestre'!F12</f>
        <v>2500</v>
      </c>
      <c r="G12" s="6">
        <f>'II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8</v>
      </c>
      <c r="B14" s="1"/>
      <c r="C14" s="1"/>
      <c r="D14" s="1"/>
      <c r="E14" s="1"/>
      <c r="F14" s="1"/>
      <c r="G14" s="1"/>
    </row>
    <row r="15" spans="1:7" x14ac:dyDescent="0.25">
      <c r="A15" s="2" t="s">
        <v>158</v>
      </c>
      <c r="B15" s="6">
        <f t="shared" si="0"/>
        <v>1072418499</v>
      </c>
      <c r="C15" s="6">
        <f>'I trimestre'!C15+'II Trimestre'!C15</f>
        <v>993053419</v>
      </c>
      <c r="D15" s="6">
        <f>'I trimestre'!D15+'II Trimestre'!D15</f>
        <v>543355000</v>
      </c>
      <c r="E15" s="6">
        <f>'I trimestre'!E15+'II Trimestre'!E15</f>
        <v>449698419</v>
      </c>
      <c r="F15" s="6">
        <f>'I trimestre'!F15+'II Trimestre'!F15</f>
        <v>79365080</v>
      </c>
      <c r="G15" s="6">
        <f>'I trimestre'!G15+'II Trimestre'!G15</f>
        <v>0</v>
      </c>
    </row>
    <row r="16" spans="1:7" x14ac:dyDescent="0.25">
      <c r="A16" s="2" t="s">
        <v>135</v>
      </c>
      <c r="B16" s="6">
        <f t="shared" si="0"/>
        <v>823333331.74000001</v>
      </c>
      <c r="C16" s="6">
        <f>'I trimestre'!C16+'II Trimestre'!C16</f>
        <v>673333331.74000001</v>
      </c>
      <c r="D16" s="6">
        <f>'I trimestre'!D16+'II Trimestre'!D16</f>
        <v>673333331.74000001</v>
      </c>
      <c r="E16" s="6">
        <f>'I trimestre'!E16+'II Trimestre'!E16</f>
        <v>0</v>
      </c>
      <c r="F16" s="6">
        <f>'I trimestre'!F16+'II Trimestre'!F16</f>
        <v>150000000</v>
      </c>
      <c r="G16" s="6">
        <f>'I trimestre'!G16+'II Trimestre'!G16</f>
        <v>0</v>
      </c>
    </row>
    <row r="17" spans="1:7" x14ac:dyDescent="0.25">
      <c r="A17" s="2" t="s">
        <v>136</v>
      </c>
      <c r="B17" s="6">
        <f t="shared" si="0"/>
        <v>664204638</v>
      </c>
      <c r="C17" s="6">
        <f>'I trimestre'!C17+'II Trimestre'!C17</f>
        <v>559330000</v>
      </c>
      <c r="D17" s="6">
        <f>'I trimestre'!D17+'II Trimestre'!D17</f>
        <v>559330000</v>
      </c>
      <c r="E17" s="6">
        <f>'I trimestre'!E17+'II Trimestre'!E17</f>
        <v>0</v>
      </c>
      <c r="F17" s="6">
        <f>'I trimestre'!F17+'II Trimestre'!F17</f>
        <v>104874638</v>
      </c>
      <c r="G17" s="6">
        <f>'I trimestre'!G17+'II Trimestre'!G17</f>
        <v>0</v>
      </c>
    </row>
    <row r="18" spans="1:7" x14ac:dyDescent="0.25">
      <c r="A18" s="2" t="s">
        <v>108</v>
      </c>
      <c r="B18" s="6">
        <f t="shared" si="0"/>
        <v>1899999996.0899999</v>
      </c>
      <c r="C18" s="6">
        <f>'II Trimestre'!C18</f>
        <v>1599999996.0899999</v>
      </c>
      <c r="D18" s="6">
        <f>'II Trimestre'!D18</f>
        <v>1599999996.0899999</v>
      </c>
      <c r="E18" s="6">
        <f>'II Trimestre'!E18</f>
        <v>0</v>
      </c>
      <c r="F18" s="6">
        <f>'II Trimestre'!F18</f>
        <v>300000000</v>
      </c>
      <c r="G18" s="6">
        <f>'II Trimestre'!G18</f>
        <v>0</v>
      </c>
    </row>
    <row r="19" spans="1:7" x14ac:dyDescent="0.25">
      <c r="A19" s="2" t="s">
        <v>137</v>
      </c>
      <c r="B19" s="6">
        <f t="shared" si="0"/>
        <v>664204638</v>
      </c>
      <c r="C19" s="6">
        <f>C17</f>
        <v>559330000</v>
      </c>
      <c r="D19" s="6">
        <f>D17</f>
        <v>559330000</v>
      </c>
      <c r="E19" s="6">
        <f>E17</f>
        <v>0</v>
      </c>
      <c r="F19" s="6">
        <f>F17</f>
        <v>104874638</v>
      </c>
      <c r="G19" s="6">
        <f>G17</f>
        <v>0</v>
      </c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/>
      <c r="G21" s="6"/>
    </row>
    <row r="22" spans="1:7" x14ac:dyDescent="0.25">
      <c r="A22" s="2" t="s">
        <v>135</v>
      </c>
      <c r="B22" s="6">
        <f>B16</f>
        <v>823333331.74000001</v>
      </c>
      <c r="C22" s="6"/>
      <c r="D22" s="6">
        <f>D16</f>
        <v>673333331.74000001</v>
      </c>
      <c r="E22" s="6">
        <f>F16</f>
        <v>150000000</v>
      </c>
      <c r="F22" s="6"/>
      <c r="G22" s="6"/>
    </row>
    <row r="23" spans="1:7" x14ac:dyDescent="0.25">
      <c r="A23" s="2" t="s">
        <v>136</v>
      </c>
      <c r="B23" s="6">
        <f>'I trimestre'!B23+'II Trimestre'!B23</f>
        <v>811700000</v>
      </c>
      <c r="C23" s="6"/>
      <c r="D23" s="6">
        <f>'I trimestre'!D23+'II Trimestre'!D23</f>
        <v>661700000</v>
      </c>
      <c r="E23" s="6">
        <f>'I trimestre'!E23+'II Trimestre'!E23</f>
        <v>150000000</v>
      </c>
      <c r="F23" s="6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10</v>
      </c>
      <c r="B25" s="1"/>
      <c r="C25" s="1"/>
      <c r="D25" s="1"/>
      <c r="E25" s="1"/>
      <c r="F25" s="1"/>
      <c r="G25" s="1"/>
    </row>
    <row r="26" spans="1:7" x14ac:dyDescent="0.25">
      <c r="A26" s="2" t="s">
        <v>85</v>
      </c>
      <c r="B26" s="1">
        <v>1.5189901056499999</v>
      </c>
      <c r="C26" s="1">
        <v>1.5189901056499999</v>
      </c>
      <c r="D26" s="1">
        <v>1.5189901056499999</v>
      </c>
      <c r="E26" s="1">
        <v>1.5189901056499999</v>
      </c>
      <c r="F26" s="1">
        <v>1.5189901056499999</v>
      </c>
      <c r="G26" s="1">
        <v>1.5189901056499999</v>
      </c>
    </row>
    <row r="27" spans="1:7" x14ac:dyDescent="0.25">
      <c r="A27" s="2" t="s">
        <v>138</v>
      </c>
      <c r="B27" s="1">
        <v>1.61</v>
      </c>
      <c r="C27" s="1">
        <v>1.61</v>
      </c>
      <c r="D27" s="1">
        <v>1.61</v>
      </c>
      <c r="E27" s="1">
        <v>1.61</v>
      </c>
      <c r="F27" s="1">
        <v>1.61</v>
      </c>
      <c r="G27" s="1">
        <v>1.61</v>
      </c>
    </row>
    <row r="28" spans="1:7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12</v>
      </c>
      <c r="B30" s="1"/>
      <c r="C30" s="1"/>
      <c r="D30" s="1"/>
      <c r="E30" s="1"/>
      <c r="F30" s="1"/>
      <c r="G30" s="1"/>
    </row>
    <row r="31" spans="1:7" x14ac:dyDescent="0.25">
      <c r="A31" s="2" t="s">
        <v>86</v>
      </c>
      <c r="B31" s="1">
        <f>B15/B26</f>
        <v>706007560.55688405</v>
      </c>
      <c r="C31" s="1">
        <f>C15/C26</f>
        <v>653758977.95927823</v>
      </c>
      <c r="D31" s="1">
        <f>D15/D26</f>
        <v>357708057.46459407</v>
      </c>
      <c r="E31" s="1">
        <f>E15/E26</f>
        <v>296050920.49468416</v>
      </c>
      <c r="F31" s="1">
        <f>F15/F26</f>
        <v>52248582.59760581</v>
      </c>
      <c r="G31" s="1"/>
    </row>
    <row r="32" spans="1:7" x14ac:dyDescent="0.25">
      <c r="A32" s="2" t="s">
        <v>139</v>
      </c>
      <c r="B32" s="1">
        <f>B17/B27</f>
        <v>412549464.59627324</v>
      </c>
      <c r="C32" s="1">
        <f>C17/C27</f>
        <v>347409937.88819873</v>
      </c>
      <c r="D32" s="1">
        <f>D17/D27</f>
        <v>347409937.88819873</v>
      </c>
      <c r="E32" s="1">
        <f>E17/E27</f>
        <v>0</v>
      </c>
      <c r="F32" s="1">
        <f>F17/F27</f>
        <v>65139526.708074532</v>
      </c>
      <c r="G32" s="1"/>
    </row>
    <row r="33" spans="1:7" x14ac:dyDescent="0.25">
      <c r="A33" s="2" t="s">
        <v>87</v>
      </c>
      <c r="B33" s="1">
        <f>B31/B9</f>
        <v>247548.23301433522</v>
      </c>
      <c r="C33" s="1">
        <f>C31/C9</f>
        <v>1706942.5011991598</v>
      </c>
      <c r="D33" s="1">
        <f>D31/D9</f>
        <v>1555252.4237591047</v>
      </c>
      <c r="E33" s="1">
        <f>E31/E9</f>
        <v>1934973.3365665632</v>
      </c>
      <c r="F33" s="1">
        <f>F31/F9</f>
        <v>21161.839853222282</v>
      </c>
      <c r="G33" s="1"/>
    </row>
    <row r="34" spans="1:7" x14ac:dyDescent="0.25">
      <c r="A34" s="2" t="s">
        <v>140</v>
      </c>
      <c r="B34" s="1">
        <f>B32/B11</f>
        <v>222999.71059258014</v>
      </c>
      <c r="C34" s="1">
        <f>C32/C11</f>
        <v>1638726.122114145</v>
      </c>
      <c r="D34" s="1">
        <f>D32/D11</f>
        <v>1638726.122114145</v>
      </c>
      <c r="E34" s="1" t="e">
        <f>E32/E11</f>
        <v>#DIV/0!</v>
      </c>
      <c r="F34" s="1">
        <f>F32/F11</f>
        <v>39767.720823000323</v>
      </c>
      <c r="G34" s="1"/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>B10/B28*100</f>
        <v>1.8240209528560738</v>
      </c>
      <c r="C39" s="1">
        <f>C10/C28*100</f>
        <v>0.52486073002411238</v>
      </c>
      <c r="D39" s="1">
        <f>D10/D28*100</f>
        <v>0.52486073002411238</v>
      </c>
      <c r="E39" s="1">
        <f>E10/E28*100</f>
        <v>0</v>
      </c>
      <c r="F39" s="1">
        <f>F10/F28*100</f>
        <v>1.2991602228319614</v>
      </c>
      <c r="G39" s="1"/>
    </row>
    <row r="40" spans="1:7" x14ac:dyDescent="0.25">
      <c r="A40" s="2" t="s">
        <v>16</v>
      </c>
      <c r="B40" s="1">
        <f>B11/B28*100</f>
        <v>1.9227571297913031</v>
      </c>
      <c r="C40" s="1">
        <f>C11/C28*100</f>
        <v>0.22033757379230065</v>
      </c>
      <c r="D40" s="1">
        <f>D11/D28*100</f>
        <v>0.22033757379230065</v>
      </c>
      <c r="E40" s="1">
        <f>E11/E28*100</f>
        <v>0</v>
      </c>
      <c r="F40" s="1">
        <f>F11/F28*100</f>
        <v>1.7024195559990023</v>
      </c>
      <c r="G40" s="1"/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>B11/B10*100</f>
        <v>105.41310541310543</v>
      </c>
      <c r="C43" s="1">
        <f>C11/C10*100</f>
        <v>41.980198019801982</v>
      </c>
      <c r="D43" s="1">
        <f>D11/D10*100</f>
        <v>41.980198019801982</v>
      </c>
      <c r="E43" s="1" t="e">
        <f>E11/E10*100</f>
        <v>#DIV/0!</v>
      </c>
      <c r="F43" s="1">
        <f>F11/F10*100</f>
        <v>131.04</v>
      </c>
      <c r="G43" s="1"/>
    </row>
    <row r="44" spans="1:7" x14ac:dyDescent="0.25">
      <c r="A44" s="2" t="s">
        <v>19</v>
      </c>
      <c r="B44" s="1">
        <f>B17/B16*100</f>
        <v>80.672628253285495</v>
      </c>
      <c r="C44" s="1">
        <f>C17/C16*100</f>
        <v>83.068812077756888</v>
      </c>
      <c r="D44" s="1">
        <f>D17/D16*100</f>
        <v>83.068812077756888</v>
      </c>
      <c r="E44" s="1" t="e">
        <f>E17/E16*100</f>
        <v>#DIV/0!</v>
      </c>
      <c r="F44" s="1">
        <f>F17/F16*100</f>
        <v>69.916425333333336</v>
      </c>
      <c r="G44" s="1"/>
    </row>
    <row r="45" spans="1:7" x14ac:dyDescent="0.25">
      <c r="A45" s="2" t="s">
        <v>20</v>
      </c>
      <c r="B45" s="1">
        <f>AVERAGE(B43:B44)</f>
        <v>93.042866833195461</v>
      </c>
      <c r="C45" s="1">
        <f>AVERAGE(C43:C44)</f>
        <v>62.524505048779432</v>
      </c>
      <c r="D45" s="1">
        <f>AVERAGE(D43:D44)</f>
        <v>62.524505048779432</v>
      </c>
      <c r="E45" s="1" t="e">
        <f>AVERAGE(E43:E44)</f>
        <v>#DIV/0!</v>
      </c>
      <c r="F45" s="1">
        <f>AVERAGE(F43:F44)</f>
        <v>100.47821266666666</v>
      </c>
      <c r="G45" s="1"/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>B11/B12*100</f>
        <v>50.203527815468121</v>
      </c>
      <c r="C48" s="1">
        <f>C11/C12*100</f>
        <v>17.890295358649787</v>
      </c>
      <c r="D48" s="1">
        <f>D11/D12*100</f>
        <v>17.890295358649787</v>
      </c>
      <c r="E48" s="1" t="e">
        <f>E11/E12*100</f>
        <v>#DIV/0!</v>
      </c>
      <c r="F48" s="1">
        <f>F11/F12*100</f>
        <v>65.52</v>
      </c>
      <c r="G48" s="1"/>
    </row>
    <row r="49" spans="1:7" x14ac:dyDescent="0.25">
      <c r="A49" s="2" t="s">
        <v>23</v>
      </c>
      <c r="B49" s="1">
        <f>B17/B18*100</f>
        <v>34.958138914045435</v>
      </c>
      <c r="C49" s="1">
        <f>C17/C18*100</f>
        <v>34.958125085428918</v>
      </c>
      <c r="D49" s="1">
        <f>D17/D18*100</f>
        <v>34.958125085428918</v>
      </c>
      <c r="E49" s="1" t="e">
        <f>E17/E18*100</f>
        <v>#DIV/0!</v>
      </c>
      <c r="F49" s="1">
        <f>F17/F18*100</f>
        <v>34.958212666666668</v>
      </c>
      <c r="G49" s="1"/>
    </row>
    <row r="50" spans="1:7" x14ac:dyDescent="0.25">
      <c r="A50" s="2" t="s">
        <v>24</v>
      </c>
      <c r="B50" s="1">
        <f>AVERAGE(B48:B49)</f>
        <v>42.580833364756778</v>
      </c>
      <c r="C50" s="1">
        <f>AVERAGE(C48:C49)</f>
        <v>26.424210222039353</v>
      </c>
      <c r="D50" s="1">
        <f>AVERAGE(D48:D49)</f>
        <v>26.424210222039353</v>
      </c>
      <c r="E50" s="1" t="e">
        <f>AVERAGE(E48:E49)</f>
        <v>#DIV/0!</v>
      </c>
      <c r="F50" s="1">
        <f>AVERAGE(F48:F49)</f>
        <v>50.239106333333332</v>
      </c>
      <c r="G50" s="1"/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>B19/B17*100</f>
        <v>100</v>
      </c>
      <c r="C52" s="1">
        <f>C19/C17*100</f>
        <v>100</v>
      </c>
      <c r="D52" s="1">
        <f>D19/D17*100</f>
        <v>100</v>
      </c>
      <c r="E52" s="1" t="e">
        <f>E19/E17*100</f>
        <v>#DIV/0!</v>
      </c>
      <c r="F52" s="1">
        <f>F19/F17*100</f>
        <v>100</v>
      </c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>((B11/B9)-1)*100</f>
        <v>-35.133239831697047</v>
      </c>
      <c r="C55" s="1">
        <f>((C11/C9)-1)*100</f>
        <v>-44.64751958224543</v>
      </c>
      <c r="D55" s="1">
        <f>((D11/D9)-1)*100</f>
        <v>-7.8260869565217384</v>
      </c>
      <c r="E55" s="1">
        <f>((E11/E9)-1)*100</f>
        <v>-100</v>
      </c>
      <c r="F55" s="1">
        <f>((F11/F9)-1)*100</f>
        <v>-33.657351154313488</v>
      </c>
      <c r="G55" s="1"/>
    </row>
    <row r="56" spans="1:7" x14ac:dyDescent="0.25">
      <c r="A56" s="2" t="s">
        <v>28</v>
      </c>
      <c r="B56" s="1">
        <f>((B32/B31)-1)*100</f>
        <v>-41.565857415059007</v>
      </c>
      <c r="C56" s="1">
        <f>((C32/C31)-1)*100</f>
        <v>-46.859630291786459</v>
      </c>
      <c r="D56" s="1">
        <f>((D32/D31)-1)*100</f>
        <v>-2.8789174192461742</v>
      </c>
      <c r="E56" s="1">
        <f>((E32/E31)-1)*100</f>
        <v>-100</v>
      </c>
      <c r="F56" s="1">
        <f>((F32/F31)-1)*100</f>
        <v>24.672332663545649</v>
      </c>
      <c r="G56" s="1"/>
    </row>
    <row r="57" spans="1:7" x14ac:dyDescent="0.25">
      <c r="A57" s="2" t="s">
        <v>29</v>
      </c>
      <c r="B57" s="1">
        <f>((B34/B33)-1)*100</f>
        <v>-9.9166623501342084</v>
      </c>
      <c r="C57" s="1">
        <f>((C34/C33)-1)*100</f>
        <v>-3.9964075554444034</v>
      </c>
      <c r="D57" s="1">
        <f>((D34/D33)-1)*100</f>
        <v>5.3672122338366934</v>
      </c>
      <c r="E57" s="1" t="e">
        <f>((E34/E33)-1)*100</f>
        <v>#DIV/0!</v>
      </c>
      <c r="F57" s="1">
        <f>((F34/F33)-1)*100</f>
        <v>87.921849417762004</v>
      </c>
      <c r="G57" s="1"/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469135.80156125355</v>
      </c>
      <c r="C60" s="1">
        <f t="shared" ref="C60:F61" si="1">C16/C10</f>
        <v>1333333.3301782177</v>
      </c>
      <c r="D60" s="1">
        <f>D16/D10</f>
        <v>1333333.3301782177</v>
      </c>
      <c r="E60" s="1" t="e">
        <f>E16/E10</f>
        <v>#DIV/0!</v>
      </c>
      <c r="F60" s="1">
        <f t="shared" si="1"/>
        <v>120000</v>
      </c>
      <c r="G60" s="1"/>
    </row>
    <row r="61" spans="1:7" x14ac:dyDescent="0.25">
      <c r="A61" s="2" t="s">
        <v>32</v>
      </c>
      <c r="B61" s="1">
        <f>B17/B11</f>
        <v>359029.53405405406</v>
      </c>
      <c r="C61" s="1">
        <f t="shared" si="1"/>
        <v>2638349.0566037735</v>
      </c>
      <c r="D61" s="1">
        <f>D17/D11</f>
        <v>2638349.0566037735</v>
      </c>
      <c r="E61" s="1" t="e">
        <f>E17/E11</f>
        <v>#DIV/0!</v>
      </c>
      <c r="F61" s="1">
        <f t="shared" si="1"/>
        <v>64026.030525030525</v>
      </c>
      <c r="G61" s="1"/>
    </row>
    <row r="62" spans="1:7" x14ac:dyDescent="0.25">
      <c r="A62" s="2" t="s">
        <v>33</v>
      </c>
      <c r="B62" s="1">
        <f>(B60/B61)*B45</f>
        <v>121.57701740708717</v>
      </c>
      <c r="C62" s="1">
        <f>(C60/C61)*C45</f>
        <v>31.597792690004077</v>
      </c>
      <c r="D62" s="1">
        <f>(D60/D61)*D45</f>
        <v>31.597792690004077</v>
      </c>
      <c r="E62" s="1" t="e">
        <f>(E60/E61)*E45</f>
        <v>#DIV/0!</v>
      </c>
      <c r="F62" s="1">
        <f>(F60/F61)*F45</f>
        <v>188.32005390817176</v>
      </c>
      <c r="G62" s="1"/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1"/>
      <c r="G64" s="1"/>
    </row>
    <row r="65" spans="1:7" x14ac:dyDescent="0.25">
      <c r="A65" s="2" t="s">
        <v>35</v>
      </c>
      <c r="B65" s="1">
        <f>B23/B22*100</f>
        <v>98.58704472520084</v>
      </c>
      <c r="C65" s="1"/>
      <c r="D65" s="1">
        <f>D23/D22*100</f>
        <v>98.272277460268072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81.828833066403845</v>
      </c>
      <c r="C66" s="1"/>
      <c r="D66" s="1">
        <f>D17/D23*100</f>
        <v>84.529242859301803</v>
      </c>
      <c r="E66" s="1">
        <f>F17/E23*100</f>
        <v>69.916425333333336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78" spans="1:7" x14ac:dyDescent="0.25">
      <c r="A78" s="2" t="s">
        <v>162</v>
      </c>
    </row>
    <row r="79" spans="1:7" x14ac:dyDescent="0.25">
      <c r="A79" s="2" t="s">
        <v>163</v>
      </c>
    </row>
    <row r="81" spans="1:1" x14ac:dyDescent="0.25">
      <c r="A81" s="2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64" workbookViewId="0">
      <selection activeCell="A23" sqref="A23"/>
    </sheetView>
  </sheetViews>
  <sheetFormatPr baseColWidth="10" defaultColWidth="11.42578125" defaultRowHeight="15" x14ac:dyDescent="0.25"/>
  <cols>
    <col min="1" max="1" width="54.85546875" style="2" customWidth="1"/>
    <col min="2" max="2" width="15.28515625" style="2" bestFit="1" customWidth="1"/>
    <col min="3" max="3" width="15.425781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7" t="s">
        <v>141</v>
      </c>
      <c r="B1" s="47"/>
      <c r="C1" s="47"/>
      <c r="D1" s="47"/>
      <c r="E1" s="47"/>
      <c r="F1" s="47"/>
      <c r="G1" s="47"/>
    </row>
    <row r="3" spans="1:7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7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7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7" ht="15.75" thickTop="1" x14ac:dyDescent="0.25">
      <c r="A6" s="37"/>
      <c r="B6" s="38"/>
      <c r="C6" s="39"/>
      <c r="D6" s="39"/>
      <c r="E6" s="39"/>
      <c r="F6" s="38"/>
      <c r="G6" s="38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96</v>
      </c>
      <c r="B9" s="6">
        <f>+C9+F9+G9</f>
        <v>3525</v>
      </c>
      <c r="C9" s="6">
        <f>'I trimestre'!C9+'II Trimestre'!C9+'III Trimestre'!C9</f>
        <v>619</v>
      </c>
      <c r="D9" s="6">
        <f>'I trimestre'!D9+'II Trimestre'!D9+'III Trimestre'!D9</f>
        <v>466</v>
      </c>
      <c r="E9" s="6">
        <f>'I trimestre'!E9+'II Trimestre'!E9+'III Trimestre'!E9</f>
        <v>153</v>
      </c>
      <c r="F9" s="6">
        <f>'I trimestre'!F9+'II Trimestre'!F9+'III Trimestre'!F9</f>
        <v>2906</v>
      </c>
      <c r="G9" s="6">
        <f>'I trimestre'!G9+'II Trimestre'!G9+'III Trimestre'!G9</f>
        <v>0</v>
      </c>
    </row>
    <row r="10" spans="1:7" x14ac:dyDescent="0.25">
      <c r="A10" s="2" t="s">
        <v>142</v>
      </c>
      <c r="B10" s="6">
        <f t="shared" ref="B10:B19" si="0">+C10+F10+G10</f>
        <v>2910</v>
      </c>
      <c r="C10" s="6">
        <f>'I trimestre'!C10+'II Trimestre'!C10+'III Trimestre'!C10</f>
        <v>910</v>
      </c>
      <c r="D10" s="6">
        <f>'I trimestre'!D10+'II Trimestre'!D10+'III Trimestre'!D10</f>
        <v>910</v>
      </c>
      <c r="E10" s="6">
        <f>'I trimestre'!E10+'II Trimestre'!E10+'III Trimestre'!E10</f>
        <v>0</v>
      </c>
      <c r="F10" s="6">
        <f>'I trimestre'!F10+'II Trimestre'!F10+'III Trimestre'!F10</f>
        <v>2000</v>
      </c>
      <c r="G10" s="6">
        <f>'I trimestre'!G10+'II Trimestre'!G10+'III Trimestre'!G10</f>
        <v>0</v>
      </c>
    </row>
    <row r="11" spans="1:7" x14ac:dyDescent="0.25">
      <c r="A11" s="2" t="s">
        <v>143</v>
      </c>
      <c r="B11" s="6">
        <f t="shared" si="0"/>
        <v>2575</v>
      </c>
      <c r="C11" s="6">
        <f>'I trimestre'!C11+'II Trimestre'!C11+'III Trimestre'!C11</f>
        <v>384</v>
      </c>
      <c r="D11" s="6">
        <f>'I trimestre'!D11+'II Trimestre'!D11+'III Trimestre'!D11</f>
        <v>384</v>
      </c>
      <c r="E11" s="6">
        <f>'I trimestre'!E11+'II Trimestre'!E11+'III Trimestre'!E11</f>
        <v>0</v>
      </c>
      <c r="F11" s="6">
        <f>'I trimestre'!F11+'II Trimestre'!F11+'III Trimestre'!F11</f>
        <v>2191</v>
      </c>
      <c r="G11" s="6">
        <f>'I trimestre'!G11+'II Trimestre'!G11+'III Trimestre'!G11</f>
        <v>0</v>
      </c>
    </row>
    <row r="12" spans="1:7" x14ac:dyDescent="0.25">
      <c r="A12" s="2" t="s">
        <v>108</v>
      </c>
      <c r="B12" s="6">
        <f t="shared" si="0"/>
        <v>3685</v>
      </c>
      <c r="C12" s="6">
        <f>'III Trimestre'!C12</f>
        <v>1185</v>
      </c>
      <c r="D12" s="6">
        <f>'III Trimestre'!D12</f>
        <v>1185</v>
      </c>
      <c r="E12" s="6">
        <f>'III Trimestre'!E12</f>
        <v>0</v>
      </c>
      <c r="F12" s="6">
        <f>'III Trimestre'!F12</f>
        <v>2500</v>
      </c>
      <c r="G12" s="6">
        <f>'III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8</v>
      </c>
      <c r="B14" s="1"/>
      <c r="C14" s="1"/>
      <c r="D14" s="1"/>
      <c r="E14" s="1"/>
      <c r="F14" s="1"/>
      <c r="G14" s="1"/>
    </row>
    <row r="15" spans="1:7" x14ac:dyDescent="0.25">
      <c r="A15" s="2" t="s">
        <v>157</v>
      </c>
      <c r="B15" s="6">
        <f t="shared" si="0"/>
        <v>1652937039</v>
      </c>
      <c r="C15" s="6">
        <f>'I trimestre'!C15+'II Trimestre'!C15+'III Trimestre'!C15</f>
        <v>1472195419</v>
      </c>
      <c r="D15" s="6">
        <f>'I trimestre'!D15+'II Trimestre'!D15+'III Trimestre'!D15</f>
        <v>1022497000</v>
      </c>
      <c r="E15" s="6">
        <f>'I trimestre'!E15+'II Trimestre'!E15+'III Trimestre'!E15</f>
        <v>449698419</v>
      </c>
      <c r="F15" s="6">
        <f>'I trimestre'!F15+'II Trimestre'!F15+'III Trimestre'!F15</f>
        <v>180741620</v>
      </c>
      <c r="G15" s="6">
        <f>'I trimestre'!G15+'II Trimestre'!G15+'III Trimestre'!G15</f>
        <v>0</v>
      </c>
    </row>
    <row r="16" spans="1:7" x14ac:dyDescent="0.25">
      <c r="A16" s="2" t="s">
        <v>142</v>
      </c>
      <c r="B16" s="6">
        <f t="shared" si="0"/>
        <v>1513333330.3899999</v>
      </c>
      <c r="C16" s="6">
        <f>'I trimestre'!C16+'II Trimestre'!C16+'III Trimestre'!C16</f>
        <v>1213333330.3899999</v>
      </c>
      <c r="D16" s="6">
        <f>'I trimestre'!D16+'II Trimestre'!D16+'III Trimestre'!D16</f>
        <v>1213333330.3899999</v>
      </c>
      <c r="E16" s="6">
        <f>'I trimestre'!E16+'II Trimestre'!E16+'III Trimestre'!E16</f>
        <v>0</v>
      </c>
      <c r="F16" s="6">
        <f>'I trimestre'!F16+'II Trimestre'!F16+'III Trimestre'!F16</f>
        <v>300000000</v>
      </c>
      <c r="G16" s="6">
        <f>'I trimestre'!G16+'II Trimestre'!G16+'III Trimestre'!G16</f>
        <v>0</v>
      </c>
    </row>
    <row r="17" spans="1:8" x14ac:dyDescent="0.25">
      <c r="A17" s="2" t="s">
        <v>143</v>
      </c>
      <c r="B17" s="6">
        <f t="shared" si="0"/>
        <v>1228837896.8</v>
      </c>
      <c r="C17" s="6">
        <f>'I trimestre'!C17+'II Trimestre'!C17+'III Trimestre'!C17</f>
        <v>1030590000</v>
      </c>
      <c r="D17" s="6">
        <f>'I trimestre'!D17+'II Trimestre'!D17+'III Trimestre'!D17</f>
        <v>1030590000</v>
      </c>
      <c r="E17" s="6">
        <f>'I trimestre'!E17+'II Trimestre'!E17+'III Trimestre'!E17</f>
        <v>0</v>
      </c>
      <c r="F17" s="6">
        <f>'I trimestre'!F17+'II Trimestre'!F17+'III Trimestre'!F17</f>
        <v>198247896.80000001</v>
      </c>
      <c r="G17" s="6">
        <f>'I trimestre'!G17+'II Trimestre'!G17+'III Trimestre'!G17</f>
        <v>0</v>
      </c>
    </row>
    <row r="18" spans="1:8" x14ac:dyDescent="0.25">
      <c r="A18" s="2" t="s">
        <v>108</v>
      </c>
      <c r="B18" s="6">
        <f t="shared" si="0"/>
        <v>1899999996.0899999</v>
      </c>
      <c r="C18" s="6">
        <f>'III Trimestre'!C18</f>
        <v>1599999996.0899999</v>
      </c>
      <c r="D18" s="6">
        <f>'III Trimestre'!D18</f>
        <v>1599999996.0899999</v>
      </c>
      <c r="E18" s="6">
        <f>'III Trimestre'!E18</f>
        <v>0</v>
      </c>
      <c r="F18" s="6">
        <f>'III Trimestre'!F18</f>
        <v>300000000</v>
      </c>
      <c r="G18" s="6">
        <f>'III Trimestre'!G18</f>
        <v>0</v>
      </c>
    </row>
    <row r="19" spans="1:8" x14ac:dyDescent="0.25">
      <c r="A19" s="2" t="s">
        <v>144</v>
      </c>
      <c r="B19" s="6">
        <f t="shared" si="0"/>
        <v>1228837896.8</v>
      </c>
      <c r="C19" s="6">
        <f>C17</f>
        <v>1030590000</v>
      </c>
      <c r="D19" s="6">
        <f>D17</f>
        <v>1030590000</v>
      </c>
      <c r="E19" s="6">
        <f>E17</f>
        <v>0</v>
      </c>
      <c r="F19" s="6">
        <f>F17</f>
        <v>198247896.80000001</v>
      </c>
      <c r="G19" s="6">
        <f>G17</f>
        <v>0</v>
      </c>
      <c r="H19" s="6"/>
    </row>
    <row r="20" spans="1:8" x14ac:dyDescent="0.25">
      <c r="B20" s="1"/>
      <c r="C20" s="1"/>
      <c r="D20" s="1"/>
      <c r="E20" s="1"/>
      <c r="F20" s="1"/>
      <c r="G20" s="1"/>
    </row>
    <row r="21" spans="1:8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1"/>
      <c r="G21" s="1"/>
    </row>
    <row r="22" spans="1:8" x14ac:dyDescent="0.25">
      <c r="A22" s="2" t="s">
        <v>142</v>
      </c>
      <c r="B22" s="6">
        <f>B16</f>
        <v>1513333330.3899999</v>
      </c>
      <c r="C22" s="6"/>
      <c r="D22" s="6">
        <f>D16</f>
        <v>1213333330.3899999</v>
      </c>
      <c r="E22" s="6">
        <f>+E16+F16</f>
        <v>300000000</v>
      </c>
      <c r="F22" s="1"/>
      <c r="G22" s="1"/>
    </row>
    <row r="23" spans="1:8" x14ac:dyDescent="0.25">
      <c r="A23" s="2" t="s">
        <v>143</v>
      </c>
      <c r="B23" s="6">
        <f>'I trimestre'!B23+'II Trimestre'!B23+'III Trimestre'!B23</f>
        <v>1229259000</v>
      </c>
      <c r="C23" s="6"/>
      <c r="D23" s="6">
        <f>'I trimestre'!D23+'II Trimestre'!D23+'III Trimestre'!D23</f>
        <v>929259000</v>
      </c>
      <c r="E23" s="6">
        <f>'I trimestre'!E23+'II Trimestre'!E23+'III Trimestre'!E23</f>
        <v>300000000</v>
      </c>
      <c r="F23" s="1"/>
      <c r="G23" s="1"/>
    </row>
    <row r="24" spans="1:8" x14ac:dyDescent="0.25">
      <c r="B24" s="1"/>
      <c r="C24" s="1"/>
      <c r="D24" s="1"/>
      <c r="E24" s="1"/>
      <c r="F24" s="1"/>
      <c r="G24" s="1"/>
    </row>
    <row r="25" spans="1:8" x14ac:dyDescent="0.25">
      <c r="A25" s="2" t="s">
        <v>10</v>
      </c>
      <c r="B25" s="1"/>
      <c r="C25" s="1"/>
      <c r="D25" s="1"/>
      <c r="E25" s="1"/>
      <c r="F25" s="1"/>
      <c r="G25" s="1"/>
    </row>
    <row r="26" spans="1:8" x14ac:dyDescent="0.25">
      <c r="A26" s="2" t="s">
        <v>97</v>
      </c>
      <c r="B26" s="1">
        <v>1.523505238688889</v>
      </c>
      <c r="C26" s="1">
        <v>1.523505238688889</v>
      </c>
      <c r="D26" s="1">
        <v>1.523505238688889</v>
      </c>
      <c r="E26" s="1">
        <v>1.523505238688889</v>
      </c>
      <c r="F26" s="1">
        <v>1.523505238688889</v>
      </c>
      <c r="G26" s="1">
        <v>1.523505238688889</v>
      </c>
    </row>
    <row r="27" spans="1:8" x14ac:dyDescent="0.25">
      <c r="A27" s="2" t="s">
        <v>145</v>
      </c>
      <c r="B27" s="1">
        <v>1.6128472990111107</v>
      </c>
      <c r="C27" s="1">
        <v>1.6128472990111107</v>
      </c>
      <c r="D27" s="1">
        <v>1.6128472990111107</v>
      </c>
      <c r="E27" s="1">
        <v>1.6128472990111107</v>
      </c>
      <c r="F27" s="1">
        <v>1.6128472990111107</v>
      </c>
      <c r="G27" s="1">
        <v>1.6128472990111107</v>
      </c>
    </row>
    <row r="28" spans="1:8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8" x14ac:dyDescent="0.25">
      <c r="B29" s="1"/>
      <c r="C29" s="1"/>
      <c r="D29" s="1"/>
      <c r="E29" s="1"/>
      <c r="F29" s="1"/>
      <c r="G29" s="1"/>
    </row>
    <row r="30" spans="1:8" x14ac:dyDescent="0.25">
      <c r="A30" s="2" t="s">
        <v>12</v>
      </c>
      <c r="B30" s="1"/>
      <c r="C30" s="1"/>
      <c r="D30" s="1"/>
      <c r="E30" s="1"/>
      <c r="F30" s="1"/>
      <c r="G30" s="1"/>
    </row>
    <row r="31" spans="1:8" x14ac:dyDescent="0.25">
      <c r="A31" s="2" t="s">
        <v>98</v>
      </c>
      <c r="B31" s="1">
        <f t="shared" ref="B31:G31" si="1">B15/B26</f>
        <v>1084956583.6888742</v>
      </c>
      <c r="C31" s="1">
        <f t="shared" si="1"/>
        <v>966321205.60803211</v>
      </c>
      <c r="D31" s="1">
        <f t="shared" si="1"/>
        <v>671147675.79004133</v>
      </c>
      <c r="E31" s="1">
        <f t="shared" si="1"/>
        <v>295173529.81799084</v>
      </c>
      <c r="F31" s="1">
        <f t="shared" si="1"/>
        <v>118635378.08084214</v>
      </c>
      <c r="G31" s="1">
        <f t="shared" si="1"/>
        <v>0</v>
      </c>
    </row>
    <row r="32" spans="1:8" x14ac:dyDescent="0.25">
      <c r="A32" s="2" t="s">
        <v>146</v>
      </c>
      <c r="B32" s="1">
        <f t="shared" ref="B32:G32" si="2">B17/B27</f>
        <v>761905914.80882323</v>
      </c>
      <c r="C32" s="1">
        <f t="shared" si="2"/>
        <v>638987956.66017997</v>
      </c>
      <c r="D32" s="1">
        <f t="shared" si="2"/>
        <v>638987956.66017997</v>
      </c>
      <c r="E32" s="1">
        <f t="shared" si="2"/>
        <v>0</v>
      </c>
      <c r="F32" s="1">
        <f t="shared" si="2"/>
        <v>122917958.14864326</v>
      </c>
      <c r="G32" s="1">
        <f t="shared" si="2"/>
        <v>0</v>
      </c>
    </row>
    <row r="33" spans="1:7" x14ac:dyDescent="0.25">
      <c r="A33" s="2" t="s">
        <v>99</v>
      </c>
      <c r="B33" s="1">
        <f t="shared" ref="B33:G33" si="3">B31/B9</f>
        <v>307789.10175570898</v>
      </c>
      <c r="C33" s="1">
        <f t="shared" si="3"/>
        <v>1561100.4937124914</v>
      </c>
      <c r="D33" s="1">
        <f t="shared" si="3"/>
        <v>1440231.0639271273</v>
      </c>
      <c r="E33" s="1">
        <f t="shared" si="3"/>
        <v>1929238.7569803323</v>
      </c>
      <c r="F33" s="1">
        <f t="shared" si="3"/>
        <v>40824.287020248499</v>
      </c>
      <c r="G33" s="1" t="e">
        <f t="shared" si="3"/>
        <v>#DIV/0!</v>
      </c>
    </row>
    <row r="34" spans="1:7" x14ac:dyDescent="0.25">
      <c r="A34" s="2" t="s">
        <v>147</v>
      </c>
      <c r="B34" s="1">
        <f t="shared" ref="B34:G34" si="4">B32/B11</f>
        <v>295885.7921587663</v>
      </c>
      <c r="C34" s="1">
        <f t="shared" si="4"/>
        <v>1664031.1371358854</v>
      </c>
      <c r="D34" s="1">
        <f t="shared" si="4"/>
        <v>1664031.1371358854</v>
      </c>
      <c r="E34" s="1" t="e">
        <f t="shared" si="4"/>
        <v>#DIV/0!</v>
      </c>
      <c r="F34" s="1">
        <f t="shared" si="4"/>
        <v>56101.304495044846</v>
      </c>
      <c r="G34" s="1" t="e">
        <f t="shared" si="4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5">B10/B28*100</f>
        <v>3.0244449987528061</v>
      </c>
      <c r="C39" s="1">
        <f t="shared" si="5"/>
        <v>0.94578864222166792</v>
      </c>
      <c r="D39" s="1">
        <f t="shared" si="5"/>
        <v>0.94578864222166792</v>
      </c>
      <c r="E39" s="1">
        <f t="shared" si="5"/>
        <v>0</v>
      </c>
      <c r="F39" s="1">
        <f t="shared" si="5"/>
        <v>2.078656356531138</v>
      </c>
      <c r="G39" s="1">
        <f t="shared" si="5"/>
        <v>0</v>
      </c>
    </row>
    <row r="40" spans="1:7" x14ac:dyDescent="0.25">
      <c r="A40" s="2" t="s">
        <v>16</v>
      </c>
      <c r="B40" s="1">
        <f t="shared" ref="B40:G40" si="6">B11/B28*100</f>
        <v>2.6762700590338402</v>
      </c>
      <c r="C40" s="1">
        <f t="shared" si="6"/>
        <v>0.39910202045397858</v>
      </c>
      <c r="D40" s="1">
        <f t="shared" si="6"/>
        <v>0.39910202045397858</v>
      </c>
      <c r="E40" s="1">
        <f t="shared" si="6"/>
        <v>0</v>
      </c>
      <c r="F40" s="1">
        <f t="shared" si="6"/>
        <v>2.2771680385798621</v>
      </c>
      <c r="G40" s="1">
        <f t="shared" si="6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7">B11/B10*100</f>
        <v>88.487972508591056</v>
      </c>
      <c r="C43" s="1">
        <f t="shared" si="7"/>
        <v>42.197802197802197</v>
      </c>
      <c r="D43" s="1">
        <f t="shared" si="7"/>
        <v>42.197802197802197</v>
      </c>
      <c r="E43" s="1" t="e">
        <f t="shared" si="7"/>
        <v>#DIV/0!</v>
      </c>
      <c r="F43" s="1">
        <f t="shared" si="7"/>
        <v>109.55</v>
      </c>
      <c r="G43" s="1" t="e">
        <f t="shared" si="7"/>
        <v>#DIV/0!</v>
      </c>
    </row>
    <row r="44" spans="1:7" x14ac:dyDescent="0.25">
      <c r="A44" s="2" t="s">
        <v>19</v>
      </c>
      <c r="B44" s="1">
        <f t="shared" ref="B44:G44" si="8">B17/B16*100</f>
        <v>81.200742237225228</v>
      </c>
      <c r="C44" s="1">
        <f t="shared" si="8"/>
        <v>84.938736469782711</v>
      </c>
      <c r="D44" s="1">
        <f t="shared" si="8"/>
        <v>84.938736469782711</v>
      </c>
      <c r="E44" s="1" t="e">
        <f t="shared" si="8"/>
        <v>#DIV/0!</v>
      </c>
      <c r="F44" s="1">
        <f t="shared" si="8"/>
        <v>66.082632266666678</v>
      </c>
      <c r="G44" s="1" t="e">
        <f t="shared" si="8"/>
        <v>#DIV/0!</v>
      </c>
    </row>
    <row r="45" spans="1:7" x14ac:dyDescent="0.25">
      <c r="A45" s="2" t="s">
        <v>20</v>
      </c>
      <c r="B45" s="1">
        <f t="shared" ref="B45:G45" si="9">AVERAGE(B43:B44)</f>
        <v>84.844357372908149</v>
      </c>
      <c r="C45" s="1">
        <f t="shared" si="9"/>
        <v>63.568269333792458</v>
      </c>
      <c r="D45" s="1">
        <f t="shared" si="9"/>
        <v>63.568269333792458</v>
      </c>
      <c r="E45" s="1" t="e">
        <f t="shared" si="9"/>
        <v>#DIV/0!</v>
      </c>
      <c r="F45" s="1">
        <f t="shared" si="9"/>
        <v>87.816316133333345</v>
      </c>
      <c r="G45" s="1" t="e">
        <f t="shared" si="9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0">B11/B12*100</f>
        <v>69.877883310719142</v>
      </c>
      <c r="C48" s="1">
        <f t="shared" si="10"/>
        <v>32.405063291139243</v>
      </c>
      <c r="D48" s="1">
        <f t="shared" si="10"/>
        <v>32.405063291139243</v>
      </c>
      <c r="E48" s="1" t="e">
        <f t="shared" si="10"/>
        <v>#DIV/0!</v>
      </c>
      <c r="F48" s="1">
        <f t="shared" si="10"/>
        <v>87.64</v>
      </c>
      <c r="G48" s="1" t="e">
        <f t="shared" si="10"/>
        <v>#DIV/0!</v>
      </c>
    </row>
    <row r="49" spans="1:7" x14ac:dyDescent="0.25">
      <c r="A49" s="2" t="s">
        <v>23</v>
      </c>
      <c r="B49" s="1">
        <f t="shared" ref="B49:G49" si="11">B17/B18*100</f>
        <v>64.675678912043111</v>
      </c>
      <c r="C49" s="1">
        <f t="shared" si="11"/>
        <v>64.411875157406527</v>
      </c>
      <c r="D49" s="1">
        <f t="shared" si="11"/>
        <v>64.411875157406527</v>
      </c>
      <c r="E49" s="1" t="e">
        <f t="shared" si="11"/>
        <v>#DIV/0!</v>
      </c>
      <c r="F49" s="1">
        <f t="shared" si="11"/>
        <v>66.082632266666678</v>
      </c>
      <c r="G49" s="1" t="e">
        <f t="shared" si="11"/>
        <v>#DIV/0!</v>
      </c>
    </row>
    <row r="50" spans="1:7" x14ac:dyDescent="0.25">
      <c r="A50" s="2" t="s">
        <v>24</v>
      </c>
      <c r="B50" s="1">
        <f t="shared" ref="B50:G50" si="12">AVERAGE(B48:B49)</f>
        <v>67.276781111381126</v>
      </c>
      <c r="C50" s="1">
        <f t="shared" si="12"/>
        <v>48.408469224272885</v>
      </c>
      <c r="D50" s="1">
        <f t="shared" si="12"/>
        <v>48.408469224272885</v>
      </c>
      <c r="E50" s="1" t="e">
        <f t="shared" si="12"/>
        <v>#DIV/0!</v>
      </c>
      <c r="F50" s="1">
        <f t="shared" si="12"/>
        <v>76.861316133333332</v>
      </c>
      <c r="G50" s="1" t="e">
        <f t="shared" si="12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25</v>
      </c>
      <c r="B52" s="1">
        <f t="shared" ref="B52:G52" si="13">B19/B17*100</f>
        <v>100</v>
      </c>
      <c r="C52" s="1">
        <f t="shared" si="13"/>
        <v>100</v>
      </c>
      <c r="D52" s="1">
        <f t="shared" si="13"/>
        <v>100</v>
      </c>
      <c r="E52" s="1" t="e">
        <f t="shared" si="13"/>
        <v>#DIV/0!</v>
      </c>
      <c r="F52" s="1">
        <f t="shared" si="13"/>
        <v>100</v>
      </c>
      <c r="G52" s="1" t="e">
        <f t="shared" si="13"/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26</v>
      </c>
      <c r="B54" s="1"/>
      <c r="C54" s="1"/>
      <c r="D54" s="1"/>
      <c r="E54" s="1"/>
      <c r="F54" s="1"/>
      <c r="G54" s="1"/>
    </row>
    <row r="55" spans="1:7" x14ac:dyDescent="0.25">
      <c r="A55" s="2" t="s">
        <v>27</v>
      </c>
      <c r="B55" s="1">
        <f t="shared" ref="B55:G55" si="14">((B11/B9)-1)*100</f>
        <v>-26.950354609929072</v>
      </c>
      <c r="C55" s="1">
        <f t="shared" si="14"/>
        <v>-37.964458804523424</v>
      </c>
      <c r="D55" s="1">
        <f t="shared" si="14"/>
        <v>-17.596566523605151</v>
      </c>
      <c r="E55" s="1">
        <f t="shared" si="14"/>
        <v>-100</v>
      </c>
      <c r="F55" s="1">
        <f t="shared" si="14"/>
        <v>-24.604267033723325</v>
      </c>
      <c r="G55" s="1" t="e">
        <f t="shared" si="14"/>
        <v>#DIV/0!</v>
      </c>
    </row>
    <row r="56" spans="1:7" x14ac:dyDescent="0.25">
      <c r="A56" s="2" t="s">
        <v>28</v>
      </c>
      <c r="B56" s="1">
        <f t="shared" ref="B56:G56" si="15">((B32/B31)-1)*100</f>
        <v>-29.775446661807624</v>
      </c>
      <c r="C56" s="1">
        <f t="shared" si="15"/>
        <v>-33.874165965537962</v>
      </c>
      <c r="D56" s="1">
        <f t="shared" si="15"/>
        <v>-4.791750055903055</v>
      </c>
      <c r="E56" s="1">
        <f t="shared" si="15"/>
        <v>-100</v>
      </c>
      <c r="F56" s="1">
        <f t="shared" si="15"/>
        <v>3.6098675935291702</v>
      </c>
      <c r="G56" s="1" t="e">
        <f t="shared" si="15"/>
        <v>#DIV/0!</v>
      </c>
    </row>
    <row r="57" spans="1:7" x14ac:dyDescent="0.25">
      <c r="A57" s="2" t="s">
        <v>29</v>
      </c>
      <c r="B57" s="1">
        <f t="shared" ref="B57:G57" si="16">((B34/B33)-1)*100</f>
        <v>-3.8673590224745147</v>
      </c>
      <c r="C57" s="1">
        <f t="shared" si="16"/>
        <v>6.5934668420104092</v>
      </c>
      <c r="D57" s="1">
        <f t="shared" si="16"/>
        <v>15.539178317575985</v>
      </c>
      <c r="E57" s="1" t="e">
        <f t="shared" si="16"/>
        <v>#DIV/0!</v>
      </c>
      <c r="F57" s="1">
        <f t="shared" si="16"/>
        <v>37.421394443996235</v>
      </c>
      <c r="G57" s="1" t="e">
        <f t="shared" si="16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30</v>
      </c>
      <c r="B59" s="1"/>
      <c r="C59" s="1"/>
      <c r="D59" s="1"/>
      <c r="E59" s="1"/>
      <c r="F59" s="1"/>
      <c r="G59" s="1"/>
    </row>
    <row r="60" spans="1:7" x14ac:dyDescent="0.25">
      <c r="A60" s="2" t="s">
        <v>31</v>
      </c>
      <c r="B60" s="1">
        <f>B16/B10</f>
        <v>520045.81800343638</v>
      </c>
      <c r="C60" s="1">
        <f t="shared" ref="C60:G61" si="17">C16/C10</f>
        <v>1333333.3300989009</v>
      </c>
      <c r="D60" s="1">
        <f>D16/D10</f>
        <v>1333333.3300989009</v>
      </c>
      <c r="E60" s="1" t="e">
        <f>E16/E10</f>
        <v>#DIV/0!</v>
      </c>
      <c r="F60" s="1">
        <f t="shared" si="17"/>
        <v>150000</v>
      </c>
      <c r="G60" s="1" t="e">
        <f t="shared" si="17"/>
        <v>#DIV/0!</v>
      </c>
    </row>
    <row r="61" spans="1:7" x14ac:dyDescent="0.25">
      <c r="A61" s="2" t="s">
        <v>32</v>
      </c>
      <c r="B61" s="1">
        <f>B17/B11</f>
        <v>477218.60069902911</v>
      </c>
      <c r="C61" s="1">
        <f t="shared" si="17"/>
        <v>2683828.125</v>
      </c>
      <c r="D61" s="1">
        <f>D17/D11</f>
        <v>2683828.125</v>
      </c>
      <c r="E61" s="1" t="e">
        <f>E17/E11</f>
        <v>#DIV/0!</v>
      </c>
      <c r="F61" s="1">
        <f t="shared" si="17"/>
        <v>90482.837425832957</v>
      </c>
      <c r="G61" s="1" t="e">
        <f t="shared" si="17"/>
        <v>#DIV/0!</v>
      </c>
    </row>
    <row r="62" spans="1:7" x14ac:dyDescent="0.25">
      <c r="A62" s="2" t="s">
        <v>33</v>
      </c>
      <c r="B62" s="1">
        <f t="shared" ref="B62:G62" si="18">(B60/B61)*B45</f>
        <v>92.45857803601676</v>
      </c>
      <c r="C62" s="1">
        <f t="shared" si="18"/>
        <v>31.580894264400534</v>
      </c>
      <c r="D62" s="1">
        <f t="shared" si="18"/>
        <v>31.580894264400534</v>
      </c>
      <c r="E62" s="1" t="e">
        <f t="shared" si="18"/>
        <v>#DIV/0!</v>
      </c>
      <c r="F62" s="1">
        <f t="shared" si="18"/>
        <v>145.57951314023728</v>
      </c>
      <c r="G62" s="1" t="e">
        <f t="shared" si="18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/>
      <c r="G64" s="1"/>
    </row>
    <row r="65" spans="1:7" x14ac:dyDescent="0.25">
      <c r="A65" s="2" t="s">
        <v>35</v>
      </c>
      <c r="B65" s="1">
        <f>B23/B22*100</f>
        <v>81.228568439922526</v>
      </c>
      <c r="C65" s="1"/>
      <c r="D65" s="1">
        <f>D23/D22*100</f>
        <v>76.587280405567498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99.965743329924777</v>
      </c>
      <c r="C66" s="1"/>
      <c r="D66" s="1">
        <f>D17/D23*100</f>
        <v>110.90449487172036</v>
      </c>
      <c r="E66" s="1">
        <f>F17/E23*100</f>
        <v>66.082632266666678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78" spans="1:7" x14ac:dyDescent="0.25">
      <c r="A78" s="2" t="s">
        <v>162</v>
      </c>
    </row>
    <row r="79" spans="1:7" x14ac:dyDescent="0.25">
      <c r="A79" s="2" t="s">
        <v>163</v>
      </c>
    </row>
    <row r="81" spans="1:1" x14ac:dyDescent="0.25">
      <c r="A81" s="2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1"/>
  <sheetViews>
    <sheetView tabSelected="1" zoomScale="90" zoomScaleNormal="90" workbookViewId="0">
      <selection activeCell="J2" sqref="J2:L2"/>
    </sheetView>
  </sheetViews>
  <sheetFormatPr baseColWidth="10" defaultColWidth="11.42578125" defaultRowHeight="15" x14ac:dyDescent="0.25"/>
  <cols>
    <col min="1" max="1" width="54.85546875" style="2" customWidth="1"/>
    <col min="2" max="2" width="17" style="2" customWidth="1"/>
    <col min="3" max="3" width="17.28515625" style="2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12" x14ac:dyDescent="0.25">
      <c r="A1" s="47" t="s">
        <v>148</v>
      </c>
      <c r="B1" s="47"/>
      <c r="C1" s="47"/>
      <c r="D1" s="47"/>
      <c r="E1" s="47"/>
      <c r="F1" s="47"/>
      <c r="G1" s="47"/>
    </row>
    <row r="2" spans="1:12" x14ac:dyDescent="0.25">
      <c r="J2" s="2" t="s">
        <v>37</v>
      </c>
      <c r="K2" s="2" t="s">
        <v>3</v>
      </c>
      <c r="L2" s="2" t="s">
        <v>4</v>
      </c>
    </row>
    <row r="3" spans="1:12" x14ac:dyDescent="0.25">
      <c r="A3" s="50" t="s">
        <v>0</v>
      </c>
      <c r="B3" s="44" t="s">
        <v>37</v>
      </c>
      <c r="C3" s="48" t="s">
        <v>2</v>
      </c>
      <c r="D3" s="48"/>
      <c r="E3" s="48"/>
      <c r="F3" s="48"/>
      <c r="G3" s="48"/>
    </row>
    <row r="4" spans="1:12" ht="15.75" thickBot="1" x14ac:dyDescent="0.3">
      <c r="A4" s="51"/>
      <c r="B4" s="46"/>
      <c r="C4" s="49" t="s">
        <v>3</v>
      </c>
      <c r="D4" s="49"/>
      <c r="E4" s="49"/>
      <c r="F4" s="44" t="s">
        <v>4</v>
      </c>
      <c r="G4" s="44" t="s">
        <v>5</v>
      </c>
    </row>
    <row r="5" spans="1:12" ht="16.5" thickTop="1" thickBot="1" x14ac:dyDescent="0.3">
      <c r="A5" s="52"/>
      <c r="B5" s="45"/>
      <c r="C5" s="36" t="s">
        <v>1</v>
      </c>
      <c r="D5" s="36" t="s">
        <v>70</v>
      </c>
      <c r="E5" s="36" t="s">
        <v>72</v>
      </c>
      <c r="F5" s="45"/>
      <c r="G5" s="45"/>
    </row>
    <row r="6" spans="1:12" ht="15.75" thickTop="1" x14ac:dyDescent="0.25">
      <c r="A6" s="37"/>
      <c r="B6" s="38"/>
      <c r="C6" s="39"/>
      <c r="D6" s="39"/>
      <c r="E6" s="39"/>
      <c r="F6" s="38"/>
      <c r="G6" s="38"/>
    </row>
    <row r="7" spans="1:12" x14ac:dyDescent="0.25">
      <c r="A7" s="5" t="s">
        <v>6</v>
      </c>
    </row>
    <row r="8" spans="1:12" x14ac:dyDescent="0.25">
      <c r="A8" s="2" t="s">
        <v>7</v>
      </c>
    </row>
    <row r="9" spans="1:12" x14ac:dyDescent="0.25">
      <c r="A9" s="2" t="s">
        <v>100</v>
      </c>
      <c r="B9" s="6">
        <f>+C9+F9+G9</f>
        <v>4023</v>
      </c>
      <c r="C9" s="6">
        <f>'I trimestre'!C9+'II Trimestre'!C9+'III Trimestre'!C9+'IV Trimestre'!C9</f>
        <v>731</v>
      </c>
      <c r="D9" s="6">
        <f>'I trimestre'!D9+'II Trimestre'!D9+'III Trimestre'!D9+'IV Trimestre'!D9</f>
        <v>578</v>
      </c>
      <c r="E9" s="6">
        <f>'I trimestre'!E9+'II Trimestre'!E9+'III Trimestre'!E9+'IV Trimestre'!E9</f>
        <v>153</v>
      </c>
      <c r="F9" s="6">
        <f>'I trimestre'!F9+'II Trimestre'!F9+'III Trimestre'!F9+'IV Trimestre'!F9</f>
        <v>3292</v>
      </c>
      <c r="G9" s="6">
        <f>'I trimestre'!G9+'II Trimestre'!G9+'III Trimestre'!G9+'IV Trimestre'!G9</f>
        <v>0</v>
      </c>
    </row>
    <row r="10" spans="1:12" x14ac:dyDescent="0.25">
      <c r="A10" s="2" t="s">
        <v>149</v>
      </c>
      <c r="B10" s="6">
        <f t="shared" ref="B10:B19" si="0">+C10+F10+G10</f>
        <v>3685</v>
      </c>
      <c r="C10" s="6">
        <f>'I trimestre'!C10+'II Trimestre'!C10+'III Trimestre'!C10+'IV Trimestre'!C10</f>
        <v>1185</v>
      </c>
      <c r="D10" s="6">
        <f>'I trimestre'!D10+'II Trimestre'!D10+'III Trimestre'!D10+'IV Trimestre'!D10</f>
        <v>1185</v>
      </c>
      <c r="E10" s="6">
        <f>'I trimestre'!E10+'II Trimestre'!E10+'III Trimestre'!E10+'IV Trimestre'!E10</f>
        <v>0</v>
      </c>
      <c r="F10" s="6">
        <f>'I trimestre'!F10+'II Trimestre'!F10+'III Trimestre'!F10+'IV Trimestre'!F10</f>
        <v>2500</v>
      </c>
      <c r="G10" s="6">
        <f>'I trimestre'!G10+'II Trimestre'!G10+'III Trimestre'!G10+'IV Trimestre'!G10</f>
        <v>0</v>
      </c>
    </row>
    <row r="11" spans="1:12" x14ac:dyDescent="0.25">
      <c r="A11" s="2" t="s">
        <v>150</v>
      </c>
      <c r="B11" s="6">
        <f t="shared" si="0"/>
        <v>3520</v>
      </c>
      <c r="C11" s="6">
        <f>'I trimestre'!C11+'II Trimestre'!C11+'III Trimestre'!C11+'IV Trimestre'!C11</f>
        <v>544</v>
      </c>
      <c r="D11" s="6">
        <f>'I trimestre'!D11+'II Trimestre'!D11+'III Trimestre'!D11+'IV Trimestre'!D11</f>
        <v>544</v>
      </c>
      <c r="E11" s="6">
        <f>'I trimestre'!E11+'II Trimestre'!E11+'III Trimestre'!E11+'IV Trimestre'!E11</f>
        <v>0</v>
      </c>
      <c r="F11" s="6">
        <f>'I trimestre'!F11+'II Trimestre'!F11+'III Trimestre'!F11+'IV Trimestre'!F11</f>
        <v>2976</v>
      </c>
      <c r="G11" s="6">
        <f>'I trimestre'!G11+'II Trimestre'!G11+'III Trimestre'!G11+'IV Trimestre'!G11</f>
        <v>0</v>
      </c>
    </row>
    <row r="12" spans="1:12" x14ac:dyDescent="0.25">
      <c r="A12" s="2" t="s">
        <v>108</v>
      </c>
      <c r="B12" s="6">
        <f t="shared" si="0"/>
        <v>3685</v>
      </c>
      <c r="C12" s="6">
        <f>'IV Trimestre'!C12</f>
        <v>1185</v>
      </c>
      <c r="D12" s="6">
        <f>'IV Trimestre'!D12</f>
        <v>1185</v>
      </c>
      <c r="E12" s="6">
        <f>'IV Trimestre'!E12</f>
        <v>0</v>
      </c>
      <c r="F12" s="6">
        <f>'IV Trimestre'!F12</f>
        <v>2500</v>
      </c>
      <c r="G12" s="6">
        <f>'IV Trimestre'!G12</f>
        <v>0</v>
      </c>
    </row>
    <row r="13" spans="1:12" x14ac:dyDescent="0.25">
      <c r="B13" s="1"/>
      <c r="C13" s="1"/>
      <c r="D13" s="1"/>
      <c r="E13" s="1"/>
      <c r="F13" s="1"/>
      <c r="G13" s="1"/>
    </row>
    <row r="14" spans="1:12" x14ac:dyDescent="0.25">
      <c r="A14" s="2" t="s">
        <v>8</v>
      </c>
      <c r="B14" s="1"/>
      <c r="C14" s="1"/>
      <c r="D14" s="1"/>
      <c r="E14" s="1"/>
      <c r="F14" s="1"/>
      <c r="G14" s="1"/>
    </row>
    <row r="15" spans="1:12" x14ac:dyDescent="0.25">
      <c r="A15" s="2" t="s">
        <v>155</v>
      </c>
      <c r="B15" s="6">
        <f t="shared" si="0"/>
        <v>2089876139</v>
      </c>
      <c r="C15" s="6">
        <f>'I trimestre'!C15+'II Trimestre'!C15+'III Trimestre'!C15+'IV Trimestre'!C15</f>
        <v>1776920419</v>
      </c>
      <c r="D15" s="6">
        <f>'I trimestre'!D15+'II Trimestre'!D15+'III Trimestre'!D15+'IV Trimestre'!D15</f>
        <v>1327222000</v>
      </c>
      <c r="E15" s="6">
        <f>'I trimestre'!E15+'II Trimestre'!E15+'III Trimestre'!E15+'IV Trimestre'!E15</f>
        <v>449698419</v>
      </c>
      <c r="F15" s="6">
        <f>'I trimestre'!F15+'II Trimestre'!F15+'III Trimestre'!F15+'IV Trimestre'!F15</f>
        <v>312955720</v>
      </c>
      <c r="G15" s="6">
        <f>'I trimestre'!G15+'II Trimestre'!G15+'III Trimestre'!G15+'IV Trimestre'!G15</f>
        <v>0</v>
      </c>
    </row>
    <row r="16" spans="1:12" x14ac:dyDescent="0.25">
      <c r="A16" s="2" t="s">
        <v>149</v>
      </c>
      <c r="B16" s="6">
        <f t="shared" si="0"/>
        <v>1969999996.0899999</v>
      </c>
      <c r="C16" s="6">
        <f>'I trimestre'!C16+'II Trimestre'!C16+'III Trimestre'!C16+'IV Trimestre'!C16</f>
        <v>1599999996.0899999</v>
      </c>
      <c r="D16" s="6">
        <f>'I trimestre'!D16+'II Trimestre'!D16+'III Trimestre'!D16+'IV Trimestre'!D16</f>
        <v>1599999996.0899999</v>
      </c>
      <c r="E16" s="6">
        <f>'I trimestre'!E16+'II Trimestre'!E16+'III Trimestre'!E16+'IV Trimestre'!E16</f>
        <v>0</v>
      </c>
      <c r="F16" s="6">
        <f>'I trimestre'!F16+'II Trimestre'!F16+'III Trimestre'!F16+'IV Trimestre'!F16</f>
        <v>370000000</v>
      </c>
      <c r="G16" s="6">
        <f>'I trimestre'!G16+'II Trimestre'!G16+'III Trimestre'!G16+'IV Trimestre'!G16</f>
        <v>0</v>
      </c>
    </row>
    <row r="17" spans="1:9" x14ac:dyDescent="0.25">
      <c r="A17" s="2" t="s">
        <v>150</v>
      </c>
      <c r="B17" s="6">
        <f t="shared" si="0"/>
        <v>1933306977</v>
      </c>
      <c r="C17" s="6">
        <f>'I trimestre'!C17+'II Trimestre'!C17+'III Trimestre'!C17+'IV Trimestre'!C17</f>
        <v>1563905000</v>
      </c>
      <c r="D17" s="6">
        <f>'I trimestre'!D17+'II Trimestre'!D17+'III Trimestre'!D17+'IV Trimestre'!D17</f>
        <v>1563905000</v>
      </c>
      <c r="E17" s="6">
        <f>'I trimestre'!E17+'II Trimestre'!E17+'III Trimestre'!E17+'IV Trimestre'!E17</f>
        <v>0</v>
      </c>
      <c r="F17" s="6">
        <f>'I trimestre'!F17+'II Trimestre'!F17+'III Trimestre'!F17+'IV Trimestre'!F17</f>
        <v>369401977</v>
      </c>
      <c r="G17" s="6">
        <f>'I trimestre'!G17+'II Trimestre'!G17+'III Trimestre'!G17+'IV Trimestre'!G17</f>
        <v>0</v>
      </c>
      <c r="H17" s="2">
        <f>D17/B17</f>
        <v>0.80892740708295696</v>
      </c>
      <c r="I17" s="2">
        <f>F17/B17</f>
        <v>0.19107259291704298</v>
      </c>
    </row>
    <row r="18" spans="1:9" x14ac:dyDescent="0.25">
      <c r="A18" s="2" t="s">
        <v>108</v>
      </c>
      <c r="B18" s="6">
        <f t="shared" si="0"/>
        <v>1969999996.0899999</v>
      </c>
      <c r="C18" s="6">
        <f>'IV Trimestre'!C18</f>
        <v>1599999996.0899999</v>
      </c>
      <c r="D18" s="6">
        <f>'IV Trimestre'!D18</f>
        <v>1599999996.0899999</v>
      </c>
      <c r="E18" s="6">
        <f>'IV Trimestre'!E18</f>
        <v>0</v>
      </c>
      <c r="F18" s="6">
        <f>'IV Trimestre'!F18</f>
        <v>370000000</v>
      </c>
      <c r="G18" s="6">
        <f>'IV Trimestre'!G18</f>
        <v>0</v>
      </c>
    </row>
    <row r="19" spans="1:9" x14ac:dyDescent="0.25">
      <c r="A19" s="2" t="s">
        <v>151</v>
      </c>
      <c r="B19" s="6">
        <f t="shared" si="0"/>
        <v>1933306977</v>
      </c>
      <c r="C19" s="6">
        <f>C17</f>
        <v>1563905000</v>
      </c>
      <c r="D19" s="6">
        <f>D17</f>
        <v>1563905000</v>
      </c>
      <c r="E19" s="6">
        <f>E17</f>
        <v>0</v>
      </c>
      <c r="F19" s="6">
        <f>F17</f>
        <v>369401977</v>
      </c>
      <c r="G19" s="6">
        <f>G17</f>
        <v>0</v>
      </c>
    </row>
    <row r="20" spans="1:9" x14ac:dyDescent="0.25">
      <c r="B20" s="6"/>
      <c r="C20" s="6"/>
      <c r="D20" s="6"/>
      <c r="E20" s="6"/>
      <c r="F20" s="6"/>
      <c r="G20" s="6"/>
    </row>
    <row r="21" spans="1:9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6"/>
      <c r="G21" s="6"/>
    </row>
    <row r="22" spans="1:9" x14ac:dyDescent="0.25">
      <c r="A22" s="2" t="s">
        <v>149</v>
      </c>
      <c r="B22" s="6">
        <f>B16</f>
        <v>1969999996.0899999</v>
      </c>
      <c r="C22" s="6"/>
      <c r="D22" s="6">
        <f>D16+70000000</f>
        <v>1669999996.0899999</v>
      </c>
      <c r="E22" s="6">
        <f>F16-70000000</f>
        <v>300000000</v>
      </c>
      <c r="F22" s="6"/>
      <c r="G22" s="6"/>
    </row>
    <row r="23" spans="1:9" x14ac:dyDescent="0.25">
      <c r="A23" s="2" t="s">
        <v>150</v>
      </c>
      <c r="B23" s="6">
        <f>'I trimestre'!B23+'II Trimestre'!B23+'III Trimestre'!B23+'IV Trimestre'!B23</f>
        <v>1518259000</v>
      </c>
      <c r="C23" s="6"/>
      <c r="D23" s="6">
        <f>'I trimestre'!D23+'II Trimestre'!D23+'III Trimestre'!D23+'IV Trimestre'!D23</f>
        <v>1218259000</v>
      </c>
      <c r="E23" s="6">
        <f>'I trimestre'!E23+'II Trimestre'!E23+'III Trimestre'!E23+'IV Trimestre'!E23</f>
        <v>300000000</v>
      </c>
      <c r="F23" s="1"/>
      <c r="G23" s="1"/>
    </row>
    <row r="24" spans="1:9" x14ac:dyDescent="0.25">
      <c r="B24" s="1"/>
      <c r="C24" s="1"/>
      <c r="D24" s="1"/>
      <c r="E24" s="1"/>
      <c r="F24" s="1"/>
      <c r="G24" s="1"/>
    </row>
    <row r="25" spans="1:9" x14ac:dyDescent="0.25">
      <c r="A25" s="2" t="s">
        <v>10</v>
      </c>
      <c r="B25" s="1"/>
      <c r="C25" s="1"/>
      <c r="D25" s="1"/>
      <c r="E25" s="1"/>
      <c r="F25" s="1"/>
      <c r="G25" s="1"/>
    </row>
    <row r="26" spans="1:9" x14ac:dyDescent="0.25">
      <c r="A26" s="2" t="s">
        <v>101</v>
      </c>
      <c r="B26" s="1">
        <v>1.5325622623500001</v>
      </c>
      <c r="C26" s="1">
        <v>1.5325622623500001</v>
      </c>
      <c r="D26" s="1">
        <v>1.5325622623500001</v>
      </c>
      <c r="E26" s="1">
        <v>1.5325622623500001</v>
      </c>
      <c r="F26" s="1">
        <v>1.5325622623500001</v>
      </c>
      <c r="G26" s="1">
        <v>1.5325622623500001</v>
      </c>
    </row>
    <row r="27" spans="1:9" x14ac:dyDescent="0.25">
      <c r="A27" s="2" t="s">
        <v>152</v>
      </c>
      <c r="B27" s="1">
        <v>1.6141688075916665</v>
      </c>
      <c r="C27" s="1">
        <v>1.6141688075916665</v>
      </c>
      <c r="D27" s="1">
        <v>1.6141688075916665</v>
      </c>
      <c r="E27" s="1">
        <v>1.6141688075916665</v>
      </c>
      <c r="F27" s="1">
        <v>1.6141688075916665</v>
      </c>
      <c r="G27" s="1">
        <v>1.6141688075916665</v>
      </c>
    </row>
    <row r="28" spans="1:9" x14ac:dyDescent="0.25">
      <c r="A28" s="2" t="s">
        <v>11</v>
      </c>
      <c r="B28" s="6">
        <v>96216</v>
      </c>
      <c r="C28" s="6">
        <v>96216</v>
      </c>
      <c r="D28" s="6">
        <v>96216</v>
      </c>
      <c r="E28" s="6">
        <v>96216</v>
      </c>
      <c r="F28" s="6">
        <v>96216</v>
      </c>
      <c r="G28" s="6">
        <v>96216</v>
      </c>
    </row>
    <row r="29" spans="1:9" x14ac:dyDescent="0.25">
      <c r="B29" s="1"/>
      <c r="C29" s="1"/>
      <c r="D29" s="1"/>
      <c r="E29" s="1"/>
      <c r="F29" s="1"/>
      <c r="G29" s="1"/>
    </row>
    <row r="30" spans="1:9" x14ac:dyDescent="0.25">
      <c r="A30" s="2" t="s">
        <v>12</v>
      </c>
      <c r="B30" s="1"/>
      <c r="C30" s="1"/>
      <c r="D30" s="1"/>
      <c r="E30" s="1"/>
      <c r="F30" s="1"/>
      <c r="G30" s="1"/>
    </row>
    <row r="31" spans="1:9" x14ac:dyDescent="0.25">
      <c r="A31" s="2" t="s">
        <v>102</v>
      </c>
      <c r="B31" s="1">
        <f t="shared" ref="B31:G31" si="1">B15/B26</f>
        <v>1363648440.4851689</v>
      </c>
      <c r="C31" s="1">
        <f t="shared" si="1"/>
        <v>1159444195.288553</v>
      </c>
      <c r="D31" s="1">
        <f t="shared" si="1"/>
        <v>866015060.27224267</v>
      </c>
      <c r="E31" s="1">
        <f t="shared" si="1"/>
        <v>293429135.01631021</v>
      </c>
      <c r="F31" s="1">
        <f t="shared" si="1"/>
        <v>204204245.19661602</v>
      </c>
      <c r="G31" s="1">
        <f t="shared" si="1"/>
        <v>0</v>
      </c>
    </row>
    <row r="32" spans="1:9" x14ac:dyDescent="0.25">
      <c r="A32" s="2" t="s">
        <v>153</v>
      </c>
      <c r="B32" s="1">
        <f t="shared" ref="B32:G32" si="2">B17/B27</f>
        <v>1197710529.3494592</v>
      </c>
      <c r="C32" s="1">
        <f t="shared" si="2"/>
        <v>968860872.94261384</v>
      </c>
      <c r="D32" s="1">
        <f t="shared" si="2"/>
        <v>968860872.94261384</v>
      </c>
      <c r="E32" s="1">
        <f t="shared" si="2"/>
        <v>0</v>
      </c>
      <c r="F32" s="1">
        <f t="shared" si="2"/>
        <v>228849656.40684527</v>
      </c>
      <c r="G32" s="1">
        <f t="shared" si="2"/>
        <v>0</v>
      </c>
    </row>
    <row r="33" spans="1:7" x14ac:dyDescent="0.25">
      <c r="A33" s="2" t="s">
        <v>103</v>
      </c>
      <c r="B33" s="1">
        <f t="shared" ref="B33:G33" si="3">B31/B9</f>
        <v>338963.07245467784</v>
      </c>
      <c r="C33" s="1">
        <f t="shared" si="3"/>
        <v>1586106.970298978</v>
      </c>
      <c r="D33" s="1">
        <f t="shared" si="3"/>
        <v>1498295.9520281015</v>
      </c>
      <c r="E33" s="1">
        <f t="shared" si="3"/>
        <v>1917837.4837667334</v>
      </c>
      <c r="F33" s="1">
        <f t="shared" si="3"/>
        <v>62030.451153285547</v>
      </c>
      <c r="G33" s="1" t="e">
        <f t="shared" si="3"/>
        <v>#DIV/0!</v>
      </c>
    </row>
    <row r="34" spans="1:7" x14ac:dyDescent="0.25">
      <c r="A34" s="2" t="s">
        <v>154</v>
      </c>
      <c r="B34" s="1">
        <f t="shared" ref="B34:G34" si="4">B32/B11</f>
        <v>340258.67311064183</v>
      </c>
      <c r="C34" s="1">
        <f t="shared" si="4"/>
        <v>1780994.2517327461</v>
      </c>
      <c r="D34" s="1">
        <f t="shared" si="4"/>
        <v>1780994.2517327461</v>
      </c>
      <c r="E34" s="1" t="e">
        <f t="shared" si="4"/>
        <v>#DIV/0!</v>
      </c>
      <c r="F34" s="1">
        <f t="shared" si="4"/>
        <v>76898.406050687248</v>
      </c>
      <c r="G34" s="1" t="e">
        <f t="shared" si="4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13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14</v>
      </c>
      <c r="B38" s="1"/>
      <c r="C38" s="1"/>
      <c r="D38" s="1"/>
      <c r="E38" s="1"/>
      <c r="F38" s="1"/>
      <c r="G38" s="1"/>
    </row>
    <row r="39" spans="1:7" x14ac:dyDescent="0.25">
      <c r="A39" s="2" t="s">
        <v>15</v>
      </c>
      <c r="B39" s="1">
        <f t="shared" ref="B39:G39" si="5">B10/B28*100</f>
        <v>3.8299243369086224</v>
      </c>
      <c r="C39" s="1">
        <f t="shared" si="5"/>
        <v>1.2316038912446994</v>
      </c>
      <c r="D39" s="1">
        <f t="shared" si="5"/>
        <v>1.2316038912446994</v>
      </c>
      <c r="E39" s="1">
        <f t="shared" si="5"/>
        <v>0</v>
      </c>
      <c r="F39" s="1">
        <f t="shared" si="5"/>
        <v>2.5983204456639228</v>
      </c>
      <c r="G39" s="1">
        <f t="shared" si="5"/>
        <v>0</v>
      </c>
    </row>
    <row r="40" spans="1:7" x14ac:dyDescent="0.25">
      <c r="A40" s="2" t="s">
        <v>16</v>
      </c>
      <c r="B40" s="1">
        <f t="shared" ref="B40:G40" si="6">B11/B28*100</f>
        <v>3.6584351874948031</v>
      </c>
      <c r="C40" s="1">
        <f t="shared" si="6"/>
        <v>0.56539452897646958</v>
      </c>
      <c r="D40" s="1">
        <f t="shared" si="6"/>
        <v>0.56539452897646958</v>
      </c>
      <c r="E40" s="1">
        <f t="shared" si="6"/>
        <v>0</v>
      </c>
      <c r="F40" s="1">
        <f t="shared" si="6"/>
        <v>3.0930406585183334</v>
      </c>
      <c r="G40" s="1">
        <f t="shared" si="6"/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17</v>
      </c>
      <c r="B42" s="1"/>
      <c r="C42" s="1"/>
      <c r="D42" s="1"/>
      <c r="E42" s="1"/>
      <c r="F42" s="1"/>
      <c r="G42" s="1"/>
    </row>
    <row r="43" spans="1:7" x14ac:dyDescent="0.25">
      <c r="A43" s="2" t="s">
        <v>18</v>
      </c>
      <c r="B43" s="1">
        <f t="shared" ref="B43:G43" si="7">B11/B10*100</f>
        <v>95.522388059701484</v>
      </c>
      <c r="C43" s="1">
        <f t="shared" si="7"/>
        <v>45.907172995780591</v>
      </c>
      <c r="D43" s="1">
        <f t="shared" si="7"/>
        <v>45.907172995780591</v>
      </c>
      <c r="E43" s="1" t="e">
        <f t="shared" si="7"/>
        <v>#DIV/0!</v>
      </c>
      <c r="F43" s="1">
        <f t="shared" si="7"/>
        <v>119.03999999999999</v>
      </c>
      <c r="G43" s="1" t="e">
        <f t="shared" si="7"/>
        <v>#DIV/0!</v>
      </c>
    </row>
    <row r="44" spans="1:7" x14ac:dyDescent="0.25">
      <c r="A44" s="2" t="s">
        <v>19</v>
      </c>
      <c r="B44" s="1">
        <f t="shared" ref="B44:G44" si="8">B17/B16*100</f>
        <v>98.137410194780344</v>
      </c>
      <c r="C44" s="1">
        <f t="shared" si="8"/>
        <v>97.744062738862056</v>
      </c>
      <c r="D44" s="1">
        <f t="shared" si="8"/>
        <v>97.744062738862056</v>
      </c>
      <c r="E44" s="1" t="e">
        <f t="shared" si="8"/>
        <v>#DIV/0!</v>
      </c>
      <c r="F44" s="1">
        <f t="shared" si="8"/>
        <v>99.838372162162159</v>
      </c>
      <c r="G44" s="1" t="e">
        <f t="shared" si="8"/>
        <v>#DIV/0!</v>
      </c>
    </row>
    <row r="45" spans="1:7" x14ac:dyDescent="0.25">
      <c r="A45" s="2" t="s">
        <v>20</v>
      </c>
      <c r="B45" s="1">
        <f t="shared" ref="B45:G45" si="9">AVERAGE(B43:B44)</f>
        <v>96.829899127240907</v>
      </c>
      <c r="C45" s="1">
        <f t="shared" si="9"/>
        <v>71.825617867321327</v>
      </c>
      <c r="D45" s="1">
        <f t="shared" si="9"/>
        <v>71.825617867321327</v>
      </c>
      <c r="E45" s="1" t="e">
        <f t="shared" si="9"/>
        <v>#DIV/0!</v>
      </c>
      <c r="F45" s="1">
        <f t="shared" si="9"/>
        <v>109.43918608108108</v>
      </c>
      <c r="G45" s="1" t="e">
        <f t="shared" si="9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21</v>
      </c>
      <c r="B47" s="1"/>
      <c r="C47" s="1"/>
      <c r="D47" s="1"/>
      <c r="E47" s="1"/>
      <c r="F47" s="1"/>
      <c r="G47" s="1"/>
    </row>
    <row r="48" spans="1:7" x14ac:dyDescent="0.25">
      <c r="A48" s="2" t="s">
        <v>22</v>
      </c>
      <c r="B48" s="1">
        <f t="shared" ref="B48:G48" si="10">B11/B12*100</f>
        <v>95.522388059701484</v>
      </c>
      <c r="C48" s="1">
        <f t="shared" si="10"/>
        <v>45.907172995780591</v>
      </c>
      <c r="D48" s="1">
        <f t="shared" si="10"/>
        <v>45.907172995780591</v>
      </c>
      <c r="E48" s="1" t="e">
        <f t="shared" si="10"/>
        <v>#DIV/0!</v>
      </c>
      <c r="F48" s="1">
        <f t="shared" si="10"/>
        <v>119.03999999999999</v>
      </c>
      <c r="G48" s="1" t="e">
        <f t="shared" si="10"/>
        <v>#DIV/0!</v>
      </c>
    </row>
    <row r="49" spans="1:8" x14ac:dyDescent="0.25">
      <c r="A49" s="2" t="s">
        <v>23</v>
      </c>
      <c r="B49" s="1">
        <f t="shared" ref="B49:G49" si="11">B17/B18*100</f>
        <v>98.137410194780344</v>
      </c>
      <c r="C49" s="1">
        <f t="shared" si="11"/>
        <v>97.744062738862056</v>
      </c>
      <c r="D49" s="1">
        <f t="shared" si="11"/>
        <v>97.744062738862056</v>
      </c>
      <c r="E49" s="1" t="e">
        <f t="shared" si="11"/>
        <v>#DIV/0!</v>
      </c>
      <c r="F49" s="1">
        <f t="shared" si="11"/>
        <v>99.838372162162159</v>
      </c>
      <c r="G49" s="1" t="e">
        <f t="shared" si="11"/>
        <v>#DIV/0!</v>
      </c>
    </row>
    <row r="50" spans="1:8" x14ac:dyDescent="0.25">
      <c r="A50" s="2" t="s">
        <v>24</v>
      </c>
      <c r="B50" s="1">
        <f t="shared" ref="B50:G50" si="12">AVERAGE(B48:B49)</f>
        <v>96.829899127240907</v>
      </c>
      <c r="C50" s="1">
        <f t="shared" si="12"/>
        <v>71.825617867321327</v>
      </c>
      <c r="D50" s="1">
        <f t="shared" si="12"/>
        <v>71.825617867321327</v>
      </c>
      <c r="E50" s="1" t="e">
        <f t="shared" si="12"/>
        <v>#DIV/0!</v>
      </c>
      <c r="F50" s="1">
        <f t="shared" si="12"/>
        <v>109.43918608108108</v>
      </c>
      <c r="G50" s="1" t="e">
        <f t="shared" si="12"/>
        <v>#DIV/0!</v>
      </c>
    </row>
    <row r="51" spans="1:8" x14ac:dyDescent="0.25">
      <c r="B51" s="1"/>
      <c r="C51" s="1"/>
      <c r="D51" s="1"/>
      <c r="E51" s="1"/>
      <c r="F51" s="1"/>
      <c r="G51" s="1"/>
    </row>
    <row r="52" spans="1:8" x14ac:dyDescent="0.25">
      <c r="A52" s="2" t="s">
        <v>25</v>
      </c>
      <c r="B52" s="1">
        <f t="shared" ref="B52:G52" si="13">B19/B17*100</f>
        <v>100</v>
      </c>
      <c r="C52" s="1">
        <f t="shared" si="13"/>
        <v>100</v>
      </c>
      <c r="D52" s="1">
        <f t="shared" si="13"/>
        <v>100</v>
      </c>
      <c r="E52" s="1" t="e">
        <f t="shared" si="13"/>
        <v>#DIV/0!</v>
      </c>
      <c r="F52" s="1">
        <f t="shared" si="13"/>
        <v>100</v>
      </c>
      <c r="G52" s="1" t="e">
        <f t="shared" si="13"/>
        <v>#DIV/0!</v>
      </c>
    </row>
    <row r="53" spans="1:8" x14ac:dyDescent="0.25">
      <c r="B53" s="1"/>
      <c r="C53" s="1"/>
      <c r="D53" s="1"/>
      <c r="E53" s="1"/>
      <c r="F53" s="1"/>
      <c r="G53" s="1"/>
    </row>
    <row r="54" spans="1:8" x14ac:dyDescent="0.25">
      <c r="A54" s="2" t="s">
        <v>26</v>
      </c>
      <c r="B54" s="1"/>
      <c r="C54" s="1"/>
      <c r="D54" s="1"/>
      <c r="E54" s="1"/>
      <c r="F54" s="1"/>
      <c r="G54" s="1"/>
    </row>
    <row r="55" spans="1:8" x14ac:dyDescent="0.25">
      <c r="A55" s="2" t="s">
        <v>27</v>
      </c>
      <c r="B55" s="1">
        <f t="shared" ref="B55:G55" si="14">((B11/B9)-1)*100</f>
        <v>-12.503107133979618</v>
      </c>
      <c r="C55" s="1">
        <f t="shared" si="14"/>
        <v>-25.581395348837212</v>
      </c>
      <c r="D55" s="1">
        <f t="shared" si="14"/>
        <v>-5.8823529411764719</v>
      </c>
      <c r="E55" s="1">
        <f t="shared" si="14"/>
        <v>-100</v>
      </c>
      <c r="F55" s="1">
        <f t="shared" si="14"/>
        <v>-9.5990279465370634</v>
      </c>
      <c r="G55" s="1" t="e">
        <f t="shared" si="14"/>
        <v>#DIV/0!</v>
      </c>
    </row>
    <row r="56" spans="1:8" x14ac:dyDescent="0.25">
      <c r="A56" s="2" t="s">
        <v>28</v>
      </c>
      <c r="B56" s="1">
        <f t="shared" ref="B56:G56" si="15">((B32/B31)-1)*100</f>
        <v>-12.168672379859958</v>
      </c>
      <c r="C56" s="1">
        <f t="shared" si="15"/>
        <v>-16.43747263735348</v>
      </c>
      <c r="D56" s="1">
        <f t="shared" si="15"/>
        <v>11.875753366002705</v>
      </c>
      <c r="E56" s="1">
        <f t="shared" si="15"/>
        <v>-100</v>
      </c>
      <c r="F56" s="1">
        <f t="shared" si="15"/>
        <v>12.069000419898067</v>
      </c>
      <c r="G56" s="1" t="e">
        <f t="shared" si="15"/>
        <v>#DIV/0!</v>
      </c>
    </row>
    <row r="57" spans="1:8" x14ac:dyDescent="0.25">
      <c r="A57" s="2" t="s">
        <v>29</v>
      </c>
      <c r="B57" s="1">
        <f t="shared" ref="B57:G57" si="16">((B34/B33)-1)*100</f>
        <v>0.38222472040438937</v>
      </c>
      <c r="C57" s="1">
        <f t="shared" si="16"/>
        <v>12.287146143556281</v>
      </c>
      <c r="D57" s="1">
        <f t="shared" si="16"/>
        <v>18.867987951377874</v>
      </c>
      <c r="E57" s="1" t="e">
        <f t="shared" si="16"/>
        <v>#DIV/0!</v>
      </c>
      <c r="F57" s="1">
        <f t="shared" si="16"/>
        <v>23.968800195666784</v>
      </c>
      <c r="G57" s="1" t="e">
        <f t="shared" si="16"/>
        <v>#DIV/0!</v>
      </c>
    </row>
    <row r="58" spans="1:8" x14ac:dyDescent="0.25">
      <c r="B58" s="1"/>
      <c r="C58" s="1"/>
      <c r="D58" s="1"/>
      <c r="E58" s="1"/>
      <c r="F58" s="1"/>
      <c r="G58" s="1"/>
    </row>
    <row r="59" spans="1:8" x14ac:dyDescent="0.25">
      <c r="A59" s="2" t="s">
        <v>30</v>
      </c>
      <c r="B59" s="1"/>
      <c r="C59" s="1"/>
      <c r="D59" s="1"/>
      <c r="E59" s="1"/>
      <c r="F59" s="1"/>
      <c r="G59" s="1"/>
    </row>
    <row r="60" spans="1:8" x14ac:dyDescent="0.25">
      <c r="A60" s="2" t="s">
        <v>31</v>
      </c>
      <c r="B60" s="1">
        <f>B16/B10</f>
        <v>534599.72756852105</v>
      </c>
      <c r="C60" s="1">
        <f t="shared" ref="C60:G61" si="17">C16/C10</f>
        <v>1350210.967164557</v>
      </c>
      <c r="D60" s="1">
        <f>D16/D10</f>
        <v>1350210.967164557</v>
      </c>
      <c r="E60" s="1" t="e">
        <f>E16/E10</f>
        <v>#DIV/0!</v>
      </c>
      <c r="F60" s="1">
        <f t="shared" si="17"/>
        <v>148000</v>
      </c>
      <c r="G60" s="1" t="e">
        <f t="shared" si="17"/>
        <v>#DIV/0!</v>
      </c>
      <c r="H60" s="1">
        <f>(F61/F60)-1</f>
        <v>-0.16130399729366462</v>
      </c>
    </row>
    <row r="61" spans="1:8" x14ac:dyDescent="0.25">
      <c r="A61" s="2" t="s">
        <v>32</v>
      </c>
      <c r="B61" s="1">
        <f>B17/B11</f>
        <v>549234.93664772727</v>
      </c>
      <c r="C61" s="1">
        <f t="shared" si="17"/>
        <v>2874825.3676470588</v>
      </c>
      <c r="D61" s="1">
        <f>D17/D11</f>
        <v>2874825.3676470588</v>
      </c>
      <c r="E61" s="1" t="e">
        <f>E17/E11</f>
        <v>#DIV/0!</v>
      </c>
      <c r="F61" s="1">
        <f t="shared" si="17"/>
        <v>124127.00840053764</v>
      </c>
      <c r="G61" s="1" t="e">
        <f t="shared" si="17"/>
        <v>#DIV/0!</v>
      </c>
      <c r="H61" s="43">
        <f>(B61/B60)-1</f>
        <v>2.7376012976606745E-2</v>
      </c>
    </row>
    <row r="62" spans="1:8" x14ac:dyDescent="0.25">
      <c r="A62" s="2" t="s">
        <v>33</v>
      </c>
      <c r="B62" s="1">
        <f t="shared" ref="B62:G62" si="18">(B60/B61)*B45</f>
        <v>94.24971763424432</v>
      </c>
      <c r="C62" s="1">
        <f t="shared" si="18"/>
        <v>33.734131491681609</v>
      </c>
      <c r="D62" s="1">
        <f t="shared" si="18"/>
        <v>33.734131491681609</v>
      </c>
      <c r="E62" s="1" t="e">
        <f t="shared" si="18"/>
        <v>#DIV/0!</v>
      </c>
      <c r="F62" s="1">
        <f t="shared" si="18"/>
        <v>130.48731093022815</v>
      </c>
      <c r="G62" s="1" t="e">
        <f t="shared" si="18"/>
        <v>#DIV/0!</v>
      </c>
      <c r="H62" s="43">
        <f>(D61/D60)-1</f>
        <v>1.1291675431167563</v>
      </c>
    </row>
    <row r="63" spans="1:8" x14ac:dyDescent="0.25">
      <c r="B63" s="1"/>
      <c r="C63" s="1"/>
      <c r="D63" s="1"/>
      <c r="E63" s="1"/>
      <c r="F63" s="1"/>
      <c r="G63" s="1"/>
    </row>
    <row r="64" spans="1:8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1"/>
      <c r="G64" s="1"/>
    </row>
    <row r="65" spans="1:7" x14ac:dyDescent="0.25">
      <c r="A65" s="2" t="s">
        <v>35</v>
      </c>
      <c r="B65" s="1">
        <f>B23/B22*100</f>
        <v>77.068984924537943</v>
      </c>
      <c r="C65" s="1"/>
      <c r="D65" s="1">
        <f>D23/D22*100</f>
        <v>72.949640889361135</v>
      </c>
      <c r="E65" s="1">
        <f>E23/E22*100</f>
        <v>100</v>
      </c>
      <c r="F65" s="1"/>
      <c r="G65" s="1"/>
    </row>
    <row r="66" spans="1:7" x14ac:dyDescent="0.25">
      <c r="A66" s="2" t="s">
        <v>36</v>
      </c>
      <c r="B66" s="1">
        <f>B17/B23*100</f>
        <v>127.33709973067837</v>
      </c>
      <c r="C66" s="1"/>
      <c r="D66" s="1">
        <f>(D17+69086017)/D23*100</f>
        <v>134.04300867057003</v>
      </c>
      <c r="E66" s="1">
        <f>(F17-69086017)/E23*100</f>
        <v>100.10532000000001</v>
      </c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5"/>
      <c r="B68" s="35"/>
      <c r="C68" s="35"/>
      <c r="D68" s="35"/>
      <c r="E68" s="35"/>
      <c r="F68" s="35"/>
      <c r="G68" s="35"/>
    </row>
    <row r="69" spans="1:7" ht="15.75" thickTop="1" x14ac:dyDescent="0.25"/>
    <row r="70" spans="1:7" x14ac:dyDescent="0.25">
      <c r="A70" s="2" t="s">
        <v>73</v>
      </c>
    </row>
    <row r="71" spans="1:7" x14ac:dyDescent="0.25">
      <c r="A71" s="2" t="s">
        <v>165</v>
      </c>
    </row>
    <row r="72" spans="1:7" x14ac:dyDescent="0.25">
      <c r="A72" s="2" t="s">
        <v>74</v>
      </c>
    </row>
    <row r="75" spans="1:7" x14ac:dyDescent="0.25">
      <c r="A75" s="2" t="s">
        <v>75</v>
      </c>
    </row>
    <row r="76" spans="1:7" x14ac:dyDescent="0.25">
      <c r="A76" s="2" t="s">
        <v>156</v>
      </c>
    </row>
    <row r="77" spans="1:7" x14ac:dyDescent="0.25">
      <c r="A77" s="2" t="s">
        <v>104</v>
      </c>
    </row>
    <row r="78" spans="1:7" x14ac:dyDescent="0.25">
      <c r="A78" s="2" t="s">
        <v>162</v>
      </c>
    </row>
    <row r="79" spans="1:7" x14ac:dyDescent="0.25">
      <c r="A79" s="2" t="s">
        <v>163</v>
      </c>
    </row>
    <row r="81" spans="1:1" x14ac:dyDescent="0.25">
      <c r="A81" s="2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3" t="s">
        <v>37</v>
      </c>
      <c r="C2" s="55" t="s">
        <v>2</v>
      </c>
      <c r="D2" s="55"/>
      <c r="E2" s="55"/>
      <c r="F2" s="55"/>
      <c r="G2" s="28"/>
    </row>
    <row r="3" spans="1:13" ht="15.75" thickBot="1" x14ac:dyDescent="0.3">
      <c r="B3" s="54"/>
      <c r="C3" s="4" t="s">
        <v>38</v>
      </c>
      <c r="D3" s="4"/>
      <c r="E3" s="4"/>
      <c r="F3" s="4" t="s">
        <v>39</v>
      </c>
      <c r="G3" s="29"/>
    </row>
    <row r="4" spans="1:13" ht="15.75" thickTop="1" x14ac:dyDescent="0.25">
      <c r="A4" s="7" t="s">
        <v>41</v>
      </c>
      <c r="C4" t="s">
        <v>1</v>
      </c>
      <c r="D4" t="s">
        <v>70</v>
      </c>
      <c r="E4" t="s">
        <v>71</v>
      </c>
    </row>
    <row r="6" spans="1:13" x14ac:dyDescent="0.25">
      <c r="A6" t="s">
        <v>42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43</v>
      </c>
      <c r="B8" s="6">
        <f>C8+F8</f>
        <v>427500000</v>
      </c>
      <c r="C8" s="9">
        <v>367500000</v>
      </c>
      <c r="D8" s="9">
        <f>D14*C9</f>
        <v>132300000</v>
      </c>
      <c r="E8" s="9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40</v>
      </c>
      <c r="B10" s="6">
        <f>C10+F10</f>
        <v>492000000</v>
      </c>
      <c r="C10" s="9">
        <v>432000000</v>
      </c>
      <c r="D10" s="9">
        <f>D14*C11</f>
        <v>155520000</v>
      </c>
      <c r="E10" s="9">
        <f>E14*C11</f>
        <v>414720000</v>
      </c>
      <c r="F10" s="6">
        <v>60000000</v>
      </c>
      <c r="G10" s="6"/>
      <c r="H10" s="6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6"/>
      <c r="I11" s="56" t="s">
        <v>57</v>
      </c>
      <c r="J11" s="56"/>
      <c r="K11" s="56"/>
      <c r="L11" s="56"/>
    </row>
    <row r="12" spans="1:13" x14ac:dyDescent="0.25">
      <c r="A12" t="s">
        <v>44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56"/>
      <c r="J12" s="56"/>
      <c r="K12" s="56"/>
      <c r="L12" s="56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6"/>
      <c r="I13" s="13"/>
      <c r="K13" s="6"/>
    </row>
    <row r="14" spans="1:13" x14ac:dyDescent="0.25">
      <c r="A14" t="s">
        <v>45</v>
      </c>
      <c r="B14" s="6">
        <f>C14+F14</f>
        <v>1450000000</v>
      </c>
      <c r="C14" s="9">
        <v>1250000000</v>
      </c>
      <c r="D14" s="9">
        <v>450000000</v>
      </c>
      <c r="E14" s="9">
        <v>1200000000</v>
      </c>
      <c r="F14" s="6">
        <v>200000000</v>
      </c>
      <c r="G14" s="6"/>
      <c r="I14" s="13"/>
      <c r="K14" s="6"/>
    </row>
    <row r="15" spans="1:13" x14ac:dyDescent="0.25">
      <c r="I15" s="13"/>
      <c r="K15" s="6"/>
    </row>
    <row r="16" spans="1:13" x14ac:dyDescent="0.25">
      <c r="I16" s="13"/>
      <c r="K16" s="6"/>
    </row>
    <row r="17" spans="1:14" x14ac:dyDescent="0.25">
      <c r="A17" s="8" t="s">
        <v>46</v>
      </c>
      <c r="B17" s="6">
        <f>SUM(C17:F17)</f>
        <v>1450000000</v>
      </c>
      <c r="C17" s="9">
        <v>1250000000</v>
      </c>
      <c r="D17" s="9"/>
      <c r="E17" s="9"/>
      <c r="F17" s="6">
        <v>200000000</v>
      </c>
      <c r="G17" s="6"/>
      <c r="I17" s="14" t="s">
        <v>58</v>
      </c>
      <c r="K17" s="6"/>
    </row>
    <row r="18" spans="1:14" x14ac:dyDescent="0.25">
      <c r="A18" s="10" t="s">
        <v>47</v>
      </c>
      <c r="B18" s="6">
        <f>SUM(C18:F18)</f>
        <v>0</v>
      </c>
      <c r="C18" s="11">
        <f>C17-C14</f>
        <v>0</v>
      </c>
      <c r="D18" s="11"/>
      <c r="E18" s="11"/>
      <c r="F18" s="11">
        <f>F17-F14</f>
        <v>0</v>
      </c>
      <c r="G18" s="11"/>
      <c r="I18" s="21" t="s">
        <v>59</v>
      </c>
      <c r="J18" s="19"/>
      <c r="K18" s="20" t="s">
        <v>60</v>
      </c>
      <c r="L18" s="19"/>
      <c r="M18" s="20" t="s">
        <v>4</v>
      </c>
      <c r="N18" s="19"/>
    </row>
    <row r="19" spans="1:14" x14ac:dyDescent="0.25">
      <c r="A19" s="10" t="s">
        <v>48</v>
      </c>
      <c r="B19" s="6">
        <f>SUM(C19:F19)</f>
        <v>0</v>
      </c>
      <c r="C19" s="11">
        <f>C18*L19/100</f>
        <v>0</v>
      </c>
      <c r="D19" s="11"/>
      <c r="E19" s="11"/>
      <c r="F19" s="11">
        <f>F18*N19/100</f>
        <v>0</v>
      </c>
      <c r="G19" s="11"/>
      <c r="I19" s="22">
        <v>29</v>
      </c>
      <c r="J19" s="17">
        <f>I19*J20/I20</f>
        <v>33.720930232558139</v>
      </c>
      <c r="K19" s="18">
        <v>29</v>
      </c>
      <c r="L19" s="17">
        <f>K19*L20/K20</f>
        <v>33.333333333333336</v>
      </c>
      <c r="M19" s="18">
        <v>30</v>
      </c>
      <c r="N19" s="17">
        <f>M19*N20/M20</f>
        <v>37.5</v>
      </c>
    </row>
    <row r="20" spans="1:14" x14ac:dyDescent="0.25">
      <c r="A20" t="s">
        <v>49</v>
      </c>
      <c r="B20" s="6">
        <f>SUM(C20:F20)</f>
        <v>427500000</v>
      </c>
      <c r="C20" s="11">
        <f>C8+C19</f>
        <v>367500000</v>
      </c>
      <c r="D20" s="11"/>
      <c r="E20" s="11"/>
      <c r="F20" s="11">
        <f>F8+F19</f>
        <v>60000000</v>
      </c>
      <c r="G20" s="11"/>
      <c r="I20" s="23">
        <f>100-I6</f>
        <v>86</v>
      </c>
      <c r="J20" s="24">
        <v>100</v>
      </c>
      <c r="K20" s="25">
        <f>100-K6</f>
        <v>87</v>
      </c>
      <c r="L20" s="24">
        <v>100</v>
      </c>
      <c r="M20" s="25">
        <f>100-M6</f>
        <v>80</v>
      </c>
      <c r="N20" s="26">
        <v>100</v>
      </c>
    </row>
    <row r="21" spans="1:14" x14ac:dyDescent="0.25">
      <c r="A21" t="s">
        <v>50</v>
      </c>
      <c r="B21" s="11">
        <f>B20+B6</f>
        <v>631000000</v>
      </c>
      <c r="C21" s="11">
        <f>C20+C6</f>
        <v>531000000</v>
      </c>
      <c r="D21" s="11"/>
      <c r="E21" s="11"/>
      <c r="F21" s="11">
        <f>F20+F6</f>
        <v>100000000</v>
      </c>
      <c r="G21" s="11"/>
      <c r="I21" s="15"/>
      <c r="J21" s="16"/>
      <c r="K21" s="16"/>
      <c r="L21" s="16"/>
      <c r="M21" s="16"/>
      <c r="N21" s="16"/>
    </row>
    <row r="22" spans="1:14" x14ac:dyDescent="0.25">
      <c r="B22" s="11"/>
      <c r="C22" s="11"/>
      <c r="D22" s="11"/>
      <c r="E22" s="11"/>
      <c r="F22" s="11"/>
      <c r="G22" s="11"/>
    </row>
    <row r="23" spans="1:14" x14ac:dyDescent="0.25">
      <c r="A23" s="8" t="s">
        <v>51</v>
      </c>
      <c r="B23" s="6">
        <f>SUM(C23:F23)</f>
        <v>2600000000</v>
      </c>
      <c r="C23" s="6">
        <v>2300000000</v>
      </c>
      <c r="D23" s="6"/>
      <c r="E23" s="6"/>
      <c r="F23" s="12">
        <v>300000000</v>
      </c>
      <c r="G23" s="12"/>
      <c r="H23" s="6"/>
      <c r="I23" s="14" t="s">
        <v>40</v>
      </c>
      <c r="K23" s="6"/>
    </row>
    <row r="24" spans="1:14" x14ac:dyDescent="0.25">
      <c r="A24" s="10" t="s">
        <v>47</v>
      </c>
      <c r="B24" s="6">
        <f>SUM(C24:F24)</f>
        <v>1150000000</v>
      </c>
      <c r="C24" s="11">
        <f>C23-C17</f>
        <v>1050000000</v>
      </c>
      <c r="D24" s="11"/>
      <c r="E24" s="11"/>
      <c r="F24" s="11">
        <f>F23-F17</f>
        <v>100000000</v>
      </c>
      <c r="G24" s="11"/>
      <c r="H24" s="11"/>
      <c r="I24" s="21" t="s">
        <v>59</v>
      </c>
      <c r="J24" s="19"/>
      <c r="K24" s="20" t="s">
        <v>60</v>
      </c>
      <c r="L24" s="19"/>
      <c r="M24" s="20" t="s">
        <v>4</v>
      </c>
      <c r="N24" s="19"/>
    </row>
    <row r="25" spans="1:14" x14ac:dyDescent="0.25">
      <c r="A25" s="10" t="s">
        <v>61</v>
      </c>
      <c r="B25" s="6">
        <f>SUM(C25:F25)</f>
        <v>693620689.65517247</v>
      </c>
      <c r="C25" s="11">
        <f>C24*L25/100</f>
        <v>633620689.65517247</v>
      </c>
      <c r="D25" s="11"/>
      <c r="E25" s="11"/>
      <c r="F25" s="11">
        <f>F24*N25/100</f>
        <v>60000000</v>
      </c>
      <c r="G25" s="11"/>
      <c r="H25" s="30" t="s">
        <v>62</v>
      </c>
      <c r="I25" s="27">
        <v>34</v>
      </c>
      <c r="J25" s="17">
        <f>I25*J26/I26</f>
        <v>59.649122807017541</v>
      </c>
      <c r="K25" s="18">
        <v>35</v>
      </c>
      <c r="L25" s="17">
        <f>K25*L26/K26</f>
        <v>60.344827586206897</v>
      </c>
      <c r="M25" s="18">
        <v>30</v>
      </c>
      <c r="N25" s="17">
        <f>M25*N26/M26</f>
        <v>60</v>
      </c>
    </row>
    <row r="26" spans="1:14" x14ac:dyDescent="0.25">
      <c r="A26" s="7" t="s">
        <v>52</v>
      </c>
      <c r="B26" s="33">
        <f>SUM(C26:F26)</f>
        <v>1185620689.6551723</v>
      </c>
      <c r="C26" s="32">
        <f>C10+C25</f>
        <v>1065620689.6551725</v>
      </c>
      <c r="D26" s="32"/>
      <c r="E26" s="32"/>
      <c r="F26" s="31">
        <f>F10+F25</f>
        <v>120000000</v>
      </c>
      <c r="G26" s="11"/>
      <c r="H26" s="11"/>
      <c r="I26" s="23">
        <f>100-I6-I7</f>
        <v>57</v>
      </c>
      <c r="J26" s="26">
        <v>100</v>
      </c>
      <c r="K26" s="25">
        <f>100-K6-K7</f>
        <v>58</v>
      </c>
      <c r="L26" s="26">
        <v>100</v>
      </c>
      <c r="M26" s="25">
        <f>100-M6-M7</f>
        <v>50</v>
      </c>
      <c r="N26" s="26">
        <v>100</v>
      </c>
    </row>
    <row r="27" spans="1:14" x14ac:dyDescent="0.25">
      <c r="A27" t="s">
        <v>53</v>
      </c>
      <c r="B27" s="11">
        <f>B26+B21</f>
        <v>1816620689.6551723</v>
      </c>
      <c r="C27" s="11">
        <f>C26+C21</f>
        <v>1596620689.6551723</v>
      </c>
      <c r="D27" s="11"/>
      <c r="E27" s="11"/>
      <c r="F27" s="11">
        <f>F26+F21</f>
        <v>220000000</v>
      </c>
      <c r="G27" s="11"/>
      <c r="H27" s="30" t="s">
        <v>63</v>
      </c>
      <c r="I27" s="27">
        <v>23</v>
      </c>
      <c r="J27" s="17">
        <f>I27*J28/I28</f>
        <v>40.350877192982459</v>
      </c>
      <c r="K27" s="18">
        <v>23</v>
      </c>
      <c r="L27" s="17">
        <f>K27*L28/K28</f>
        <v>39.655172413793103</v>
      </c>
      <c r="M27" s="18">
        <v>20</v>
      </c>
      <c r="N27" s="17">
        <f>M27*N28/M28</f>
        <v>40</v>
      </c>
    </row>
    <row r="28" spans="1:14" x14ac:dyDescent="0.25">
      <c r="H28" s="11"/>
      <c r="I28" s="23">
        <f>100-I6-I7</f>
        <v>57</v>
      </c>
      <c r="J28" s="26">
        <v>100</v>
      </c>
      <c r="K28" s="25">
        <f>100-K6-K7</f>
        <v>58</v>
      </c>
      <c r="L28" s="26">
        <v>100</v>
      </c>
      <c r="M28" s="25">
        <f>100-M6-M7</f>
        <v>50</v>
      </c>
      <c r="N28" s="26">
        <v>100</v>
      </c>
    </row>
    <row r="29" spans="1:14" x14ac:dyDescent="0.25">
      <c r="A29" s="8" t="s">
        <v>54</v>
      </c>
      <c r="B29" s="6">
        <f>SUM(C29:F29)</f>
        <v>2600000000</v>
      </c>
      <c r="C29" s="6">
        <v>2300000000</v>
      </c>
      <c r="D29" s="6"/>
      <c r="E29" s="6"/>
      <c r="F29" s="9">
        <v>300000000</v>
      </c>
      <c r="G29" s="11"/>
    </row>
    <row r="30" spans="1:14" x14ac:dyDescent="0.25">
      <c r="A30" s="10" t="s">
        <v>47</v>
      </c>
      <c r="B30" s="6">
        <f>SUM(C30:F30)</f>
        <v>1150000000</v>
      </c>
      <c r="C30" s="11">
        <f>C29-C17</f>
        <v>1050000000</v>
      </c>
      <c r="D30" s="11"/>
      <c r="E30" s="11"/>
      <c r="F30" s="11">
        <f>F29-F17</f>
        <v>100000000</v>
      </c>
      <c r="G30" s="11"/>
      <c r="H30" s="57" t="s">
        <v>64</v>
      </c>
      <c r="I30" s="57"/>
      <c r="J30" s="57"/>
      <c r="K30" s="57"/>
      <c r="L30" s="57"/>
      <c r="M30" s="57"/>
      <c r="N30" s="57"/>
    </row>
    <row r="31" spans="1:14" x14ac:dyDescent="0.25">
      <c r="A31" t="s">
        <v>67</v>
      </c>
      <c r="B31" s="6">
        <f>SUM(C31:F31)</f>
        <v>456379310.34482759</v>
      </c>
      <c r="C31" s="11">
        <f>C30*L27/100</f>
        <v>416379310.34482759</v>
      </c>
      <c r="D31" s="11"/>
      <c r="E31" s="11"/>
      <c r="F31" s="11">
        <f>F30*N27/100</f>
        <v>40000000</v>
      </c>
      <c r="G31" s="11"/>
      <c r="H31" s="57"/>
      <c r="I31" s="57"/>
      <c r="J31" s="57"/>
      <c r="K31" s="57"/>
      <c r="L31" s="57"/>
      <c r="M31" s="57"/>
      <c r="N31" s="57"/>
    </row>
    <row r="32" spans="1:14" x14ac:dyDescent="0.25">
      <c r="A32" s="7" t="s">
        <v>55</v>
      </c>
      <c r="B32" s="33">
        <f>SUM(C32:F32)</f>
        <v>782879310.34482765</v>
      </c>
      <c r="C32" s="31">
        <f>C12+C31</f>
        <v>702879310.34482765</v>
      </c>
      <c r="D32" s="31"/>
      <c r="E32" s="31"/>
      <c r="F32" s="31">
        <f>F12+F31</f>
        <v>80000000</v>
      </c>
      <c r="G32" s="11"/>
      <c r="H32" s="57"/>
      <c r="I32" s="57"/>
      <c r="J32" s="57"/>
      <c r="K32" s="57"/>
      <c r="L32" s="57"/>
      <c r="M32" s="57"/>
      <c r="N32" s="57"/>
    </row>
    <row r="33" spans="1:14" x14ac:dyDescent="0.25">
      <c r="A33" t="s">
        <v>56</v>
      </c>
      <c r="B33" s="11">
        <f>B32+B27</f>
        <v>2599500000</v>
      </c>
      <c r="C33" s="11">
        <f>C32+C27</f>
        <v>2299500000</v>
      </c>
      <c r="D33" s="11"/>
      <c r="E33" s="11"/>
      <c r="F33" s="11">
        <f>F32+F27</f>
        <v>300000000</v>
      </c>
      <c r="G33" s="11"/>
      <c r="H33" s="11"/>
    </row>
    <row r="34" spans="1:14" x14ac:dyDescent="0.25">
      <c r="H34" s="58" t="s">
        <v>65</v>
      </c>
      <c r="I34" s="58"/>
      <c r="J34" s="58"/>
      <c r="K34" s="58"/>
      <c r="L34" s="58"/>
      <c r="M34" s="58"/>
      <c r="N34" s="58"/>
    </row>
    <row r="35" spans="1:14" x14ac:dyDescent="0.25">
      <c r="A35" t="s">
        <v>66</v>
      </c>
      <c r="H35" s="58"/>
      <c r="I35" s="58"/>
      <c r="J35" s="58"/>
      <c r="K35" s="58"/>
      <c r="L35" s="58"/>
      <c r="M35" s="58"/>
      <c r="N35" s="58"/>
    </row>
    <row r="36" spans="1:14" x14ac:dyDescent="0.25">
      <c r="H36" s="58"/>
      <c r="I36" s="58"/>
      <c r="J36" s="58"/>
      <c r="K36" s="58"/>
      <c r="L36" s="58"/>
      <c r="M36" s="58"/>
      <c r="N36" s="58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3" t="s">
        <v>37</v>
      </c>
      <c r="C2" s="55" t="s">
        <v>2</v>
      </c>
      <c r="D2" s="55"/>
      <c r="E2" s="28"/>
    </row>
    <row r="3" spans="1:11" ht="15.75" thickBot="1" x14ac:dyDescent="0.3">
      <c r="B3" s="54"/>
      <c r="C3" s="4" t="s">
        <v>38</v>
      </c>
      <c r="D3" s="4" t="s">
        <v>39</v>
      </c>
      <c r="E3" s="29"/>
    </row>
    <row r="4" spans="1:11" ht="15.75" thickTop="1" x14ac:dyDescent="0.25">
      <c r="A4" s="7" t="s">
        <v>68</v>
      </c>
    </row>
    <row r="6" spans="1:11" x14ac:dyDescent="0.25">
      <c r="A6" t="s">
        <v>42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 x14ac:dyDescent="0.25">
      <c r="B7" s="34">
        <f>B6/B14</f>
        <v>0.17770034843205576</v>
      </c>
      <c r="C7" s="34">
        <f>C6/C14</f>
        <v>0.13085234093637454</v>
      </c>
      <c r="D7" s="34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43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 x14ac:dyDescent="0.25">
      <c r="B9" s="34">
        <f>B8/B14</f>
        <v>0.29810298102981031</v>
      </c>
      <c r="C9" s="34">
        <f>C8/C14</f>
        <v>0.29411764705882354</v>
      </c>
      <c r="D9" s="34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40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 x14ac:dyDescent="0.25">
      <c r="B11" s="34">
        <f>B10/B14</f>
        <v>0.31475029036004648</v>
      </c>
      <c r="C11" s="34">
        <f>C10/C14</f>
        <v>0.34573829531812728</v>
      </c>
      <c r="D11" s="34">
        <f>D10/D14</f>
        <v>0.3</v>
      </c>
      <c r="E11" s="1"/>
      <c r="F11" s="6"/>
      <c r="G11" s="56" t="s">
        <v>69</v>
      </c>
      <c r="H11" s="56"/>
      <c r="I11" s="56"/>
      <c r="J11" s="56"/>
    </row>
    <row r="12" spans="1:11" x14ac:dyDescent="0.25">
      <c r="A12" t="s">
        <v>44</v>
      </c>
      <c r="B12" s="6">
        <f>SUM(C12:D12)</f>
        <v>541</v>
      </c>
      <c r="C12" s="6">
        <v>191</v>
      </c>
      <c r="D12" s="6">
        <v>350</v>
      </c>
      <c r="E12" s="6"/>
      <c r="F12" s="6"/>
      <c r="G12" s="56"/>
      <c r="H12" s="56"/>
      <c r="I12" s="56"/>
      <c r="J12" s="56"/>
    </row>
    <row r="13" spans="1:11" x14ac:dyDescent="0.25">
      <c r="B13" s="34">
        <f>B12/B14</f>
        <v>0.2094463801780875</v>
      </c>
      <c r="C13" s="34">
        <f>C12/C14</f>
        <v>0.22929171668667467</v>
      </c>
      <c r="D13" s="34">
        <f>D12/D14</f>
        <v>0.2</v>
      </c>
      <c r="E13" s="1"/>
      <c r="F13" s="6"/>
      <c r="G13" s="13"/>
      <c r="I13" s="6"/>
    </row>
    <row r="14" spans="1:11" x14ac:dyDescent="0.25">
      <c r="A14" t="s">
        <v>45</v>
      </c>
      <c r="B14" s="6">
        <f>SUM(C14:D14)</f>
        <v>2583</v>
      </c>
      <c r="C14" s="9">
        <v>833</v>
      </c>
      <c r="D14" s="6">
        <v>1750</v>
      </c>
      <c r="E14" s="6"/>
      <c r="G14" s="13"/>
      <c r="I14" s="6"/>
    </row>
    <row r="15" spans="1:11" x14ac:dyDescent="0.25">
      <c r="G15" s="13"/>
      <c r="I15" s="6"/>
    </row>
    <row r="16" spans="1:11" x14ac:dyDescent="0.25">
      <c r="G16" s="13"/>
      <c r="I16" s="6"/>
    </row>
    <row r="17" spans="1:12" x14ac:dyDescent="0.25">
      <c r="A17" s="8" t="s">
        <v>46</v>
      </c>
      <c r="B17" s="6">
        <f>SUM(C17:D17)</f>
        <v>2583</v>
      </c>
      <c r="C17" s="9">
        <v>833</v>
      </c>
      <c r="D17" s="6">
        <v>1750</v>
      </c>
      <c r="E17" s="6"/>
      <c r="G17" s="14" t="s">
        <v>58</v>
      </c>
      <c r="I17" s="6"/>
    </row>
    <row r="18" spans="1:12" x14ac:dyDescent="0.25">
      <c r="A18" s="10" t="s">
        <v>47</v>
      </c>
      <c r="B18" s="6">
        <f>SUM(C18:D18)</f>
        <v>0</v>
      </c>
      <c r="C18" s="11">
        <f>C17-C14</f>
        <v>0</v>
      </c>
      <c r="D18" s="11">
        <f>D17-D14</f>
        <v>0</v>
      </c>
      <c r="E18" s="11"/>
      <c r="G18" s="21" t="s">
        <v>59</v>
      </c>
      <c r="H18" s="19"/>
      <c r="I18" s="20" t="s">
        <v>60</v>
      </c>
      <c r="J18" s="19"/>
      <c r="K18" s="20" t="s">
        <v>4</v>
      </c>
      <c r="L18" s="19"/>
    </row>
    <row r="19" spans="1:12" x14ac:dyDescent="0.25">
      <c r="A19" s="10" t="s">
        <v>48</v>
      </c>
      <c r="B19" s="6">
        <f>SUM(C19:D19)</f>
        <v>0</v>
      </c>
      <c r="C19" s="11">
        <f>C18*J19/100</f>
        <v>0</v>
      </c>
      <c r="D19" s="11">
        <f>D18*L19/100</f>
        <v>0</v>
      </c>
      <c r="E19" s="11"/>
      <c r="G19" s="22">
        <v>29</v>
      </c>
      <c r="H19" s="17">
        <f>G19*H20/G20</f>
        <v>35.365853658536587</v>
      </c>
      <c r="I19" s="18">
        <v>29</v>
      </c>
      <c r="J19" s="17">
        <f>I19*J20/I20</f>
        <v>33.333333333333336</v>
      </c>
      <c r="K19" s="18">
        <v>30</v>
      </c>
      <c r="L19" s="17">
        <f>K19*L20/K20</f>
        <v>37.5</v>
      </c>
    </row>
    <row r="20" spans="1:12" x14ac:dyDescent="0.25">
      <c r="A20" t="s">
        <v>49</v>
      </c>
      <c r="B20" s="33">
        <f>SUM(C20:D20)</f>
        <v>770</v>
      </c>
      <c r="C20" s="31">
        <f>C8+C19</f>
        <v>245</v>
      </c>
      <c r="D20" s="31">
        <f>D8+D19</f>
        <v>525</v>
      </c>
      <c r="E20" s="11"/>
      <c r="G20" s="23">
        <f>100-G6</f>
        <v>82</v>
      </c>
      <c r="H20" s="24">
        <v>100</v>
      </c>
      <c r="I20" s="25">
        <f>100-I6</f>
        <v>87</v>
      </c>
      <c r="J20" s="24">
        <v>100</v>
      </c>
      <c r="K20" s="25">
        <f>100-K6</f>
        <v>80</v>
      </c>
      <c r="L20" s="26">
        <v>100</v>
      </c>
    </row>
    <row r="21" spans="1:12" x14ac:dyDescent="0.25">
      <c r="A21" t="s">
        <v>50</v>
      </c>
      <c r="B21" s="11">
        <f>B20+B6</f>
        <v>1229</v>
      </c>
      <c r="C21" s="11">
        <f>C20+C6</f>
        <v>354</v>
      </c>
      <c r="D21" s="11">
        <f>D20+D6</f>
        <v>875</v>
      </c>
      <c r="E21" s="11"/>
      <c r="G21" s="15"/>
      <c r="H21" s="16"/>
      <c r="I21" s="16"/>
      <c r="J21" s="16"/>
      <c r="K21" s="16"/>
      <c r="L21" s="16"/>
    </row>
    <row r="22" spans="1:12" x14ac:dyDescent="0.25">
      <c r="B22" s="11"/>
      <c r="C22" s="11"/>
      <c r="D22" s="11"/>
      <c r="E22" s="11"/>
    </row>
    <row r="23" spans="1:12" x14ac:dyDescent="0.25">
      <c r="A23" s="8" t="s">
        <v>51</v>
      </c>
      <c r="B23" s="6">
        <f>SUM(C23:D23)</f>
        <v>4033</v>
      </c>
      <c r="C23" s="6">
        <v>1533</v>
      </c>
      <c r="D23" s="6">
        <v>2500</v>
      </c>
      <c r="E23" s="12"/>
      <c r="F23" s="6"/>
      <c r="G23" s="14" t="s">
        <v>40</v>
      </c>
      <c r="I23" s="6"/>
    </row>
    <row r="24" spans="1:12" x14ac:dyDescent="0.25">
      <c r="A24" s="10" t="s">
        <v>47</v>
      </c>
      <c r="B24" s="6">
        <f>SUM(C24:D24)</f>
        <v>1450</v>
      </c>
      <c r="C24" s="11">
        <f>C23-C17</f>
        <v>700</v>
      </c>
      <c r="D24" s="11">
        <f>D23-D17</f>
        <v>750</v>
      </c>
      <c r="E24" s="11"/>
      <c r="F24" s="11"/>
      <c r="G24" s="21" t="s">
        <v>59</v>
      </c>
      <c r="H24" s="19"/>
      <c r="I24" s="20" t="s">
        <v>60</v>
      </c>
      <c r="J24" s="19"/>
      <c r="K24" s="20" t="s">
        <v>4</v>
      </c>
      <c r="L24" s="19"/>
    </row>
    <row r="25" spans="1:12" x14ac:dyDescent="0.25">
      <c r="A25" s="10" t="s">
        <v>61</v>
      </c>
      <c r="B25" s="6">
        <f>SUM(C25:D25)</f>
        <v>872.41379310344826</v>
      </c>
      <c r="C25" s="11">
        <f>C24*J25/100</f>
        <v>422.41379310344826</v>
      </c>
      <c r="D25" s="11">
        <f>D24*L25/100</f>
        <v>450</v>
      </c>
      <c r="E25" s="11"/>
      <c r="F25" s="30" t="s">
        <v>62</v>
      </c>
      <c r="G25" s="27">
        <v>34</v>
      </c>
      <c r="H25" s="17">
        <f>G25*H26/G26</f>
        <v>65.384615384615387</v>
      </c>
      <c r="I25" s="18">
        <v>35</v>
      </c>
      <c r="J25" s="17">
        <f>I25*J26/I26</f>
        <v>60.344827586206897</v>
      </c>
      <c r="K25" s="18">
        <v>30</v>
      </c>
      <c r="L25" s="17">
        <f>K25*L26/K26</f>
        <v>60</v>
      </c>
    </row>
    <row r="26" spans="1:12" x14ac:dyDescent="0.25">
      <c r="A26" s="7" t="s">
        <v>52</v>
      </c>
      <c r="B26" s="33">
        <f>SUM(C26:D26)</f>
        <v>1685.4137931034484</v>
      </c>
      <c r="C26" s="31">
        <f>C10+C25</f>
        <v>710.41379310344826</v>
      </c>
      <c r="D26" s="31">
        <f>D10+D25</f>
        <v>975</v>
      </c>
      <c r="E26" s="11"/>
      <c r="F26" s="11"/>
      <c r="G26" s="23">
        <f>100-G6-G7</f>
        <v>52</v>
      </c>
      <c r="H26" s="26">
        <v>100</v>
      </c>
      <c r="I26" s="25">
        <f>100-I6-I7</f>
        <v>58</v>
      </c>
      <c r="J26" s="26">
        <v>100</v>
      </c>
      <c r="K26" s="25">
        <f>100-K6-K7</f>
        <v>50</v>
      </c>
      <c r="L26" s="26">
        <v>100</v>
      </c>
    </row>
    <row r="27" spans="1:12" x14ac:dyDescent="0.25">
      <c r="A27" t="s">
        <v>53</v>
      </c>
      <c r="B27" s="11">
        <f>B26+B21</f>
        <v>2914.4137931034484</v>
      </c>
      <c r="C27" s="11">
        <f>C26+C21</f>
        <v>1064.4137931034484</v>
      </c>
      <c r="D27" s="11">
        <f>D26+D21</f>
        <v>1850</v>
      </c>
      <c r="E27" s="11"/>
      <c r="F27" s="30" t="s">
        <v>63</v>
      </c>
      <c r="G27" s="27">
        <v>23</v>
      </c>
      <c r="H27" s="17">
        <f>G27*H28/G28</f>
        <v>44.230769230769234</v>
      </c>
      <c r="I27" s="18">
        <v>23</v>
      </c>
      <c r="J27" s="17">
        <f>I27*J28/I28</f>
        <v>39.655172413793103</v>
      </c>
      <c r="K27" s="18">
        <v>20</v>
      </c>
      <c r="L27" s="17">
        <f>K27*L28/K28</f>
        <v>40</v>
      </c>
    </row>
    <row r="28" spans="1:12" x14ac:dyDescent="0.25">
      <c r="F28" s="11"/>
      <c r="G28" s="23">
        <f>100-G6-G7</f>
        <v>52</v>
      </c>
      <c r="H28" s="26">
        <v>100</v>
      </c>
      <c r="I28" s="25">
        <f>100-I6-I7</f>
        <v>58</v>
      </c>
      <c r="J28" s="26">
        <v>100</v>
      </c>
      <c r="K28" s="25">
        <f>100-K6-K7</f>
        <v>50</v>
      </c>
      <c r="L28" s="26">
        <v>100</v>
      </c>
    </row>
    <row r="29" spans="1:12" x14ac:dyDescent="0.25">
      <c r="A29" s="8" t="s">
        <v>54</v>
      </c>
      <c r="B29" s="6">
        <f>SUM(C29:D29)</f>
        <v>4033</v>
      </c>
      <c r="C29" s="6">
        <v>1533</v>
      </c>
      <c r="D29" s="6">
        <v>2500</v>
      </c>
      <c r="E29" s="11"/>
    </row>
    <row r="30" spans="1:12" x14ac:dyDescent="0.25">
      <c r="A30" s="10" t="s">
        <v>47</v>
      </c>
      <c r="B30" s="6">
        <f>SUM(C30:D30)</f>
        <v>1450</v>
      </c>
      <c r="C30" s="11">
        <f>C29-C17</f>
        <v>700</v>
      </c>
      <c r="D30" s="11">
        <f>D29-D17</f>
        <v>750</v>
      </c>
      <c r="E30" s="11"/>
      <c r="F30" s="57" t="s">
        <v>64</v>
      </c>
      <c r="G30" s="57"/>
      <c r="H30" s="57"/>
      <c r="I30" s="57"/>
      <c r="J30" s="57"/>
      <c r="K30" s="57"/>
      <c r="L30" s="57"/>
    </row>
    <row r="31" spans="1:12" x14ac:dyDescent="0.25">
      <c r="A31" t="s">
        <v>67</v>
      </c>
      <c r="B31" s="6">
        <f>SUM(C31:D31)</f>
        <v>577.58620689655174</v>
      </c>
      <c r="C31" s="11">
        <f>C30*J27/100</f>
        <v>277.58620689655174</v>
      </c>
      <c r="D31" s="11">
        <f>D30*L27/100</f>
        <v>300</v>
      </c>
      <c r="E31" s="11"/>
      <c r="F31" s="57"/>
      <c r="G31" s="57"/>
      <c r="H31" s="57"/>
      <c r="I31" s="57"/>
      <c r="J31" s="57"/>
      <c r="K31" s="57"/>
      <c r="L31" s="57"/>
    </row>
    <row r="32" spans="1:12" x14ac:dyDescent="0.25">
      <c r="A32" s="7" t="s">
        <v>55</v>
      </c>
      <c r="B32" s="33">
        <f>SUM(C32:D32)</f>
        <v>1118.5862068965516</v>
      </c>
      <c r="C32" s="31">
        <f>C12+C31</f>
        <v>468.58620689655174</v>
      </c>
      <c r="D32" s="31">
        <f>D12+D31</f>
        <v>650</v>
      </c>
      <c r="E32" s="11"/>
      <c r="F32" s="57"/>
      <c r="G32" s="57"/>
      <c r="H32" s="57"/>
      <c r="I32" s="57"/>
      <c r="J32" s="57"/>
      <c r="K32" s="57"/>
      <c r="L32" s="57"/>
    </row>
    <row r="33" spans="1:12" x14ac:dyDescent="0.25">
      <c r="A33" t="s">
        <v>56</v>
      </c>
      <c r="B33" s="11">
        <f>B32+B27</f>
        <v>4033</v>
      </c>
      <c r="C33" s="11">
        <f>C32+C27</f>
        <v>1533</v>
      </c>
      <c r="D33" s="11">
        <f>D32+D27</f>
        <v>2500</v>
      </c>
      <c r="E33" s="11"/>
      <c r="F33" s="11"/>
    </row>
    <row r="34" spans="1:12" x14ac:dyDescent="0.25">
      <c r="F34" s="58" t="s">
        <v>65</v>
      </c>
      <c r="G34" s="58"/>
      <c r="H34" s="58"/>
      <c r="I34" s="58"/>
      <c r="J34" s="58"/>
      <c r="K34" s="58"/>
      <c r="L34" s="58"/>
    </row>
    <row r="35" spans="1:12" x14ac:dyDescent="0.25">
      <c r="A35" t="s">
        <v>66</v>
      </c>
      <c r="F35" s="58"/>
      <c r="G35" s="58"/>
      <c r="H35" s="58"/>
      <c r="I35" s="58"/>
      <c r="J35" s="58"/>
      <c r="K35" s="58"/>
      <c r="L35" s="58"/>
    </row>
    <row r="36" spans="1:12" x14ac:dyDescent="0.25">
      <c r="F36" s="58"/>
      <c r="G36" s="58"/>
      <c r="H36" s="58"/>
      <c r="I36" s="58"/>
      <c r="J36" s="58"/>
      <c r="K36" s="58"/>
      <c r="L36" s="58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2012-02-07T15:57:09Z</dcterms:created>
  <dcterms:modified xsi:type="dcterms:W3CDTF">2014-11-04T18:14:12Z</dcterms:modified>
</cp:coreProperties>
</file>