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721" activeTab="6"/>
  </bookViews>
  <sheets>
    <sheet name="I Trimestre" sheetId="8" r:id="rId1"/>
    <sheet name="II Trimestre" sheetId="2" r:id="rId2"/>
    <sheet name="III Trimestre" sheetId="3" r:id="rId3"/>
    <sheet name="IV Trimestre" sheetId="4" r:id="rId4"/>
    <sheet name="I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F63" i="4" l="1"/>
  <c r="E63" i="4"/>
  <c r="D63" i="4"/>
  <c r="F62" i="4"/>
  <c r="E62" i="4"/>
  <c r="D62" i="4"/>
  <c r="F63" i="3"/>
  <c r="E63" i="3"/>
  <c r="D63" i="3"/>
  <c r="F62" i="3"/>
  <c r="E62" i="3"/>
  <c r="D62" i="3"/>
  <c r="E62" i="2"/>
  <c r="F62" i="2"/>
  <c r="E63" i="2"/>
  <c r="F63" i="2"/>
  <c r="D63" i="2"/>
  <c r="D62" i="2"/>
  <c r="F63" i="8"/>
  <c r="F62" i="8"/>
  <c r="E63" i="8"/>
  <c r="E62" i="8"/>
  <c r="D63" i="8"/>
  <c r="F66" i="4"/>
  <c r="E66" i="4"/>
  <c r="D66" i="4"/>
  <c r="F65" i="4"/>
  <c r="E65" i="4"/>
  <c r="D65" i="4"/>
  <c r="F66" i="3"/>
  <c r="E66" i="3"/>
  <c r="D66" i="3"/>
  <c r="F65" i="3"/>
  <c r="E65" i="3"/>
  <c r="D65" i="3"/>
  <c r="F66" i="2"/>
  <c r="E66" i="2"/>
  <c r="D66" i="2"/>
  <c r="F65" i="2"/>
  <c r="E65" i="2"/>
  <c r="D65" i="2"/>
  <c r="F66" i="8"/>
  <c r="E66" i="8"/>
  <c r="D66" i="8"/>
  <c r="F65" i="8"/>
  <c r="E65" i="8"/>
  <c r="E34" i="6"/>
  <c r="F35" i="4"/>
  <c r="D35" i="4"/>
  <c r="E34" i="4"/>
  <c r="E34" i="2"/>
  <c r="E34" i="8"/>
  <c r="F32" i="6"/>
  <c r="F34" i="6" s="1"/>
  <c r="E32" i="6"/>
  <c r="D32" i="6"/>
  <c r="D34" i="6" s="1"/>
  <c r="F32" i="5"/>
  <c r="F34" i="5" s="1"/>
  <c r="E32" i="5"/>
  <c r="E34" i="5" s="1"/>
  <c r="D32" i="5"/>
  <c r="D34" i="5" s="1"/>
  <c r="F32" i="4"/>
  <c r="F34" i="4" s="1"/>
  <c r="F59" i="4" s="1"/>
  <c r="E32" i="4"/>
  <c r="D32" i="4"/>
  <c r="D58" i="4" s="1"/>
  <c r="F32" i="3"/>
  <c r="F34" i="3" s="1"/>
  <c r="E32" i="3"/>
  <c r="E34" i="3" s="1"/>
  <c r="D32" i="3"/>
  <c r="D34" i="3" s="1"/>
  <c r="F32" i="2"/>
  <c r="F34" i="2" s="1"/>
  <c r="E32" i="2"/>
  <c r="D32" i="2"/>
  <c r="D34" i="2" s="1"/>
  <c r="E32" i="8"/>
  <c r="F32" i="8"/>
  <c r="F34" i="8" s="1"/>
  <c r="D32" i="8"/>
  <c r="D34" i="8" s="1"/>
  <c r="E58" i="4"/>
  <c r="D58" i="2"/>
  <c r="F33" i="4"/>
  <c r="F58" i="4" s="1"/>
  <c r="E33" i="4"/>
  <c r="E35" i="4" s="1"/>
  <c r="E59" i="4" s="1"/>
  <c r="D33" i="4"/>
  <c r="F33" i="3"/>
  <c r="F58" i="3" s="1"/>
  <c r="E33" i="3"/>
  <c r="E35" i="3" s="1"/>
  <c r="D33" i="3"/>
  <c r="D58" i="3" s="1"/>
  <c r="F33" i="2"/>
  <c r="F58" i="2" s="1"/>
  <c r="E33" i="2"/>
  <c r="E35" i="2" s="1"/>
  <c r="E59" i="2" s="1"/>
  <c r="D33" i="2"/>
  <c r="D35" i="2" s="1"/>
  <c r="C49" i="4"/>
  <c r="B49" i="4"/>
  <c r="C49" i="3"/>
  <c r="B49" i="3"/>
  <c r="C49" i="2"/>
  <c r="B49" i="2"/>
  <c r="C49" i="8"/>
  <c r="B49" i="8"/>
  <c r="C13" i="7"/>
  <c r="C11" i="7"/>
  <c r="C12" i="7"/>
  <c r="C49" i="7" s="1"/>
  <c r="C10" i="7"/>
  <c r="C13" i="6"/>
  <c r="C10" i="6"/>
  <c r="C11" i="6"/>
  <c r="C12" i="6"/>
  <c r="C13" i="5"/>
  <c r="C11" i="5"/>
  <c r="C12" i="5"/>
  <c r="C44" i="5" s="1"/>
  <c r="C10" i="5"/>
  <c r="C32" i="6"/>
  <c r="C57" i="4"/>
  <c r="C44" i="4"/>
  <c r="C57" i="3"/>
  <c r="C44" i="3"/>
  <c r="C57" i="2"/>
  <c r="C44" i="2"/>
  <c r="C57" i="8"/>
  <c r="D59" i="2" l="1"/>
  <c r="E59" i="3"/>
  <c r="F35" i="2"/>
  <c r="F59" i="2" s="1"/>
  <c r="D35" i="3"/>
  <c r="D59" i="3" s="1"/>
  <c r="C57" i="7"/>
  <c r="E58" i="2"/>
  <c r="E58" i="3"/>
  <c r="F35" i="3"/>
  <c r="F59" i="3" s="1"/>
  <c r="C44" i="7"/>
  <c r="D34" i="4"/>
  <c r="D59" i="4"/>
  <c r="C49" i="5"/>
  <c r="C57" i="5"/>
  <c r="C49" i="6"/>
  <c r="C44" i="6"/>
  <c r="C57" i="6"/>
  <c r="C34" i="6"/>
  <c r="C44" i="8"/>
  <c r="D20" i="3" l="1"/>
  <c r="B20" i="3" s="1"/>
  <c r="D45" i="3"/>
  <c r="D50" i="3"/>
  <c r="D20" i="2"/>
  <c r="B20" i="2"/>
  <c r="D20" i="8"/>
  <c r="B20" i="8" s="1"/>
  <c r="B16" i="8"/>
  <c r="C32" i="8" s="1"/>
  <c r="C34" i="8" s="1"/>
  <c r="D20" i="4"/>
  <c r="B20" i="4" s="1"/>
  <c r="B17" i="4"/>
  <c r="B18" i="4"/>
  <c r="B19" i="4"/>
  <c r="B70" i="4" l="1"/>
  <c r="C45" i="4"/>
  <c r="C46" i="4" s="1"/>
  <c r="C33" i="4"/>
  <c r="C50" i="4"/>
  <c r="C51" i="4" s="1"/>
  <c r="C63" i="4"/>
  <c r="C66" i="4"/>
  <c r="C65" i="4"/>
  <c r="C62" i="4"/>
  <c r="D16" i="7"/>
  <c r="D32" i="7" s="1"/>
  <c r="D34" i="7" s="1"/>
  <c r="E16" i="7"/>
  <c r="E32" i="7" s="1"/>
  <c r="E34" i="7" s="1"/>
  <c r="F16" i="7"/>
  <c r="F32" i="7" s="1"/>
  <c r="F34" i="7" s="1"/>
  <c r="D24" i="7"/>
  <c r="D24" i="6"/>
  <c r="B24" i="6"/>
  <c r="D24" i="5"/>
  <c r="C35" i="4" l="1"/>
  <c r="C64" i="4"/>
  <c r="B66" i="4"/>
  <c r="B65" i="4"/>
  <c r="B63" i="4"/>
  <c r="B62" i="4"/>
  <c r="D19" i="8" l="1"/>
  <c r="D17" i="8"/>
  <c r="B16" i="4"/>
  <c r="C32" i="4" s="1"/>
  <c r="C34" i="4" l="1"/>
  <c r="C59" i="4" s="1"/>
  <c r="C58" i="4"/>
  <c r="D62" i="8"/>
  <c r="D65" i="8"/>
  <c r="B16" i="3"/>
  <c r="C32" i="3" s="1"/>
  <c r="C34" i="3" s="1"/>
  <c r="B16" i="2"/>
  <c r="C32" i="2" s="1"/>
  <c r="C34" i="2" s="1"/>
  <c r="B16" i="5" l="1"/>
  <c r="C32" i="5" s="1"/>
  <c r="C34" i="5" s="1"/>
  <c r="F18" i="5"/>
  <c r="E18" i="5"/>
  <c r="D18" i="5"/>
  <c r="F17" i="5"/>
  <c r="E17" i="5"/>
  <c r="D17" i="5"/>
  <c r="E19" i="5"/>
  <c r="F19" i="5"/>
  <c r="D19" i="5"/>
  <c r="E19" i="6"/>
  <c r="F19" i="6"/>
  <c r="D19" i="6"/>
  <c r="D18" i="6"/>
  <c r="E18" i="6"/>
  <c r="F18" i="6"/>
  <c r="E17" i="6"/>
  <c r="F17" i="6"/>
  <c r="D17" i="6"/>
  <c r="B13" i="5"/>
  <c r="B12" i="5"/>
  <c r="B11" i="5"/>
  <c r="B10" i="5"/>
  <c r="B13" i="6"/>
  <c r="B12" i="6"/>
  <c r="B11" i="6"/>
  <c r="B10" i="6"/>
  <c r="E19" i="7"/>
  <c r="F19" i="7"/>
  <c r="D19" i="7"/>
  <c r="F33" i="6" l="1"/>
  <c r="F35" i="6" s="1"/>
  <c r="F63" i="6"/>
  <c r="F66" i="6"/>
  <c r="D63" i="5"/>
  <c r="D66" i="5"/>
  <c r="E33" i="6"/>
  <c r="E35" i="6" s="1"/>
  <c r="E66" i="6"/>
  <c r="E63" i="6"/>
  <c r="E33" i="5"/>
  <c r="E35" i="5" s="1"/>
  <c r="E66" i="5"/>
  <c r="E63" i="5"/>
  <c r="F62" i="6"/>
  <c r="F65" i="6"/>
  <c r="D66" i="6"/>
  <c r="D63" i="6"/>
  <c r="E62" i="5"/>
  <c r="E65" i="5"/>
  <c r="F33" i="5"/>
  <c r="F35" i="5" s="1"/>
  <c r="F63" i="5"/>
  <c r="F66" i="5"/>
  <c r="D62" i="6"/>
  <c r="D65" i="6"/>
  <c r="D62" i="5"/>
  <c r="D65" i="5"/>
  <c r="E62" i="6"/>
  <c r="E65" i="6"/>
  <c r="F65" i="5"/>
  <c r="F62" i="5"/>
  <c r="F59" i="6"/>
  <c r="F58" i="6"/>
  <c r="B49" i="6"/>
  <c r="E59" i="5"/>
  <c r="E58" i="5"/>
  <c r="D20" i="5"/>
  <c r="B20" i="5" s="1"/>
  <c r="D33" i="5"/>
  <c r="D35" i="5" s="1"/>
  <c r="B49" i="5"/>
  <c r="E58" i="6"/>
  <c r="D20" i="6"/>
  <c r="B20" i="6" s="1"/>
  <c r="D33" i="6"/>
  <c r="D35" i="6" s="1"/>
  <c r="B19" i="6"/>
  <c r="B19" i="5"/>
  <c r="B19" i="3"/>
  <c r="B18" i="3"/>
  <c r="B17" i="3"/>
  <c r="B19" i="2"/>
  <c r="B18" i="2"/>
  <c r="B17" i="2"/>
  <c r="B19" i="8"/>
  <c r="B18" i="8"/>
  <c r="B17" i="8"/>
  <c r="C62" i="3" l="1"/>
  <c r="C65" i="3"/>
  <c r="C62" i="2"/>
  <c r="C65" i="2"/>
  <c r="C66" i="3"/>
  <c r="C50" i="3"/>
  <c r="C51" i="3" s="1"/>
  <c r="B70" i="3"/>
  <c r="C33" i="3"/>
  <c r="C45" i="3"/>
  <c r="C46" i="3" s="1"/>
  <c r="C63" i="3"/>
  <c r="F58" i="5"/>
  <c r="C63" i="2"/>
  <c r="C66" i="2"/>
  <c r="C50" i="2"/>
  <c r="C51" i="2" s="1"/>
  <c r="C45" i="2"/>
  <c r="C46" i="2" s="1"/>
  <c r="B70" i="2"/>
  <c r="C33" i="2"/>
  <c r="D59" i="6"/>
  <c r="D58" i="6"/>
  <c r="C50" i="8"/>
  <c r="C51" i="8" s="1"/>
  <c r="C66" i="8"/>
  <c r="C63" i="8"/>
  <c r="C33" i="8"/>
  <c r="C45" i="8"/>
  <c r="C46" i="8" s="1"/>
  <c r="B63" i="8"/>
  <c r="D59" i="5"/>
  <c r="D58" i="5"/>
  <c r="E59" i="6"/>
  <c r="C62" i="8"/>
  <c r="B62" i="8"/>
  <c r="C65" i="8"/>
  <c r="F59" i="5"/>
  <c r="B66" i="2"/>
  <c r="B63" i="2"/>
  <c r="B65" i="2"/>
  <c r="B62" i="2"/>
  <c r="B70" i="8"/>
  <c r="B66" i="8"/>
  <c r="B65" i="8"/>
  <c r="B65" i="3"/>
  <c r="B62" i="3"/>
  <c r="B66" i="3"/>
  <c r="B63" i="3"/>
  <c r="B17" i="5"/>
  <c r="B17" i="6"/>
  <c r="B18" i="5"/>
  <c r="B18" i="6"/>
  <c r="C58" i="3" l="1"/>
  <c r="C35" i="3"/>
  <c r="C59" i="3" s="1"/>
  <c r="C64" i="2"/>
  <c r="C64" i="8"/>
  <c r="C58" i="2"/>
  <c r="C35" i="2"/>
  <c r="C59" i="2" s="1"/>
  <c r="C64" i="3"/>
  <c r="C65" i="5"/>
  <c r="B62" i="5"/>
  <c r="C62" i="5"/>
  <c r="C62" i="6"/>
  <c r="B62" i="6"/>
  <c r="C65" i="6"/>
  <c r="B63" i="5"/>
  <c r="C63" i="5"/>
  <c r="C66" i="5"/>
  <c r="C33" i="5"/>
  <c r="C45" i="5"/>
  <c r="C46" i="5" s="1"/>
  <c r="C50" i="5"/>
  <c r="C51" i="5" s="1"/>
  <c r="C58" i="8"/>
  <c r="C35" i="8"/>
  <c r="C59" i="8" s="1"/>
  <c r="B70" i="6"/>
  <c r="B63" i="6"/>
  <c r="C33" i="6"/>
  <c r="C45" i="6"/>
  <c r="C46" i="6" s="1"/>
  <c r="C50" i="6"/>
  <c r="C51" i="6" s="1"/>
  <c r="C63" i="6"/>
  <c r="C66" i="6"/>
  <c r="B66" i="5"/>
  <c r="B65" i="5"/>
  <c r="B65" i="6"/>
  <c r="B66" i="6"/>
  <c r="B11" i="7"/>
  <c r="B12" i="7"/>
  <c r="B49" i="7" s="1"/>
  <c r="B13" i="7"/>
  <c r="B10" i="7"/>
  <c r="B57" i="6"/>
  <c r="F50" i="6"/>
  <c r="E50" i="6"/>
  <c r="D50" i="6"/>
  <c r="B44" i="6"/>
  <c r="B57" i="5"/>
  <c r="B44" i="5"/>
  <c r="B54" i="5"/>
  <c r="F50" i="5"/>
  <c r="E50" i="5"/>
  <c r="D50" i="5"/>
  <c r="B57" i="4"/>
  <c r="B54" i="4"/>
  <c r="F50" i="4"/>
  <c r="E50" i="4"/>
  <c r="D50" i="4"/>
  <c r="F45" i="4"/>
  <c r="E45" i="4"/>
  <c r="D45" i="4"/>
  <c r="B45" i="4"/>
  <c r="B44" i="4"/>
  <c r="B44" i="3"/>
  <c r="B57" i="3"/>
  <c r="B54" i="3"/>
  <c r="F50" i="3"/>
  <c r="E50" i="3"/>
  <c r="F45" i="3"/>
  <c r="E45" i="3"/>
  <c r="B44" i="2"/>
  <c r="B57" i="2"/>
  <c r="B54" i="2"/>
  <c r="F50" i="2"/>
  <c r="E50" i="2"/>
  <c r="D50" i="2"/>
  <c r="F45" i="2"/>
  <c r="E45" i="2"/>
  <c r="D45" i="2"/>
  <c r="C58" i="6" l="1"/>
  <c r="C35" i="6"/>
  <c r="C59" i="6" s="1"/>
  <c r="C64" i="5"/>
  <c r="C64" i="6"/>
  <c r="C58" i="5"/>
  <c r="C35" i="5"/>
  <c r="C59" i="5" s="1"/>
  <c r="B57" i="7"/>
  <c r="B46" i="4"/>
  <c r="B64" i="4" s="1"/>
  <c r="B44" i="7"/>
  <c r="B50" i="6"/>
  <c r="B51" i="6" s="1"/>
  <c r="B44" i="8" l="1"/>
  <c r="B24" i="7" l="1"/>
  <c r="E18" i="7"/>
  <c r="F18" i="7"/>
  <c r="D18" i="7"/>
  <c r="B19" i="7"/>
  <c r="B24" i="5"/>
  <c r="F50" i="8"/>
  <c r="E50" i="8"/>
  <c r="F33" i="8"/>
  <c r="F35" i="8" s="1"/>
  <c r="E33" i="8"/>
  <c r="E35" i="8" s="1"/>
  <c r="D33" i="8"/>
  <c r="D35" i="8" s="1"/>
  <c r="D50" i="8"/>
  <c r="F45" i="8"/>
  <c r="E45" i="8"/>
  <c r="B32" i="8"/>
  <c r="B34" i="8" s="1"/>
  <c r="B32" i="4"/>
  <c r="B50" i="3"/>
  <c r="B51" i="3" s="1"/>
  <c r="B32" i="3"/>
  <c r="E33" i="7" l="1"/>
  <c r="E35" i="7" s="1"/>
  <c r="E66" i="7"/>
  <c r="E63" i="7"/>
  <c r="D66" i="7"/>
  <c r="D63" i="7"/>
  <c r="F33" i="7"/>
  <c r="F35" i="7" s="1"/>
  <c r="F66" i="7"/>
  <c r="F63" i="7"/>
  <c r="F58" i="8"/>
  <c r="F59" i="8"/>
  <c r="E58" i="8"/>
  <c r="E59" i="8"/>
  <c r="D59" i="8"/>
  <c r="D58" i="8"/>
  <c r="E58" i="7"/>
  <c r="E59" i="7"/>
  <c r="D20" i="7"/>
  <c r="B20" i="7" s="1"/>
  <c r="D33" i="7"/>
  <c r="D35" i="7" s="1"/>
  <c r="B70" i="5"/>
  <c r="D50" i="7"/>
  <c r="E50" i="7"/>
  <c r="F50" i="7"/>
  <c r="B50" i="5"/>
  <c r="B51" i="5" s="1"/>
  <c r="B45" i="8"/>
  <c r="B46" i="8" s="1"/>
  <c r="B33" i="8"/>
  <c r="B35" i="8" s="1"/>
  <c r="E45" i="5"/>
  <c r="D45" i="8"/>
  <c r="E45" i="6"/>
  <c r="E17" i="7"/>
  <c r="B18" i="7"/>
  <c r="B23" i="8"/>
  <c r="B69" i="8" s="1"/>
  <c r="B57" i="8"/>
  <c r="B54" i="8"/>
  <c r="B50" i="8"/>
  <c r="B51" i="8" s="1"/>
  <c r="B50" i="4"/>
  <c r="B51" i="4" s="1"/>
  <c r="B34" i="4"/>
  <c r="B33" i="4"/>
  <c r="B58" i="4" s="1"/>
  <c r="B34" i="3"/>
  <c r="B33" i="3"/>
  <c r="B58" i="3" s="1"/>
  <c r="E65" i="7" l="1"/>
  <c r="E62" i="7"/>
  <c r="B70" i="7"/>
  <c r="C50" i="7"/>
  <c r="C51" i="7" s="1"/>
  <c r="B63" i="7"/>
  <c r="C66" i="7"/>
  <c r="C33" i="7"/>
  <c r="C63" i="7"/>
  <c r="E45" i="7"/>
  <c r="B66" i="7"/>
  <c r="B64" i="8"/>
  <c r="B50" i="7"/>
  <c r="B51" i="7" s="1"/>
  <c r="B54" i="7"/>
  <c r="B45" i="3"/>
  <c r="B46" i="3" s="1"/>
  <c r="B64" i="3" s="1"/>
  <c r="B33" i="5"/>
  <c r="B23" i="4"/>
  <c r="B69" i="4" s="1"/>
  <c r="B54" i="6"/>
  <c r="B33" i="7"/>
  <c r="B35" i="7" s="1"/>
  <c r="B33" i="6"/>
  <c r="B58" i="8"/>
  <c r="B59" i="8"/>
  <c r="B35" i="4"/>
  <c r="B59" i="4" s="1"/>
  <c r="B35" i="3"/>
  <c r="B59" i="3" s="1"/>
  <c r="B23" i="3"/>
  <c r="B69" i="3" s="1"/>
  <c r="B50" i="2"/>
  <c r="B51" i="2" s="1"/>
  <c r="C35" i="7" l="1"/>
  <c r="B35" i="5"/>
  <c r="B45" i="2"/>
  <c r="B46" i="2" s="1"/>
  <c r="B64" i="2" s="1"/>
  <c r="B35" i="6"/>
  <c r="D45" i="5"/>
  <c r="D45" i="6"/>
  <c r="D17" i="7"/>
  <c r="B32" i="2"/>
  <c r="B34" i="2" s="1"/>
  <c r="B16" i="7"/>
  <c r="B32" i="5"/>
  <c r="B58" i="5" s="1"/>
  <c r="B32" i="6"/>
  <c r="B58" i="6" s="1"/>
  <c r="F17" i="7"/>
  <c r="F45" i="5"/>
  <c r="F45" i="6"/>
  <c r="B23" i="2"/>
  <c r="B69" i="2" s="1"/>
  <c r="B33" i="2"/>
  <c r="D62" i="7" l="1"/>
  <c r="G62" i="7" s="1"/>
  <c r="D65" i="7"/>
  <c r="F65" i="7"/>
  <c r="F62" i="7"/>
  <c r="D59" i="7"/>
  <c r="D58" i="7"/>
  <c r="B32" i="7"/>
  <c r="B58" i="7" s="1"/>
  <c r="C32" i="7"/>
  <c r="F59" i="7"/>
  <c r="F58" i="7"/>
  <c r="F45" i="7"/>
  <c r="D45" i="7"/>
  <c r="B58" i="2"/>
  <c r="B45" i="6"/>
  <c r="B46" i="6" s="1"/>
  <c r="B64" i="6" s="1"/>
  <c r="B45" i="5"/>
  <c r="B46" i="5" s="1"/>
  <c r="B64" i="5" s="1"/>
  <c r="B34" i="5"/>
  <c r="B59" i="5" s="1"/>
  <c r="B17" i="7"/>
  <c r="B23" i="6"/>
  <c r="B69" i="6" s="1"/>
  <c r="B34" i="6"/>
  <c r="B59" i="6" s="1"/>
  <c r="B23" i="5"/>
  <c r="B69" i="5" s="1"/>
  <c r="B35" i="2"/>
  <c r="B59" i="2" s="1"/>
  <c r="B62" i="7" l="1"/>
  <c r="C65" i="7"/>
  <c r="C62" i="7"/>
  <c r="C45" i="7"/>
  <c r="C46" i="7" s="1"/>
  <c r="B34" i="7"/>
  <c r="B59" i="7" s="1"/>
  <c r="C34" i="7"/>
  <c r="C59" i="7" s="1"/>
  <c r="C58" i="7"/>
  <c r="B65" i="7"/>
  <c r="B45" i="7"/>
  <c r="B46" i="7" s="1"/>
  <c r="B23" i="7"/>
  <c r="B69" i="7" s="1"/>
  <c r="C64" i="7" l="1"/>
  <c r="B64" i="7"/>
</calcChain>
</file>

<file path=xl/sharedStrings.xml><?xml version="1.0" encoding="utf-8"?>
<sst xmlns="http://schemas.openxmlformats.org/spreadsheetml/2006/main" count="558" uniqueCount="136">
  <si>
    <t>Indicador</t>
  </si>
  <si>
    <t>Total programa</t>
  </si>
  <si>
    <t>Producto</t>
  </si>
  <si>
    <t>Subs. Atención Directa</t>
  </si>
  <si>
    <t>Equipamiento</t>
  </si>
  <si>
    <t>Construcción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</si>
  <si>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</si>
  <si>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</si>
  <si>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</si>
  <si>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</si>
  <si>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</si>
  <si>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</si>
  <si>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</si>
  <si>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</si>
  <si>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</si>
  <si>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</si>
  <si>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</si>
  <si>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</si>
  <si>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</si>
  <si>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</si>
  <si>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</si>
  <si>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</si>
  <si>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</si>
  <si>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</si>
  <si>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</si>
  <si>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</si>
  <si>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</si>
  <si>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</si>
  <si>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</si>
  <si>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</si>
  <si>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</si>
  <si>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</si>
  <si>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</si>
  <si>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</si>
  <si>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</si>
  <si>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</si>
  <si>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</si>
  <si>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</si>
  <si>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</si>
  <si>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</si>
  <si>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</si>
  <si>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</si>
  <si>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</si>
  <si>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</si>
  <si>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</si>
  <si>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El Total de beneficiarios del programa contabiliza los beneficiarios distintos atendidos en el período al menos una vez</t>
  </si>
  <si>
    <t>Los índices del gasto medio se calculan tomando los beneficiarios promedio del programa</t>
  </si>
  <si>
    <t>Efectivos 1T 2012</t>
  </si>
  <si>
    <t>IPC (1T 2012)</t>
  </si>
  <si>
    <t>Gasto efectivo real 1T 2012</t>
  </si>
  <si>
    <t>Gasto efectivo real por beneficiario 1T 2012</t>
  </si>
  <si>
    <t>Efectivos 2T 2012</t>
  </si>
  <si>
    <t>IPC (2T 2012)</t>
  </si>
  <si>
    <t>Gasto efectivo real 2T 2012</t>
  </si>
  <si>
    <t>Gasto efectivo real por beneficiario 2T 2012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</si>
  <si>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</si>
  <si>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</si>
  <si>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</si>
  <si>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</si>
  <si>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</si>
  <si>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</si>
  <si>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</si>
  <si>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</si>
  <si>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1S 2012</t>
  </si>
  <si>
    <t>IPC (1S 2012)</t>
  </si>
  <si>
    <t>Gasto efectivo real 1S 2012</t>
  </si>
  <si>
    <t>Gasto efectivo real por beneficiario 1S 2012</t>
  </si>
  <si>
    <t>Efectivos 3T. Ac. 2012</t>
  </si>
  <si>
    <t>IPC (3T. Ac. 2012)</t>
  </si>
  <si>
    <t>Gasto efectivo real 3T. Ac. 2012</t>
  </si>
  <si>
    <t>Gasto efectivo real por beneficiario 3T. Ac. 2012</t>
  </si>
  <si>
    <t>Efectivos  2012</t>
  </si>
  <si>
    <t>IPC ( 2012)</t>
  </si>
  <si>
    <t>Gasto efectivo real  2012</t>
  </si>
  <si>
    <t>Gasto efectivo real por beneficiario  2012</t>
  </si>
  <si>
    <t>na</t>
  </si>
  <si>
    <t>Indicadores propuestos aplicado a Ciudad de los niños. Primer trimestre 2013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</si>
  <si>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</si>
  <si>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</si>
  <si>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</si>
  <si>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</si>
  <si>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</si>
  <si>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</si>
  <si>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</si>
  <si>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Indicadores propuestos aplicado a Ciudad de los niños. Segundo trimestre 2013</t>
  </si>
  <si>
    <t>Programados 2T 2013</t>
  </si>
  <si>
    <t>Efectivos 2T 2013</t>
  </si>
  <si>
    <t>En transferencias 2T 2013</t>
  </si>
  <si>
    <t>IPC (2T 2013)</t>
  </si>
  <si>
    <t>Gasto efectivo real 2T 2013</t>
  </si>
  <si>
    <t>Gasto efectivo real por beneficiario 2T 2013</t>
  </si>
  <si>
    <t>Indicadores propuestos aplicado a Ciudad de los niños. Tercer trimestre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</si>
  <si>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</si>
  <si>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</si>
  <si>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</si>
  <si>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</si>
  <si>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</si>
  <si>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</si>
  <si>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Indicadores propuestos aplicado a Ciudad de los niños. Cuarto trimestre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</si>
  <si>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</si>
  <si>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</si>
  <si>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</si>
  <si>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</si>
  <si>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</si>
  <si>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</si>
  <si>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Indicadores propuestos aplicado a Ciudad de los niños. Primer Semestre 2013</t>
  </si>
  <si>
    <t>Programados 1S 2013</t>
  </si>
  <si>
    <t>Efectivos 1S 2013</t>
  </si>
  <si>
    <t>En transferencias 1S 2013</t>
  </si>
  <si>
    <t>IPC (1S 2013)</t>
  </si>
  <si>
    <t>Gasto efectivo real 1S 2013</t>
  </si>
  <si>
    <t>Gasto efectivo real por beneficiario 1S 2013</t>
  </si>
  <si>
    <t>Indicadores propuestos aplicado a Ciudad de los niños. Tercer Trimestre Acumulado 2013</t>
  </si>
  <si>
    <t>Programados 3T. Ac. 2013</t>
  </si>
  <si>
    <t>Efectivos 3T. Ac. 2013</t>
  </si>
  <si>
    <t>En transferencias 3T. Ac. 2013</t>
  </si>
  <si>
    <t>IPC (3T. Ac. 2013)</t>
  </si>
  <si>
    <t>Gasto efectivo real 3T. Ac. 2013</t>
  </si>
  <si>
    <t>Gasto efectivo real por beneficiario 3T. Ac. 2013</t>
  </si>
  <si>
    <t>Indicadores propuestos aplicado a Ciudad de los niños.  Año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</si>
  <si>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</si>
  <si>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</si>
  <si>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</si>
  <si>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</si>
  <si>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</si>
  <si>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</si>
  <si>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n.d.</t>
  </si>
  <si>
    <t>Informes Trimestrales 2012 y 2013 de la Ciudad de los Niños</t>
  </si>
  <si>
    <t>Superávit</t>
  </si>
  <si>
    <t>Saldo de caja inicial</t>
  </si>
  <si>
    <t>Metas y Modificaciones CDN, DESAF 2013</t>
  </si>
  <si>
    <t>ENAHO 2012</t>
  </si>
  <si>
    <t>IPC, BCCR</t>
  </si>
  <si>
    <t>Notas:</t>
  </si>
  <si>
    <t>Promedio Mensual</t>
  </si>
  <si>
    <t>Fecha de actualización: 08/09/2014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</si>
</sst>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____"/>
    <numFmt numFmtId="166" formatCode="_(* #,##0_);_(* \(#,##0\);_(* &quot;-&quot;??_);_(@_)"/>
    <numFmt numFmtId="167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 indent="1"/>
    </xf>
    <xf numFmtId="4" fontId="0" fillId="0" borderId="0" xfId="0" applyNumberFormat="1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3" xfId="0" applyBorder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3" fontId="0" fillId="0" borderId="0" xfId="0" applyNumberFormat="1" applyFill="1"/>
    <xf numFmtId="165" fontId="0" fillId="0" borderId="0" xfId="0" applyNumberFormat="1" applyFill="1"/>
    <xf numFmtId="0" fontId="0" fillId="0" borderId="0" xfId="0" applyAlignment="1"/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3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3" xfId="0" applyFill="1" applyBorder="1"/>
    <xf numFmtId="164" fontId="0" fillId="0" borderId="0" xfId="0" applyNumberFormat="1" applyFill="1"/>
    <xf numFmtId="166" fontId="0" fillId="0" borderId="0" xfId="1" applyNumberFormat="1" applyFont="1" applyFill="1"/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/>
    <xf numFmtId="3" fontId="5" fillId="2" borderId="0" xfId="0" applyNumberFormat="1" applyFont="1" applyFill="1"/>
    <xf numFmtId="3" fontId="0" fillId="2" borderId="0" xfId="0" applyNumberFormat="1" applyFill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7" fontId="0" fillId="0" borderId="0" xfId="1" applyNumberFormat="1" applyFont="1"/>
    <xf numFmtId="4" fontId="7" fillId="0" borderId="0" xfId="0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166" fontId="0" fillId="2" borderId="0" xfId="1" applyNumberFormat="1" applyFont="1" applyFill="1"/>
    <xf numFmtId="4" fontId="0" fillId="2" borderId="0" xfId="0" applyNumberFormat="1" applyFill="1"/>
    <xf numFmtId="10" fontId="0" fillId="0" borderId="0" xfId="2" applyNumberFormat="1" applyFont="1" applyFill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Ciudad de los Niños: Indicadores de Resultado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(Anual!$B$4,Anual!$D$5:$F$5)</c:f>
              <c:strCache>
                <c:ptCount val="4"/>
                <c:pt idx="0">
                  <c:v>Total programa</c:v>
                </c:pt>
                <c:pt idx="1">
                  <c:v>Subs. Atención Directa</c:v>
                </c:pt>
                <c:pt idx="2">
                  <c:v>Equipamiento</c:v>
                </c:pt>
                <c:pt idx="3">
                  <c:v>Construcción</c:v>
                </c:pt>
              </c:strCache>
            </c:strRef>
          </c:cat>
          <c:val>
            <c:numRef>
              <c:f>Anual!$B$44:$B$44</c:f>
              <c:numCache>
                <c:formatCode>#,##0.00</c:formatCode>
                <c:ptCount val="1"/>
                <c:pt idx="0">
                  <c:v>103.62473347547973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(Anual!$B$4,Anual!$D$5:$F$5)</c:f>
              <c:strCache>
                <c:ptCount val="4"/>
                <c:pt idx="0">
                  <c:v>Total programa</c:v>
                </c:pt>
                <c:pt idx="1">
                  <c:v>Subs. Atención Directa</c:v>
                </c:pt>
                <c:pt idx="2">
                  <c:v>Equipamiento</c:v>
                </c:pt>
                <c:pt idx="3">
                  <c:v>Construcción</c:v>
                </c:pt>
              </c:strCache>
            </c:strRef>
          </c:cat>
          <c:val>
            <c:numRef>
              <c:f>(Anual!$B$45,Anual!$D$45:$F$45)</c:f>
              <c:numCache>
                <c:formatCode>#,##0.00</c:formatCode>
                <c:ptCount val="4"/>
                <c:pt idx="0">
                  <c:v>98.484012360212176</c:v>
                </c:pt>
                <c:pt idx="1">
                  <c:v>99.845723490749222</c:v>
                </c:pt>
                <c:pt idx="2">
                  <c:v>99.556832448123686</c:v>
                </c:pt>
                <c:pt idx="3">
                  <c:v>97.689987875160469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(Anual!$B$4,Anual!$D$5:$F$5)</c:f>
              <c:strCache>
                <c:ptCount val="4"/>
                <c:pt idx="0">
                  <c:v>Total programa</c:v>
                </c:pt>
                <c:pt idx="1">
                  <c:v>Subs. Atención Directa</c:v>
                </c:pt>
                <c:pt idx="2">
                  <c:v>Equipamiento</c:v>
                </c:pt>
                <c:pt idx="3">
                  <c:v>Construcción</c:v>
                </c:pt>
              </c:strCache>
            </c:strRef>
          </c:cat>
          <c:val>
            <c:numRef>
              <c:f>Anual!$B$46:$B$46</c:f>
              <c:numCache>
                <c:formatCode>#,##0.00</c:formatCode>
                <c:ptCount val="1"/>
                <c:pt idx="0">
                  <c:v>101.05437291784595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94994032"/>
        <c:axId val="394994424"/>
      </c:barChart>
      <c:catAx>
        <c:axId val="39499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R"/>
          </a:p>
        </c:txPr>
        <c:crossAx val="394994424"/>
        <c:crosses val="autoZero"/>
        <c:auto val="1"/>
        <c:lblAlgn val="ctr"/>
        <c:lblOffset val="100"/>
        <c:noMultiLvlLbl val="0"/>
      </c:catAx>
      <c:valAx>
        <c:axId val="394994424"/>
        <c:scaling>
          <c:orientation val="minMax"/>
          <c:min val="0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94994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Ciudad de los Niños: Indicadores de Expansión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(Anual!$B$4,Anual!$D$5:$F$5)</c:f>
              <c:strCache>
                <c:ptCount val="4"/>
                <c:pt idx="0">
                  <c:v>Total programa</c:v>
                </c:pt>
                <c:pt idx="1">
                  <c:v>Subs. Atención Directa</c:v>
                </c:pt>
                <c:pt idx="2">
                  <c:v>Equipamiento</c:v>
                </c:pt>
                <c:pt idx="3">
                  <c:v>Construcción</c:v>
                </c:pt>
              </c:strCache>
            </c:strRef>
          </c:cat>
          <c:val>
            <c:numRef>
              <c:f>Anual!$B$57:$B$57</c:f>
              <c:numCache>
                <c:formatCode>#,##0.00</c:formatCode>
                <c:ptCount val="1"/>
                <c:pt idx="0">
                  <c:v>15.714285714285726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(Anual!$B$4,Anual!$D$5:$F$5)</c:f>
              <c:strCache>
                <c:ptCount val="4"/>
                <c:pt idx="0">
                  <c:v>Total programa</c:v>
                </c:pt>
                <c:pt idx="1">
                  <c:v>Subs. Atención Directa</c:v>
                </c:pt>
                <c:pt idx="2">
                  <c:v>Equipamiento</c:v>
                </c:pt>
                <c:pt idx="3">
                  <c:v>Construcción</c:v>
                </c:pt>
              </c:strCache>
            </c:strRef>
          </c:cat>
          <c:val>
            <c:numRef>
              <c:f>(Anual!$B$58,Anual!$D$58:$F$58)</c:f>
              <c:numCache>
                <c:formatCode>#,##0.00</c:formatCode>
                <c:ptCount val="4"/>
                <c:pt idx="0">
                  <c:v>152.94115854321984</c:v>
                </c:pt>
                <c:pt idx="1">
                  <c:v>32.472171973890006</c:v>
                </c:pt>
                <c:pt idx="2">
                  <c:v>198.94874639503527</c:v>
                </c:pt>
                <c:pt idx="3">
                  <c:v>276.37458575558207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(Anual!$B$4,Anual!$D$5:$F$5)</c:f>
              <c:strCache>
                <c:ptCount val="4"/>
                <c:pt idx="0">
                  <c:v>Total programa</c:v>
                </c:pt>
                <c:pt idx="1">
                  <c:v>Subs. Atención Directa</c:v>
                </c:pt>
                <c:pt idx="2">
                  <c:v>Equipamiento</c:v>
                </c:pt>
                <c:pt idx="3">
                  <c:v>Construcción</c:v>
                </c:pt>
              </c:strCache>
            </c:strRef>
          </c:cat>
          <c:val>
            <c:numRef>
              <c:f>(Anual!$B$59,Anual!$D$59:$F$59)</c:f>
              <c:numCache>
                <c:formatCode>#,##0.00</c:formatCode>
                <c:ptCount val="4"/>
                <c:pt idx="0">
                  <c:v>118.59112466698014</c:v>
                </c:pt>
                <c:pt idx="1">
                  <c:v>12.738928552260088</c:v>
                </c:pt>
                <c:pt idx="2">
                  <c:v>154.41691532966209</c:v>
                </c:pt>
                <c:pt idx="3">
                  <c:v>220.30929137893455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94995208"/>
        <c:axId val="394995600"/>
      </c:barChart>
      <c:catAx>
        <c:axId val="394995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4995600"/>
        <c:crosses val="autoZero"/>
        <c:auto val="1"/>
        <c:lblAlgn val="ctr"/>
        <c:lblOffset val="300"/>
        <c:noMultiLvlLbl val="0"/>
      </c:catAx>
      <c:valAx>
        <c:axId val="3949956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949952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Ciudad de los Niños: Indicadores de Gasto Medio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Anual!$C$62</c:f>
              <c:numCache>
                <c:formatCode>_(* #,##0_);_(* \(#,##0\);_(* "-"??_);_(@_)</c:formatCode>
                <c:ptCount val="1"/>
                <c:pt idx="0">
                  <c:v>216052.59193168307</c:v>
                </c:pt>
              </c:numCache>
            </c:numRef>
          </c:val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Anual!$C$63</c:f>
              <c:numCache>
                <c:formatCode>_(* #,##0_);_(* \(#,##0\);_(* "-"??_);_(@_)</c:formatCode>
                <c:ptCount val="1"/>
                <c:pt idx="0">
                  <c:v>212398.42942325328</c:v>
                </c:pt>
              </c:numCache>
            </c:numRef>
          </c:val>
        </c:ser>
        <c:ser>
          <c:idx val="2"/>
          <c:order val="2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Anual!$C$65</c:f>
              <c:numCache>
                <c:formatCode>#,##0</c:formatCode>
                <c:ptCount val="1"/>
                <c:pt idx="0">
                  <c:v>2376578.5112485136</c:v>
                </c:pt>
              </c:numCache>
            </c:numRef>
          </c:val>
        </c:ser>
        <c:ser>
          <c:idx val="3"/>
          <c:order val="3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Anual!$C$66</c:f>
              <c:numCache>
                <c:formatCode>#,##0</c:formatCode>
                <c:ptCount val="1"/>
                <c:pt idx="0">
                  <c:v>2336382.7236557864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4996384"/>
        <c:axId val="394996776"/>
      </c:barChart>
      <c:catAx>
        <c:axId val="394996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4996776"/>
        <c:crosses val="autoZero"/>
        <c:auto val="1"/>
        <c:lblAlgn val="ctr"/>
        <c:lblOffset val="100"/>
        <c:noMultiLvlLbl val="0"/>
      </c:catAx>
      <c:valAx>
        <c:axId val="39499677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3949963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Ciudad de los Niños: Indicadores de Giro de Recursos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99.91212532253148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#,##0.00</c:formatCode>
                <c:ptCount val="1"/>
                <c:pt idx="0">
                  <c:v>98.570630984268305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7172080"/>
        <c:axId val="397172472"/>
      </c:barChart>
      <c:catAx>
        <c:axId val="39717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7172472"/>
        <c:crosses val="autoZero"/>
        <c:auto val="1"/>
        <c:lblAlgn val="ctr"/>
        <c:lblOffset val="100"/>
        <c:noMultiLvlLbl val="0"/>
      </c:catAx>
      <c:valAx>
        <c:axId val="397172472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one"/>
        <c:crossAx val="3971720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Ciudad de los Niños: Índice de eficiencia 2013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Anual!$B$4:$B$5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Anual!$B$64</c:f>
              <c:numCache>
                <c:formatCode>#,##0.00</c:formatCode>
                <c:ptCount val="1"/>
                <c:pt idx="0">
                  <c:v>106.32926308731643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173256"/>
        <c:axId val="397173648"/>
      </c:barChart>
      <c:catAx>
        <c:axId val="397173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97173648"/>
        <c:crosses val="autoZero"/>
        <c:auto val="1"/>
        <c:lblAlgn val="ctr"/>
        <c:lblOffset val="100"/>
        <c:noMultiLvlLbl val="0"/>
      </c:catAx>
      <c:valAx>
        <c:axId val="3971736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397173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545042</xdr:colOff>
      <xdr:row>6</xdr:row>
      <xdr:rowOff>124882</xdr:rowOff>
    </xdr:from>
    <xdr:to>
      <xdr:col>13</xdr:col>
      <xdr:colOff>285750</xdr:colOff>
      <xdr:row>22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575733</xdr:colOff>
      <xdr:row>24</xdr:row>
      <xdr:rowOff>3174</xdr:rowOff>
    </xdr:from>
    <xdr:to>
      <xdr:col>13</xdr:col>
      <xdr:colOff>314325</xdr:colOff>
      <xdr:row>39</xdr:row>
      <xdr:rowOff>171449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811741</xdr:colOff>
      <xdr:row>41</xdr:row>
      <xdr:rowOff>171450</xdr:rowOff>
    </xdr:from>
    <xdr:to>
      <xdr:col>13</xdr:col>
      <xdr:colOff>542924</xdr:colOff>
      <xdr:row>57</xdr:row>
      <xdr:rowOff>161925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336551</xdr:colOff>
      <xdr:row>59</xdr:row>
      <xdr:rowOff>137583</xdr:rowOff>
    </xdr:from>
    <xdr:to>
      <xdr:col>13</xdr:col>
      <xdr:colOff>336551</xdr:colOff>
      <xdr:row>74</xdr:row>
      <xdr:rowOff>4233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1058</xdr:colOff>
      <xdr:row>75</xdr:row>
      <xdr:rowOff>77258</xdr:rowOff>
    </xdr:from>
    <xdr:to>
      <xdr:col>13</xdr:col>
      <xdr:colOff>1058</xdr:colOff>
      <xdr:row>89</xdr:row>
      <xdr:rowOff>153458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7"/>
  <sheetViews>
    <sheetView workbookViewId="0">
      <selection activeCell="A165" sqref="A165:F167"/>
    </sheetView>
  </sheetViews>
  <sheetFormatPr baseColWidth="10" defaultColWidth="11.42578125" defaultRowHeight="15" x14ac:dyDescent="0.25"/>
  <cols>
    <col min="1" max="1" width="55.140625" customWidth="1"/>
    <col min="2" max="2" width="15.140625" bestFit="1" customWidth="1"/>
    <col min="3" max="3" width="15.140625" customWidth="1"/>
    <col min="4" max="4" width="20.7109375" customWidth="1"/>
    <col min="5" max="5" width="13.7109375" customWidth="1"/>
    <col min="6" max="6" width="15.140625" bestFit="1" customWidth="1"/>
    <col min="7" max="7" width="13.7109375" bestFit="1" customWidth="1"/>
  </cols>
  <sheetData>
    <row r="2" spans="1:7" ht="15.75" x14ac:dyDescent="0.25">
      <c r="A2" s="41" t="s">
        <v>76</v>
      </c>
      <c r="B2" s="41"/>
      <c r="C2" s="41"/>
      <c r="D2" s="41"/>
      <c r="E2" s="41"/>
      <c r="F2" s="41"/>
    </row>
    <row r="4" spans="1:7" ht="15" customHeight="1" x14ac:dyDescent="0.25">
      <c r="A4" s="42" t="s">
        <v>0</v>
      </c>
      <c r="B4" s="44" t="s">
        <v>1</v>
      </c>
      <c r="C4" s="47" t="s">
        <v>134</v>
      </c>
      <c r="D4" s="46" t="s">
        <v>2</v>
      </c>
      <c r="E4" s="46"/>
      <c r="F4" s="46"/>
    </row>
    <row r="5" spans="1:7" ht="15.75" thickBot="1" x14ac:dyDescent="0.3">
      <c r="A5" s="43"/>
      <c r="B5" s="45"/>
      <c r="C5" s="48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47</v>
      </c>
      <c r="B10" s="13">
        <v>420</v>
      </c>
      <c r="C10" s="13">
        <v>406</v>
      </c>
      <c r="D10" s="6"/>
      <c r="E10" s="6"/>
      <c r="F10" s="6"/>
      <c r="G10" s="4"/>
    </row>
    <row r="11" spans="1:7" x14ac:dyDescent="0.25">
      <c r="A11" s="5" t="s">
        <v>77</v>
      </c>
      <c r="B11" s="13">
        <v>469</v>
      </c>
      <c r="C11" s="13">
        <v>455</v>
      </c>
      <c r="D11" s="6"/>
      <c r="E11" s="6"/>
      <c r="F11" s="6"/>
      <c r="G11" s="4"/>
    </row>
    <row r="12" spans="1:7" x14ac:dyDescent="0.25">
      <c r="A12" s="5" t="s">
        <v>78</v>
      </c>
      <c r="B12" s="13">
        <v>486</v>
      </c>
      <c r="C12" s="13">
        <v>464</v>
      </c>
      <c r="D12" s="4"/>
    </row>
    <row r="13" spans="1:7" x14ac:dyDescent="0.25">
      <c r="A13" s="5" t="s">
        <v>79</v>
      </c>
      <c r="B13" s="13">
        <v>469</v>
      </c>
      <c r="C13" s="13">
        <v>417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47</v>
      </c>
      <c r="B16" s="25">
        <f>SUM(D16:F16)</f>
        <v>147442194.56</v>
      </c>
      <c r="C16" s="25"/>
      <c r="D16" s="25">
        <v>11823986.74</v>
      </c>
      <c r="E16" s="26">
        <v>8247780</v>
      </c>
      <c r="F16" s="25">
        <v>127370427.81999999</v>
      </c>
      <c r="G16" s="4"/>
    </row>
    <row r="17" spans="1:8" x14ac:dyDescent="0.25">
      <c r="A17" s="5" t="s">
        <v>77</v>
      </c>
      <c r="B17" s="25">
        <f>SUM(D17:F17)</f>
        <v>549676575</v>
      </c>
      <c r="C17" s="25"/>
      <c r="D17" s="25">
        <f>28140000+24074901</f>
        <v>52214901</v>
      </c>
      <c r="E17" s="25">
        <v>100055924</v>
      </c>
      <c r="F17" s="25">
        <v>397405750</v>
      </c>
      <c r="G17" s="4"/>
    </row>
    <row r="18" spans="1:8" x14ac:dyDescent="0.25">
      <c r="A18" s="5" t="s">
        <v>78</v>
      </c>
      <c r="B18" s="25">
        <f>SUM(D18:F18)</f>
        <v>71628282.609999999</v>
      </c>
      <c r="C18" s="25"/>
      <c r="D18" s="25">
        <v>27972702.07</v>
      </c>
      <c r="E18" s="26">
        <v>19118120.539999999</v>
      </c>
      <c r="F18" s="25">
        <v>24537460</v>
      </c>
      <c r="G18" s="4"/>
    </row>
    <row r="19" spans="1:8" x14ac:dyDescent="0.25">
      <c r="A19" s="5" t="s">
        <v>79</v>
      </c>
      <c r="B19" s="25">
        <f>SUM(D19:F19)</f>
        <v>956171575</v>
      </c>
      <c r="C19" s="25"/>
      <c r="D19" s="25">
        <f>240614901</f>
        <v>240614901</v>
      </c>
      <c r="E19" s="25">
        <v>118150924</v>
      </c>
      <c r="F19" s="25">
        <v>597405750</v>
      </c>
      <c r="G19" s="4"/>
    </row>
    <row r="20" spans="1:8" x14ac:dyDescent="0.25">
      <c r="A20" s="5" t="s">
        <v>80</v>
      </c>
      <c r="B20" s="6">
        <f>D20</f>
        <v>27972702.07</v>
      </c>
      <c r="C20" s="6"/>
      <c r="D20" s="6">
        <f>D18</f>
        <v>27972702.07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77</v>
      </c>
      <c r="B23" s="13">
        <f>B17</f>
        <v>549676575</v>
      </c>
      <c r="C23" s="13"/>
      <c r="D23" s="33" t="s">
        <v>128</v>
      </c>
      <c r="E23" s="6"/>
      <c r="F23" s="6"/>
      <c r="G23" s="4"/>
      <c r="H23" s="8"/>
    </row>
    <row r="24" spans="1:8" x14ac:dyDescent="0.25">
      <c r="A24" s="5" t="s">
        <v>78</v>
      </c>
      <c r="B24" s="13">
        <v>64640340</v>
      </c>
      <c r="C24" s="13"/>
      <c r="D24" s="13">
        <v>355066175.01999998</v>
      </c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48</v>
      </c>
      <c r="B27" s="6">
        <v>1.5060713566999999</v>
      </c>
      <c r="C27" s="6">
        <v>1.5060713566999999</v>
      </c>
      <c r="D27" s="6">
        <v>1.5060713566999999</v>
      </c>
      <c r="E27" s="6">
        <v>1.5060713566999999</v>
      </c>
      <c r="F27" s="6">
        <v>1.5060713566999999</v>
      </c>
      <c r="G27" s="4"/>
    </row>
    <row r="28" spans="1:8" x14ac:dyDescent="0.25">
      <c r="A28" t="s">
        <v>81</v>
      </c>
      <c r="B28" s="6">
        <v>1.5987436681</v>
      </c>
      <c r="C28" s="6">
        <v>1.5987436681</v>
      </c>
      <c r="D28" s="6">
        <v>1.5987436681</v>
      </c>
      <c r="E28" s="6">
        <v>1.5987436681</v>
      </c>
      <c r="F28" s="6">
        <v>1.5987436681</v>
      </c>
      <c r="G28" s="4"/>
    </row>
    <row r="29" spans="1:8" x14ac:dyDescent="0.25">
      <c r="A29" t="s">
        <v>11</v>
      </c>
      <c r="B29" s="28" t="s">
        <v>126</v>
      </c>
      <c r="C29" s="28" t="s">
        <v>126</v>
      </c>
      <c r="D29" s="28" t="s">
        <v>126</v>
      </c>
      <c r="E29" s="28" t="s">
        <v>126</v>
      </c>
      <c r="F29" s="28" t="s">
        <v>126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49</v>
      </c>
      <c r="B32" s="25">
        <f>B16/B27</f>
        <v>97898545.048400104</v>
      </c>
      <c r="C32" s="25">
        <f>B16/B27</f>
        <v>97898545.048400104</v>
      </c>
      <c r="D32" s="25">
        <f>D16/D27</f>
        <v>7850880.8280557888</v>
      </c>
      <c r="E32" s="25">
        <f t="shared" ref="E32:F32" si="0">E16/E27</f>
        <v>5476354.0673610372</v>
      </c>
      <c r="F32" s="25">
        <f t="shared" si="0"/>
        <v>84571310.152983278</v>
      </c>
      <c r="G32" s="6"/>
    </row>
    <row r="33" spans="1:7" x14ac:dyDescent="0.25">
      <c r="A33" t="s">
        <v>82</v>
      </c>
      <c r="B33" s="25">
        <f>B18/B28</f>
        <v>44802856.167133674</v>
      </c>
      <c r="C33" s="25">
        <f>B18/B28</f>
        <v>44802856.167133674</v>
      </c>
      <c r="D33" s="25">
        <f>D18/D28</f>
        <v>17496677.314909205</v>
      </c>
      <c r="E33" s="25">
        <f>E18/E28</f>
        <v>11958215.016870471</v>
      </c>
      <c r="F33" s="25">
        <f t="shared" ref="F33" si="1">F18/F28</f>
        <v>15347963.835354</v>
      </c>
      <c r="G33" s="4"/>
    </row>
    <row r="34" spans="1:7" x14ac:dyDescent="0.25">
      <c r="A34" t="s">
        <v>50</v>
      </c>
      <c r="B34" s="25">
        <f>B32/$B$10</f>
        <v>233091.77392476215</v>
      </c>
      <c r="C34" s="25">
        <f>C32/C10</f>
        <v>241129.42130147808</v>
      </c>
      <c r="D34" s="25">
        <f>D32/$C$10</f>
        <v>19337.144896689137</v>
      </c>
      <c r="E34" s="25">
        <f t="shared" ref="E34:F34" si="2">E32/$C$10</f>
        <v>13488.55681616019</v>
      </c>
      <c r="F34" s="25">
        <f t="shared" si="2"/>
        <v>208303.71958862877</v>
      </c>
      <c r="G34" s="4"/>
    </row>
    <row r="35" spans="1:7" x14ac:dyDescent="0.25">
      <c r="A35" t="s">
        <v>83</v>
      </c>
      <c r="B35" s="25">
        <f>B33/$B$12</f>
        <v>92186.946845954066</v>
      </c>
      <c r="C35" s="25">
        <f>C33/C12</f>
        <v>96557.87967054671</v>
      </c>
      <c r="D35" s="25">
        <f>D33/$C$12</f>
        <v>37708.356282131906</v>
      </c>
      <c r="E35" s="25">
        <f t="shared" ref="E35:F35" si="3">E33/$C$12</f>
        <v>25772.01512256567</v>
      </c>
      <c r="F35" s="25">
        <f t="shared" si="3"/>
        <v>33077.508265849137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75</v>
      </c>
      <c r="C40" s="6" t="s">
        <v>75</v>
      </c>
      <c r="D40" s="6" t="s">
        <v>75</v>
      </c>
      <c r="E40" s="6" t="s">
        <v>75</v>
      </c>
      <c r="F40" s="6" t="s">
        <v>75</v>
      </c>
      <c r="G40" s="4"/>
    </row>
    <row r="41" spans="1:7" x14ac:dyDescent="0.25">
      <c r="A41" t="s">
        <v>16</v>
      </c>
      <c r="B41" s="6" t="s">
        <v>75</v>
      </c>
      <c r="C41" s="6" t="s">
        <v>75</v>
      </c>
      <c r="D41" s="6" t="s">
        <v>75</v>
      </c>
      <c r="E41" s="6" t="s">
        <v>75</v>
      </c>
      <c r="F41" s="6" t="s">
        <v>75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t="s">
        <v>18</v>
      </c>
      <c r="B44" s="39">
        <f>B12/B11*100</f>
        <v>103.62473347547973</v>
      </c>
      <c r="C44" s="6">
        <f>C12/C11*100</f>
        <v>101.97802197802197</v>
      </c>
      <c r="D44" s="6"/>
      <c r="E44" s="6"/>
      <c r="F44" s="6"/>
      <c r="G44" s="4"/>
    </row>
    <row r="45" spans="1:7" x14ac:dyDescent="0.25">
      <c r="A45" t="s">
        <v>19</v>
      </c>
      <c r="B45" s="39">
        <f>B18/B17*100</f>
        <v>13.030986923537718</v>
      </c>
      <c r="C45" s="6">
        <f>B18/B17*100</f>
        <v>13.030986923537718</v>
      </c>
      <c r="D45" s="6">
        <f>D18/D17*100</f>
        <v>53.572259133460776</v>
      </c>
      <c r="E45" s="6">
        <f t="shared" ref="E45" si="4">E18/E17*100</f>
        <v>19.107434898107581</v>
      </c>
      <c r="F45" s="6">
        <f>F18/F17*100</f>
        <v>6.1744099072547387</v>
      </c>
      <c r="G45" s="4"/>
    </row>
    <row r="46" spans="1:7" x14ac:dyDescent="0.25">
      <c r="A46" t="s">
        <v>20</v>
      </c>
      <c r="B46" s="39">
        <f>AVERAGE(B44:B45)</f>
        <v>58.32786019950872</v>
      </c>
      <c r="C46" s="6">
        <f>AVERAGE(C44:C45)</f>
        <v>57.504504450779848</v>
      </c>
      <c r="D46" s="6"/>
      <c r="E46" s="6"/>
      <c r="F46" s="6"/>
      <c r="G46" s="4"/>
    </row>
    <row r="47" spans="1:7" x14ac:dyDescent="0.25">
      <c r="B47" s="6"/>
      <c r="C47" s="6"/>
      <c r="D47" s="6"/>
      <c r="E47" s="6"/>
      <c r="F47" s="6"/>
      <c r="G47" s="4"/>
    </row>
    <row r="48" spans="1:7" x14ac:dyDescent="0.25">
      <c r="A48" t="s">
        <v>21</v>
      </c>
      <c r="B48" s="6"/>
      <c r="C48" s="6"/>
      <c r="D48" s="6"/>
      <c r="E48" s="6"/>
      <c r="F48" s="6"/>
      <c r="G48" s="4"/>
    </row>
    <row r="49" spans="1:7" x14ac:dyDescent="0.25">
      <c r="A49" t="s">
        <v>22</v>
      </c>
      <c r="B49" s="6">
        <f>(B12/B13)*100</f>
        <v>103.62473347547973</v>
      </c>
      <c r="C49" s="6">
        <f>(C12/C13)*100</f>
        <v>111.27098321342925</v>
      </c>
      <c r="D49" s="6"/>
      <c r="E49" s="6"/>
      <c r="F49" s="6"/>
      <c r="G49" s="4"/>
    </row>
    <row r="50" spans="1:7" x14ac:dyDescent="0.25">
      <c r="A50" t="s">
        <v>23</v>
      </c>
      <c r="B50" s="6">
        <f>B18/B19*100</f>
        <v>7.4911537304379703</v>
      </c>
      <c r="C50" s="6">
        <f>B18/B19*100</f>
        <v>7.4911537304379703</v>
      </c>
      <c r="D50" s="6">
        <f>D18/D19*100</f>
        <v>11.625506963095358</v>
      </c>
      <c r="E50" s="6">
        <f t="shared" ref="E50:F50" si="5">E18/E19*100</f>
        <v>16.18110116515043</v>
      </c>
      <c r="F50" s="6">
        <f t="shared" si="5"/>
        <v>4.1073357596574853</v>
      </c>
      <c r="G50" s="4"/>
    </row>
    <row r="51" spans="1:7" x14ac:dyDescent="0.25">
      <c r="A51" t="s">
        <v>24</v>
      </c>
      <c r="B51" s="6">
        <f>(B49+B50)/2</f>
        <v>55.557943602958851</v>
      </c>
      <c r="C51" s="6">
        <f>(C49+C50)/2</f>
        <v>59.381068471933609</v>
      </c>
      <c r="D51" s="6"/>
      <c r="E51" s="6"/>
      <c r="F51" s="6"/>
      <c r="G51" s="4"/>
    </row>
    <row r="52" spans="1:7" x14ac:dyDescent="0.25">
      <c r="B52" s="6"/>
      <c r="C52" s="6"/>
      <c r="D52" s="6"/>
      <c r="E52" s="6"/>
      <c r="F52" s="6"/>
      <c r="G52" s="4"/>
    </row>
    <row r="53" spans="1:7" x14ac:dyDescent="0.25">
      <c r="A53" t="s">
        <v>36</v>
      </c>
      <c r="B53" s="6"/>
      <c r="C53" s="6"/>
      <c r="D53" s="6"/>
      <c r="E53" s="6"/>
      <c r="F53" s="6"/>
      <c r="G53" s="4"/>
    </row>
    <row r="54" spans="1:7" x14ac:dyDescent="0.25">
      <c r="A54" t="s">
        <v>25</v>
      </c>
      <c r="B54" s="6">
        <f>B20/B18*100</f>
        <v>39.052593543677595</v>
      </c>
      <c r="C54" s="6"/>
      <c r="D54" s="6"/>
      <c r="E54" s="6"/>
      <c r="F54" s="6"/>
      <c r="G54" s="4"/>
    </row>
    <row r="55" spans="1:7" x14ac:dyDescent="0.25">
      <c r="B55" s="6"/>
      <c r="C55" s="6"/>
      <c r="D55" s="6"/>
      <c r="E55" s="6"/>
      <c r="F55" s="6"/>
      <c r="G55" s="4"/>
    </row>
    <row r="56" spans="1:7" x14ac:dyDescent="0.25">
      <c r="A56" t="s">
        <v>26</v>
      </c>
      <c r="B56" s="6"/>
      <c r="C56" s="6"/>
      <c r="D56" s="6"/>
      <c r="E56" s="6"/>
      <c r="F56" s="6"/>
      <c r="G56" s="4"/>
    </row>
    <row r="57" spans="1:7" x14ac:dyDescent="0.25">
      <c r="A57" t="s">
        <v>27</v>
      </c>
      <c r="B57" s="6">
        <f>((B12/B10)-1)*100</f>
        <v>15.714285714285726</v>
      </c>
      <c r="C57" s="6">
        <f>((C12/C10)-1)*100</f>
        <v>14.285714285714279</v>
      </c>
      <c r="D57" s="6"/>
      <c r="E57" s="6"/>
      <c r="F57" s="6"/>
      <c r="G57" s="4"/>
    </row>
    <row r="58" spans="1:7" x14ac:dyDescent="0.25">
      <c r="A58" t="s">
        <v>28</v>
      </c>
      <c r="B58" s="6">
        <f>((B33/B32)-1)*100</f>
        <v>-54.23542183902368</v>
      </c>
      <c r="C58" s="6">
        <f>((C33/C32)-1)*100</f>
        <v>-54.23542183902368</v>
      </c>
      <c r="D58" s="6">
        <f t="shared" ref="D58:F58" si="6">((D33/D32)-1)*100</f>
        <v>122.86260227493639</v>
      </c>
      <c r="E58" s="6">
        <f t="shared" si="6"/>
        <v>118.36088152410009</v>
      </c>
      <c r="F58" s="6">
        <f t="shared" si="6"/>
        <v>-81.852044378181361</v>
      </c>
      <c r="G58" s="4"/>
    </row>
    <row r="59" spans="1:7" x14ac:dyDescent="0.25">
      <c r="A59" t="s">
        <v>29</v>
      </c>
      <c r="B59" s="6">
        <f>((B35/B34)-1)*100</f>
        <v>-60.450364552242689</v>
      </c>
      <c r="C59" s="6">
        <f>((C35/C34)-1)*100</f>
        <v>-59.955994109145713</v>
      </c>
      <c r="D59" s="6">
        <f t="shared" ref="D59:F59" si="7">((D35/D34)-1)*100</f>
        <v>95.004776990569312</v>
      </c>
      <c r="E59" s="6">
        <f t="shared" si="7"/>
        <v>91.065771333587591</v>
      </c>
      <c r="F59" s="6">
        <f t="shared" si="7"/>
        <v>-84.1205388309087</v>
      </c>
      <c r="G59" s="4"/>
    </row>
    <row r="60" spans="1:7" x14ac:dyDescent="0.25">
      <c r="B60" s="6"/>
      <c r="C60" s="6"/>
      <c r="D60" s="6"/>
      <c r="E60" s="6"/>
      <c r="F60" s="6"/>
      <c r="G60" s="4"/>
    </row>
    <row r="61" spans="1:7" x14ac:dyDescent="0.25">
      <c r="A61" t="s">
        <v>30</v>
      </c>
      <c r="B61" s="6"/>
      <c r="C61" s="6"/>
      <c r="D61" s="6"/>
      <c r="E61" s="6"/>
      <c r="F61" s="6"/>
      <c r="G61" s="4"/>
    </row>
    <row r="62" spans="1:7" x14ac:dyDescent="0.25">
      <c r="A62" t="s">
        <v>37</v>
      </c>
      <c r="B62" s="13">
        <f>B17/($B$11*2)</f>
        <v>586009.14179104473</v>
      </c>
      <c r="C62" s="13">
        <f>B17/(C11*2)</f>
        <v>604040.19230769225</v>
      </c>
      <c r="D62" s="38">
        <f>D17/($C$11*2)</f>
        <v>57379.012087912088</v>
      </c>
      <c r="E62" s="38">
        <f>E17/($C$11*2)</f>
        <v>109951.56483516484</v>
      </c>
      <c r="F62" s="38">
        <f>F17/($C$11*2)</f>
        <v>436709.61538461538</v>
      </c>
      <c r="G62" s="4"/>
    </row>
    <row r="63" spans="1:7" x14ac:dyDescent="0.25">
      <c r="A63" t="s">
        <v>38</v>
      </c>
      <c r="B63" s="13">
        <f>B18/($B$12*2)</f>
        <v>73691.648775720168</v>
      </c>
      <c r="C63" s="13">
        <f>B18/(C12*2)</f>
        <v>77185.64936422414</v>
      </c>
      <c r="D63" s="38">
        <f>D18/($C$12*2)</f>
        <v>30142.997920258622</v>
      </c>
      <c r="E63" s="38">
        <f>E18/($C$12*2)</f>
        <v>20601.422995689652</v>
      </c>
      <c r="F63" s="38">
        <f>F18/($C$12*2)</f>
        <v>26441.228448275862</v>
      </c>
    </row>
    <row r="64" spans="1:7" x14ac:dyDescent="0.25">
      <c r="A64" s="16" t="s">
        <v>31</v>
      </c>
      <c r="B64" s="6">
        <f>(B62/B63)*B46</f>
        <v>463.83355327074645</v>
      </c>
      <c r="C64" s="6">
        <f>(C62/C63)*C46</f>
        <v>450.01930038963218</v>
      </c>
      <c r="D64" s="6"/>
      <c r="E64" s="6"/>
      <c r="F64" s="6"/>
      <c r="G64" s="4"/>
    </row>
    <row r="65" spans="1:12" x14ac:dyDescent="0.25">
      <c r="A65" s="14" t="s">
        <v>39</v>
      </c>
      <c r="B65" s="13">
        <f>B17/($B$11)</f>
        <v>1172018.2835820895</v>
      </c>
      <c r="C65" s="13">
        <f>B17/(C11)</f>
        <v>1208080.3846153845</v>
      </c>
      <c r="D65" s="29">
        <f>D17/($C$11)</f>
        <v>114758.02417582418</v>
      </c>
      <c r="E65" s="29">
        <f t="shared" ref="E65:F65" si="8">E17/($C$11)</f>
        <v>219903.12967032968</v>
      </c>
      <c r="F65" s="29">
        <f t="shared" si="8"/>
        <v>873419.23076923075</v>
      </c>
      <c r="G65" s="4"/>
    </row>
    <row r="66" spans="1:12" x14ac:dyDescent="0.25">
      <c r="A66" s="14" t="s">
        <v>40</v>
      </c>
      <c r="B66" s="13">
        <f>B18/($B$12)</f>
        <v>147383.29755144034</v>
      </c>
      <c r="C66" s="13">
        <f>B18/(C12)</f>
        <v>154371.29872844828</v>
      </c>
      <c r="D66" s="29">
        <f>D18/($C$12)</f>
        <v>60285.995840517244</v>
      </c>
      <c r="E66" s="29">
        <f t="shared" ref="E66:F66" si="9">E18/($C$12)</f>
        <v>41202.845991379305</v>
      </c>
      <c r="F66" s="29">
        <f t="shared" si="9"/>
        <v>52882.456896551725</v>
      </c>
      <c r="G66" s="4"/>
    </row>
    <row r="67" spans="1:12" x14ac:dyDescent="0.25">
      <c r="B67" s="6"/>
      <c r="C67" s="6"/>
      <c r="D67" s="6"/>
      <c r="E67" s="6"/>
      <c r="F67" s="6"/>
      <c r="G67" s="4"/>
    </row>
    <row r="68" spans="1:12" x14ac:dyDescent="0.25">
      <c r="A68" t="s">
        <v>32</v>
      </c>
      <c r="B68" s="6"/>
      <c r="C68" s="6"/>
      <c r="D68" s="6"/>
      <c r="E68" s="6"/>
      <c r="F68" s="6"/>
      <c r="G68" s="4"/>
    </row>
    <row r="69" spans="1:12" x14ac:dyDescent="0.25">
      <c r="A69" t="s">
        <v>33</v>
      </c>
      <c r="B69" s="6">
        <f>((B24+D24)/B23)*100</f>
        <v>76.355175772225692</v>
      </c>
      <c r="C69" s="6"/>
      <c r="D69" s="6"/>
      <c r="E69" s="6"/>
      <c r="F69" s="6"/>
      <c r="G69" s="4"/>
      <c r="H69" s="8"/>
    </row>
    <row r="70" spans="1:12" x14ac:dyDescent="0.25">
      <c r="A70" t="s">
        <v>34</v>
      </c>
      <c r="B70" s="6">
        <f>(B18/(B24+D24))*100</f>
        <v>17.06627846998914</v>
      </c>
      <c r="C70" s="6"/>
      <c r="D70" s="6"/>
      <c r="E70" s="6"/>
      <c r="F70" s="6"/>
      <c r="G70" s="4"/>
      <c r="H70" s="8"/>
    </row>
    <row r="71" spans="1:12" ht="15.75" thickBot="1" x14ac:dyDescent="0.3">
      <c r="A71" s="9"/>
      <c r="B71" s="9"/>
      <c r="C71" s="9"/>
      <c r="D71" s="9"/>
      <c r="E71" s="9"/>
      <c r="F71" s="9"/>
    </row>
    <row r="72" spans="1:12" ht="15.75" thickTop="1" x14ac:dyDescent="0.25"/>
    <row r="73" spans="1:12" x14ac:dyDescent="0.25">
      <c r="A73" s="10" t="s">
        <v>35</v>
      </c>
    </row>
    <row r="74" spans="1:12" x14ac:dyDescent="0.25">
      <c r="A74" s="10" t="s">
        <v>127</v>
      </c>
    </row>
    <row r="75" spans="1:12" x14ac:dyDescent="0.25">
      <c r="A75" s="11" t="s">
        <v>130</v>
      </c>
      <c r="B75" s="12"/>
      <c r="C75" s="12"/>
      <c r="D75" s="12"/>
      <c r="E75" s="12"/>
    </row>
    <row r="76" spans="1:12" x14ac:dyDescent="0.25">
      <c r="A76" s="35" t="s">
        <v>131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7"/>
    </row>
    <row r="77" spans="1:12" x14ac:dyDescent="0.25">
      <c r="A77" s="11" t="s">
        <v>132</v>
      </c>
      <c r="B77" s="12"/>
      <c r="C77" s="12"/>
      <c r="D77" s="12"/>
      <c r="E77" s="12"/>
    </row>
    <row r="78" spans="1:12" x14ac:dyDescent="0.25">
      <c r="A78" s="34" t="s">
        <v>133</v>
      </c>
    </row>
    <row r="79" spans="1:12" x14ac:dyDescent="0.25">
      <c r="A79" s="15" t="s">
        <v>45</v>
      </c>
    </row>
    <row r="80" spans="1:12" x14ac:dyDescent="0.25">
      <c r="A80" s="15" t="s">
        <v>46</v>
      </c>
    </row>
    <row r="82" spans="1:1" x14ac:dyDescent="0.25">
      <c r="A82" t="s">
        <v>135</v>
      </c>
    </row>
    <row r="165" spans="1:5" x14ac:dyDescent="0.25">
      <c r="A165" s="27"/>
      <c r="B165" s="27"/>
      <c r="C165" s="27"/>
      <c r="D165" s="27"/>
      <c r="E165" s="27"/>
    </row>
    <row r="166" spans="1:5" x14ac:dyDescent="0.25">
      <c r="A166" s="27"/>
      <c r="B166" s="32"/>
      <c r="C166" s="32"/>
      <c r="D166" s="32"/>
      <c r="E166" s="32"/>
    </row>
    <row r="167" spans="1:5" x14ac:dyDescent="0.25">
      <c r="A167" s="27"/>
      <c r="B167" s="32"/>
      <c r="C167" s="32"/>
      <c r="D167" s="32"/>
      <c r="E167" s="32"/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topLeftCell="A73" workbookViewId="0">
      <selection activeCell="B71" sqref="B71"/>
    </sheetView>
  </sheetViews>
  <sheetFormatPr baseColWidth="10" defaultColWidth="11.42578125" defaultRowHeight="15" x14ac:dyDescent="0.25"/>
  <cols>
    <col min="1" max="1" width="55.140625" customWidth="1"/>
    <col min="2" max="2" width="13.85546875" bestFit="1" customWidth="1"/>
    <col min="3" max="3" width="13.85546875" customWidth="1"/>
    <col min="4" max="4" width="20.7109375" customWidth="1"/>
    <col min="5" max="5" width="13.7109375" customWidth="1"/>
    <col min="6" max="7" width="13.7109375" bestFit="1" customWidth="1"/>
  </cols>
  <sheetData>
    <row r="2" spans="1:7" ht="15.75" x14ac:dyDescent="0.25">
      <c r="A2" s="41" t="s">
        <v>84</v>
      </c>
      <c r="B2" s="41"/>
      <c r="C2" s="41"/>
      <c r="D2" s="41"/>
      <c r="E2" s="41"/>
      <c r="F2" s="41"/>
    </row>
    <row r="4" spans="1:7" ht="15" customHeight="1" x14ac:dyDescent="0.25">
      <c r="A4" s="42" t="s">
        <v>0</v>
      </c>
      <c r="B4" s="47" t="s">
        <v>1</v>
      </c>
      <c r="C4" s="47" t="s">
        <v>134</v>
      </c>
      <c r="D4" s="46" t="s">
        <v>2</v>
      </c>
      <c r="E4" s="46"/>
      <c r="F4" s="46"/>
    </row>
    <row r="5" spans="1:7" ht="15.75" thickBot="1" x14ac:dyDescent="0.3">
      <c r="A5" s="43"/>
      <c r="B5" s="48"/>
      <c r="C5" s="48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51</v>
      </c>
      <c r="B10" s="13">
        <v>376</v>
      </c>
      <c r="C10" s="13">
        <v>365</v>
      </c>
      <c r="D10" s="6"/>
      <c r="E10" s="6"/>
      <c r="F10" s="6"/>
      <c r="G10" s="4"/>
    </row>
    <row r="11" spans="1:7" x14ac:dyDescent="0.25">
      <c r="A11" s="5" t="s">
        <v>85</v>
      </c>
      <c r="B11" s="13">
        <v>431</v>
      </c>
      <c r="C11" s="13">
        <v>425</v>
      </c>
      <c r="D11" s="6"/>
      <c r="E11" s="6"/>
      <c r="F11" s="6"/>
      <c r="G11" s="4"/>
    </row>
    <row r="12" spans="1:7" x14ac:dyDescent="0.25">
      <c r="A12" s="5" t="s">
        <v>86</v>
      </c>
      <c r="B12" s="13">
        <v>431</v>
      </c>
      <c r="C12" s="13">
        <v>425</v>
      </c>
      <c r="D12" s="4"/>
    </row>
    <row r="13" spans="1:7" x14ac:dyDescent="0.25">
      <c r="A13" s="5" t="s">
        <v>79</v>
      </c>
      <c r="B13" s="13">
        <v>469</v>
      </c>
      <c r="C13" s="13">
        <v>417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51</v>
      </c>
      <c r="B16" s="13">
        <f>SUM(D16:F16)</f>
        <v>49174065.659999996</v>
      </c>
      <c r="C16" s="13"/>
      <c r="D16" s="13">
        <v>48502555.659999996</v>
      </c>
      <c r="E16" s="30">
        <v>671510</v>
      </c>
      <c r="F16" s="31">
        <v>0</v>
      </c>
      <c r="G16" s="4"/>
    </row>
    <row r="17" spans="1:8" x14ac:dyDescent="0.25">
      <c r="A17" s="5" t="s">
        <v>85</v>
      </c>
      <c r="B17" s="13">
        <f>SUM(D17:F17)</f>
        <v>322531468</v>
      </c>
      <c r="C17" s="13"/>
      <c r="D17" s="13">
        <v>66800000</v>
      </c>
      <c r="E17" s="13">
        <v>41605001</v>
      </c>
      <c r="F17" s="13">
        <v>214126467</v>
      </c>
      <c r="G17" s="4"/>
    </row>
    <row r="18" spans="1:8" x14ac:dyDescent="0.25">
      <c r="A18" s="5" t="s">
        <v>86</v>
      </c>
      <c r="B18" s="13">
        <f>SUM(D18:F18)</f>
        <v>319467530.15999997</v>
      </c>
      <c r="C18" s="13"/>
      <c r="D18" s="13">
        <v>89777038.159999996</v>
      </c>
      <c r="E18" s="30">
        <v>63720943.969999999</v>
      </c>
      <c r="F18" s="31">
        <v>165969548.03</v>
      </c>
      <c r="G18" s="4"/>
    </row>
    <row r="19" spans="1:8" x14ac:dyDescent="0.25">
      <c r="A19" s="5" t="s">
        <v>79</v>
      </c>
      <c r="B19" s="13">
        <f>SUM(D19:F19)</f>
        <v>993808043</v>
      </c>
      <c r="C19" s="13"/>
      <c r="D19" s="13">
        <v>240614901</v>
      </c>
      <c r="E19" s="13">
        <v>141660925</v>
      </c>
      <c r="F19" s="13">
        <v>611532217</v>
      </c>
      <c r="G19" s="4"/>
    </row>
    <row r="20" spans="1:8" x14ac:dyDescent="0.25">
      <c r="A20" s="5" t="s">
        <v>87</v>
      </c>
      <c r="B20" s="6">
        <f>D20</f>
        <v>89777038.159999996</v>
      </c>
      <c r="C20" s="6"/>
      <c r="D20" s="6">
        <f>D18</f>
        <v>89777038.159999996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85</v>
      </c>
      <c r="B23" s="13">
        <f>B17</f>
        <v>322531468</v>
      </c>
      <c r="C23" s="13"/>
      <c r="D23" s="33" t="s">
        <v>129</v>
      </c>
      <c r="E23" s="6"/>
      <c r="F23" s="6"/>
      <c r="G23" s="4"/>
      <c r="H23" s="8"/>
    </row>
    <row r="24" spans="1:8" x14ac:dyDescent="0.25">
      <c r="A24" s="5" t="s">
        <v>86</v>
      </c>
      <c r="B24" s="13">
        <v>78925829</v>
      </c>
      <c r="C24" s="13"/>
      <c r="D24" s="13">
        <v>348078232.40999997</v>
      </c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52</v>
      </c>
      <c r="B27" s="6">
        <v>1.5319088546000001</v>
      </c>
      <c r="C27" s="6">
        <v>1.5319088546000001</v>
      </c>
      <c r="D27" s="6">
        <v>1.5319088545999999</v>
      </c>
      <c r="E27" s="6">
        <v>1.5319088545999999</v>
      </c>
      <c r="F27" s="6">
        <v>1.5319088545999999</v>
      </c>
      <c r="G27" s="4"/>
    </row>
    <row r="28" spans="1:8" x14ac:dyDescent="0.25">
      <c r="A28" t="s">
        <v>88</v>
      </c>
      <c r="B28" s="6">
        <v>1.6173</v>
      </c>
      <c r="C28" s="6">
        <v>1.6173</v>
      </c>
      <c r="D28" s="6">
        <v>1.6173</v>
      </c>
      <c r="E28" s="6">
        <v>1.6173</v>
      </c>
      <c r="F28" s="6">
        <v>1.6173</v>
      </c>
      <c r="G28" s="4"/>
    </row>
    <row r="29" spans="1:8" x14ac:dyDescent="0.25">
      <c r="A29" t="s">
        <v>11</v>
      </c>
      <c r="B29" s="29"/>
      <c r="C29" s="29"/>
      <c r="D29" s="29"/>
      <c r="E29" s="29"/>
      <c r="F29" s="29"/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53</v>
      </c>
      <c r="B32" s="13">
        <f>B16/B27</f>
        <v>32099863.847865764</v>
      </c>
      <c r="C32" s="25">
        <f>B16/B27</f>
        <v>32099863.847865764</v>
      </c>
      <c r="D32" s="25">
        <f>D16/D27</f>
        <v>31661515.314280629</v>
      </c>
      <c r="E32" s="25">
        <f t="shared" ref="E32:F32" si="0">E16/E27</f>
        <v>438348.53358513908</v>
      </c>
      <c r="F32" s="25">
        <f t="shared" si="0"/>
        <v>0</v>
      </c>
      <c r="G32" s="6"/>
    </row>
    <row r="33" spans="1:7" x14ac:dyDescent="0.25">
      <c r="A33" t="s">
        <v>89</v>
      </c>
      <c r="B33" s="13">
        <f>B18/B28</f>
        <v>197531398.10795769</v>
      </c>
      <c r="C33" s="25">
        <f>B18/B28</f>
        <v>197531398.10795769</v>
      </c>
      <c r="D33" s="25">
        <f>D18/D28</f>
        <v>55510442.193779759</v>
      </c>
      <c r="E33" s="25">
        <f>E18/E28</f>
        <v>39399582.000865638</v>
      </c>
      <c r="F33" s="25">
        <f t="shared" ref="F33" si="1">F18/F28</f>
        <v>102621373.91331232</v>
      </c>
      <c r="G33" s="4"/>
    </row>
    <row r="34" spans="1:7" x14ac:dyDescent="0.25">
      <c r="A34" t="s">
        <v>54</v>
      </c>
      <c r="B34" s="13">
        <f>B32/B10</f>
        <v>85371.978318791924</v>
      </c>
      <c r="C34" s="25">
        <f>C32/C10</f>
        <v>87944.832459906203</v>
      </c>
      <c r="D34" s="25">
        <f>D32/$C$10</f>
        <v>86743.877573371588</v>
      </c>
      <c r="E34" s="25">
        <f t="shared" ref="E34:F34" si="2">E32/$C$10</f>
        <v>1200.9548865346276</v>
      </c>
      <c r="F34" s="25">
        <f t="shared" si="2"/>
        <v>0</v>
      </c>
      <c r="G34" s="4"/>
    </row>
    <row r="35" spans="1:7" x14ac:dyDescent="0.25">
      <c r="A35" t="s">
        <v>90</v>
      </c>
      <c r="B35" s="13">
        <f>B33/B12</f>
        <v>458309.50837113155</v>
      </c>
      <c r="C35" s="25">
        <f>C33/C12</f>
        <v>464779.76025401813</v>
      </c>
      <c r="D35" s="25">
        <f>D33/$C$12</f>
        <v>130612.80516183472</v>
      </c>
      <c r="E35" s="25">
        <f t="shared" ref="E35:F35" si="3">E33/$C$12</f>
        <v>92704.898825566212</v>
      </c>
      <c r="F35" s="25">
        <f t="shared" si="3"/>
        <v>241462.0562666172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75</v>
      </c>
      <c r="C40" s="6" t="s">
        <v>75</v>
      </c>
      <c r="D40" s="6" t="s">
        <v>75</v>
      </c>
      <c r="E40" s="6" t="s">
        <v>75</v>
      </c>
      <c r="F40" s="6" t="s">
        <v>75</v>
      </c>
      <c r="G40" s="4"/>
    </row>
    <row r="41" spans="1:7" x14ac:dyDescent="0.25">
      <c r="A41" t="s">
        <v>16</v>
      </c>
      <c r="B41" s="6" t="s">
        <v>75</v>
      </c>
      <c r="C41" s="6" t="s">
        <v>75</v>
      </c>
      <c r="D41" s="6" t="s">
        <v>75</v>
      </c>
      <c r="E41" s="6" t="s">
        <v>75</v>
      </c>
      <c r="F41" s="6" t="s">
        <v>75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s="16" t="s">
        <v>18</v>
      </c>
      <c r="B44" s="39">
        <f>B12/B11*100</f>
        <v>100</v>
      </c>
      <c r="C44" s="6">
        <f>C12/C11*100</f>
        <v>100</v>
      </c>
      <c r="D44" s="6"/>
      <c r="E44" s="6"/>
      <c r="F44" s="6"/>
      <c r="G44" s="4"/>
    </row>
    <row r="45" spans="1:7" x14ac:dyDescent="0.25">
      <c r="A45" s="16" t="s">
        <v>19</v>
      </c>
      <c r="B45" s="39">
        <f>B18/B17*100</f>
        <v>99.050034448111575</v>
      </c>
      <c r="C45" s="6">
        <f>B18/B17*100</f>
        <v>99.050034448111575</v>
      </c>
      <c r="D45" s="6">
        <f>D18/D17*100</f>
        <v>134.39676371257485</v>
      </c>
      <c r="E45" s="6">
        <f t="shared" ref="E45" si="4">E18/E17*100</f>
        <v>153.15693411472338</v>
      </c>
      <c r="F45" s="6">
        <f>F18/F17*100</f>
        <v>77.510057656721159</v>
      </c>
      <c r="G45" s="4"/>
    </row>
    <row r="46" spans="1:7" x14ac:dyDescent="0.25">
      <c r="A46" s="16" t="s">
        <v>20</v>
      </c>
      <c r="B46" s="39">
        <f>AVERAGE(B44:B45)</f>
        <v>99.525017224055787</v>
      </c>
      <c r="C46" s="6">
        <f>AVERAGE(C44:C45)</f>
        <v>99.525017224055787</v>
      </c>
      <c r="D46" s="6"/>
      <c r="E46" s="6"/>
      <c r="F46" s="6"/>
      <c r="G46" s="4"/>
    </row>
    <row r="47" spans="1:7" x14ac:dyDescent="0.25">
      <c r="A47" s="16"/>
      <c r="B47" s="6"/>
      <c r="C47" s="6"/>
      <c r="D47" s="6"/>
      <c r="E47" s="6"/>
      <c r="F47" s="6"/>
      <c r="G47" s="4"/>
    </row>
    <row r="48" spans="1:7" x14ac:dyDescent="0.25">
      <c r="A48" s="16" t="s">
        <v>21</v>
      </c>
      <c r="B48" s="6"/>
      <c r="C48" s="6"/>
      <c r="D48" s="6"/>
      <c r="E48" s="6"/>
      <c r="F48" s="6"/>
      <c r="G48" s="4"/>
    </row>
    <row r="49" spans="1:7" x14ac:dyDescent="0.25">
      <c r="A49" s="16" t="s">
        <v>22</v>
      </c>
      <c r="B49" s="6">
        <f>(B12/B13)*100</f>
        <v>91.89765458422174</v>
      </c>
      <c r="C49" s="6">
        <f>(C12/C13)*100</f>
        <v>101.91846522781776</v>
      </c>
      <c r="D49" s="6"/>
      <c r="E49" s="6"/>
      <c r="F49" s="6"/>
      <c r="G49" s="4"/>
    </row>
    <row r="50" spans="1:7" x14ac:dyDescent="0.25">
      <c r="A50" s="16" t="s">
        <v>23</v>
      </c>
      <c r="B50" s="6">
        <f>B18/B19*100</f>
        <v>32.145798417532021</v>
      </c>
      <c r="C50" s="6">
        <f>B18/B19*100</f>
        <v>32.145798417532021</v>
      </c>
      <c r="D50" s="6">
        <f>D18/D19*100</f>
        <v>37.311503895596218</v>
      </c>
      <c r="E50" s="6">
        <f t="shared" ref="E50:F50" si="5">E18/E19*100</f>
        <v>44.981312927329817</v>
      </c>
      <c r="F50" s="6">
        <f t="shared" si="5"/>
        <v>27.139951651966687</v>
      </c>
      <c r="G50" s="4"/>
    </row>
    <row r="51" spans="1:7" x14ac:dyDescent="0.25">
      <c r="A51" s="16" t="s">
        <v>24</v>
      </c>
      <c r="B51" s="6">
        <f>(B49+B50)/2</f>
        <v>62.021726500876881</v>
      </c>
      <c r="C51" s="6">
        <f>(C49+C50)/2</f>
        <v>67.032131822674899</v>
      </c>
      <c r="D51" s="6"/>
      <c r="E51" s="6"/>
      <c r="F51" s="6"/>
      <c r="G51" s="4"/>
    </row>
    <row r="52" spans="1:7" x14ac:dyDescent="0.25">
      <c r="A52" s="16"/>
      <c r="B52" s="6"/>
      <c r="C52" s="6"/>
      <c r="D52" s="6"/>
      <c r="E52" s="6"/>
      <c r="F52" s="6"/>
      <c r="G52" s="4"/>
    </row>
    <row r="53" spans="1:7" x14ac:dyDescent="0.25">
      <c r="A53" s="16" t="s">
        <v>36</v>
      </c>
      <c r="B53" s="6"/>
      <c r="C53" s="6"/>
      <c r="D53" s="6"/>
      <c r="E53" s="6"/>
      <c r="F53" s="6"/>
      <c r="G53" s="4"/>
    </row>
    <row r="54" spans="1:7" x14ac:dyDescent="0.25">
      <c r="A54" s="16" t="s">
        <v>25</v>
      </c>
      <c r="B54" s="6">
        <f>B20/B18*100</f>
        <v>28.102085402869164</v>
      </c>
      <c r="C54" s="6"/>
      <c r="D54" s="6"/>
      <c r="E54" s="6"/>
      <c r="F54" s="6"/>
      <c r="G54" s="4"/>
    </row>
    <row r="55" spans="1:7" x14ac:dyDescent="0.25">
      <c r="A55" s="16"/>
      <c r="B55" s="6"/>
      <c r="C55" s="6"/>
      <c r="D55" s="6"/>
      <c r="E55" s="6"/>
      <c r="F55" s="6"/>
      <c r="G55" s="4"/>
    </row>
    <row r="56" spans="1:7" x14ac:dyDescent="0.25">
      <c r="A56" s="16" t="s">
        <v>26</v>
      </c>
      <c r="B56" s="6"/>
      <c r="C56" s="6"/>
      <c r="D56" s="6"/>
      <c r="E56" s="6"/>
      <c r="F56" s="6"/>
      <c r="G56" s="4"/>
    </row>
    <row r="57" spans="1:7" x14ac:dyDescent="0.25">
      <c r="A57" s="16" t="s">
        <v>27</v>
      </c>
      <c r="B57" s="6">
        <f>((B12/B10)-1)*100</f>
        <v>14.627659574468076</v>
      </c>
      <c r="C57" s="6">
        <f>((C12/C10)-1)*100</f>
        <v>16.43835616438356</v>
      </c>
      <c r="D57" s="6"/>
      <c r="E57" s="6"/>
      <c r="F57" s="6"/>
      <c r="G57" s="4"/>
    </row>
    <row r="58" spans="1:7" x14ac:dyDescent="0.25">
      <c r="A58" s="16" t="s">
        <v>28</v>
      </c>
      <c r="B58" s="6">
        <f>((B33/B32)-1)*100</f>
        <v>515.3652209994998</v>
      </c>
      <c r="C58" s="6">
        <f>((C33/C32)-1)*100</f>
        <v>515.3652209994998</v>
      </c>
      <c r="D58" s="6">
        <f t="shared" ref="D58:F58" si="6">((D33/D32)-1)*100</f>
        <v>75.324654056409912</v>
      </c>
      <c r="E58" s="6">
        <f t="shared" si="6"/>
        <v>8888.1861081242059</v>
      </c>
      <c r="F58" s="6" t="e">
        <f t="shared" si="6"/>
        <v>#DIV/0!</v>
      </c>
      <c r="G58" s="4"/>
    </row>
    <row r="59" spans="1:7" x14ac:dyDescent="0.25">
      <c r="A59" s="16" t="s">
        <v>29</v>
      </c>
      <c r="B59" s="6">
        <f>((B35/B34)-1)*100</f>
        <v>436.83833664921565</v>
      </c>
      <c r="C59" s="6">
        <f>((C35/C34)-1)*100</f>
        <v>428.49013097604097</v>
      </c>
      <c r="D59" s="6">
        <f t="shared" ref="D59:F59" si="7">((D35/D34)-1)*100</f>
        <v>50.572938189622633</v>
      </c>
      <c r="E59" s="6">
        <f t="shared" si="7"/>
        <v>7619.2657163890244</v>
      </c>
      <c r="F59" s="6" t="e">
        <f t="shared" si="7"/>
        <v>#DIV/0!</v>
      </c>
      <c r="G59" s="4"/>
    </row>
    <row r="60" spans="1:7" x14ac:dyDescent="0.25">
      <c r="A60" s="16"/>
      <c r="B60" s="6"/>
      <c r="C60" s="6"/>
      <c r="D60" s="6"/>
      <c r="E60" s="6"/>
      <c r="F60" s="6"/>
      <c r="G60" s="4"/>
    </row>
    <row r="61" spans="1:7" x14ac:dyDescent="0.25">
      <c r="A61" s="16" t="s">
        <v>30</v>
      </c>
      <c r="B61" s="6"/>
      <c r="C61" s="6"/>
      <c r="D61" s="6"/>
      <c r="E61" s="6"/>
      <c r="F61" s="6"/>
      <c r="G61" s="4"/>
    </row>
    <row r="62" spans="1:7" x14ac:dyDescent="0.25">
      <c r="A62" s="16" t="s">
        <v>37</v>
      </c>
      <c r="B62" s="25">
        <f>B17/($B$11*3)</f>
        <v>249444.29079659705</v>
      </c>
      <c r="C62" s="25">
        <f>B17/(C11*3)</f>
        <v>252965.85725490196</v>
      </c>
      <c r="D62" s="38">
        <f>D17/($C$11*3)</f>
        <v>52392.156862745098</v>
      </c>
      <c r="E62" s="38">
        <f t="shared" ref="E62:F62" si="8">E17/($C$11*3)</f>
        <v>32631.373333333333</v>
      </c>
      <c r="F62" s="38">
        <f t="shared" si="8"/>
        <v>167942.32705882352</v>
      </c>
    </row>
    <row r="63" spans="1:7" x14ac:dyDescent="0.25">
      <c r="A63" s="16" t="s">
        <v>38</v>
      </c>
      <c r="B63" s="25">
        <f>B18/($B$12*3)</f>
        <v>247074.655962877</v>
      </c>
      <c r="C63" s="25">
        <f>B18/(C12*3)</f>
        <v>250562.76875294116</v>
      </c>
      <c r="D63" s="38">
        <f>D18/($C$12*3)</f>
        <v>70413.363262745101</v>
      </c>
      <c r="E63" s="38">
        <f t="shared" ref="E63:F63" si="9">E18/($C$12*3)</f>
        <v>49977.210956862742</v>
      </c>
      <c r="F63" s="38">
        <f t="shared" si="9"/>
        <v>130172.19453333333</v>
      </c>
      <c r="G63" s="4"/>
    </row>
    <row r="64" spans="1:7" x14ac:dyDescent="0.25">
      <c r="A64" s="16" t="s">
        <v>31</v>
      </c>
      <c r="B64" s="6">
        <f>(B62/B63)*B46</f>
        <v>100.47953822387919</v>
      </c>
      <c r="C64" s="6">
        <f>(C62/C63)*C46</f>
        <v>100.47953822387919</v>
      </c>
      <c r="D64" s="6"/>
      <c r="E64" s="6"/>
      <c r="F64" s="6"/>
      <c r="G64" s="4"/>
    </row>
    <row r="65" spans="1:12" x14ac:dyDescent="0.25">
      <c r="A65" s="14" t="s">
        <v>39</v>
      </c>
      <c r="B65" s="25">
        <f>B17/($B$11)</f>
        <v>748332.87238979118</v>
      </c>
      <c r="C65" s="25">
        <f>B17/C11</f>
        <v>758897.57176470594</v>
      </c>
      <c r="D65" s="29">
        <f>D17/($C$11)</f>
        <v>157176.4705882353</v>
      </c>
      <c r="E65" s="29">
        <f t="shared" ref="E65:F65" si="10">E17/($C$11)</f>
        <v>97894.12</v>
      </c>
      <c r="F65" s="29">
        <f t="shared" si="10"/>
        <v>503826.98117647058</v>
      </c>
      <c r="G65" s="4"/>
    </row>
    <row r="66" spans="1:12" x14ac:dyDescent="0.25">
      <c r="A66" s="14" t="s">
        <v>40</v>
      </c>
      <c r="B66" s="25">
        <f>B18/($B$12)</f>
        <v>741223.96788863104</v>
      </c>
      <c r="C66" s="25">
        <f>B18/C12</f>
        <v>751688.30625882349</v>
      </c>
      <c r="D66" s="29">
        <f>D18/($C$12)</f>
        <v>211240.08978823529</v>
      </c>
      <c r="E66" s="29">
        <f t="shared" ref="E66:F66" si="11">E18/($C$12)</f>
        <v>149931.63287058822</v>
      </c>
      <c r="F66" s="29">
        <f t="shared" si="11"/>
        <v>390516.58360000001</v>
      </c>
      <c r="G66" s="4"/>
    </row>
    <row r="67" spans="1:12" x14ac:dyDescent="0.25">
      <c r="B67" s="6"/>
      <c r="C67" s="6"/>
      <c r="D67" s="6"/>
      <c r="E67" s="6"/>
      <c r="F67" s="6"/>
      <c r="G67" s="4"/>
    </row>
    <row r="68" spans="1:12" x14ac:dyDescent="0.25">
      <c r="A68" t="s">
        <v>32</v>
      </c>
      <c r="B68" s="6"/>
      <c r="C68" s="6"/>
      <c r="D68" s="6"/>
      <c r="E68" s="6"/>
      <c r="F68" s="6"/>
      <c r="G68" s="4"/>
      <c r="H68" s="8"/>
    </row>
    <row r="69" spans="1:12" x14ac:dyDescent="0.25">
      <c r="A69" t="s">
        <v>33</v>
      </c>
      <c r="B69" s="6">
        <f>(B24/B23)*100</f>
        <v>24.470737534360524</v>
      </c>
      <c r="C69" s="6"/>
      <c r="D69" s="6"/>
      <c r="E69" s="6"/>
      <c r="F69" s="6"/>
      <c r="G69" s="4"/>
      <c r="H69" s="8"/>
    </row>
    <row r="70" spans="1:12" x14ac:dyDescent="0.25">
      <c r="A70" t="s">
        <v>34</v>
      </c>
      <c r="B70" s="6">
        <f>(B18/B24)*100</f>
        <v>404.769305825093</v>
      </c>
      <c r="C70" s="6"/>
      <c r="D70" s="6"/>
      <c r="E70" s="6"/>
      <c r="F70" s="6"/>
    </row>
    <row r="71" spans="1:12" ht="15.75" thickBot="1" x14ac:dyDescent="0.3">
      <c r="A71" s="9"/>
      <c r="B71" s="9"/>
      <c r="C71" s="9"/>
      <c r="D71" s="9"/>
      <c r="E71" s="9"/>
      <c r="F71" s="9"/>
    </row>
    <row r="72" spans="1:12" ht="15.75" thickTop="1" x14ac:dyDescent="0.25"/>
    <row r="73" spans="1:12" x14ac:dyDescent="0.25">
      <c r="A73" s="10" t="s">
        <v>35</v>
      </c>
    </row>
    <row r="74" spans="1:12" x14ac:dyDescent="0.25">
      <c r="A74" s="10" t="s">
        <v>127</v>
      </c>
    </row>
    <row r="75" spans="1:12" x14ac:dyDescent="0.25">
      <c r="A75" s="11" t="s">
        <v>130</v>
      </c>
      <c r="B75" s="12"/>
      <c r="C75" s="12"/>
      <c r="D75" s="12"/>
      <c r="E75" s="12"/>
    </row>
    <row r="76" spans="1:12" ht="15" customHeight="1" x14ac:dyDescent="0.25">
      <c r="A76" s="35" t="s">
        <v>131</v>
      </c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7"/>
    </row>
    <row r="77" spans="1:12" x14ac:dyDescent="0.25">
      <c r="A77" s="11" t="s">
        <v>132</v>
      </c>
      <c r="B77" s="12"/>
      <c r="C77" s="12"/>
      <c r="D77" s="12"/>
      <c r="E77" s="12"/>
    </row>
    <row r="78" spans="1:12" x14ac:dyDescent="0.25">
      <c r="A78" s="34" t="s">
        <v>133</v>
      </c>
    </row>
    <row r="79" spans="1:12" x14ac:dyDescent="0.25">
      <c r="A79" s="15" t="s">
        <v>45</v>
      </c>
    </row>
    <row r="80" spans="1:12" x14ac:dyDescent="0.25">
      <c r="A80" s="15" t="s">
        <v>46</v>
      </c>
    </row>
    <row r="82" spans="1:1" x14ac:dyDescent="0.25">
      <c r="A82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88" workbookViewId="0">
      <selection activeCell="B71" sqref="B71"/>
    </sheetView>
  </sheetViews>
  <sheetFormatPr baseColWidth="10" defaultColWidth="11.42578125" defaultRowHeight="15" x14ac:dyDescent="0.25"/>
  <cols>
    <col min="1" max="1" width="55.140625" customWidth="1"/>
    <col min="2" max="2" width="13.85546875" bestFit="1" customWidth="1"/>
    <col min="3" max="3" width="13.85546875" customWidth="1"/>
    <col min="4" max="4" width="20.7109375" customWidth="1"/>
    <col min="5" max="5" width="13.7109375" customWidth="1"/>
    <col min="6" max="7" width="13.7109375" bestFit="1" customWidth="1"/>
  </cols>
  <sheetData>
    <row r="2" spans="1:7" ht="15.75" x14ac:dyDescent="0.25">
      <c r="A2" s="41" t="s">
        <v>91</v>
      </c>
      <c r="B2" s="41"/>
      <c r="C2" s="41"/>
      <c r="D2" s="41"/>
      <c r="E2" s="41"/>
      <c r="F2" s="41"/>
    </row>
    <row r="4" spans="1:7" ht="15" customHeight="1" x14ac:dyDescent="0.25">
      <c r="A4" s="42" t="s">
        <v>0</v>
      </c>
      <c r="B4" s="47" t="s">
        <v>1</v>
      </c>
      <c r="C4" s="47" t="s">
        <v>134</v>
      </c>
      <c r="D4" s="46" t="s">
        <v>2</v>
      </c>
      <c r="E4" s="46"/>
      <c r="F4" s="46"/>
    </row>
    <row r="5" spans="1:7" ht="15.75" thickBot="1" x14ac:dyDescent="0.3">
      <c r="A5" s="43"/>
      <c r="B5" s="48"/>
      <c r="C5" s="48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55</v>
      </c>
      <c r="B10" s="13">
        <v>345</v>
      </c>
      <c r="C10" s="13">
        <v>338</v>
      </c>
      <c r="D10" s="6"/>
      <c r="E10" s="6"/>
      <c r="F10" s="6"/>
      <c r="G10" s="4"/>
    </row>
    <row r="11" spans="1:7" x14ac:dyDescent="0.25">
      <c r="A11" s="5" t="s">
        <v>92</v>
      </c>
      <c r="B11" s="13">
        <v>417</v>
      </c>
      <c r="C11" s="13">
        <v>408</v>
      </c>
      <c r="D11" s="6"/>
      <c r="E11" s="6"/>
      <c r="F11" s="6"/>
      <c r="G11" s="4"/>
    </row>
    <row r="12" spans="1:7" x14ac:dyDescent="0.25">
      <c r="A12" s="5" t="s">
        <v>93</v>
      </c>
      <c r="B12" s="13">
        <v>417</v>
      </c>
      <c r="C12" s="13">
        <v>408</v>
      </c>
      <c r="D12" s="4"/>
    </row>
    <row r="13" spans="1:7" x14ac:dyDescent="0.25">
      <c r="A13" s="5" t="s">
        <v>79</v>
      </c>
      <c r="B13" s="13">
        <v>469</v>
      </c>
      <c r="C13" s="13">
        <v>417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55</v>
      </c>
      <c r="B16" s="13">
        <f>SUM(D16:F16)</f>
        <v>57858673.32</v>
      </c>
      <c r="C16" s="13"/>
      <c r="D16" s="13">
        <v>56677355.32</v>
      </c>
      <c r="E16" s="30">
        <v>0</v>
      </c>
      <c r="F16" s="31">
        <v>1181318</v>
      </c>
      <c r="G16" s="4"/>
    </row>
    <row r="17" spans="1:8" x14ac:dyDescent="0.25">
      <c r="A17" s="5" t="s">
        <v>92</v>
      </c>
      <c r="B17" s="13">
        <f>SUM(D17:F17)</f>
        <v>66300000</v>
      </c>
      <c r="C17" s="13"/>
      <c r="D17" s="13">
        <v>66300000</v>
      </c>
      <c r="E17" s="13">
        <v>0</v>
      </c>
      <c r="F17" s="13">
        <v>0</v>
      </c>
      <c r="G17" s="4"/>
    </row>
    <row r="18" spans="1:8" x14ac:dyDescent="0.25">
      <c r="A18" s="5" t="s">
        <v>93</v>
      </c>
      <c r="B18" s="13">
        <f>SUM(D18:F18)</f>
        <v>193029200.94</v>
      </c>
      <c r="C18" s="13"/>
      <c r="D18" s="13">
        <v>66302551.939999998</v>
      </c>
      <c r="E18" s="30">
        <v>27183389</v>
      </c>
      <c r="F18" s="31">
        <v>99543260</v>
      </c>
      <c r="G18" s="4"/>
    </row>
    <row r="19" spans="1:8" x14ac:dyDescent="0.25">
      <c r="A19" s="5" t="s">
        <v>79</v>
      </c>
      <c r="B19" s="13">
        <f>SUM(D19:F19)</f>
        <v>999351264</v>
      </c>
      <c r="C19" s="13"/>
      <c r="D19" s="13">
        <v>246158122</v>
      </c>
      <c r="E19" s="13">
        <v>141660925</v>
      </c>
      <c r="F19" s="13">
        <v>611532217</v>
      </c>
      <c r="G19" s="4"/>
    </row>
    <row r="20" spans="1:8" x14ac:dyDescent="0.25">
      <c r="A20" s="5" t="s">
        <v>94</v>
      </c>
      <c r="B20" s="6">
        <f>D20</f>
        <v>66302551.939999998</v>
      </c>
      <c r="C20" s="6"/>
      <c r="D20" s="6">
        <f>D18</f>
        <v>66302551.939999998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92</v>
      </c>
      <c r="B23" s="13">
        <f>B17</f>
        <v>66300000</v>
      </c>
      <c r="C23" s="13"/>
      <c r="D23" s="33" t="s">
        <v>129</v>
      </c>
      <c r="E23" s="6"/>
      <c r="F23" s="6"/>
      <c r="G23" s="4"/>
      <c r="H23" s="8"/>
    </row>
    <row r="24" spans="1:8" x14ac:dyDescent="0.25">
      <c r="A24" s="5" t="s">
        <v>93</v>
      </c>
      <c r="B24" s="13">
        <v>374401902.75999999</v>
      </c>
      <c r="C24" s="13"/>
      <c r="D24" s="13">
        <v>107536531.25</v>
      </c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56</v>
      </c>
      <c r="B27" s="6">
        <v>1.5396358920333333</v>
      </c>
      <c r="C27" s="6">
        <v>1.5396358920333333</v>
      </c>
      <c r="D27" s="6">
        <v>1.5396358920333333</v>
      </c>
      <c r="E27" s="6">
        <v>1.5396358920333333</v>
      </c>
      <c r="F27" s="6">
        <v>1.5396358920333333</v>
      </c>
      <c r="G27" s="4"/>
    </row>
    <row r="28" spans="1:8" x14ac:dyDescent="0.25">
      <c r="A28" t="s">
        <v>95</v>
      </c>
      <c r="B28" s="6">
        <v>1.6242666666666665</v>
      </c>
      <c r="C28" s="6">
        <v>1.6242666666666665</v>
      </c>
      <c r="D28" s="6">
        <v>1.6242666666666665</v>
      </c>
      <c r="E28" s="6">
        <v>1.6242666666666665</v>
      </c>
      <c r="F28" s="6">
        <v>1.6242666666666665</v>
      </c>
      <c r="G28" s="4"/>
    </row>
    <row r="29" spans="1:8" x14ac:dyDescent="0.25">
      <c r="A29" t="s">
        <v>11</v>
      </c>
      <c r="B29" s="29"/>
      <c r="C29" s="29"/>
      <c r="D29" s="29"/>
      <c r="E29" s="29"/>
      <c r="F29" s="29"/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57</v>
      </c>
      <c r="B32" s="6">
        <f>B16/B27</f>
        <v>37579452.141498499</v>
      </c>
      <c r="C32" s="25">
        <f>B16/B27</f>
        <v>37579452.141498499</v>
      </c>
      <c r="D32" s="25">
        <f>D16/D27</f>
        <v>36812181.122348718</v>
      </c>
      <c r="E32" s="25">
        <f t="shared" ref="E32:F32" si="0">E16/E27</f>
        <v>0</v>
      </c>
      <c r="F32" s="25">
        <f t="shared" si="0"/>
        <v>767271.01914978237</v>
      </c>
      <c r="G32" s="6"/>
    </row>
    <row r="33" spans="1:7" x14ac:dyDescent="0.25">
      <c r="A33" t="s">
        <v>96</v>
      </c>
      <c r="B33" s="6">
        <f>B18/B28</f>
        <v>118840831.31259236</v>
      </c>
      <c r="C33" s="25">
        <f>B18/B28</f>
        <v>118840831.31259236</v>
      </c>
      <c r="D33" s="25">
        <f>D18/D28</f>
        <v>40819991.754227549</v>
      </c>
      <c r="E33" s="25">
        <f>E18/E28</f>
        <v>16735791.947135119</v>
      </c>
      <c r="F33" s="25">
        <f t="shared" ref="F33" si="1">F18/F28</f>
        <v>61285047.611229688</v>
      </c>
      <c r="G33" s="4"/>
    </row>
    <row r="34" spans="1:7" x14ac:dyDescent="0.25">
      <c r="A34" t="s">
        <v>58</v>
      </c>
      <c r="B34" s="6">
        <f>B32/B10</f>
        <v>108925.94823622753</v>
      </c>
      <c r="C34" s="25">
        <f>C32/C10</f>
        <v>111181.81106952218</v>
      </c>
      <c r="D34" s="25">
        <f>D32/$C$10</f>
        <v>108911.77846848733</v>
      </c>
      <c r="E34" s="25">
        <f t="shared" ref="E34:F34" si="2">E32/$C$10</f>
        <v>0</v>
      </c>
      <c r="F34" s="25">
        <f t="shared" si="2"/>
        <v>2270.032601034859</v>
      </c>
      <c r="G34" s="4"/>
    </row>
    <row r="35" spans="1:7" x14ac:dyDescent="0.25">
      <c r="A35" t="s">
        <v>97</v>
      </c>
      <c r="B35" s="6">
        <f>B33/B12</f>
        <v>284990.00314770348</v>
      </c>
      <c r="C35" s="25">
        <f>C33/C12</f>
        <v>291276.54733478517</v>
      </c>
      <c r="D35" s="25">
        <f>D33/$C$12</f>
        <v>100048.99939761654</v>
      </c>
      <c r="E35" s="25">
        <f t="shared" ref="E35:F35" si="3">E33/$C$12</f>
        <v>41019.097909644901</v>
      </c>
      <c r="F35" s="25">
        <f t="shared" si="3"/>
        <v>150208.45002752374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75</v>
      </c>
      <c r="C40" s="6" t="s">
        <v>75</v>
      </c>
      <c r="D40" s="6" t="s">
        <v>75</v>
      </c>
      <c r="E40" s="6" t="s">
        <v>75</v>
      </c>
      <c r="F40" s="6" t="s">
        <v>75</v>
      </c>
      <c r="G40" s="4"/>
    </row>
    <row r="41" spans="1:7" x14ac:dyDescent="0.25">
      <c r="A41" t="s">
        <v>16</v>
      </c>
      <c r="B41" s="6" t="s">
        <v>75</v>
      </c>
      <c r="C41" s="6" t="s">
        <v>75</v>
      </c>
      <c r="D41" s="6" t="s">
        <v>75</v>
      </c>
      <c r="E41" s="6" t="s">
        <v>75</v>
      </c>
      <c r="F41" s="6" t="s">
        <v>75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s="16" t="s">
        <v>18</v>
      </c>
      <c r="B44" s="39">
        <f>B12/B11*100</f>
        <v>100</v>
      </c>
      <c r="C44" s="6">
        <f>C12/C11*100</f>
        <v>100</v>
      </c>
      <c r="D44" s="6"/>
      <c r="E44" s="6"/>
      <c r="F44" s="6"/>
      <c r="G44" s="4"/>
    </row>
    <row r="45" spans="1:7" x14ac:dyDescent="0.25">
      <c r="A45" s="16" t="s">
        <v>19</v>
      </c>
      <c r="B45" s="39">
        <f>B18/B17*100</f>
        <v>291.1450994570136</v>
      </c>
      <c r="C45" s="6">
        <f>B18/B17*100</f>
        <v>291.1450994570136</v>
      </c>
      <c r="D45" s="6">
        <f>D18/D17*100</f>
        <v>100.00384907993967</v>
      </c>
      <c r="E45" s="6" t="e">
        <f t="shared" ref="E45" si="4">E18/E17*100</f>
        <v>#DIV/0!</v>
      </c>
      <c r="F45" s="6" t="e">
        <f>F18/F17*100</f>
        <v>#DIV/0!</v>
      </c>
      <c r="G45" s="4"/>
    </row>
    <row r="46" spans="1:7" x14ac:dyDescent="0.25">
      <c r="A46" s="16" t="s">
        <v>20</v>
      </c>
      <c r="B46" s="39">
        <f>AVERAGE(B44:B45)</f>
        <v>195.5725497285068</v>
      </c>
      <c r="C46" s="6">
        <f>AVERAGE(C44:C45)</f>
        <v>195.5725497285068</v>
      </c>
      <c r="D46" s="6"/>
      <c r="E46" s="6"/>
      <c r="F46" s="6"/>
      <c r="G46" s="4"/>
    </row>
    <row r="47" spans="1:7" x14ac:dyDescent="0.25">
      <c r="A47" s="16"/>
      <c r="B47" s="6"/>
      <c r="C47" s="6"/>
      <c r="D47" s="6"/>
      <c r="E47" s="6"/>
      <c r="F47" s="6"/>
      <c r="G47" s="4"/>
    </row>
    <row r="48" spans="1:7" x14ac:dyDescent="0.25">
      <c r="A48" s="16" t="s">
        <v>21</v>
      </c>
      <c r="B48" s="6"/>
      <c r="C48" s="6"/>
      <c r="D48" s="6"/>
      <c r="E48" s="6"/>
      <c r="F48" s="6"/>
      <c r="G48" s="4"/>
    </row>
    <row r="49" spans="1:7" x14ac:dyDescent="0.25">
      <c r="A49" s="16" t="s">
        <v>22</v>
      </c>
      <c r="B49" s="6">
        <f>(B12/B13)*100</f>
        <v>88.912579957356073</v>
      </c>
      <c r="C49" s="6">
        <f>(C12/C13)*100</f>
        <v>97.841726618705039</v>
      </c>
      <c r="D49" s="6"/>
      <c r="E49" s="6"/>
      <c r="F49" s="6"/>
      <c r="G49" s="4"/>
    </row>
    <row r="50" spans="1:7" x14ac:dyDescent="0.25">
      <c r="A50" s="16" t="s">
        <v>23</v>
      </c>
      <c r="B50" s="6">
        <f>B18/B19*100</f>
        <v>19.315450722239742</v>
      </c>
      <c r="C50" s="6">
        <f>B18/B19*100</f>
        <v>19.315450722239742</v>
      </c>
      <c r="D50" s="6">
        <f>D18/D19*100</f>
        <v>26.934943848816005</v>
      </c>
      <c r="E50" s="6">
        <f t="shared" ref="E50:F50" si="5">E18/E19*100</f>
        <v>19.189052309237709</v>
      </c>
      <c r="F50" s="6">
        <f t="shared" si="5"/>
        <v>16.277680428404967</v>
      </c>
      <c r="G50" s="4"/>
    </row>
    <row r="51" spans="1:7" x14ac:dyDescent="0.25">
      <c r="A51" s="16" t="s">
        <v>24</v>
      </c>
      <c r="B51" s="6">
        <f>(B49+B50)/2</f>
        <v>54.114015339797909</v>
      </c>
      <c r="C51" s="6">
        <f>(C49+C50)/2</f>
        <v>58.578588670472392</v>
      </c>
      <c r="D51" s="6"/>
      <c r="E51" s="6"/>
      <c r="F51" s="6"/>
      <c r="G51" s="4"/>
    </row>
    <row r="52" spans="1:7" x14ac:dyDescent="0.25">
      <c r="A52" s="16"/>
      <c r="B52" s="6"/>
      <c r="C52" s="6"/>
      <c r="D52" s="6"/>
      <c r="E52" s="6"/>
      <c r="F52" s="6"/>
      <c r="G52" s="4"/>
    </row>
    <row r="53" spans="1:7" x14ac:dyDescent="0.25">
      <c r="A53" s="16" t="s">
        <v>36</v>
      </c>
      <c r="B53" s="6"/>
      <c r="C53" s="6"/>
      <c r="D53" s="6"/>
      <c r="E53" s="6"/>
      <c r="F53" s="6"/>
      <c r="G53" s="4"/>
    </row>
    <row r="54" spans="1:7" x14ac:dyDescent="0.25">
      <c r="A54" s="16" t="s">
        <v>25</v>
      </c>
      <c r="B54" s="6">
        <f>B20/B18*100</f>
        <v>34.34845692627048</v>
      </c>
      <c r="C54" s="6"/>
      <c r="D54" s="6"/>
      <c r="E54" s="6"/>
      <c r="F54" s="6"/>
      <c r="G54" s="4"/>
    </row>
    <row r="55" spans="1:7" x14ac:dyDescent="0.25">
      <c r="A55" s="16"/>
      <c r="B55" s="6"/>
      <c r="C55" s="6"/>
      <c r="D55" s="6"/>
      <c r="E55" s="6"/>
      <c r="F55" s="6"/>
      <c r="G55" s="4"/>
    </row>
    <row r="56" spans="1:7" x14ac:dyDescent="0.25">
      <c r="A56" s="16" t="s">
        <v>26</v>
      </c>
      <c r="B56" s="6"/>
      <c r="C56" s="6"/>
      <c r="D56" s="6"/>
      <c r="E56" s="6"/>
      <c r="F56" s="6"/>
      <c r="G56" s="4"/>
    </row>
    <row r="57" spans="1:7" x14ac:dyDescent="0.25">
      <c r="A57" s="16" t="s">
        <v>27</v>
      </c>
      <c r="B57" s="6">
        <f>((B12/B10)-1)*100</f>
        <v>20.869565217391294</v>
      </c>
      <c r="C57" s="6">
        <f>((C12/C10)-1)*100</f>
        <v>20.710059171597628</v>
      </c>
      <c r="D57" s="6"/>
      <c r="E57" s="6"/>
      <c r="F57" s="6"/>
      <c r="G57" s="4"/>
    </row>
    <row r="58" spans="1:7" x14ac:dyDescent="0.25">
      <c r="A58" s="16" t="s">
        <v>28</v>
      </c>
      <c r="B58" s="6">
        <f>((B33/B32)-1)*100</f>
        <v>216.23886070802502</v>
      </c>
      <c r="C58" s="6">
        <f>((C33/C32)-1)*100</f>
        <v>216.23886070802502</v>
      </c>
      <c r="D58" s="6">
        <f t="shared" ref="D58:F58" si="6">((D33/D32)-1)*100</f>
        <v>10.887186006606075</v>
      </c>
      <c r="E58" s="6" t="e">
        <f t="shared" si="6"/>
        <v>#DIV/0!</v>
      </c>
      <c r="F58" s="6">
        <f t="shared" si="6"/>
        <v>7887.4055036172249</v>
      </c>
      <c r="G58" s="4"/>
    </row>
    <row r="59" spans="1:7" x14ac:dyDescent="0.25">
      <c r="A59" s="16" t="s">
        <v>29</v>
      </c>
      <c r="B59" s="6">
        <f>((B35/B34)-1)*100</f>
        <v>161.63646749225089</v>
      </c>
      <c r="C59" s="6">
        <f>((C35/C34)-1)*100</f>
        <v>161.98219342968736</v>
      </c>
      <c r="D59" s="6">
        <f t="shared" ref="D59:F59" si="7">((D35/D34)-1)*100</f>
        <v>-8.1375762984488897</v>
      </c>
      <c r="E59" s="6" t="e">
        <f t="shared" si="7"/>
        <v>#DIV/0!</v>
      </c>
      <c r="F59" s="6">
        <f t="shared" si="7"/>
        <v>6517.017304467211</v>
      </c>
      <c r="G59" s="4"/>
    </row>
    <row r="60" spans="1:7" x14ac:dyDescent="0.25">
      <c r="A60" s="16"/>
      <c r="B60" s="6"/>
      <c r="C60" s="6"/>
      <c r="D60" s="6"/>
      <c r="E60" s="6"/>
      <c r="F60" s="6"/>
      <c r="G60" s="4"/>
    </row>
    <row r="61" spans="1:7" x14ac:dyDescent="0.25">
      <c r="A61" s="16" t="s">
        <v>30</v>
      </c>
      <c r="B61" s="6"/>
      <c r="C61" s="6"/>
      <c r="D61" s="6"/>
      <c r="E61" s="6"/>
      <c r="F61" s="6"/>
      <c r="G61" s="4"/>
    </row>
    <row r="62" spans="1:7" x14ac:dyDescent="0.25">
      <c r="A62" s="16" t="s">
        <v>37</v>
      </c>
      <c r="B62" s="25">
        <f>B17/($B$11*3)</f>
        <v>52997.601918465225</v>
      </c>
      <c r="C62" s="25">
        <f>B17/(C11*3)</f>
        <v>54166.666666666664</v>
      </c>
      <c r="D62" s="38">
        <f>D17/($C$11*3)</f>
        <v>54166.666666666664</v>
      </c>
      <c r="E62" s="38">
        <f t="shared" ref="E62:F62" si="8">E17/($C$11*3)</f>
        <v>0</v>
      </c>
      <c r="F62" s="38">
        <f t="shared" si="8"/>
        <v>0</v>
      </c>
      <c r="G62" s="4"/>
    </row>
    <row r="63" spans="1:7" x14ac:dyDescent="0.25">
      <c r="A63" s="16" t="s">
        <v>38</v>
      </c>
      <c r="B63" s="25">
        <f>B18/($B$12*3)</f>
        <v>154299.92081534772</v>
      </c>
      <c r="C63" s="25">
        <f>B18/(C12*3)</f>
        <v>157703.59553921569</v>
      </c>
      <c r="D63" s="38">
        <f>D18/($C$12*3)</f>
        <v>54168.751584967322</v>
      </c>
      <c r="E63" s="38">
        <f t="shared" ref="E63:F63" si="9">E18/($C$12*3)</f>
        <v>22208.651143790848</v>
      </c>
      <c r="F63" s="38">
        <f t="shared" si="9"/>
        <v>81326.19281045752</v>
      </c>
    </row>
    <row r="64" spans="1:7" x14ac:dyDescent="0.25">
      <c r="A64" s="16" t="s">
        <v>31</v>
      </c>
      <c r="B64" s="6">
        <f>(B62/B63)*B46</f>
        <v>67.173567438796027</v>
      </c>
      <c r="C64" s="6">
        <f>(C62/C63)*C46</f>
        <v>67.173567438796027</v>
      </c>
      <c r="D64" s="6"/>
      <c r="E64" s="6"/>
      <c r="F64" s="6"/>
      <c r="G64" s="4"/>
    </row>
    <row r="65" spans="1:8" x14ac:dyDescent="0.25">
      <c r="A65" s="14" t="s">
        <v>39</v>
      </c>
      <c r="B65" s="25">
        <f>B17/($B$11)</f>
        <v>158992.80575539568</v>
      </c>
      <c r="C65" s="25">
        <f>B17/C11</f>
        <v>162500</v>
      </c>
      <c r="D65" s="29">
        <f>D17/($C$11)</f>
        <v>162500</v>
      </c>
      <c r="E65" s="29">
        <f t="shared" ref="E65:F65" si="10">E17/($C$11)</f>
        <v>0</v>
      </c>
      <c r="F65" s="29">
        <f t="shared" si="10"/>
        <v>0</v>
      </c>
      <c r="G65" s="4"/>
    </row>
    <row r="66" spans="1:8" x14ac:dyDescent="0.25">
      <c r="A66" s="14" t="s">
        <v>40</v>
      </c>
      <c r="B66" s="25">
        <f>B18/($B$12)</f>
        <v>462899.76244604314</v>
      </c>
      <c r="C66" s="25">
        <f>B18/C12</f>
        <v>473110.78661764704</v>
      </c>
      <c r="D66" s="29">
        <f>D18/($C$12)</f>
        <v>162506.25475490195</v>
      </c>
      <c r="E66" s="29">
        <f t="shared" ref="E66:F66" si="11">E18/($C$12)</f>
        <v>66625.953431372545</v>
      </c>
      <c r="F66" s="29">
        <f t="shared" si="11"/>
        <v>243978.57843137256</v>
      </c>
      <c r="G66" s="4"/>
    </row>
    <row r="67" spans="1:8" x14ac:dyDescent="0.25">
      <c r="B67" s="6"/>
      <c r="C67" s="6"/>
      <c r="D67" s="6"/>
      <c r="E67" s="6"/>
      <c r="F67" s="6"/>
      <c r="G67" s="4"/>
    </row>
    <row r="68" spans="1:8" x14ac:dyDescent="0.25">
      <c r="A68" t="s">
        <v>32</v>
      </c>
      <c r="B68" s="6"/>
      <c r="C68" s="6"/>
      <c r="D68" s="6"/>
      <c r="E68" s="6"/>
      <c r="F68" s="6"/>
      <c r="G68" s="4"/>
    </row>
    <row r="69" spans="1:8" x14ac:dyDescent="0.25">
      <c r="A69" t="s">
        <v>33</v>
      </c>
      <c r="B69" s="6">
        <f>(B24/B23)*100</f>
        <v>564.7087522775264</v>
      </c>
      <c r="C69" s="6"/>
      <c r="D69" s="6"/>
      <c r="E69" s="6"/>
      <c r="F69" s="6"/>
      <c r="G69" s="4"/>
      <c r="H69" s="8"/>
    </row>
    <row r="70" spans="1:8" x14ac:dyDescent="0.25">
      <c r="A70" t="s">
        <v>34</v>
      </c>
      <c r="B70" s="6">
        <f>(B18/B24)*100</f>
        <v>51.556682676299339</v>
      </c>
      <c r="C70" s="6"/>
      <c r="D70" s="6"/>
      <c r="E70" s="6"/>
      <c r="F70" s="6"/>
      <c r="G70" s="4"/>
      <c r="H70" s="8"/>
    </row>
    <row r="71" spans="1:8" ht="15.75" thickBot="1" x14ac:dyDescent="0.3">
      <c r="A71" s="9"/>
      <c r="B71" s="9"/>
      <c r="C71" s="9"/>
      <c r="D71" s="9"/>
      <c r="E71" s="9"/>
      <c r="F71" s="9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127</v>
      </c>
    </row>
    <row r="75" spans="1:8" x14ac:dyDescent="0.25">
      <c r="A75" s="11" t="s">
        <v>130</v>
      </c>
      <c r="B75" s="12"/>
      <c r="C75" s="12"/>
      <c r="D75" s="12"/>
      <c r="E75" s="12"/>
    </row>
    <row r="76" spans="1:8" x14ac:dyDescent="0.25">
      <c r="A76" s="35" t="s">
        <v>131</v>
      </c>
      <c r="B76" s="12"/>
      <c r="C76" s="12"/>
      <c r="D76" s="12"/>
      <c r="E76" s="12"/>
    </row>
    <row r="77" spans="1:8" x14ac:dyDescent="0.25">
      <c r="A77" s="11" t="s">
        <v>132</v>
      </c>
      <c r="B77" s="12"/>
      <c r="C77" s="12"/>
      <c r="D77" s="12"/>
      <c r="E77" s="12"/>
    </row>
    <row r="78" spans="1:8" x14ac:dyDescent="0.25">
      <c r="A78" s="34" t="s">
        <v>133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24" workbookViewId="0">
      <selection activeCell="B71" sqref="B71"/>
    </sheetView>
  </sheetViews>
  <sheetFormatPr baseColWidth="10" defaultColWidth="11.42578125" defaultRowHeight="15" x14ac:dyDescent="0.25"/>
  <cols>
    <col min="1" max="1" width="55.140625" style="16" customWidth="1"/>
    <col min="2" max="2" width="14.7109375" style="16" bestFit="1" customWidth="1"/>
    <col min="3" max="3" width="14.7109375" style="16" customWidth="1"/>
    <col min="4" max="4" width="20.7109375" style="16" customWidth="1"/>
    <col min="5" max="5" width="13.7109375" style="16" customWidth="1"/>
    <col min="6" max="7" width="13.7109375" style="16" bestFit="1" customWidth="1"/>
    <col min="8" max="16384" width="11.42578125" style="16"/>
  </cols>
  <sheetData>
    <row r="2" spans="1:7" ht="15.75" x14ac:dyDescent="0.25">
      <c r="A2" s="49" t="s">
        <v>98</v>
      </c>
      <c r="B2" s="49"/>
      <c r="C2" s="49"/>
      <c r="D2" s="49"/>
      <c r="E2" s="49"/>
      <c r="F2" s="49"/>
    </row>
    <row r="4" spans="1:7" ht="15" customHeight="1" x14ac:dyDescent="0.25">
      <c r="A4" s="50" t="s">
        <v>0</v>
      </c>
      <c r="B4" s="52" t="s">
        <v>1</v>
      </c>
      <c r="C4" s="47" t="s">
        <v>134</v>
      </c>
      <c r="D4" s="54" t="s">
        <v>2</v>
      </c>
      <c r="E4" s="54"/>
      <c r="F4" s="54"/>
    </row>
    <row r="5" spans="1:7" ht="15.75" thickBot="1" x14ac:dyDescent="0.3">
      <c r="A5" s="51"/>
      <c r="B5" s="53"/>
      <c r="C5" s="48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59</v>
      </c>
      <c r="B10" s="13">
        <v>325</v>
      </c>
      <c r="C10" s="13">
        <v>325</v>
      </c>
      <c r="D10" s="6"/>
      <c r="E10" s="6"/>
      <c r="F10" s="6"/>
      <c r="G10" s="6"/>
    </row>
    <row r="11" spans="1:7" x14ac:dyDescent="0.25">
      <c r="A11" s="20" t="s">
        <v>99</v>
      </c>
      <c r="B11" s="13">
        <v>394</v>
      </c>
      <c r="C11" s="13">
        <v>394</v>
      </c>
      <c r="D11" s="6"/>
      <c r="E11" s="6"/>
      <c r="F11" s="6"/>
      <c r="G11" s="6"/>
    </row>
    <row r="12" spans="1:7" x14ac:dyDescent="0.25">
      <c r="A12" s="20" t="s">
        <v>100</v>
      </c>
      <c r="B12" s="13">
        <v>388</v>
      </c>
      <c r="C12" s="13">
        <v>388</v>
      </c>
      <c r="D12" s="6"/>
    </row>
    <row r="13" spans="1:7" x14ac:dyDescent="0.25">
      <c r="A13" s="20" t="s">
        <v>79</v>
      </c>
      <c r="B13" s="13">
        <v>469</v>
      </c>
      <c r="C13" s="13">
        <v>417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59</v>
      </c>
      <c r="B16" s="13">
        <f>SUM(D16:F16)</f>
        <v>114956268.73000002</v>
      </c>
      <c r="C16" s="13"/>
      <c r="D16" s="13">
        <v>55181574.960000008</v>
      </c>
      <c r="E16" s="30">
        <v>37624693.770000003</v>
      </c>
      <c r="F16" s="31">
        <v>22150000</v>
      </c>
      <c r="G16" s="6"/>
    </row>
    <row r="17" spans="1:8" x14ac:dyDescent="0.25">
      <c r="A17" s="20" t="s">
        <v>99</v>
      </c>
      <c r="B17" s="13">
        <f t="shared" ref="B17:B19" si="0">SUM(D17:F17)</f>
        <v>60843220.980000004</v>
      </c>
      <c r="C17" s="13"/>
      <c r="D17" s="13">
        <v>55300000</v>
      </c>
      <c r="E17" s="13">
        <v>5543220.9800000004</v>
      </c>
      <c r="F17" s="13">
        <v>0</v>
      </c>
      <c r="G17" s="6"/>
    </row>
    <row r="18" spans="1:8" x14ac:dyDescent="0.25">
      <c r="A18" s="20" t="s">
        <v>100</v>
      </c>
      <c r="B18" s="13">
        <f t="shared" si="0"/>
        <v>400076208.63</v>
      </c>
      <c r="C18" s="13"/>
      <c r="D18" s="13">
        <v>56191396.560000002</v>
      </c>
      <c r="E18" s="30">
        <v>36529331.460000001</v>
      </c>
      <c r="F18" s="31">
        <v>307355480.61000001</v>
      </c>
      <c r="G18" s="6"/>
    </row>
    <row r="19" spans="1:8" x14ac:dyDescent="0.25">
      <c r="A19" s="20" t="s">
        <v>79</v>
      </c>
      <c r="B19" s="13">
        <f t="shared" si="0"/>
        <v>999351263.98000002</v>
      </c>
      <c r="C19" s="13"/>
      <c r="D19" s="13">
        <v>240614901</v>
      </c>
      <c r="E19" s="13">
        <v>147204145.97999999</v>
      </c>
      <c r="F19" s="13">
        <v>611532217</v>
      </c>
      <c r="G19" s="6"/>
    </row>
    <row r="20" spans="1:8" x14ac:dyDescent="0.25">
      <c r="A20" s="20" t="s">
        <v>101</v>
      </c>
      <c r="B20" s="6">
        <f>D20</f>
        <v>56191396.560000002</v>
      </c>
      <c r="C20" s="6"/>
      <c r="D20" s="6">
        <f>D18</f>
        <v>56191396.560000002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99</v>
      </c>
      <c r="B23" s="6">
        <f>B17</f>
        <v>60843220.980000004</v>
      </c>
      <c r="C23" s="6"/>
      <c r="D23" s="33" t="s">
        <v>129</v>
      </c>
      <c r="E23" s="6"/>
      <c r="F23" s="6"/>
      <c r="G23" s="6"/>
      <c r="H23" s="22"/>
    </row>
    <row r="24" spans="1:8" x14ac:dyDescent="0.25">
      <c r="A24" s="20" t="s">
        <v>100</v>
      </c>
      <c r="B24" s="6">
        <v>125438840.5</v>
      </c>
      <c r="C24" s="6"/>
      <c r="D24" s="13">
        <v>288909232.94</v>
      </c>
      <c r="E24" s="13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60</v>
      </c>
      <c r="B27" s="6">
        <v>1.5597333333333332</v>
      </c>
      <c r="C27" s="6">
        <v>1.5597333333333332</v>
      </c>
      <c r="D27" s="6">
        <v>1.5597333333333332</v>
      </c>
      <c r="E27" s="6">
        <v>1.5597333333333332</v>
      </c>
      <c r="F27" s="6">
        <v>1.5597333333333332</v>
      </c>
      <c r="G27" s="6"/>
    </row>
    <row r="28" spans="1:8" x14ac:dyDescent="0.25">
      <c r="A28" s="16" t="s">
        <v>102</v>
      </c>
      <c r="B28" s="6">
        <v>1.6181333333333334</v>
      </c>
      <c r="C28" s="6">
        <v>1.6181333333333334</v>
      </c>
      <c r="D28" s="6">
        <v>1.6181333333333334</v>
      </c>
      <c r="E28" s="6">
        <v>1.6181333333333334</v>
      </c>
      <c r="F28" s="6">
        <v>1.6181333333333334</v>
      </c>
      <c r="G28" s="6"/>
    </row>
    <row r="29" spans="1:8" x14ac:dyDescent="0.25">
      <c r="A29" s="16" t="s">
        <v>11</v>
      </c>
      <c r="B29" s="29"/>
      <c r="C29" s="29"/>
      <c r="D29" s="29"/>
      <c r="E29" s="29"/>
      <c r="F29" s="29"/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61</v>
      </c>
      <c r="B32" s="6">
        <f>B16/B27</f>
        <v>73702514.573003948</v>
      </c>
      <c r="C32" s="25">
        <f>B16/B27</f>
        <v>73702514.573003948</v>
      </c>
      <c r="D32" s="25">
        <f>D16/D27</f>
        <v>35378852.128568992</v>
      </c>
      <c r="E32" s="25">
        <f t="shared" ref="E32:F32" si="1">E16/E27</f>
        <v>24122516.949478548</v>
      </c>
      <c r="F32" s="25">
        <f t="shared" si="1"/>
        <v>14201145.494956404</v>
      </c>
      <c r="G32" s="6"/>
    </row>
    <row r="33" spans="1:7" x14ac:dyDescent="0.25">
      <c r="A33" s="16" t="s">
        <v>103</v>
      </c>
      <c r="B33" s="6">
        <f>B18/B28</f>
        <v>247245514.5620468</v>
      </c>
      <c r="C33" s="25">
        <f>B18/B28</f>
        <v>247245514.5620468</v>
      </c>
      <c r="D33" s="25">
        <f>D18/D28</f>
        <v>34726060.827290706</v>
      </c>
      <c r="E33" s="25">
        <f>E18/E28</f>
        <v>22574982.36239288</v>
      </c>
      <c r="F33" s="25">
        <f t="shared" ref="F33" si="2">F18/F28</f>
        <v>189944471.37236321</v>
      </c>
      <c r="G33" s="6"/>
    </row>
    <row r="34" spans="1:7" x14ac:dyDescent="0.25">
      <c r="A34" s="16" t="s">
        <v>62</v>
      </c>
      <c r="B34" s="6">
        <f>B32/B10</f>
        <v>226776.96791693522</v>
      </c>
      <c r="C34" s="25">
        <f>C32/C10</f>
        <v>226776.96791693522</v>
      </c>
      <c r="D34" s="25">
        <f>D32/$C$10</f>
        <v>108858.00654944305</v>
      </c>
      <c r="E34" s="25">
        <f t="shared" ref="E34:F34" si="3">E32/$C$10</f>
        <v>74223.129075318604</v>
      </c>
      <c r="F34" s="25">
        <f t="shared" si="3"/>
        <v>43695.832292173553</v>
      </c>
      <c r="G34" s="6"/>
    </row>
    <row r="35" spans="1:7" x14ac:dyDescent="0.25">
      <c r="A35" s="16" t="s">
        <v>104</v>
      </c>
      <c r="B35" s="6">
        <f>B33/B12</f>
        <v>637230.7076341412</v>
      </c>
      <c r="C35" s="25">
        <f>C33/C12</f>
        <v>637230.7076341412</v>
      </c>
      <c r="D35" s="25">
        <f>D33/$C$12</f>
        <v>89500.156771367794</v>
      </c>
      <c r="E35" s="25">
        <f t="shared" ref="E35:F35" si="4">E33/$C$12</f>
        <v>58182.944232971342</v>
      </c>
      <c r="F35" s="25">
        <f t="shared" si="4"/>
        <v>489547.60662980209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75</v>
      </c>
      <c r="C40" s="6" t="s">
        <v>75</v>
      </c>
      <c r="D40" s="6" t="s">
        <v>75</v>
      </c>
      <c r="E40" s="6" t="s">
        <v>75</v>
      </c>
      <c r="F40" s="6" t="s">
        <v>75</v>
      </c>
      <c r="G40" s="6"/>
    </row>
    <row r="41" spans="1:7" x14ac:dyDescent="0.25">
      <c r="A41" s="16" t="s">
        <v>16</v>
      </c>
      <c r="B41" s="6" t="s">
        <v>75</v>
      </c>
      <c r="C41" s="6" t="s">
        <v>75</v>
      </c>
      <c r="D41" s="6" t="s">
        <v>75</v>
      </c>
      <c r="E41" s="6" t="s">
        <v>75</v>
      </c>
      <c r="F41" s="6" t="s">
        <v>75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39">
        <f>B12/B11*100</f>
        <v>98.477157360406082</v>
      </c>
      <c r="C44" s="6">
        <f>C12/C11*100</f>
        <v>98.477157360406082</v>
      </c>
      <c r="D44" s="6"/>
      <c r="E44" s="6"/>
      <c r="F44" s="6"/>
      <c r="G44" s="6"/>
    </row>
    <row r="45" spans="1:7" x14ac:dyDescent="0.25">
      <c r="A45" s="16" t="s">
        <v>19</v>
      </c>
      <c r="B45" s="39">
        <f>B18/B17*100</f>
        <v>657.55264462660591</v>
      </c>
      <c r="C45" s="6">
        <f>B18/B17*100</f>
        <v>657.55264462660591</v>
      </c>
      <c r="D45" s="6">
        <f>D18/D17*100</f>
        <v>101.61192867992767</v>
      </c>
      <c r="E45" s="6">
        <f t="shared" ref="E45" si="5">E18/E17*100</f>
        <v>658.99107381427177</v>
      </c>
      <c r="F45" s="6" t="e">
        <f>F18/F17*100</f>
        <v>#DIV/0!</v>
      </c>
      <c r="G45" s="6"/>
    </row>
    <row r="46" spans="1:7" x14ac:dyDescent="0.25">
      <c r="A46" s="16" t="s">
        <v>20</v>
      </c>
      <c r="B46" s="39">
        <f>AVERAGE(B44:B45)</f>
        <v>378.01490099350599</v>
      </c>
      <c r="C46" s="6">
        <f>AVERAGE(C44:C45)</f>
        <v>378.01490099350599</v>
      </c>
      <c r="D46" s="6"/>
      <c r="E46" s="6"/>
      <c r="F46" s="6"/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82.72921108742004</v>
      </c>
      <c r="C49" s="6">
        <f>(C12/C13)*100</f>
        <v>93.045563549160676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40.033592096202788</v>
      </c>
      <c r="C50" s="6">
        <f>B18/B19*100</f>
        <v>40.033592096202788</v>
      </c>
      <c r="D50" s="6">
        <f>D18/D19*100</f>
        <v>23.353248833080375</v>
      </c>
      <c r="E50" s="6">
        <f t="shared" ref="E50:F50" si="6">E18/E19*100</f>
        <v>24.815422973863175</v>
      </c>
      <c r="F50" s="6">
        <f t="shared" si="6"/>
        <v>50.259899980052893</v>
      </c>
      <c r="G50" s="6"/>
    </row>
    <row r="51" spans="1:7" x14ac:dyDescent="0.25">
      <c r="A51" s="16" t="s">
        <v>24</v>
      </c>
      <c r="B51" s="6">
        <f>(B49+B50)/2</f>
        <v>61.381401591811411</v>
      </c>
      <c r="C51" s="6">
        <f>(C49+C50)/2</f>
        <v>66.539577822681736</v>
      </c>
      <c r="D51" s="6"/>
      <c r="E51" s="6"/>
      <c r="F51" s="6"/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14.045173231474791</v>
      </c>
      <c r="C54" s="6"/>
      <c r="D54" s="6"/>
      <c r="E54" s="6"/>
      <c r="F54" s="6"/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19.38461538461538</v>
      </c>
      <c r="C57" s="6">
        <f>((C12/C10)-1)*100</f>
        <v>19.38461538461538</v>
      </c>
      <c r="D57" s="6"/>
      <c r="E57" s="6"/>
      <c r="F57" s="6"/>
      <c r="G57" s="6"/>
    </row>
    <row r="58" spans="1:7" x14ac:dyDescent="0.25">
      <c r="A58" s="16" t="s">
        <v>28</v>
      </c>
      <c r="B58" s="6">
        <f>((B33/B32)-1)*100</f>
        <v>235.46415070702196</v>
      </c>
      <c r="C58" s="6">
        <f>((C33/C32)-1)*100</f>
        <v>235.46415070702196</v>
      </c>
      <c r="D58" s="6">
        <f t="shared" ref="D58:F58" si="7">((D33/D32)-1)*100</f>
        <v>-1.8451455092607372</v>
      </c>
      <c r="E58" s="6">
        <f t="shared" si="7"/>
        <v>-6.4153114300915419</v>
      </c>
      <c r="F58" s="6">
        <f t="shared" si="7"/>
        <v>1237.5292256517107</v>
      </c>
      <c r="G58" s="6"/>
    </row>
    <row r="59" spans="1:7" x14ac:dyDescent="0.25">
      <c r="A59" s="16" t="s">
        <v>29</v>
      </c>
      <c r="B59" s="6">
        <f>((B35/B34)-1)*100</f>
        <v>180.99445613345915</v>
      </c>
      <c r="C59" s="6">
        <f>((C35/C34)-1)*100</f>
        <v>180.99445613345915</v>
      </c>
      <c r="D59" s="6">
        <f t="shared" ref="D59:F59" si="8">((D35/D34)-1)*100</f>
        <v>-17.782660542550865</v>
      </c>
      <c r="E59" s="6">
        <f t="shared" si="8"/>
        <v>-21.610763440153992</v>
      </c>
      <c r="F59" s="6">
        <f t="shared" si="8"/>
        <v>1020.3530884969227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25">
        <f>B17/($B$11*3)</f>
        <v>51474.806243654828</v>
      </c>
      <c r="C62" s="25">
        <f>B17/(C11*3)</f>
        <v>51474.806243654828</v>
      </c>
      <c r="D62" s="38">
        <f>D17/($C$11*3)</f>
        <v>46785.109983079528</v>
      </c>
      <c r="E62" s="38">
        <f t="shared" ref="E62:F62" si="9">E17/($C$11*3)</f>
        <v>4689.696260575296</v>
      </c>
      <c r="F62" s="38">
        <f t="shared" si="9"/>
        <v>0</v>
      </c>
      <c r="G62" s="6"/>
    </row>
    <row r="63" spans="1:7" x14ac:dyDescent="0.25">
      <c r="A63" s="16" t="s">
        <v>38</v>
      </c>
      <c r="B63" s="25">
        <f>B18/($B$12*3)</f>
        <v>343708.0830154639</v>
      </c>
      <c r="C63" s="25">
        <f>B18/(C12*3)</f>
        <v>343708.0830154639</v>
      </c>
      <c r="D63" s="38">
        <f>D18/($C$12*3)</f>
        <v>48274.395670103098</v>
      </c>
      <c r="E63" s="38">
        <f t="shared" ref="E63:F63" si="10">E18/($C$12*3)</f>
        <v>31382.587164948454</v>
      </c>
      <c r="F63" s="38">
        <f t="shared" si="10"/>
        <v>264051.10018041241</v>
      </c>
    </row>
    <row r="64" spans="1:7" x14ac:dyDescent="0.25">
      <c r="A64" s="16" t="s">
        <v>31</v>
      </c>
      <c r="B64" s="6">
        <f>(B62/B63)*B46</f>
        <v>56.612703475407159</v>
      </c>
      <c r="C64" s="6">
        <f>(C62/C63)*C46</f>
        <v>56.612703475407159</v>
      </c>
      <c r="D64" s="6"/>
      <c r="E64" s="6"/>
      <c r="F64" s="6"/>
      <c r="G64" s="6"/>
    </row>
    <row r="65" spans="1:8" x14ac:dyDescent="0.25">
      <c r="A65" s="14" t="s">
        <v>39</v>
      </c>
      <c r="B65" s="25">
        <f>B17/($B$11)</f>
        <v>154424.41873096448</v>
      </c>
      <c r="C65" s="25">
        <f>B17/C11</f>
        <v>154424.41873096448</v>
      </c>
      <c r="D65" s="29">
        <f>D17/($C$11)</f>
        <v>140355.32994923857</v>
      </c>
      <c r="E65" s="29">
        <f t="shared" ref="E65:F65" si="11">E17/($C$11)</f>
        <v>14069.08878172589</v>
      </c>
      <c r="F65" s="29">
        <f t="shared" si="11"/>
        <v>0</v>
      </c>
      <c r="G65" s="6"/>
    </row>
    <row r="66" spans="1:8" x14ac:dyDescent="0.25">
      <c r="A66" s="14" t="s">
        <v>40</v>
      </c>
      <c r="B66" s="25">
        <f>B18/($B$12)</f>
        <v>1031124.2490463917</v>
      </c>
      <c r="C66" s="25">
        <f>B18/C12</f>
        <v>1031124.2490463917</v>
      </c>
      <c r="D66" s="29">
        <f>D18/($C$12)</f>
        <v>144823.18701030928</v>
      </c>
      <c r="E66" s="29">
        <f t="shared" ref="E66:F66" si="12">E18/($C$12)</f>
        <v>94147.76149484537</v>
      </c>
      <c r="F66" s="29">
        <f t="shared" si="12"/>
        <v>792153.30054123711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6">
        <f>(B24/B23)*100</f>
        <v>206.16732395090236</v>
      </c>
      <c r="C69" s="6"/>
      <c r="D69" s="6"/>
      <c r="E69" s="6"/>
      <c r="F69" s="6"/>
      <c r="G69" s="6"/>
      <c r="H69" s="22"/>
    </row>
    <row r="70" spans="1:8" x14ac:dyDescent="0.25">
      <c r="A70" s="16" t="s">
        <v>34</v>
      </c>
      <c r="B70" s="6">
        <f>(B18/B24)*100</f>
        <v>318.94125219532776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127</v>
      </c>
    </row>
    <row r="75" spans="1:8" x14ac:dyDescent="0.25">
      <c r="A75" s="11" t="s">
        <v>130</v>
      </c>
      <c r="B75" s="24"/>
      <c r="C75" s="24"/>
      <c r="D75" s="24"/>
      <c r="E75" s="24"/>
    </row>
    <row r="76" spans="1:8" x14ac:dyDescent="0.25">
      <c r="A76" s="35" t="s">
        <v>131</v>
      </c>
      <c r="B76" s="24"/>
      <c r="C76" s="24"/>
      <c r="D76" s="24"/>
      <c r="E76" s="24"/>
    </row>
    <row r="77" spans="1:8" x14ac:dyDescent="0.25">
      <c r="A77" s="11" t="s">
        <v>132</v>
      </c>
    </row>
    <row r="78" spans="1:8" x14ac:dyDescent="0.25">
      <c r="A78" s="34" t="s">
        <v>133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67" workbookViewId="0">
      <selection activeCell="B70" sqref="B70"/>
    </sheetView>
  </sheetViews>
  <sheetFormatPr baseColWidth="10" defaultColWidth="11.42578125" defaultRowHeight="15" x14ac:dyDescent="0.25"/>
  <cols>
    <col min="1" max="1" width="55.140625" style="16" customWidth="1"/>
    <col min="2" max="2" width="13.85546875" style="16" bestFit="1" customWidth="1"/>
    <col min="3" max="3" width="13.85546875" style="16" customWidth="1"/>
    <col min="4" max="4" width="20.7109375" style="16" customWidth="1"/>
    <col min="5" max="5" width="13.7109375" style="16" customWidth="1"/>
    <col min="6" max="7" width="13.7109375" style="16" bestFit="1" customWidth="1"/>
    <col min="8" max="16384" width="11.42578125" style="16"/>
  </cols>
  <sheetData>
    <row r="2" spans="1:7" ht="15.75" x14ac:dyDescent="0.25">
      <c r="A2" s="49" t="s">
        <v>105</v>
      </c>
      <c r="B2" s="49"/>
      <c r="C2" s="49"/>
      <c r="D2" s="49"/>
      <c r="E2" s="49"/>
      <c r="F2" s="49"/>
    </row>
    <row r="4" spans="1:7" ht="15" customHeight="1" x14ac:dyDescent="0.25">
      <c r="A4" s="50" t="s">
        <v>0</v>
      </c>
      <c r="B4" s="52" t="s">
        <v>1</v>
      </c>
      <c r="C4" s="47" t="s">
        <v>134</v>
      </c>
      <c r="D4" s="54" t="s">
        <v>2</v>
      </c>
      <c r="E4" s="54"/>
      <c r="F4" s="54"/>
    </row>
    <row r="5" spans="1:7" ht="15.75" thickBot="1" x14ac:dyDescent="0.3">
      <c r="A5" s="51"/>
      <c r="B5" s="53"/>
      <c r="C5" s="48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63</v>
      </c>
      <c r="B10" s="13">
        <f>'I Trimestre'!B10</f>
        <v>420</v>
      </c>
      <c r="C10" s="13">
        <f>('I Trimestre'!C10+'II Trimestre'!C10)/2</f>
        <v>385.5</v>
      </c>
      <c r="D10" s="6"/>
      <c r="E10" s="6"/>
      <c r="F10" s="6"/>
      <c r="G10" s="6"/>
    </row>
    <row r="11" spans="1:7" x14ac:dyDescent="0.25">
      <c r="A11" s="20" t="s">
        <v>106</v>
      </c>
      <c r="B11" s="13">
        <f>'I Trimestre'!B11</f>
        <v>469</v>
      </c>
      <c r="C11" s="13">
        <f>('I Trimestre'!C11+'II Trimestre'!C11)/2</f>
        <v>440</v>
      </c>
      <c r="D11" s="6"/>
      <c r="E11" s="6"/>
      <c r="F11" s="6"/>
      <c r="G11" s="6"/>
    </row>
    <row r="12" spans="1:7" x14ac:dyDescent="0.25">
      <c r="A12" s="20" t="s">
        <v>107</v>
      </c>
      <c r="B12" s="13">
        <f>'I Trimestre'!B12</f>
        <v>486</v>
      </c>
      <c r="C12" s="13">
        <f>('I Trimestre'!C12+'II Trimestre'!C12)/2</f>
        <v>444.5</v>
      </c>
      <c r="D12" s="6"/>
    </row>
    <row r="13" spans="1:7" x14ac:dyDescent="0.25">
      <c r="A13" s="20" t="s">
        <v>79</v>
      </c>
      <c r="B13" s="13">
        <f>'I Trimestre'!B13</f>
        <v>469</v>
      </c>
      <c r="C13" s="13">
        <f>'II Trimestre'!C13</f>
        <v>417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63</v>
      </c>
      <c r="B16" s="6">
        <f>+'I Trimestre'!B16+'II Trimestre'!B16</f>
        <v>196616260.22</v>
      </c>
      <c r="C16" s="6"/>
      <c r="D16" s="6">
        <v>49975390.229999997</v>
      </c>
      <c r="E16" s="6">
        <v>114590534.27</v>
      </c>
      <c r="F16" s="6">
        <v>7683706.4400000004</v>
      </c>
      <c r="G16" s="6"/>
    </row>
    <row r="17" spans="1:8" x14ac:dyDescent="0.25">
      <c r="A17" s="20" t="s">
        <v>106</v>
      </c>
      <c r="B17" s="6">
        <f>+'I Trimestre'!B17+'II Trimestre'!B17</f>
        <v>872208043</v>
      </c>
      <c r="C17" s="6"/>
      <c r="D17" s="6">
        <f>'I Trimestre'!D17+'II Trimestre'!D17+'III Trimestre'!D17</f>
        <v>185314901</v>
      </c>
      <c r="E17" s="6">
        <f>'I Trimestre'!E17+'II Trimestre'!E17+'III Trimestre'!E17</f>
        <v>141660925</v>
      </c>
      <c r="F17" s="6">
        <f>'I Trimestre'!F17+'II Trimestre'!F17+'III Trimestre'!F17</f>
        <v>611532217</v>
      </c>
      <c r="G17" s="6"/>
    </row>
    <row r="18" spans="1:8" x14ac:dyDescent="0.25">
      <c r="A18" s="20" t="s">
        <v>107</v>
      </c>
      <c r="B18" s="6">
        <f>+'I Trimestre'!B18+'II Trimestre'!B18</f>
        <v>391095812.76999998</v>
      </c>
      <c r="C18" s="6"/>
      <c r="D18" s="6">
        <f>'I Trimestre'!D18+'II Trimestre'!D18+'III Trimestre'!D18</f>
        <v>184052292.16999999</v>
      </c>
      <c r="E18" s="6">
        <f>'I Trimestre'!E18+'II Trimestre'!E18+'III Trimestre'!E18</f>
        <v>110022453.50999999</v>
      </c>
      <c r="F18" s="6">
        <f>'I Trimestre'!F18+'II Trimestre'!F18+'III Trimestre'!F18</f>
        <v>290050268.02999997</v>
      </c>
      <c r="G18" s="6"/>
    </row>
    <row r="19" spans="1:8" x14ac:dyDescent="0.25">
      <c r="A19" s="20" t="s">
        <v>79</v>
      </c>
      <c r="B19" s="6">
        <f>SUM(D19:F19)</f>
        <v>993808043</v>
      </c>
      <c r="C19" s="6"/>
      <c r="D19" s="6">
        <f>+'II Trimestre'!D19</f>
        <v>240614901</v>
      </c>
      <c r="E19" s="6">
        <f>+'II Trimestre'!E19</f>
        <v>141660925</v>
      </c>
      <c r="F19" s="6">
        <f>+'II Trimestre'!F19</f>
        <v>611532217</v>
      </c>
      <c r="G19" s="6"/>
    </row>
    <row r="20" spans="1:8" x14ac:dyDescent="0.25">
      <c r="A20" s="20" t="s">
        <v>108</v>
      </c>
      <c r="B20" s="6">
        <f>D20</f>
        <v>184052292.16999999</v>
      </c>
      <c r="C20" s="6"/>
      <c r="D20" s="6">
        <f>D18</f>
        <v>184052292.16999999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106</v>
      </c>
      <c r="B23" s="6">
        <f>B17</f>
        <v>872208043</v>
      </c>
      <c r="C23" s="6"/>
      <c r="D23" s="33" t="s">
        <v>129</v>
      </c>
      <c r="E23" s="6"/>
      <c r="F23" s="6"/>
      <c r="G23" s="6"/>
      <c r="H23" s="22"/>
    </row>
    <row r="24" spans="1:8" x14ac:dyDescent="0.25">
      <c r="A24" s="20" t="s">
        <v>107</v>
      </c>
      <c r="B24" s="6">
        <f>'I Trimestre'!B24+'II Trimestre'!B24</f>
        <v>143566169</v>
      </c>
      <c r="C24" s="6"/>
      <c r="D24" s="6">
        <f>'I Trimestre'!D24</f>
        <v>355066175.01999998</v>
      </c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64</v>
      </c>
      <c r="B27" s="6">
        <v>1.5164078580333333</v>
      </c>
      <c r="C27" s="6">
        <v>1.5164078580333333</v>
      </c>
      <c r="D27" s="6">
        <v>1.5164078580333333</v>
      </c>
      <c r="E27" s="6">
        <v>1.5164078580333333</v>
      </c>
      <c r="F27" s="6">
        <v>1.5164078580333333</v>
      </c>
      <c r="G27" s="6"/>
    </row>
    <row r="28" spans="1:8" x14ac:dyDescent="0.25">
      <c r="A28" s="16" t="s">
        <v>109</v>
      </c>
      <c r="B28" s="6">
        <v>1.6071376151833332</v>
      </c>
      <c r="C28" s="6">
        <v>1.6071376151833332</v>
      </c>
      <c r="D28" s="6">
        <v>1.6071376151833332</v>
      </c>
      <c r="E28" s="6">
        <v>1.6071376151833332</v>
      </c>
      <c r="F28" s="6">
        <v>1.6071376151833332</v>
      </c>
      <c r="G28" s="6"/>
    </row>
    <row r="29" spans="1:8" x14ac:dyDescent="0.25">
      <c r="A29" s="16" t="s">
        <v>11</v>
      </c>
      <c r="B29" s="29"/>
      <c r="C29" s="29"/>
      <c r="D29" s="29"/>
      <c r="E29" s="29"/>
      <c r="F29" s="29"/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65</v>
      </c>
      <c r="B32" s="6">
        <f>B16/B27</f>
        <v>129659220.09596843</v>
      </c>
      <c r="C32" s="25">
        <f>B16/B27</f>
        <v>129659220.09596843</v>
      </c>
      <c r="D32" s="25">
        <f>D16/D27</f>
        <v>32956430.531040844</v>
      </c>
      <c r="E32" s="25">
        <f t="shared" ref="E32:F32" si="0">E16/E27</f>
        <v>75567093.419454634</v>
      </c>
      <c r="F32" s="25">
        <f t="shared" si="0"/>
        <v>5067044.7263213135</v>
      </c>
      <c r="G32" s="6"/>
    </row>
    <row r="33" spans="1:7" x14ac:dyDescent="0.25">
      <c r="A33" s="16" t="s">
        <v>110</v>
      </c>
      <c r="B33" s="6">
        <f>B18/B28</f>
        <v>243349299.44713289</v>
      </c>
      <c r="C33" s="25">
        <f>B18/B28</f>
        <v>243349299.44713289</v>
      </c>
      <c r="D33" s="25">
        <f>D18/D28</f>
        <v>114521799.77070871</v>
      </c>
      <c r="E33" s="25">
        <f>E18/E28</f>
        <v>68458638.806390733</v>
      </c>
      <c r="F33" s="25">
        <f t="shared" ref="F33" si="1">F18/F28</f>
        <v>180476310.98281068</v>
      </c>
      <c r="G33" s="6"/>
    </row>
    <row r="34" spans="1:7" x14ac:dyDescent="0.25">
      <c r="A34" s="16" t="s">
        <v>66</v>
      </c>
      <c r="B34" s="6">
        <f>B32/B10</f>
        <v>308712.42879992485</v>
      </c>
      <c r="C34" s="25">
        <f>C32/C10</f>
        <v>336340.38935400371</v>
      </c>
      <c r="D34" s="25">
        <f>D32/$C$10</f>
        <v>85490.09216871814</v>
      </c>
      <c r="E34" s="25">
        <f t="shared" ref="E34:F34" si="2">E32/$C$10</f>
        <v>196023.58863671758</v>
      </c>
      <c r="F34" s="25">
        <f t="shared" si="2"/>
        <v>13144.084893181098</v>
      </c>
      <c r="G34" s="6"/>
    </row>
    <row r="35" spans="1:7" x14ac:dyDescent="0.25">
      <c r="A35" s="16" t="s">
        <v>111</v>
      </c>
      <c r="B35" s="6">
        <f>B33/B12</f>
        <v>500718.72314224875</v>
      </c>
      <c r="C35" s="25">
        <f>C33/C12</f>
        <v>547467.490319759</v>
      </c>
      <c r="D35" s="25">
        <f>D33/$C$12</f>
        <v>257641.84425356291</v>
      </c>
      <c r="E35" s="25">
        <f t="shared" ref="E35:F35" si="3">E33/$C$12</f>
        <v>154012.68572866305</v>
      </c>
      <c r="F35" s="25">
        <f t="shared" si="3"/>
        <v>406020.94709293742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75</v>
      </c>
      <c r="C40" s="6" t="s">
        <v>75</v>
      </c>
      <c r="D40" s="6" t="s">
        <v>75</v>
      </c>
      <c r="E40" s="6" t="s">
        <v>75</v>
      </c>
      <c r="F40" s="6" t="s">
        <v>75</v>
      </c>
      <c r="G40" s="6"/>
    </row>
    <row r="41" spans="1:7" x14ac:dyDescent="0.25">
      <c r="A41" s="16" t="s">
        <v>16</v>
      </c>
      <c r="B41" s="6" t="s">
        <v>75</v>
      </c>
      <c r="C41" s="6" t="s">
        <v>75</v>
      </c>
      <c r="D41" s="6" t="s">
        <v>75</v>
      </c>
      <c r="E41" s="6" t="s">
        <v>75</v>
      </c>
      <c r="F41" s="6" t="s">
        <v>75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39">
        <f>B12/B11*100</f>
        <v>103.62473347547973</v>
      </c>
      <c r="C44" s="6">
        <f>C12/C11*100</f>
        <v>101.02272727272728</v>
      </c>
      <c r="D44" s="6"/>
      <c r="E44" s="6"/>
      <c r="F44" s="6"/>
      <c r="G44" s="6"/>
    </row>
    <row r="45" spans="1:7" x14ac:dyDescent="0.25">
      <c r="A45" s="16" t="s">
        <v>19</v>
      </c>
      <c r="B45" s="39">
        <f>B18/B17*100</f>
        <v>44.839739315497226</v>
      </c>
      <c r="C45" s="6">
        <f>B18/B17*100</f>
        <v>44.839739315497226</v>
      </c>
      <c r="D45" s="6">
        <f>D18/D17*100</f>
        <v>99.318668480955012</v>
      </c>
      <c r="E45" s="6">
        <f t="shared" ref="E45" si="4">E18/E17*100</f>
        <v>77.666056119568609</v>
      </c>
      <c r="F45" s="6">
        <f>F18/F17*100</f>
        <v>47.430087895107569</v>
      </c>
      <c r="G45" s="6"/>
    </row>
    <row r="46" spans="1:7" x14ac:dyDescent="0.25">
      <c r="A46" s="16" t="s">
        <v>20</v>
      </c>
      <c r="B46" s="39">
        <f>AVERAGE(B44:B45)</f>
        <v>74.232236395488485</v>
      </c>
      <c r="C46" s="6">
        <f>AVERAGE(C44:C45)</f>
        <v>72.931233294112246</v>
      </c>
      <c r="D46" s="6"/>
      <c r="E46" s="6"/>
      <c r="F46" s="6"/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103.62473347547973</v>
      </c>
      <c r="C49" s="6">
        <f>(C12/C13)*100</f>
        <v>106.5947242206235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39.353254939394766</v>
      </c>
      <c r="C50" s="6">
        <f>B18/B19*100</f>
        <v>39.353254939394766</v>
      </c>
      <c r="D50" s="6">
        <f>D18/D19*100</f>
        <v>76.492474657668851</v>
      </c>
      <c r="E50" s="6">
        <f t="shared" ref="E50:F50" si="5">E18/E19*100</f>
        <v>77.666056119568609</v>
      </c>
      <c r="F50" s="6">
        <f t="shared" si="5"/>
        <v>47.430087895107569</v>
      </c>
      <c r="G50" s="6"/>
    </row>
    <row r="51" spans="1:7" x14ac:dyDescent="0.25">
      <c r="A51" s="16" t="s">
        <v>24</v>
      </c>
      <c r="B51" s="6">
        <f>(B49+B50)/2</f>
        <v>71.488994207437244</v>
      </c>
      <c r="C51" s="6">
        <f>(C49+C50)/2</f>
        <v>72.973989580009132</v>
      </c>
      <c r="D51" s="6"/>
      <c r="E51" s="6"/>
      <c r="F51" s="6"/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47.060665484096994</v>
      </c>
      <c r="C54" s="6"/>
      <c r="D54" s="6"/>
      <c r="E54" s="6"/>
      <c r="F54" s="6"/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15.714285714285726</v>
      </c>
      <c r="C57" s="6">
        <f>((C12/C10)-1)*100</f>
        <v>15.304798962386501</v>
      </c>
      <c r="D57" s="6"/>
      <c r="E57" s="6"/>
      <c r="F57" s="6"/>
      <c r="G57" s="6"/>
    </row>
    <row r="58" spans="1:7" x14ac:dyDescent="0.25">
      <c r="A58" s="16" t="s">
        <v>28</v>
      </c>
      <c r="B58" s="6">
        <f>((B33/B32)-1)*100</f>
        <v>87.683759987925058</v>
      </c>
      <c r="C58" s="6">
        <f>((C33/C32)-1)*100</f>
        <v>87.683759987925058</v>
      </c>
      <c r="D58" s="6">
        <f t="shared" ref="D58:F58" si="6">((D33/D32)-1)*100</f>
        <v>247.49454939558296</v>
      </c>
      <c r="E58" s="6">
        <f t="shared" si="6"/>
        <v>-9.4068122662950504</v>
      </c>
      <c r="F58" s="6">
        <f t="shared" si="6"/>
        <v>3461.7666851312142</v>
      </c>
      <c r="G58" s="6"/>
    </row>
    <row r="59" spans="1:7" x14ac:dyDescent="0.25">
      <c r="A59" s="16" t="s">
        <v>29</v>
      </c>
      <c r="B59" s="6">
        <f>((B35/B34)-1)*100</f>
        <v>62.195841964873509</v>
      </c>
      <c r="C59" s="6">
        <f>((C35/C34)-1)*100</f>
        <v>62.771854837671782</v>
      </c>
      <c r="D59" s="6">
        <f t="shared" ref="D59:F59" si="7">((D35/D34)-1)*100</f>
        <v>201.37041348030874</v>
      </c>
      <c r="E59" s="6">
        <f t="shared" si="7"/>
        <v>-21.431554845122037</v>
      </c>
      <c r="F59" s="6">
        <f t="shared" si="7"/>
        <v>2989.0012533590175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25">
        <f>B17/($B$11*5)</f>
        <v>371943.72835820896</v>
      </c>
      <c r="C62" s="25">
        <f>B17/(C11*5)</f>
        <v>396458.20136363636</v>
      </c>
      <c r="D62" s="38">
        <f>D17/($C$11*5)</f>
        <v>84234.045909090913</v>
      </c>
      <c r="E62" s="38">
        <f t="shared" ref="E62:F62" si="8">E17/($C$11*5)</f>
        <v>64391.329545454544</v>
      </c>
      <c r="F62" s="38">
        <f t="shared" si="8"/>
        <v>277969.18954545457</v>
      </c>
      <c r="G62" s="6"/>
    </row>
    <row r="63" spans="1:7" x14ac:dyDescent="0.25">
      <c r="A63" s="16" t="s">
        <v>38</v>
      </c>
      <c r="B63" s="25">
        <f>B18/($B$12*5)</f>
        <v>160944.77891769545</v>
      </c>
      <c r="C63" s="25">
        <f>B18/(C12*5)</f>
        <v>175971.11935658043</v>
      </c>
      <c r="D63" s="38">
        <f>D18/($C$12*5)</f>
        <v>82813.179829021363</v>
      </c>
      <c r="E63" s="38">
        <f t="shared" ref="E63:F63" si="9">E18/($C$12*5)</f>
        <v>49503.91608998875</v>
      </c>
      <c r="F63" s="38">
        <f t="shared" si="9"/>
        <v>130506.30732508434</v>
      </c>
    </row>
    <row r="64" spans="1:7" x14ac:dyDescent="0.25">
      <c r="A64" s="16" t="s">
        <v>31</v>
      </c>
      <c r="B64" s="6">
        <f>(B62/B63)*B46</f>
        <v>171.55085710127534</v>
      </c>
      <c r="C64" s="6">
        <f>(C62/C63)*C46</f>
        <v>164.31210803646144</v>
      </c>
      <c r="D64" s="6"/>
      <c r="E64" s="6"/>
      <c r="F64" s="6"/>
      <c r="G64" s="6"/>
    </row>
    <row r="65" spans="1:8" x14ac:dyDescent="0.25">
      <c r="A65" s="14" t="s">
        <v>41</v>
      </c>
      <c r="B65" s="25">
        <f>B17/($B$11)</f>
        <v>1859718.6417910447</v>
      </c>
      <c r="C65" s="25">
        <f>B17/C11</f>
        <v>1982291.0068181818</v>
      </c>
      <c r="D65" s="29">
        <f>D17/($C$11)</f>
        <v>421170.22954545455</v>
      </c>
      <c r="E65" s="29">
        <f t="shared" ref="E65:F65" si="10">E17/($C$11)</f>
        <v>321956.64772727271</v>
      </c>
      <c r="F65" s="29">
        <f t="shared" si="10"/>
        <v>1389845.9477272728</v>
      </c>
      <c r="G65" s="6"/>
    </row>
    <row r="66" spans="1:8" x14ac:dyDescent="0.25">
      <c r="A66" s="14" t="s">
        <v>42</v>
      </c>
      <c r="B66" s="25">
        <f>B18/($B$12)</f>
        <v>804723.89458847733</v>
      </c>
      <c r="C66" s="25">
        <f>B18/C12</f>
        <v>879855.59678290214</v>
      </c>
      <c r="D66" s="29">
        <f>D18/($C$12)</f>
        <v>414065.89914510684</v>
      </c>
      <c r="E66" s="29">
        <f t="shared" ref="E66:F66" si="11">E18/($C$12)</f>
        <v>247519.58044994372</v>
      </c>
      <c r="F66" s="29">
        <f t="shared" si="11"/>
        <v>652531.53662542172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6">
        <f>((B24+D24)/B23)*100</f>
        <v>57.168968805301425</v>
      </c>
      <c r="C69" s="6"/>
      <c r="D69" s="6"/>
      <c r="E69" s="6"/>
      <c r="F69" s="6"/>
      <c r="G69" s="6"/>
      <c r="H69" s="22"/>
    </row>
    <row r="70" spans="1:8" x14ac:dyDescent="0.25">
      <c r="A70" s="16" t="s">
        <v>34</v>
      </c>
      <c r="B70" s="6">
        <f>(B18/(B24+D24))*100</f>
        <v>78.433703200431225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127</v>
      </c>
    </row>
    <row r="75" spans="1:8" x14ac:dyDescent="0.25">
      <c r="A75" s="11" t="s">
        <v>130</v>
      </c>
      <c r="B75" s="24"/>
      <c r="C75" s="24"/>
      <c r="D75" s="24"/>
      <c r="E75" s="24"/>
    </row>
    <row r="76" spans="1:8" x14ac:dyDescent="0.25">
      <c r="A76" s="35" t="s">
        <v>131</v>
      </c>
      <c r="B76" s="24"/>
      <c r="C76" s="24"/>
      <c r="D76" s="24"/>
      <c r="E76" s="24"/>
    </row>
    <row r="77" spans="1:8" x14ac:dyDescent="0.25">
      <c r="A77" s="11" t="s">
        <v>132</v>
      </c>
    </row>
    <row r="78" spans="1:8" x14ac:dyDescent="0.25">
      <c r="A78" s="34" t="s">
        <v>133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100" workbookViewId="0">
      <selection activeCell="B70" sqref="B70"/>
    </sheetView>
  </sheetViews>
  <sheetFormatPr baseColWidth="10" defaultColWidth="11.42578125" defaultRowHeight="15" x14ac:dyDescent="0.25"/>
  <cols>
    <col min="1" max="1" width="55.140625" style="16" customWidth="1"/>
    <col min="2" max="2" width="13.85546875" style="16" bestFit="1" customWidth="1"/>
    <col min="3" max="3" width="13.85546875" style="16" customWidth="1"/>
    <col min="4" max="4" width="20.7109375" style="16" customWidth="1"/>
    <col min="5" max="5" width="13.7109375" style="16" customWidth="1"/>
    <col min="6" max="7" width="13.7109375" style="16" bestFit="1" customWidth="1"/>
    <col min="8" max="16384" width="11.42578125" style="16"/>
  </cols>
  <sheetData>
    <row r="2" spans="1:7" ht="15.75" x14ac:dyDescent="0.25">
      <c r="A2" s="49" t="s">
        <v>112</v>
      </c>
      <c r="B2" s="49"/>
      <c r="C2" s="49"/>
      <c r="D2" s="49"/>
      <c r="E2" s="49"/>
      <c r="F2" s="49"/>
    </row>
    <row r="4" spans="1:7" ht="15" customHeight="1" x14ac:dyDescent="0.25">
      <c r="A4" s="50" t="s">
        <v>0</v>
      </c>
      <c r="B4" s="52" t="s">
        <v>1</v>
      </c>
      <c r="C4" s="47" t="s">
        <v>134</v>
      </c>
      <c r="D4" s="54" t="s">
        <v>2</v>
      </c>
      <c r="E4" s="54"/>
      <c r="F4" s="54"/>
    </row>
    <row r="5" spans="1:7" ht="15.75" thickBot="1" x14ac:dyDescent="0.3">
      <c r="A5" s="51"/>
      <c r="B5" s="53"/>
      <c r="C5" s="48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67</v>
      </c>
      <c r="B10" s="13">
        <f>'I Trimestre'!B10</f>
        <v>420</v>
      </c>
      <c r="C10" s="13">
        <f>('I Trimestre'!C10+'II Trimestre'!C10+'III Trimestre'!C10)/3</f>
        <v>369.66666666666669</v>
      </c>
      <c r="D10" s="6"/>
      <c r="E10" s="6"/>
      <c r="F10" s="6"/>
      <c r="G10" s="6"/>
    </row>
    <row r="11" spans="1:7" x14ac:dyDescent="0.25">
      <c r="A11" s="20" t="s">
        <v>113</v>
      </c>
      <c r="B11" s="13">
        <f>'I Trimestre'!B11</f>
        <v>469</v>
      </c>
      <c r="C11" s="13">
        <f>('I Trimestre'!C11+'II Trimestre'!C11+'III Trimestre'!C11)/3</f>
        <v>429.33333333333331</v>
      </c>
      <c r="D11" s="6"/>
      <c r="E11" s="6"/>
      <c r="F11" s="6"/>
      <c r="G11" s="6"/>
    </row>
    <row r="12" spans="1:7" x14ac:dyDescent="0.25">
      <c r="A12" s="20" t="s">
        <v>114</v>
      </c>
      <c r="B12" s="13">
        <f>'I Trimestre'!B12</f>
        <v>486</v>
      </c>
      <c r="C12" s="13">
        <f>('I Trimestre'!C12+'II Trimestre'!C12+'III Trimestre'!C12)/3</f>
        <v>432.33333333333331</v>
      </c>
      <c r="D12" s="6"/>
    </row>
    <row r="13" spans="1:7" x14ac:dyDescent="0.25">
      <c r="A13" s="20" t="s">
        <v>79</v>
      </c>
      <c r="B13" s="13">
        <f>'I Trimestre'!B13</f>
        <v>469</v>
      </c>
      <c r="C13" s="13">
        <f>+'III Trimestre'!C13</f>
        <v>417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67</v>
      </c>
      <c r="B16" s="6">
        <v>236744719.81</v>
      </c>
      <c r="C16" s="6"/>
      <c r="D16" s="6">
        <v>79958539.099999994</v>
      </c>
      <c r="E16" s="6">
        <v>149102474.26999998</v>
      </c>
      <c r="F16" s="6">
        <v>7683706.4400000004</v>
      </c>
      <c r="G16" s="6"/>
    </row>
    <row r="17" spans="1:8" x14ac:dyDescent="0.25">
      <c r="A17" s="20" t="s">
        <v>113</v>
      </c>
      <c r="B17" s="6">
        <f>+'I Trimestre'!B17+'II Trimestre'!B17+'III Trimestre'!B17</f>
        <v>938508043</v>
      </c>
      <c r="C17" s="6"/>
      <c r="D17" s="6">
        <f>'I Trimestre'!D17+'II Trimestre'!D17+'III Trimestre'!D17</f>
        <v>185314901</v>
      </c>
      <c r="E17" s="6">
        <f>'I Trimestre'!E17+'II Trimestre'!E17+'III Trimestre'!E17</f>
        <v>141660925</v>
      </c>
      <c r="F17" s="6">
        <f>'I Trimestre'!F17+'II Trimestre'!F17+'III Trimestre'!F17</f>
        <v>611532217</v>
      </c>
      <c r="G17" s="6"/>
    </row>
    <row r="18" spans="1:8" x14ac:dyDescent="0.25">
      <c r="A18" s="20" t="s">
        <v>114</v>
      </c>
      <c r="B18" s="6">
        <f>+'I Trimestre'!B18+'II Trimestre'!B18+'III Trimestre'!B18</f>
        <v>584125013.71000004</v>
      </c>
      <c r="C18" s="6"/>
      <c r="D18" s="6">
        <f>'I Trimestre'!D18+'II Trimestre'!D18+'III Trimestre'!D18</f>
        <v>184052292.16999999</v>
      </c>
      <c r="E18" s="6">
        <f>'I Trimestre'!E18+'II Trimestre'!E18+'III Trimestre'!E18</f>
        <v>110022453.50999999</v>
      </c>
      <c r="F18" s="6">
        <f>'I Trimestre'!F18+'II Trimestre'!F18+'III Trimestre'!F18</f>
        <v>290050268.02999997</v>
      </c>
      <c r="G18" s="6"/>
    </row>
    <row r="19" spans="1:8" x14ac:dyDescent="0.25">
      <c r="A19" s="20" t="s">
        <v>79</v>
      </c>
      <c r="B19" s="6">
        <f>+SUM(D19:F19)</f>
        <v>999351264</v>
      </c>
      <c r="C19" s="6"/>
      <c r="D19" s="6">
        <f>+'III Trimestre'!D19</f>
        <v>246158122</v>
      </c>
      <c r="E19" s="6">
        <f>+'III Trimestre'!E19</f>
        <v>141660925</v>
      </c>
      <c r="F19" s="6">
        <f>+'III Trimestre'!F19</f>
        <v>611532217</v>
      </c>
      <c r="G19" s="6"/>
    </row>
    <row r="20" spans="1:8" x14ac:dyDescent="0.25">
      <c r="A20" s="20" t="s">
        <v>115</v>
      </c>
      <c r="B20" s="6">
        <f>D20</f>
        <v>184052292.16999999</v>
      </c>
      <c r="C20" s="6"/>
      <c r="D20" s="6">
        <f>D18</f>
        <v>184052292.16999999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113</v>
      </c>
      <c r="B23" s="6">
        <f>B17</f>
        <v>938508043</v>
      </c>
      <c r="C23" s="6"/>
      <c r="D23" s="33" t="s">
        <v>129</v>
      </c>
      <c r="E23" s="6"/>
      <c r="F23" s="6"/>
      <c r="G23" s="6"/>
      <c r="H23" s="22"/>
    </row>
    <row r="24" spans="1:8" x14ac:dyDescent="0.25">
      <c r="A24" s="20" t="s">
        <v>114</v>
      </c>
      <c r="B24" s="6">
        <f>'I Trimestre'!B24+'II Trimestre'!B24+'III Trimestre'!B24</f>
        <v>517968071.75999999</v>
      </c>
      <c r="C24" s="6"/>
      <c r="D24" s="6">
        <f>'I Trimestre'!D24</f>
        <v>355066175.01999998</v>
      </c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68</v>
      </c>
      <c r="B27" s="6">
        <v>1.523505238688889</v>
      </c>
      <c r="C27" s="6">
        <v>1.523505238688889</v>
      </c>
      <c r="D27" s="6">
        <v>1.523505238688889</v>
      </c>
      <c r="E27" s="6">
        <v>1.523505238688889</v>
      </c>
      <c r="F27" s="6">
        <v>1.523505238688889</v>
      </c>
      <c r="G27" s="6"/>
    </row>
    <row r="28" spans="1:8" x14ac:dyDescent="0.25">
      <c r="A28" s="16" t="s">
        <v>116</v>
      </c>
      <c r="B28" s="6">
        <v>1.6128472990111107</v>
      </c>
      <c r="C28" s="6">
        <v>1.6128472990111107</v>
      </c>
      <c r="D28" s="6">
        <v>1.6128472990111107</v>
      </c>
      <c r="E28" s="6">
        <v>1.6128472990111107</v>
      </c>
      <c r="F28" s="6">
        <v>1.6128472990111107</v>
      </c>
      <c r="G28" s="6"/>
    </row>
    <row r="29" spans="1:8" x14ac:dyDescent="0.25">
      <c r="A29" s="16" t="s">
        <v>11</v>
      </c>
      <c r="B29" s="29"/>
      <c r="C29" s="29"/>
      <c r="D29" s="29"/>
      <c r="E29" s="29"/>
      <c r="F29" s="29"/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69</v>
      </c>
      <c r="B32" s="6">
        <f>B16/B27</f>
        <v>155394752.70445395</v>
      </c>
      <c r="C32" s="25">
        <f>B16/B27</f>
        <v>155394752.70445395</v>
      </c>
      <c r="D32" s="25">
        <f>D16/D27</f>
        <v>52483271.517209478</v>
      </c>
      <c r="E32" s="25">
        <f t="shared" ref="E32:F32" si="0">E16/E27</f>
        <v>97868041.726141915</v>
      </c>
      <c r="F32" s="25">
        <f t="shared" si="0"/>
        <v>5043439.461102549</v>
      </c>
      <c r="G32" s="6"/>
    </row>
    <row r="33" spans="1:7" x14ac:dyDescent="0.25">
      <c r="A33" s="16" t="s">
        <v>117</v>
      </c>
      <c r="B33" s="6">
        <f>B18/B28</f>
        <v>362170066.60714012</v>
      </c>
      <c r="C33" s="25">
        <f>B18/B28</f>
        <v>362170066.60714012</v>
      </c>
      <c r="D33" s="25">
        <f>D18/D28</f>
        <v>114116378.08665982</v>
      </c>
      <c r="E33" s="25">
        <f>E18/E28</f>
        <v>68216286.549543992</v>
      </c>
      <c r="F33" s="25">
        <f t="shared" ref="F33" si="1">F18/F28</f>
        <v>179837401.97093627</v>
      </c>
      <c r="G33" s="6"/>
    </row>
    <row r="34" spans="1:7" x14ac:dyDescent="0.25">
      <c r="A34" s="16" t="s">
        <v>70</v>
      </c>
      <c r="B34" s="6">
        <f>B32/B10</f>
        <v>369987.50643917604</v>
      </c>
      <c r="C34" s="25">
        <f>C32/C10</f>
        <v>420364.52489933436</v>
      </c>
      <c r="D34" s="25">
        <f>D32/$C$10</f>
        <v>141974.58480760001</v>
      </c>
      <c r="E34" s="25">
        <f t="shared" ref="E34:F34" si="2">E32/$C$10</f>
        <v>264746.73145033879</v>
      </c>
      <c r="F34" s="25">
        <f t="shared" si="2"/>
        <v>13643.208641395533</v>
      </c>
      <c r="G34" s="6"/>
    </row>
    <row r="35" spans="1:7" x14ac:dyDescent="0.25">
      <c r="A35" s="16" t="s">
        <v>118</v>
      </c>
      <c r="B35" s="6">
        <f>B33/B12</f>
        <v>745205.89836860111</v>
      </c>
      <c r="C35" s="25">
        <f>C33/C12</f>
        <v>837710.25429562095</v>
      </c>
      <c r="D35" s="25">
        <f>D33/$C$12</f>
        <v>263954.61392442521</v>
      </c>
      <c r="E35" s="25">
        <f t="shared" ref="E35:F35" si="3">E33/$C$12</f>
        <v>157786.32201128142</v>
      </c>
      <c r="F35" s="25">
        <f t="shared" si="3"/>
        <v>415969.31835991429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75</v>
      </c>
      <c r="C40" s="6" t="s">
        <v>75</v>
      </c>
      <c r="D40" s="6" t="s">
        <v>75</v>
      </c>
      <c r="E40" s="6" t="s">
        <v>75</v>
      </c>
      <c r="F40" s="6" t="s">
        <v>75</v>
      </c>
      <c r="G40" s="6"/>
    </row>
    <row r="41" spans="1:7" x14ac:dyDescent="0.25">
      <c r="A41" s="16" t="s">
        <v>16</v>
      </c>
      <c r="B41" s="6" t="s">
        <v>75</v>
      </c>
      <c r="C41" s="6" t="s">
        <v>75</v>
      </c>
      <c r="D41" s="6" t="s">
        <v>75</v>
      </c>
      <c r="E41" s="6" t="s">
        <v>75</v>
      </c>
      <c r="F41" s="6" t="s">
        <v>75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39">
        <f>B12/B11*100</f>
        <v>103.62473347547973</v>
      </c>
      <c r="C44" s="6">
        <f>C12/C11*100</f>
        <v>100.69875776397517</v>
      </c>
      <c r="D44" s="6"/>
      <c r="E44" s="6"/>
      <c r="F44" s="6"/>
      <c r="G44" s="6"/>
    </row>
    <row r="45" spans="1:7" x14ac:dyDescent="0.25">
      <c r="A45" s="16" t="s">
        <v>19</v>
      </c>
      <c r="B45" s="39">
        <f>B18/B17*100</f>
        <v>62.239745100405074</v>
      </c>
      <c r="C45" s="6">
        <f>B18/B17*100</f>
        <v>62.239745100405074</v>
      </c>
      <c r="D45" s="6">
        <f>D18/D17*100</f>
        <v>99.318668480955012</v>
      </c>
      <c r="E45" s="6">
        <f t="shared" ref="E45" si="4">E18/E17*100</f>
        <v>77.666056119568609</v>
      </c>
      <c r="F45" s="6">
        <f>F18/F17*100</f>
        <v>47.430087895107569</v>
      </c>
      <c r="G45" s="6"/>
    </row>
    <row r="46" spans="1:7" x14ac:dyDescent="0.25">
      <c r="A46" s="16" t="s">
        <v>20</v>
      </c>
      <c r="B46" s="39">
        <f>AVERAGE(B44:B45)</f>
        <v>82.932239287942394</v>
      </c>
      <c r="C46" s="6">
        <f>AVERAGE(C44:C45)</f>
        <v>81.46925143219012</v>
      </c>
      <c r="D46" s="6"/>
      <c r="E46" s="6"/>
      <c r="F46" s="6"/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103.62473347547973</v>
      </c>
      <c r="C49" s="6">
        <f>(C12/C13)*100</f>
        <v>103.67705835331734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58.450420262839643</v>
      </c>
      <c r="C50" s="6">
        <f>B18/B19*100</f>
        <v>58.450420262839643</v>
      </c>
      <c r="D50" s="6">
        <f>D18/D19*100</f>
        <v>74.769944893388484</v>
      </c>
      <c r="E50" s="6">
        <f t="shared" ref="E50:F50" si="5">E18/E19*100</f>
        <v>77.666056119568609</v>
      </c>
      <c r="F50" s="6">
        <f t="shared" si="5"/>
        <v>47.430087895107569</v>
      </c>
      <c r="G50" s="6"/>
    </row>
    <row r="51" spans="1:7" x14ac:dyDescent="0.25">
      <c r="A51" s="16" t="s">
        <v>24</v>
      </c>
      <c r="B51" s="6">
        <f>(B49+B50)/2</f>
        <v>81.037576869159693</v>
      </c>
      <c r="C51" s="6">
        <f>(C49+C50)/2</f>
        <v>81.063739308078482</v>
      </c>
      <c r="D51" s="6"/>
      <c r="E51" s="6"/>
      <c r="F51" s="6"/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31.509058480651923</v>
      </c>
      <c r="C54" s="6"/>
      <c r="D54" s="6"/>
      <c r="E54" s="6"/>
      <c r="F54" s="6"/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15.714285714285726</v>
      </c>
      <c r="C57" s="6">
        <f>((C12/C10)-1)*100</f>
        <v>16.952209197475199</v>
      </c>
      <c r="D57" s="6"/>
      <c r="E57" s="6"/>
      <c r="F57" s="6"/>
      <c r="G57" s="6"/>
    </row>
    <row r="58" spans="1:7" x14ac:dyDescent="0.25">
      <c r="A58" s="16" t="s">
        <v>28</v>
      </c>
      <c r="B58" s="6">
        <f>((B33/B32)-1)*100</f>
        <v>133.06454066435123</v>
      </c>
      <c r="C58" s="6">
        <f>((C33/C32)-1)*100</f>
        <v>133.06454066435123</v>
      </c>
      <c r="D58" s="6">
        <f t="shared" ref="D58:F58" si="6">((D33/D32)-1)*100</f>
        <v>117.43381231339703</v>
      </c>
      <c r="E58" s="6">
        <f t="shared" si="6"/>
        <v>-30.297689269772654</v>
      </c>
      <c r="F58" s="6">
        <f t="shared" si="6"/>
        <v>3465.7690224682883</v>
      </c>
      <c r="G58" s="6"/>
    </row>
    <row r="59" spans="1:7" x14ac:dyDescent="0.25">
      <c r="A59" s="16" t="s">
        <v>29</v>
      </c>
      <c r="B59" s="6">
        <f>((B35/B34)-1)*100</f>
        <v>101.41380057413075</v>
      </c>
      <c r="C59" s="6">
        <f>((C35/C34)-1)*100</f>
        <v>99.281862449318098</v>
      </c>
      <c r="D59" s="6">
        <f t="shared" ref="D59:F59" si="7">((D35/D34)-1)*100</f>
        <v>85.916806365117466</v>
      </c>
      <c r="E59" s="6">
        <f t="shared" si="7"/>
        <v>-40.401031148942067</v>
      </c>
      <c r="F59" s="6">
        <f t="shared" si="7"/>
        <v>2948.9112150480587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25">
        <f>B17/($B$11*8)</f>
        <v>250135.40591684435</v>
      </c>
      <c r="C62" s="25">
        <f>B17/(C11*8)</f>
        <v>273245.74233307457</v>
      </c>
      <c r="D62" s="38">
        <f>D17/($C$11*8)</f>
        <v>53954.260772515532</v>
      </c>
      <c r="E62" s="38">
        <f t="shared" ref="E62:F62" si="8">E17/($C$11*8)</f>
        <v>41244.446331521744</v>
      </c>
      <c r="F62" s="38">
        <f t="shared" si="8"/>
        <v>178047.03522903728</v>
      </c>
      <c r="G62" s="6"/>
    </row>
    <row r="63" spans="1:7" x14ac:dyDescent="0.25">
      <c r="A63" s="16" t="s">
        <v>38</v>
      </c>
      <c r="B63" s="25">
        <f>B18/($B$12*8)</f>
        <v>150237.91504886831</v>
      </c>
      <c r="C63" s="25">
        <f>B18/(C12*8)</f>
        <v>168887.34012432539</v>
      </c>
      <c r="D63" s="38">
        <f>D18/($C$12*8)</f>
        <v>53214.810766191207</v>
      </c>
      <c r="E63" s="38">
        <f t="shared" ref="E63:F63" si="9">E18/($C$12*8)</f>
        <v>31810.655409599072</v>
      </c>
      <c r="F63" s="38">
        <f t="shared" si="9"/>
        <v>83861.873948535082</v>
      </c>
    </row>
    <row r="64" spans="1:7" x14ac:dyDescent="0.25">
      <c r="A64" s="16" t="s">
        <v>31</v>
      </c>
      <c r="B64" s="6">
        <f>(B62/B63)*B46</f>
        <v>138.07625945244772</v>
      </c>
      <c r="C64" s="6">
        <f>(C62/C63)*C46</f>
        <v>131.81050793103435</v>
      </c>
      <c r="D64" s="6"/>
      <c r="E64" s="6"/>
      <c r="F64" s="6"/>
      <c r="G64" s="6"/>
    </row>
    <row r="65" spans="1:8" x14ac:dyDescent="0.25">
      <c r="A65" s="14" t="s">
        <v>43</v>
      </c>
      <c r="B65" s="25">
        <f>B17/($B$11)</f>
        <v>2001083.2473347548</v>
      </c>
      <c r="C65" s="25">
        <f>B17/C11</f>
        <v>2185965.9386645965</v>
      </c>
      <c r="D65" s="29">
        <f>D17/($C$11)</f>
        <v>431634.08618012426</v>
      </c>
      <c r="E65" s="29">
        <f t="shared" ref="E65:F65" si="10">E17/($C$11)</f>
        <v>329955.57065217395</v>
      </c>
      <c r="F65" s="29">
        <f t="shared" si="10"/>
        <v>1424376.2818322983</v>
      </c>
      <c r="G65" s="6"/>
    </row>
    <row r="66" spans="1:8" x14ac:dyDescent="0.25">
      <c r="A66" s="14" t="s">
        <v>44</v>
      </c>
      <c r="B66" s="25">
        <f>B18/($B$12)</f>
        <v>1201903.3203909465</v>
      </c>
      <c r="C66" s="25">
        <f>B18/C12</f>
        <v>1351098.7209946031</v>
      </c>
      <c r="D66" s="29">
        <f>D18/($C$12)</f>
        <v>425718.48612952966</v>
      </c>
      <c r="E66" s="29">
        <f t="shared" ref="E66:F66" si="11">E18/($C$12)</f>
        <v>254485.24327679258</v>
      </c>
      <c r="F66" s="29">
        <f t="shared" si="11"/>
        <v>670894.99158828065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6">
        <f>((B24+D24)/B23)*100</f>
        <v>93.023629716511664</v>
      </c>
      <c r="C69" s="6"/>
      <c r="D69" s="6"/>
      <c r="E69" s="6"/>
      <c r="F69" s="6"/>
      <c r="G69" s="6"/>
      <c r="H69" s="22"/>
    </row>
    <row r="70" spans="1:8" x14ac:dyDescent="0.25">
      <c r="A70" s="16" t="s">
        <v>34</v>
      </c>
      <c r="B70" s="6">
        <f>(B18/(B24+D24))*100</f>
        <v>66.90745705158993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127</v>
      </c>
    </row>
    <row r="75" spans="1:8" x14ac:dyDescent="0.25">
      <c r="A75" s="11" t="s">
        <v>130</v>
      </c>
      <c r="B75" s="24"/>
      <c r="C75" s="24"/>
      <c r="D75" s="24"/>
      <c r="E75" s="24"/>
    </row>
    <row r="76" spans="1:8" x14ac:dyDescent="0.25">
      <c r="A76" s="35" t="s">
        <v>131</v>
      </c>
      <c r="B76" s="24"/>
      <c r="C76" s="24"/>
      <c r="D76" s="24"/>
      <c r="E76" s="24"/>
    </row>
    <row r="77" spans="1:8" x14ac:dyDescent="0.25">
      <c r="A77" s="11" t="s">
        <v>132</v>
      </c>
    </row>
    <row r="78" spans="1:8" x14ac:dyDescent="0.25">
      <c r="A78" s="34" t="s">
        <v>133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abSelected="1" topLeftCell="B1" workbookViewId="0"/>
  </sheetViews>
  <sheetFormatPr baseColWidth="10" defaultColWidth="11.42578125" defaultRowHeight="15" x14ac:dyDescent="0.25"/>
  <cols>
    <col min="1" max="1" width="55.140625" style="16" customWidth="1"/>
    <col min="2" max="2" width="13.85546875" style="16" bestFit="1" customWidth="1"/>
    <col min="3" max="3" width="13.85546875" style="16" customWidth="1"/>
    <col min="4" max="4" width="20.7109375" style="16" customWidth="1"/>
    <col min="5" max="5" width="13.7109375" style="16" customWidth="1"/>
    <col min="6" max="7" width="13.7109375" style="16" bestFit="1" customWidth="1"/>
    <col min="8" max="16384" width="11.42578125" style="16"/>
  </cols>
  <sheetData>
    <row r="2" spans="1:7" ht="15.75" x14ac:dyDescent="0.25">
      <c r="A2" s="49" t="s">
        <v>119</v>
      </c>
      <c r="B2" s="49"/>
      <c r="C2" s="49"/>
      <c r="D2" s="49"/>
      <c r="E2" s="49"/>
      <c r="F2" s="49"/>
    </row>
    <row r="4" spans="1:7" ht="15" customHeight="1" x14ac:dyDescent="0.25">
      <c r="A4" s="50" t="s">
        <v>0</v>
      </c>
      <c r="B4" s="52" t="s">
        <v>1</v>
      </c>
      <c r="C4" s="47" t="s">
        <v>134</v>
      </c>
      <c r="D4" s="54" t="s">
        <v>2</v>
      </c>
      <c r="E4" s="54"/>
      <c r="F4" s="54"/>
    </row>
    <row r="5" spans="1:7" ht="15.75" thickBot="1" x14ac:dyDescent="0.3">
      <c r="A5" s="51"/>
      <c r="B5" s="53"/>
      <c r="C5" s="48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71</v>
      </c>
      <c r="B10" s="13">
        <f>'I Trimestre'!B10</f>
        <v>420</v>
      </c>
      <c r="C10" s="13">
        <f>(+'I Trimestre'!C10+'II Trimestre'!C10+'III Trimestre'!C10+'IV Trimestre'!C10)/4</f>
        <v>358.5</v>
      </c>
      <c r="D10" s="6"/>
      <c r="E10" s="6"/>
      <c r="F10" s="6"/>
      <c r="G10" s="6"/>
    </row>
    <row r="11" spans="1:7" x14ac:dyDescent="0.25">
      <c r="A11" s="20" t="s">
        <v>120</v>
      </c>
      <c r="B11" s="13">
        <f>'I Trimestre'!B11</f>
        <v>469</v>
      </c>
      <c r="C11" s="13">
        <f>(+'I Trimestre'!C11+'II Trimestre'!C11+'III Trimestre'!C11+'IV Trimestre'!C11)/4</f>
        <v>420.5</v>
      </c>
      <c r="D11" s="6"/>
      <c r="E11" s="6"/>
      <c r="F11" s="6"/>
      <c r="G11" s="6"/>
    </row>
    <row r="12" spans="1:7" x14ac:dyDescent="0.25">
      <c r="A12" s="20" t="s">
        <v>121</v>
      </c>
      <c r="B12" s="13">
        <f>'I Trimestre'!B12</f>
        <v>486</v>
      </c>
      <c r="C12" s="13">
        <f>(+'I Trimestre'!C12+'II Trimestre'!C12+'III Trimestre'!C12+'IV Trimestre'!C12)/4</f>
        <v>421.25</v>
      </c>
      <c r="D12" s="6"/>
    </row>
    <row r="13" spans="1:7" x14ac:dyDescent="0.25">
      <c r="A13" s="20" t="s">
        <v>79</v>
      </c>
      <c r="B13" s="13">
        <f>'I Trimestre'!B13</f>
        <v>469</v>
      </c>
      <c r="C13" s="13">
        <f>+'IV Trimestre'!C13</f>
        <v>417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71</v>
      </c>
      <c r="B16" s="13">
        <f>'I Trimestre'!B16+'II Trimestre'!B16+'III Trimestre'!B16+'IV Trimestre'!B16</f>
        <v>369431202.26999998</v>
      </c>
      <c r="C16" s="13"/>
      <c r="D16" s="13">
        <f>'I Trimestre'!D16+'II Trimestre'!D16+'III Trimestre'!D16+'IV Trimestre'!D16</f>
        <v>172185472.68000001</v>
      </c>
      <c r="E16" s="13">
        <f>'I Trimestre'!E16+'II Trimestre'!E16+'III Trimestre'!E16+'IV Trimestre'!E16</f>
        <v>46543983.770000003</v>
      </c>
      <c r="F16" s="13">
        <f>'I Trimestre'!F16+'II Trimestre'!F16+'III Trimestre'!F16+'IV Trimestre'!F16</f>
        <v>150701745.81999999</v>
      </c>
      <c r="G16" s="6"/>
    </row>
    <row r="17" spans="1:8" x14ac:dyDescent="0.25">
      <c r="A17" s="20" t="s">
        <v>120</v>
      </c>
      <c r="B17" s="13">
        <f>SUM(D17:F17)</f>
        <v>999351263.98000002</v>
      </c>
      <c r="C17" s="13"/>
      <c r="D17" s="13">
        <f>'I Trimestre'!D17+'II Trimestre'!D17+'III Trimestre'!D17+'IV Trimestre'!D17</f>
        <v>240614901</v>
      </c>
      <c r="E17" s="13">
        <f>'I Trimestre'!E17+'II Trimestre'!E17+'III Trimestre'!E17+'IV Trimestre'!E17</f>
        <v>147204145.97999999</v>
      </c>
      <c r="F17" s="13">
        <f>'I Trimestre'!F17+'II Trimestre'!F17+'III Trimestre'!F17+'IV Trimestre'!F17</f>
        <v>611532217</v>
      </c>
      <c r="G17" s="6"/>
    </row>
    <row r="18" spans="1:8" x14ac:dyDescent="0.25">
      <c r="A18" s="20" t="s">
        <v>121</v>
      </c>
      <c r="B18" s="13">
        <f>SUM(D18:F18)</f>
        <v>984201222.33999991</v>
      </c>
      <c r="C18" s="13"/>
      <c r="D18" s="13">
        <f>'I Trimestre'!D18+'II Trimestre'!D18+'III Trimestre'!D18+'IV Trimestre'!D18</f>
        <v>240243688.72999999</v>
      </c>
      <c r="E18" s="13">
        <f>'I Trimestre'!E18+'II Trimestre'!E18+'III Trimestre'!E18+'IV Trimestre'!E18</f>
        <v>146551784.97</v>
      </c>
      <c r="F18" s="13">
        <f>'I Trimestre'!F18+'II Trimestre'!F18+'III Trimestre'!F18+'IV Trimestre'!F18</f>
        <v>597405748.63999999</v>
      </c>
      <c r="G18" s="6"/>
    </row>
    <row r="19" spans="1:8" x14ac:dyDescent="0.25">
      <c r="A19" s="20" t="s">
        <v>79</v>
      </c>
      <c r="B19" s="13">
        <f>SUM(D19:F19)</f>
        <v>999351263.98000002</v>
      </c>
      <c r="C19" s="13"/>
      <c r="D19" s="13">
        <f>+'IV Trimestre'!D19</f>
        <v>240614901</v>
      </c>
      <c r="E19" s="13">
        <f>+'IV Trimestre'!E19</f>
        <v>147204145.97999999</v>
      </c>
      <c r="F19" s="13">
        <f>+'IV Trimestre'!F19</f>
        <v>611532217</v>
      </c>
      <c r="G19" s="6"/>
    </row>
    <row r="20" spans="1:8" x14ac:dyDescent="0.25">
      <c r="A20" s="20" t="s">
        <v>122</v>
      </c>
      <c r="B20" s="13">
        <f>D20</f>
        <v>240243688.72999999</v>
      </c>
      <c r="C20" s="13"/>
      <c r="D20" s="13">
        <f>D18</f>
        <v>240243688.72999999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1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120</v>
      </c>
      <c r="B23" s="6">
        <f>B17</f>
        <v>999351263.98000002</v>
      </c>
      <c r="C23" s="6"/>
      <c r="D23" s="33" t="s">
        <v>129</v>
      </c>
      <c r="E23" s="6"/>
      <c r="F23" s="6"/>
      <c r="G23" s="6"/>
      <c r="H23" s="22"/>
    </row>
    <row r="24" spans="1:8" x14ac:dyDescent="0.25">
      <c r="A24" s="20" t="s">
        <v>121</v>
      </c>
      <c r="B24" s="6">
        <f>'I Trimestre'!B24+'II Trimestre'!B24+'III Trimestre'!B24+'IV Trimestre'!B24</f>
        <v>643406912.25999999</v>
      </c>
      <c r="C24" s="6"/>
      <c r="D24" s="6">
        <f>'I Trimestre'!D24</f>
        <v>355066175.01999998</v>
      </c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72</v>
      </c>
      <c r="B27" s="6">
        <v>1.5325622623500001</v>
      </c>
      <c r="C27" s="6">
        <v>1.5325622623500001</v>
      </c>
      <c r="D27" s="6">
        <v>1.5325622623500001</v>
      </c>
      <c r="E27" s="6">
        <v>1.5325622623500001</v>
      </c>
      <c r="F27" s="6">
        <v>1.5325622623500001</v>
      </c>
      <c r="G27" s="6"/>
    </row>
    <row r="28" spans="1:8" x14ac:dyDescent="0.25">
      <c r="A28" s="16" t="s">
        <v>123</v>
      </c>
      <c r="B28" s="6">
        <v>1.6141688075916665</v>
      </c>
      <c r="C28" s="6">
        <v>1.6141688075916665</v>
      </c>
      <c r="D28" s="6">
        <v>1.6141688075916665</v>
      </c>
      <c r="E28" s="6">
        <v>1.6141688075916665</v>
      </c>
      <c r="F28" s="6">
        <v>1.6141688075916665</v>
      </c>
      <c r="G28" s="6"/>
    </row>
    <row r="29" spans="1:8" x14ac:dyDescent="0.25">
      <c r="A29" s="16" t="s">
        <v>11</v>
      </c>
      <c r="B29" s="29"/>
      <c r="C29" s="29"/>
      <c r="D29" s="29"/>
      <c r="E29" s="29"/>
      <c r="F29" s="29"/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73</v>
      </c>
      <c r="B32" s="6">
        <f>B16/B27</f>
        <v>241054612.49158099</v>
      </c>
      <c r="C32" s="25">
        <f>B16/B27</f>
        <v>241054612.49158099</v>
      </c>
      <c r="D32" s="25">
        <f>D16/D27</f>
        <v>112351371.88878334</v>
      </c>
      <c r="E32" s="25">
        <f t="shared" ref="E32:F32" si="0">E16/E27</f>
        <v>30370044.280374225</v>
      </c>
      <c r="F32" s="25">
        <f t="shared" si="0"/>
        <v>98333196.322423443</v>
      </c>
      <c r="G32" s="6"/>
    </row>
    <row r="33" spans="1:7" x14ac:dyDescent="0.25">
      <c r="A33" s="16" t="s">
        <v>124</v>
      </c>
      <c r="B33" s="6">
        <f>B18/B28</f>
        <v>609726329.55807412</v>
      </c>
      <c r="C33" s="25">
        <f>B18/B28</f>
        <v>609726329.55807412</v>
      </c>
      <c r="D33" s="25">
        <f>D18/D28</f>
        <v>148834302.58353376</v>
      </c>
      <c r="E33" s="25">
        <f>E18/E28</f>
        <v>90790866.655795857</v>
      </c>
      <c r="F33" s="25">
        <f t="shared" ref="F33" si="1">F18/F28</f>
        <v>370101160.31874448</v>
      </c>
      <c r="G33" s="6"/>
    </row>
    <row r="34" spans="1:7" x14ac:dyDescent="0.25">
      <c r="A34" s="16" t="s">
        <v>74</v>
      </c>
      <c r="B34" s="6">
        <f>B32/B10</f>
        <v>573939.55355138332</v>
      </c>
      <c r="C34" s="25">
        <f>C32/C10</f>
        <v>672397.80332379637</v>
      </c>
      <c r="D34" s="25">
        <f>D32/$C$10</f>
        <v>313392.94808586704</v>
      </c>
      <c r="E34" s="25">
        <f t="shared" ref="E34:F34" si="2">E32/$C$10</f>
        <v>84714.209987096867</v>
      </c>
      <c r="F34" s="25">
        <f t="shared" si="2"/>
        <v>274290.64525083249</v>
      </c>
      <c r="G34" s="6"/>
    </row>
    <row r="35" spans="1:7" x14ac:dyDescent="0.25">
      <c r="A35" s="16" t="s">
        <v>125</v>
      </c>
      <c r="B35" s="6">
        <f>B33/B12</f>
        <v>1254580.9250166134</v>
      </c>
      <c r="C35" s="25">
        <f>C33/C12</f>
        <v>1447421.5538470603</v>
      </c>
      <c r="D35" s="25">
        <f>D33/$C$12</f>
        <v>353315.85183034721</v>
      </c>
      <c r="E35" s="25">
        <f t="shared" ref="E35:F35" si="3">E33/$C$12</f>
        <v>215527.27989506436</v>
      </c>
      <c r="F35" s="25">
        <f t="shared" si="3"/>
        <v>878578.42212164868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75</v>
      </c>
      <c r="C40" s="6" t="s">
        <v>75</v>
      </c>
      <c r="D40" s="6" t="s">
        <v>75</v>
      </c>
      <c r="E40" s="6" t="s">
        <v>75</v>
      </c>
      <c r="F40" s="6" t="s">
        <v>75</v>
      </c>
      <c r="G40" s="6"/>
    </row>
    <row r="41" spans="1:7" x14ac:dyDescent="0.25">
      <c r="A41" s="16" t="s">
        <v>16</v>
      </c>
      <c r="B41" s="6" t="s">
        <v>75</v>
      </c>
      <c r="C41" s="6" t="s">
        <v>75</v>
      </c>
      <c r="D41" s="6" t="s">
        <v>75</v>
      </c>
      <c r="E41" s="6" t="s">
        <v>75</v>
      </c>
      <c r="F41" s="6" t="s">
        <v>75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39">
        <f>B12/B11*100</f>
        <v>103.62473347547973</v>
      </c>
      <c r="C44" s="6">
        <f>C12/C11*100</f>
        <v>100.17835909631391</v>
      </c>
      <c r="D44" s="6"/>
      <c r="E44" s="6"/>
      <c r="F44" s="6"/>
      <c r="G44" s="6"/>
    </row>
    <row r="45" spans="1:7" x14ac:dyDescent="0.25">
      <c r="A45" s="16" t="s">
        <v>19</v>
      </c>
      <c r="B45" s="39">
        <f>B18/B17*100</f>
        <v>98.484012360212176</v>
      </c>
      <c r="C45" s="6">
        <f>B18/B17*100</f>
        <v>98.484012360212176</v>
      </c>
      <c r="D45" s="6">
        <f>D18/D17*100</f>
        <v>99.845723490749222</v>
      </c>
      <c r="E45" s="6">
        <f t="shared" ref="E45" si="4">E18/E17*100</f>
        <v>99.556832448123686</v>
      </c>
      <c r="F45" s="6">
        <f>F18/F17*100</f>
        <v>97.689987875160469</v>
      </c>
      <c r="G45" s="6"/>
    </row>
    <row r="46" spans="1:7" x14ac:dyDescent="0.25">
      <c r="A46" s="16" t="s">
        <v>20</v>
      </c>
      <c r="B46" s="39">
        <f>AVERAGE(B44:B45)</f>
        <v>101.05437291784595</v>
      </c>
      <c r="C46" s="6">
        <f>AVERAGE(C44:C45)</f>
        <v>99.331185728263051</v>
      </c>
      <c r="D46" s="6"/>
      <c r="E46" s="6"/>
      <c r="F46" s="6"/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103.62473347547973</v>
      </c>
      <c r="C49" s="6">
        <f>(C12/C13)*100</f>
        <v>101.01918465227817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98.484012360212176</v>
      </c>
      <c r="C50" s="6">
        <f>B18/B19*100</f>
        <v>98.484012360212176</v>
      </c>
      <c r="D50" s="6">
        <f>D18/D19*100</f>
        <v>99.845723490749222</v>
      </c>
      <c r="E50" s="6">
        <f t="shared" ref="E50:F50" si="5">E18/E19*100</f>
        <v>99.556832448123686</v>
      </c>
      <c r="F50" s="6">
        <f t="shared" si="5"/>
        <v>97.689987875160469</v>
      </c>
      <c r="G50" s="6"/>
    </row>
    <row r="51" spans="1:7" x14ac:dyDescent="0.25">
      <c r="A51" s="16" t="s">
        <v>24</v>
      </c>
      <c r="B51" s="6">
        <f>(B49+B50)/2</f>
        <v>101.05437291784595</v>
      </c>
      <c r="C51" s="6">
        <f>(C49+C50)/2</f>
        <v>99.751598506245173</v>
      </c>
      <c r="D51" s="6"/>
      <c r="E51" s="6"/>
      <c r="F51" s="6"/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24.410017309143917</v>
      </c>
      <c r="C54" s="6"/>
      <c r="D54" s="6"/>
      <c r="E54" s="6"/>
      <c r="F54" s="6"/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15.714285714285726</v>
      </c>
      <c r="C57" s="6">
        <f>((C12/C10)-1)*100</f>
        <v>17.503486750348674</v>
      </c>
      <c r="D57" s="6"/>
      <c r="E57" s="6"/>
      <c r="F57" s="6"/>
      <c r="G57" s="6"/>
    </row>
    <row r="58" spans="1:7" x14ac:dyDescent="0.25">
      <c r="A58" s="16" t="s">
        <v>28</v>
      </c>
      <c r="B58" s="6">
        <f>((B33/B32)-1)*100</f>
        <v>152.94115854321984</v>
      </c>
      <c r="C58" s="6">
        <f>((C33/C32)-1)*100</f>
        <v>152.94115854321984</v>
      </c>
      <c r="D58" s="6">
        <f t="shared" ref="D58:F58" si="6">((D33/D32)-1)*100</f>
        <v>32.472171973890006</v>
      </c>
      <c r="E58" s="6">
        <f t="shared" si="6"/>
        <v>198.94874639503527</v>
      </c>
      <c r="F58" s="6">
        <f t="shared" si="6"/>
        <v>276.37458575558207</v>
      </c>
      <c r="G58" s="6"/>
    </row>
    <row r="59" spans="1:7" x14ac:dyDescent="0.25">
      <c r="A59" s="16" t="s">
        <v>29</v>
      </c>
      <c r="B59" s="6">
        <f>((B35/B34)-1)*100</f>
        <v>118.59112466698014</v>
      </c>
      <c r="C59" s="6">
        <f>((C35/C34)-1)*100</f>
        <v>115.26268329434855</v>
      </c>
      <c r="D59" s="6">
        <f t="shared" ref="D59:F59" si="7">((D35/D34)-1)*100</f>
        <v>12.738928552260088</v>
      </c>
      <c r="E59" s="6">
        <f t="shared" si="7"/>
        <v>154.41691532966209</v>
      </c>
      <c r="F59" s="6">
        <f t="shared" si="7"/>
        <v>220.30929137893455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25">
        <f>B17/($B$11*11)</f>
        <v>193710.26632680753</v>
      </c>
      <c r="C62" s="38">
        <f>B17/(C11*11)</f>
        <v>216052.59193168307</v>
      </c>
      <c r="D62" s="38">
        <f>D17/($C$11*11)</f>
        <v>52019.219760025946</v>
      </c>
      <c r="E62" s="38">
        <f t="shared" ref="E62:F62" si="8">E17/($C$11*11)</f>
        <v>31824.482970489673</v>
      </c>
      <c r="F62" s="38">
        <f t="shared" si="8"/>
        <v>132208.88920116745</v>
      </c>
      <c r="G62" s="40">
        <f>(D63/D62)-1</f>
        <v>-3.3204337599989087E-3</v>
      </c>
    </row>
    <row r="63" spans="1:7" x14ac:dyDescent="0.25">
      <c r="A63" s="16" t="s">
        <v>38</v>
      </c>
      <c r="B63" s="25">
        <f>B18/($B$12*11)</f>
        <v>184100.49052375607</v>
      </c>
      <c r="C63" s="38">
        <f>B18/(C12*11)</f>
        <v>212398.42942325328</v>
      </c>
      <c r="D63" s="38">
        <f>D18/($C$12*11)</f>
        <v>51846.493386565955</v>
      </c>
      <c r="E63" s="38">
        <f t="shared" ref="E63:F63" si="9">E18/($C$12*11)</f>
        <v>31627.037490153762</v>
      </c>
      <c r="F63" s="38">
        <f t="shared" si="9"/>
        <v>128924.89854653359</v>
      </c>
    </row>
    <row r="64" spans="1:7" x14ac:dyDescent="0.25">
      <c r="A64" s="16" t="s">
        <v>31</v>
      </c>
      <c r="B64" s="6">
        <f>(B62/B63)*B46</f>
        <v>106.32926308731643</v>
      </c>
      <c r="C64" s="6">
        <f>(C62/C63)*C46</f>
        <v>101.04010747402035</v>
      </c>
      <c r="D64" s="6"/>
      <c r="E64" s="6"/>
      <c r="F64" s="6"/>
      <c r="G64" s="6"/>
    </row>
    <row r="65" spans="1:8" x14ac:dyDescent="0.25">
      <c r="A65" s="14" t="s">
        <v>43</v>
      </c>
      <c r="B65" s="13">
        <f>B17/($B$11)</f>
        <v>2130812.9295948828</v>
      </c>
      <c r="C65" s="29">
        <f>B17/C11</f>
        <v>2376578.5112485136</v>
      </c>
      <c r="D65" s="29">
        <f>D17/($C$11)</f>
        <v>572211.41736028541</v>
      </c>
      <c r="E65" s="29">
        <f t="shared" ref="E65:F65" si="10">E17/($C$11)</f>
        <v>350069.31267538643</v>
      </c>
      <c r="F65" s="29">
        <f t="shared" si="10"/>
        <v>1454297.7812128419</v>
      </c>
      <c r="G65" s="6"/>
    </row>
    <row r="66" spans="1:8" x14ac:dyDescent="0.25">
      <c r="A66" s="14" t="s">
        <v>44</v>
      </c>
      <c r="B66" s="13">
        <f>B18/($B$12)</f>
        <v>2025105.3957613166</v>
      </c>
      <c r="C66" s="29">
        <f>B18/C12</f>
        <v>2336382.7236557864</v>
      </c>
      <c r="D66" s="29">
        <f>D18/($C$12)</f>
        <v>570311.42725222546</v>
      </c>
      <c r="E66" s="29">
        <f t="shared" ref="E66:F66" si="11">E18/($C$12)</f>
        <v>347897.41239169141</v>
      </c>
      <c r="F66" s="29">
        <f t="shared" si="11"/>
        <v>1418173.8840118693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6">
        <f>((B24+D24)/B23)*100</f>
        <v>99.91212532253148</v>
      </c>
      <c r="C69" s="6"/>
      <c r="D69" s="6"/>
      <c r="E69" s="6"/>
      <c r="F69" s="6"/>
      <c r="G69" s="6"/>
      <c r="H69" s="22"/>
    </row>
    <row r="70" spans="1:8" x14ac:dyDescent="0.25">
      <c r="A70" s="16" t="s">
        <v>34</v>
      </c>
      <c r="B70" s="6">
        <f>(B18/(B24+D24))*100</f>
        <v>98.570630984268305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127</v>
      </c>
    </row>
    <row r="75" spans="1:8" x14ac:dyDescent="0.25">
      <c r="A75" s="11" t="s">
        <v>130</v>
      </c>
      <c r="B75" s="24"/>
      <c r="C75" s="24"/>
      <c r="D75" s="24"/>
      <c r="E75" s="24"/>
    </row>
    <row r="76" spans="1:8" x14ac:dyDescent="0.25">
      <c r="A76" s="35" t="s">
        <v>131</v>
      </c>
      <c r="B76" s="24"/>
      <c r="C76" s="24"/>
      <c r="D76" s="24"/>
      <c r="E76" s="24"/>
    </row>
    <row r="77" spans="1:8" x14ac:dyDescent="0.25">
      <c r="A77" s="11" t="s">
        <v>132</v>
      </c>
    </row>
    <row r="78" spans="1:8" x14ac:dyDescent="0.25">
      <c r="A78" s="34" t="s">
        <v>133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2012-03-15T15:44:58Z</dcterms:created>
  <dcterms:modified xsi:type="dcterms:W3CDTF">2014-11-04T15:22:37Z</dcterms:modified>
</cp:coreProperties>
</file>