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2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</sheets>
  <calcPr calcId="152511"/>
</workbook>
</file>

<file path=xl/calcChain.xml><?xml version="1.0" encoding="utf-8"?>
<calcChain xmlns="http://schemas.openxmlformats.org/spreadsheetml/2006/main">
  <c r="B19" i="1" l="1"/>
  <c r="B17" i="1"/>
  <c r="B19" i="2"/>
  <c r="B17" i="2"/>
  <c r="B18" i="4"/>
  <c r="E12" i="4"/>
  <c r="D12" i="4"/>
  <c r="C12" i="4"/>
  <c r="D20" i="4"/>
  <c r="E20" i="4"/>
  <c r="C20" i="4"/>
  <c r="E12" i="8" l="1"/>
  <c r="E11" i="8"/>
  <c r="E10" i="8"/>
  <c r="D12" i="8"/>
  <c r="D11" i="8"/>
  <c r="D10" i="8"/>
  <c r="C12" i="8"/>
  <c r="C11" i="8"/>
  <c r="C10" i="8"/>
  <c r="E12" i="7"/>
  <c r="E11" i="7"/>
  <c r="E10" i="7"/>
  <c r="D12" i="7"/>
  <c r="D11" i="7"/>
  <c r="D10" i="7"/>
  <c r="C12" i="7"/>
  <c r="C11" i="7"/>
  <c r="C10" i="7"/>
  <c r="E12" i="6"/>
  <c r="E11" i="6"/>
  <c r="E10" i="6"/>
  <c r="D12" i="6"/>
  <c r="D11" i="6"/>
  <c r="D10" i="6"/>
  <c r="C12" i="6"/>
  <c r="C11" i="6"/>
  <c r="C10" i="6"/>
  <c r="D20" i="3" l="1"/>
  <c r="E20" i="3"/>
  <c r="C20" i="3"/>
  <c r="D20" i="2" l="1"/>
  <c r="E20" i="2"/>
  <c r="C20" i="2"/>
  <c r="B18" i="2"/>
  <c r="E66" i="4" l="1"/>
  <c r="D66" i="4"/>
  <c r="C66" i="4"/>
  <c r="E65" i="4"/>
  <c r="D65" i="4"/>
  <c r="C65" i="4"/>
  <c r="E66" i="3"/>
  <c r="D66" i="3"/>
  <c r="C66" i="3"/>
  <c r="E65" i="3"/>
  <c r="D65" i="3"/>
  <c r="C65" i="3"/>
  <c r="E66" i="2"/>
  <c r="D66" i="2"/>
  <c r="C66" i="2"/>
  <c r="E65" i="2"/>
  <c r="D65" i="2"/>
  <c r="C65" i="2"/>
  <c r="C65" i="1"/>
  <c r="D65" i="1"/>
  <c r="E65" i="1"/>
  <c r="C66" i="1"/>
  <c r="D66" i="1"/>
  <c r="E66" i="1"/>
  <c r="E213" i="1"/>
  <c r="C49" i="1" l="1"/>
  <c r="D49" i="1"/>
  <c r="E49" i="1"/>
  <c r="D20" i="1" l="1"/>
  <c r="E20" i="1"/>
  <c r="C20" i="1"/>
  <c r="C19" i="6"/>
  <c r="D19" i="6" l="1"/>
  <c r="B19" i="6" s="1"/>
  <c r="E19" i="6"/>
  <c r="F19" i="6"/>
  <c r="C17" i="6"/>
  <c r="D17" i="6"/>
  <c r="E17" i="6"/>
  <c r="F17" i="6"/>
  <c r="C18" i="6"/>
  <c r="D18" i="6"/>
  <c r="E18" i="6"/>
  <c r="F18" i="6"/>
  <c r="D16" i="6"/>
  <c r="E16" i="6"/>
  <c r="F16" i="6"/>
  <c r="C16" i="6"/>
  <c r="D19" i="7"/>
  <c r="E19" i="7"/>
  <c r="F19" i="7"/>
  <c r="C19" i="7"/>
  <c r="B19" i="7" s="1"/>
  <c r="C17" i="7"/>
  <c r="D17" i="7"/>
  <c r="E17" i="7"/>
  <c r="F17" i="7"/>
  <c r="C18" i="7"/>
  <c r="D18" i="7"/>
  <c r="E18" i="7"/>
  <c r="F18" i="7"/>
  <c r="F20" i="7" s="1"/>
  <c r="D16" i="7"/>
  <c r="E16" i="7"/>
  <c r="F16" i="7"/>
  <c r="C16" i="7"/>
  <c r="C17" i="8"/>
  <c r="D17" i="8"/>
  <c r="E17" i="8"/>
  <c r="F17" i="8"/>
  <c r="C18" i="8"/>
  <c r="D18" i="8"/>
  <c r="E18" i="8"/>
  <c r="F18" i="8"/>
  <c r="F20" i="8" s="1"/>
  <c r="D16" i="8"/>
  <c r="E16" i="8"/>
  <c r="F16" i="8"/>
  <c r="C16" i="8"/>
  <c r="C19" i="8"/>
  <c r="D19" i="8"/>
  <c r="E19" i="8"/>
  <c r="F19" i="8"/>
  <c r="D13" i="6"/>
  <c r="D49" i="6" s="1"/>
  <c r="E13" i="6"/>
  <c r="E49" i="6" s="1"/>
  <c r="F13" i="6"/>
  <c r="C13" i="6"/>
  <c r="C49" i="6" s="1"/>
  <c r="F11" i="6"/>
  <c r="F12" i="6"/>
  <c r="F10" i="6"/>
  <c r="D13" i="7"/>
  <c r="D49" i="7" s="1"/>
  <c r="E13" i="7"/>
  <c r="E49" i="7" s="1"/>
  <c r="F13" i="7"/>
  <c r="C13" i="7"/>
  <c r="C49" i="7" s="1"/>
  <c r="F11" i="7"/>
  <c r="F12" i="7"/>
  <c r="F10" i="7"/>
  <c r="D13" i="8"/>
  <c r="D49" i="8" s="1"/>
  <c r="E13" i="8"/>
  <c r="E49" i="8" s="1"/>
  <c r="F13" i="8"/>
  <c r="C13" i="8"/>
  <c r="C49" i="8" s="1"/>
  <c r="F11" i="8"/>
  <c r="F12" i="8"/>
  <c r="F10" i="8"/>
  <c r="B18" i="8" l="1"/>
  <c r="B18" i="7"/>
  <c r="B18" i="6"/>
  <c r="E20" i="8"/>
  <c r="E66" i="8"/>
  <c r="C20" i="8"/>
  <c r="C66" i="8"/>
  <c r="E65" i="8"/>
  <c r="C65" i="8"/>
  <c r="E20" i="7"/>
  <c r="E66" i="7"/>
  <c r="C20" i="7"/>
  <c r="C66" i="7"/>
  <c r="E65" i="7"/>
  <c r="C65" i="7"/>
  <c r="E20" i="6"/>
  <c r="E66" i="6"/>
  <c r="C20" i="6"/>
  <c r="C66" i="6"/>
  <c r="E65" i="6"/>
  <c r="C65" i="6"/>
  <c r="D20" i="8"/>
  <c r="D66" i="8"/>
  <c r="D65" i="8"/>
  <c r="D20" i="7"/>
  <c r="D66" i="7"/>
  <c r="D65" i="7"/>
  <c r="D20" i="6"/>
  <c r="B20" i="6" s="1"/>
  <c r="D66" i="6"/>
  <c r="D65" i="6"/>
  <c r="B17" i="8"/>
  <c r="B16" i="8"/>
  <c r="B13" i="8"/>
  <c r="B12" i="8"/>
  <c r="B11" i="8"/>
  <c r="B10" i="8"/>
  <c r="B17" i="7"/>
  <c r="B16" i="7"/>
  <c r="B13" i="7"/>
  <c r="B12" i="7"/>
  <c r="B49" i="7" s="1"/>
  <c r="B11" i="7"/>
  <c r="B10" i="7"/>
  <c r="B17" i="6"/>
  <c r="B16" i="6"/>
  <c r="B13" i="6"/>
  <c r="B12" i="6"/>
  <c r="B49" i="6" s="1"/>
  <c r="B11" i="6"/>
  <c r="B10" i="6"/>
  <c r="B20" i="4"/>
  <c r="B19" i="4"/>
  <c r="B19" i="8" s="1"/>
  <c r="B17" i="4"/>
  <c r="B16" i="4"/>
  <c r="B13" i="4"/>
  <c r="B12" i="4"/>
  <c r="B11" i="4"/>
  <c r="B10" i="4"/>
  <c r="B20" i="3"/>
  <c r="B19" i="3"/>
  <c r="B18" i="3"/>
  <c r="B17" i="3"/>
  <c r="B16" i="3"/>
  <c r="B13" i="3"/>
  <c r="B12" i="3"/>
  <c r="B11" i="3"/>
  <c r="B10" i="3"/>
  <c r="B20" i="2"/>
  <c r="B16" i="2"/>
  <c r="B13" i="2"/>
  <c r="B12" i="2"/>
  <c r="B11" i="2"/>
  <c r="B10" i="2"/>
  <c r="B20" i="1"/>
  <c r="B18" i="1"/>
  <c r="B16" i="1"/>
  <c r="B13" i="1"/>
  <c r="B12" i="1"/>
  <c r="B11" i="1"/>
  <c r="B10" i="1"/>
  <c r="B49" i="8" l="1"/>
  <c r="B57" i="8"/>
  <c r="B49" i="1"/>
  <c r="B20" i="7"/>
  <c r="B20" i="8"/>
  <c r="B65" i="1"/>
  <c r="B66" i="2"/>
  <c r="B65" i="3"/>
  <c r="B66" i="4"/>
  <c r="B65" i="6"/>
  <c r="B65" i="7"/>
  <c r="B65" i="8"/>
  <c r="B66" i="1"/>
  <c r="B65" i="2"/>
  <c r="B66" i="3"/>
  <c r="B65" i="4"/>
  <c r="B66" i="6"/>
  <c r="B66" i="7"/>
  <c r="B66" i="8"/>
  <c r="E49" i="4"/>
  <c r="D49" i="4"/>
  <c r="E49" i="3"/>
  <c r="D49" i="3"/>
  <c r="C49" i="3"/>
  <c r="E49" i="2"/>
  <c r="D49" i="2"/>
  <c r="C49" i="2"/>
  <c r="C49" i="4" l="1"/>
  <c r="F44" i="6" l="1"/>
  <c r="E32" i="6"/>
  <c r="E34" i="6" s="1"/>
  <c r="F32" i="6"/>
  <c r="E57" i="6"/>
  <c r="F34" i="6" l="1"/>
  <c r="F50" i="6"/>
  <c r="F62" i="6"/>
  <c r="D50" i="6"/>
  <c r="E63" i="6"/>
  <c r="B33" i="6"/>
  <c r="C63" i="6"/>
  <c r="F49" i="6"/>
  <c r="E50" i="6"/>
  <c r="C50" i="6"/>
  <c r="F63" i="6"/>
  <c r="D63" i="6"/>
  <c r="D33" i="6"/>
  <c r="F33" i="6"/>
  <c r="F35" i="6" s="1"/>
  <c r="F45" i="6"/>
  <c r="F46" i="6" s="1"/>
  <c r="F57" i="6"/>
  <c r="C33" i="6"/>
  <c r="E33" i="6"/>
  <c r="F51" i="6" l="1"/>
  <c r="D51" i="6"/>
  <c r="F64" i="6"/>
  <c r="E51" i="6"/>
  <c r="B63" i="6"/>
  <c r="B41" i="6"/>
  <c r="C51" i="6"/>
  <c r="B54" i="6"/>
  <c r="E58" i="6"/>
  <c r="F58" i="6"/>
  <c r="F59" i="6"/>
  <c r="F32" i="7" l="1"/>
  <c r="F34" i="7" s="1"/>
  <c r="E57" i="7"/>
  <c r="E32" i="7"/>
  <c r="D32" i="3"/>
  <c r="D34" i="3" s="1"/>
  <c r="F32" i="3"/>
  <c r="F34" i="3" s="1"/>
  <c r="D33" i="3"/>
  <c r="F33" i="3"/>
  <c r="B33" i="3"/>
  <c r="B35" i="3" s="1"/>
  <c r="B32" i="3"/>
  <c r="F49" i="8"/>
  <c r="F62" i="8"/>
  <c r="F63" i="8"/>
  <c r="F32" i="8"/>
  <c r="F57" i="8"/>
  <c r="F44" i="8"/>
  <c r="E32" i="8"/>
  <c r="F32" i="4"/>
  <c r="F34" i="4" s="1"/>
  <c r="F33" i="4"/>
  <c r="F35" i="4" s="1"/>
  <c r="E63" i="4"/>
  <c r="D63" i="4"/>
  <c r="C63" i="4"/>
  <c r="F62" i="4"/>
  <c r="F57" i="4"/>
  <c r="E57" i="4"/>
  <c r="D57" i="4"/>
  <c r="C57" i="4"/>
  <c r="F50" i="4"/>
  <c r="E50" i="4"/>
  <c r="E51" i="4" s="1"/>
  <c r="D50" i="4"/>
  <c r="D51" i="4" s="1"/>
  <c r="C50" i="4"/>
  <c r="C51" i="4" s="1"/>
  <c r="F49" i="4"/>
  <c r="F45" i="4"/>
  <c r="E45" i="4"/>
  <c r="D45" i="4"/>
  <c r="C45" i="4"/>
  <c r="F44" i="4"/>
  <c r="F46" i="4" s="1"/>
  <c r="E62" i="4"/>
  <c r="D62" i="4"/>
  <c r="C62" i="4"/>
  <c r="E33" i="4"/>
  <c r="E35" i="4" s="1"/>
  <c r="D33" i="4"/>
  <c r="D35" i="4" s="1"/>
  <c r="C33" i="4"/>
  <c r="C35" i="4" s="1"/>
  <c r="E32" i="4"/>
  <c r="E34" i="4" s="1"/>
  <c r="D32" i="4"/>
  <c r="D34" i="4" s="1"/>
  <c r="C32" i="4"/>
  <c r="C34" i="4" s="1"/>
  <c r="B32" i="4"/>
  <c r="B49" i="4"/>
  <c r="F44" i="3"/>
  <c r="F46" i="3" s="1"/>
  <c r="F45" i="3"/>
  <c r="F49" i="3"/>
  <c r="F50" i="3"/>
  <c r="F57" i="3"/>
  <c r="F62" i="3"/>
  <c r="F63" i="3"/>
  <c r="E63" i="3"/>
  <c r="D63" i="3"/>
  <c r="C63" i="3"/>
  <c r="B63" i="3"/>
  <c r="E57" i="3"/>
  <c r="D57" i="3"/>
  <c r="C57" i="3"/>
  <c r="B57" i="3"/>
  <c r="B54" i="3"/>
  <c r="E50" i="3"/>
  <c r="E51" i="3" s="1"/>
  <c r="D50" i="3"/>
  <c r="D51" i="3" s="1"/>
  <c r="C50" i="3"/>
  <c r="C51" i="3" s="1"/>
  <c r="E45" i="3"/>
  <c r="D45" i="3"/>
  <c r="C45" i="3"/>
  <c r="B45" i="3"/>
  <c r="B41" i="3"/>
  <c r="E62" i="3"/>
  <c r="D62" i="3"/>
  <c r="E33" i="3"/>
  <c r="E35" i="3" s="1"/>
  <c r="C33" i="3"/>
  <c r="C35" i="3" s="1"/>
  <c r="E32" i="3"/>
  <c r="E34" i="3" s="1"/>
  <c r="C32" i="3"/>
  <c r="C34" i="3" s="1"/>
  <c r="B70" i="3"/>
  <c r="E63" i="2"/>
  <c r="D63" i="2"/>
  <c r="C63" i="2"/>
  <c r="E57" i="2"/>
  <c r="D57" i="2"/>
  <c r="C57" i="2"/>
  <c r="E50" i="2"/>
  <c r="E51" i="2" s="1"/>
  <c r="D50" i="2"/>
  <c r="D51" i="2" s="1"/>
  <c r="C50" i="2"/>
  <c r="C51" i="2" s="1"/>
  <c r="E45" i="2"/>
  <c r="D45" i="2"/>
  <c r="C45" i="2"/>
  <c r="E44" i="2"/>
  <c r="D62" i="2"/>
  <c r="C44" i="2"/>
  <c r="E33" i="2"/>
  <c r="E35" i="2" s="1"/>
  <c r="D33" i="2"/>
  <c r="D35" i="2" s="1"/>
  <c r="C33" i="2"/>
  <c r="C35" i="2" s="1"/>
  <c r="E32" i="2"/>
  <c r="E34" i="2" s="1"/>
  <c r="D32" i="2"/>
  <c r="D34" i="2" s="1"/>
  <c r="C32" i="2"/>
  <c r="C34" i="2" s="1"/>
  <c r="B24" i="6"/>
  <c r="B70" i="6" s="1"/>
  <c r="B50" i="6"/>
  <c r="B51" i="6" s="1"/>
  <c r="B32" i="2"/>
  <c r="D63" i="1"/>
  <c r="E63" i="1"/>
  <c r="C63" i="1"/>
  <c r="D44" i="1"/>
  <c r="D57" i="1"/>
  <c r="C57" i="1"/>
  <c r="E57" i="1"/>
  <c r="E50" i="1"/>
  <c r="E51" i="1" s="1"/>
  <c r="E33" i="1"/>
  <c r="E35" i="1" s="1"/>
  <c r="D33" i="1"/>
  <c r="D35" i="1" s="1"/>
  <c r="C33" i="1"/>
  <c r="C35" i="1" s="1"/>
  <c r="E32" i="1"/>
  <c r="E34" i="1" s="1"/>
  <c r="D50" i="1"/>
  <c r="D51" i="1" s="1"/>
  <c r="B70" i="1"/>
  <c r="B32" i="1"/>
  <c r="F51" i="4" l="1"/>
  <c r="B40" i="1"/>
  <c r="F45" i="8"/>
  <c r="F46" i="8" s="1"/>
  <c r="F64" i="8" s="1"/>
  <c r="B70" i="4"/>
  <c r="E33" i="8"/>
  <c r="E58" i="8" s="1"/>
  <c r="E50" i="8"/>
  <c r="E51" i="8" s="1"/>
  <c r="C46" i="2"/>
  <c r="C33" i="8"/>
  <c r="C35" i="8" s="1"/>
  <c r="B40" i="2"/>
  <c r="B70" i="2"/>
  <c r="F58" i="4"/>
  <c r="C50" i="8"/>
  <c r="C51" i="8" s="1"/>
  <c r="D63" i="8"/>
  <c r="B34" i="2"/>
  <c r="B41" i="8"/>
  <c r="C59" i="4"/>
  <c r="E59" i="4"/>
  <c r="F34" i="8"/>
  <c r="B50" i="3"/>
  <c r="F64" i="3"/>
  <c r="F51" i="3"/>
  <c r="B33" i="8"/>
  <c r="D33" i="8"/>
  <c r="D35" i="8" s="1"/>
  <c r="F33" i="8"/>
  <c r="F35" i="8" s="1"/>
  <c r="D50" i="8"/>
  <c r="D51" i="8" s="1"/>
  <c r="F50" i="8"/>
  <c r="F51" i="8" s="1"/>
  <c r="E57" i="8"/>
  <c r="B54" i="2"/>
  <c r="D59" i="2"/>
  <c r="D32" i="1"/>
  <c r="D34" i="1" s="1"/>
  <c r="D59" i="1" s="1"/>
  <c r="D32" i="6"/>
  <c r="D32" i="7"/>
  <c r="D32" i="8"/>
  <c r="C32" i="1"/>
  <c r="C34" i="1" s="1"/>
  <c r="C59" i="1" s="1"/>
  <c r="C50" i="1"/>
  <c r="C51" i="1" s="1"/>
  <c r="D57" i="6"/>
  <c r="D57" i="7"/>
  <c r="D57" i="8"/>
  <c r="D44" i="8"/>
  <c r="B44" i="1"/>
  <c r="E62" i="1"/>
  <c r="C62" i="1"/>
  <c r="C59" i="2"/>
  <c r="E59" i="2"/>
  <c r="D59" i="4"/>
  <c r="F59" i="4"/>
  <c r="D45" i="1"/>
  <c r="D46" i="1" s="1"/>
  <c r="C57" i="7"/>
  <c r="E44" i="1"/>
  <c r="E44" i="8"/>
  <c r="B50" i="1"/>
  <c r="D62" i="1"/>
  <c r="B63" i="1"/>
  <c r="B41" i="2"/>
  <c r="B44" i="2"/>
  <c r="D44" i="2"/>
  <c r="D46" i="2" s="1"/>
  <c r="D64" i="2" s="1"/>
  <c r="B50" i="2"/>
  <c r="B57" i="2"/>
  <c r="D58" i="2"/>
  <c r="C62" i="2"/>
  <c r="E62" i="2"/>
  <c r="B49" i="3"/>
  <c r="C44" i="3"/>
  <c r="C46" i="3" s="1"/>
  <c r="E44" i="3"/>
  <c r="E46" i="3" s="1"/>
  <c r="E64" i="3" s="1"/>
  <c r="C62" i="3"/>
  <c r="B34" i="4"/>
  <c r="B41" i="4"/>
  <c r="C44" i="4"/>
  <c r="C46" i="4" s="1"/>
  <c r="C64" i="4" s="1"/>
  <c r="E44" i="4"/>
  <c r="B50" i="4"/>
  <c r="B51" i="4" s="1"/>
  <c r="B57" i="4"/>
  <c r="D58" i="4"/>
  <c r="B63" i="4"/>
  <c r="F63" i="4"/>
  <c r="F64" i="4" s="1"/>
  <c r="E63" i="8"/>
  <c r="C63" i="8"/>
  <c r="E34" i="7"/>
  <c r="E44" i="7"/>
  <c r="C44" i="7"/>
  <c r="E63" i="7"/>
  <c r="C63" i="7"/>
  <c r="C58" i="2"/>
  <c r="E58" i="2"/>
  <c r="B63" i="2"/>
  <c r="D58" i="3"/>
  <c r="F58" i="3"/>
  <c r="D44" i="3"/>
  <c r="D46" i="3" s="1"/>
  <c r="D64" i="3" s="1"/>
  <c r="D44" i="4"/>
  <c r="D46" i="4" s="1"/>
  <c r="D64" i="4" s="1"/>
  <c r="B54" i="4"/>
  <c r="C58" i="4"/>
  <c r="E58" i="4"/>
  <c r="B24" i="8"/>
  <c r="F49" i="7"/>
  <c r="F44" i="7"/>
  <c r="F63" i="7"/>
  <c r="D63" i="7"/>
  <c r="F62" i="7"/>
  <c r="B24" i="7"/>
  <c r="E46" i="4"/>
  <c r="E64" i="4" s="1"/>
  <c r="E46" i="2"/>
  <c r="E34" i="8"/>
  <c r="D33" i="7"/>
  <c r="D35" i="7" s="1"/>
  <c r="F33" i="7"/>
  <c r="F35" i="7" s="1"/>
  <c r="B41" i="7"/>
  <c r="D45" i="7"/>
  <c r="F45" i="7"/>
  <c r="C50" i="7"/>
  <c r="E50" i="7"/>
  <c r="F57" i="7"/>
  <c r="C33" i="7"/>
  <c r="C35" i="7" s="1"/>
  <c r="E33" i="7"/>
  <c r="E35" i="7" s="1"/>
  <c r="C45" i="7"/>
  <c r="D50" i="7"/>
  <c r="F50" i="7"/>
  <c r="C59" i="3"/>
  <c r="E59" i="3"/>
  <c r="C58" i="3"/>
  <c r="E58" i="3"/>
  <c r="F35" i="3"/>
  <c r="F59" i="3" s="1"/>
  <c r="D35" i="3"/>
  <c r="D59" i="3" s="1"/>
  <c r="B58" i="3"/>
  <c r="B34" i="3"/>
  <c r="B59" i="3" s="1"/>
  <c r="C44" i="8"/>
  <c r="B33" i="4"/>
  <c r="B40" i="4"/>
  <c r="B33" i="2"/>
  <c r="B34" i="1"/>
  <c r="B33" i="1"/>
  <c r="B35" i="1" s="1"/>
  <c r="B54" i="1"/>
  <c r="E58" i="1"/>
  <c r="C44" i="1"/>
  <c r="C45" i="1"/>
  <c r="E45" i="1"/>
  <c r="E59" i="1"/>
  <c r="B41" i="1"/>
  <c r="C51" i="7" l="1"/>
  <c r="E35" i="8"/>
  <c r="E59" i="8" s="1"/>
  <c r="C64" i="2"/>
  <c r="B51" i="1"/>
  <c r="E46" i="1"/>
  <c r="E64" i="1" s="1"/>
  <c r="F59" i="8"/>
  <c r="B58" i="1"/>
  <c r="F58" i="8"/>
  <c r="E64" i="2"/>
  <c r="D44" i="7"/>
  <c r="D46" i="7" s="1"/>
  <c r="C64" i="3"/>
  <c r="B51" i="3"/>
  <c r="B50" i="8"/>
  <c r="D58" i="8"/>
  <c r="D58" i="1"/>
  <c r="B70" i="8"/>
  <c r="C58" i="1"/>
  <c r="E45" i="7"/>
  <c r="E46" i="7" s="1"/>
  <c r="F46" i="7"/>
  <c r="F64" i="7" s="1"/>
  <c r="D62" i="7"/>
  <c r="B54" i="8"/>
  <c r="B63" i="8"/>
  <c r="B35" i="8"/>
  <c r="B57" i="7"/>
  <c r="D64" i="1"/>
  <c r="C46" i="1"/>
  <c r="C64" i="1" s="1"/>
  <c r="B35" i="2"/>
  <c r="B59" i="2" s="1"/>
  <c r="B58" i="2"/>
  <c r="B58" i="4"/>
  <c r="B35" i="4"/>
  <c r="B59" i="4" s="1"/>
  <c r="C57" i="8"/>
  <c r="B57" i="6"/>
  <c r="C57" i="6"/>
  <c r="B57" i="1"/>
  <c r="D44" i="6"/>
  <c r="D35" i="6"/>
  <c r="E62" i="8"/>
  <c r="E45" i="8"/>
  <c r="E46" i="8" s="1"/>
  <c r="E62" i="6"/>
  <c r="E45" i="6"/>
  <c r="C62" i="7"/>
  <c r="B23" i="7"/>
  <c r="B69" i="7" s="1"/>
  <c r="C32" i="8"/>
  <c r="B32" i="8"/>
  <c r="B34" i="8" s="1"/>
  <c r="C32" i="6"/>
  <c r="B32" i="6"/>
  <c r="D34" i="7"/>
  <c r="D59" i="7" s="1"/>
  <c r="B45" i="1"/>
  <c r="B46" i="1" s="1"/>
  <c r="B62" i="1"/>
  <c r="B63" i="7"/>
  <c r="B50" i="7"/>
  <c r="B51" i="7" s="1"/>
  <c r="B33" i="7"/>
  <c r="B35" i="7" s="1"/>
  <c r="B44" i="4"/>
  <c r="B62" i="3"/>
  <c r="B44" i="3"/>
  <c r="B46" i="3" s="1"/>
  <c r="B40" i="3"/>
  <c r="B49" i="2"/>
  <c r="B51" i="2" s="1"/>
  <c r="E44" i="6"/>
  <c r="E35" i="6"/>
  <c r="E59" i="6" s="1"/>
  <c r="C44" i="6"/>
  <c r="C35" i="6"/>
  <c r="D62" i="8"/>
  <c r="D45" i="8"/>
  <c r="D46" i="8" s="1"/>
  <c r="D62" i="6"/>
  <c r="D45" i="6"/>
  <c r="E62" i="7"/>
  <c r="C62" i="8"/>
  <c r="B62" i="8"/>
  <c r="C45" i="8"/>
  <c r="C46" i="8" s="1"/>
  <c r="C62" i="6"/>
  <c r="C45" i="6"/>
  <c r="C32" i="7"/>
  <c r="C34" i="7" s="1"/>
  <c r="C59" i="7" s="1"/>
  <c r="B32" i="7"/>
  <c r="D34" i="8"/>
  <c r="D59" i="8" s="1"/>
  <c r="D34" i="6"/>
  <c r="D58" i="6"/>
  <c r="B23" i="4"/>
  <c r="B69" i="4" s="1"/>
  <c r="B45" i="4"/>
  <c r="B62" i="4"/>
  <c r="B62" i="2"/>
  <c r="B45" i="2"/>
  <c r="B46" i="2" s="1"/>
  <c r="E51" i="7"/>
  <c r="F51" i="7"/>
  <c r="C46" i="7"/>
  <c r="D58" i="7"/>
  <c r="E59" i="7"/>
  <c r="E58" i="7"/>
  <c r="B70" i="7"/>
  <c r="B54" i="7"/>
  <c r="D51" i="7"/>
  <c r="F58" i="7"/>
  <c r="F59" i="7"/>
  <c r="B23" i="3"/>
  <c r="B69" i="3" s="1"/>
  <c r="B23" i="2"/>
  <c r="B69" i="2" s="1"/>
  <c r="B59" i="1"/>
  <c r="B23" i="1"/>
  <c r="B69" i="1" s="1"/>
  <c r="D46" i="6" l="1"/>
  <c r="E46" i="6"/>
  <c r="E64" i="6" s="1"/>
  <c r="B58" i="8"/>
  <c r="D64" i="7"/>
  <c r="B59" i="8"/>
  <c r="B34" i="7"/>
  <c r="B59" i="7" s="1"/>
  <c r="B64" i="1"/>
  <c r="B23" i="8"/>
  <c r="B69" i="8" s="1"/>
  <c r="C64" i="8"/>
  <c r="C64" i="7"/>
  <c r="E64" i="7"/>
  <c r="B45" i="7"/>
  <c r="B51" i="8"/>
  <c r="B46" i="4"/>
  <c r="B64" i="4" s="1"/>
  <c r="B45" i="8"/>
  <c r="C58" i="7"/>
  <c r="D64" i="8"/>
  <c r="C46" i="6"/>
  <c r="C64" i="6" s="1"/>
  <c r="B64" i="3"/>
  <c r="B34" i="6"/>
  <c r="B58" i="6"/>
  <c r="D59" i="6"/>
  <c r="B62" i="6"/>
  <c r="B45" i="6"/>
  <c r="B23" i="6"/>
  <c r="B69" i="6" s="1"/>
  <c r="D64" i="6"/>
  <c r="B40" i="6"/>
  <c r="B35" i="6"/>
  <c r="B44" i="6"/>
  <c r="B40" i="7"/>
  <c r="B44" i="7"/>
  <c r="C34" i="6"/>
  <c r="C59" i="6" s="1"/>
  <c r="C58" i="6"/>
  <c r="C34" i="8"/>
  <c r="C59" i="8" s="1"/>
  <c r="C58" i="8"/>
  <c r="B62" i="7"/>
  <c r="E64" i="8"/>
  <c r="B40" i="8"/>
  <c r="B44" i="8"/>
  <c r="B64" i="2"/>
  <c r="B58" i="7"/>
  <c r="B46" i="7" l="1"/>
  <c r="B64" i="7" s="1"/>
  <c r="B59" i="6"/>
  <c r="B46" i="8"/>
  <c r="B64" i="8" s="1"/>
  <c r="B46" i="6"/>
  <c r="B64" i="6" s="1"/>
</calcChain>
</file>

<file path=xl/sharedStrings.xml><?xml version="1.0" encoding="utf-8"?>
<sst xmlns="http://schemas.openxmlformats.org/spreadsheetml/2006/main" count="471" uniqueCount="134">
  <si>
    <t>Indicador</t>
  </si>
  <si>
    <t>Total Programa</t>
  </si>
  <si>
    <t>Productos</t>
  </si>
  <si>
    <t>Red Cuido</t>
  </si>
  <si>
    <t>Infraestructura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</si>
  <si>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</si>
  <si>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</si>
  <si>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</si>
  <si>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</si>
  <si>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</si>
  <si>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</si>
  <si>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</si>
  <si>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</si>
  <si>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</si>
  <si>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</si>
  <si>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</si>
  <si>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</si>
  <si>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</si>
  <si>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</si>
  <si>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</si>
  <si>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</si>
  <si>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</si>
  <si>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</si>
  <si>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</si>
  <si>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</si>
  <si>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</si>
  <si>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</si>
  <si>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</si>
  <si>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</si>
  <si>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</si>
  <si>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</si>
  <si>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</si>
  <si>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</si>
  <si>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</si>
  <si>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</si>
  <si>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</si>
  <si>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 xml:space="preserve">Fuentes: </t>
  </si>
  <si>
    <t>Notas:</t>
  </si>
  <si>
    <t>La mayoría de los beneficiarios son los mismos todos los meses, por ello se utiliza el promedio de personas atendidas en el período.</t>
  </si>
  <si>
    <t xml:space="preserve">Beneficiarios </t>
  </si>
  <si>
    <t>Total programa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</si>
  <si>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</si>
  <si>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</si>
  <si>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</si>
  <si>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</si>
  <si>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</si>
  <si>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</si>
  <si>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</si>
  <si>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</si>
  <si>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</si>
  <si>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</si>
  <si>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</si>
  <si>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</si>
  <si>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</si>
  <si>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</si>
  <si>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</si>
  <si>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</si>
  <si>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</si>
  <si>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</si>
  <si>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</si>
  <si>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</si>
  <si>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</si>
  <si>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</si>
  <si>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</si>
  <si>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</si>
  <si>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</si>
  <si>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</si>
  <si>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</si>
  <si>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</si>
  <si>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Hogares</t>
  </si>
  <si>
    <t>Centros Diurnos</t>
  </si>
  <si>
    <t>2 obras***</t>
  </si>
  <si>
    <t>Informes trimestrales 2012 y 2013, CONAPAM</t>
  </si>
  <si>
    <t>Metas y modificaciones 2013, DESAF.</t>
  </si>
  <si>
    <t>Indicadores aplicados a CONAPAM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</si>
  <si>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</si>
  <si>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</si>
  <si>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</si>
  <si>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</si>
  <si>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</si>
  <si>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</si>
  <si>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</si>
  <si>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aplicados a CONAPAM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</si>
  <si>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</si>
  <si>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</si>
  <si>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</si>
  <si>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</si>
  <si>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</si>
  <si>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</si>
  <si>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Indicadores aplicados a CONAPAM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</si>
  <si>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</si>
  <si>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</si>
  <si>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</si>
  <si>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</si>
  <si>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</si>
  <si>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</si>
  <si>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aplicados a CONAPAM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</si>
  <si>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</si>
  <si>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</si>
  <si>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</si>
  <si>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</si>
  <si>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</si>
  <si>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</si>
  <si>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aplicados a CONAPAM  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</si>
  <si>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</si>
  <si>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</si>
  <si>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</si>
  <si>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</si>
  <si>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</si>
  <si>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</si>
  <si>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aplicados a CONAPAM  Tercer Trimestre Acumulado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</si>
  <si>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</si>
  <si>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</si>
  <si>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</si>
  <si>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</si>
  <si>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</si>
  <si>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</si>
  <si>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Indicadores aplicados a CONAPAM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</si>
  <si>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</si>
  <si>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</si>
  <si>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</si>
  <si>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</si>
  <si>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</si>
  <si>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</si>
  <si>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Población objetivo: adultos mayores pobres que viven solos de acuerdo a la ENAHO 2011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</si>
  <si>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</si>
  <si>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</si>
  <si>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</si>
  <si>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</si>
  <si>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>**2 obras</t>
  </si>
  <si>
    <t>Población Objetivo estimada a partir de la ENAHO 2012</t>
  </si>
  <si>
    <t xml:space="preserve">Gasto anual programado por beneficiario (GPB) </t>
  </si>
  <si>
    <t xml:space="preserve">Gasto anual efectivo por beneficiario (GEB) </t>
  </si>
  <si>
    <t>Fecha de actualización: 02/09/2014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</si>
</sst>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____"/>
    <numFmt numFmtId="167" formatCode="#,##0.0"/>
    <numFmt numFmtId="168" formatCode="#,##0____"/>
    <numFmt numFmtId="169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165" fontId="0" fillId="0" borderId="0" xfId="0" applyNumberFormat="1" applyFill="1"/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3" fontId="0" fillId="2" borderId="0" xfId="0" applyNumberFormat="1" applyFill="1"/>
    <xf numFmtId="2" fontId="0" fillId="0" borderId="0" xfId="0" applyNumberFormat="1" applyFill="1"/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43" fontId="2" fillId="0" borderId="0" xfId="1" applyFont="1"/>
    <xf numFmtId="3" fontId="0" fillId="0" borderId="0" xfId="0" applyNumberFormat="1" applyFill="1" applyAlignment="1"/>
    <xf numFmtId="43" fontId="0" fillId="0" borderId="0" xfId="1" applyFont="1" applyFill="1"/>
    <xf numFmtId="164" fontId="0" fillId="0" borderId="0" xfId="1" applyNumberFormat="1" applyFont="1"/>
    <xf numFmtId="168" fontId="0" fillId="0" borderId="0" xfId="0" applyNumberFormat="1" applyFill="1"/>
    <xf numFmtId="169" fontId="0" fillId="0" borderId="0" xfId="0" applyNumberFormat="1" applyFill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Trimestre'!$B$44:$E$44</c:f>
              <c:numCache>
                <c:formatCode>#,##0.0____</c:formatCode>
                <c:ptCount val="4"/>
                <c:pt idx="0">
                  <c:v>77.552301255230134</c:v>
                </c:pt>
                <c:pt idx="1">
                  <c:v>87.627118644067792</c:v>
                </c:pt>
                <c:pt idx="2">
                  <c:v>82.285714285714278</c:v>
                </c:pt>
                <c:pt idx="3">
                  <c:v>65.91836734693878</c:v>
                </c:pt>
              </c:numCache>
            </c:numRef>
          </c:val>
        </c:ser>
        <c:ser>
          <c:idx val="1"/>
          <c:order val="1"/>
          <c:tx>
            <c:strRef>
              <c:f>'I Trimestre'!$A$45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Trimestre'!$B$45:$E$45</c:f>
              <c:numCache>
                <c:formatCode>#,##0.0____</c:formatCode>
                <c:ptCount val="4"/>
                <c:pt idx="0">
                  <c:v>67.326093641301483</c:v>
                </c:pt>
                <c:pt idx="1">
                  <c:v>82.132271996842732</c:v>
                </c:pt>
                <c:pt idx="2">
                  <c:v>77.237893850350602</c:v>
                </c:pt>
                <c:pt idx="3">
                  <c:v>65.897538007489388</c:v>
                </c:pt>
              </c:numCache>
            </c:numRef>
          </c:val>
        </c:ser>
        <c:ser>
          <c:idx val="2"/>
          <c:order val="2"/>
          <c:tx>
            <c:strRef>
              <c:f>'I Trimestre'!$A$46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'I Trimestre'!$B$46:$E$46</c:f>
              <c:numCache>
                <c:formatCode>#,##0.0____</c:formatCode>
                <c:ptCount val="4"/>
                <c:pt idx="0">
                  <c:v>72.439197448265816</c:v>
                </c:pt>
                <c:pt idx="1">
                  <c:v>84.879695320455255</c:v>
                </c:pt>
                <c:pt idx="2">
                  <c:v>79.761804068032433</c:v>
                </c:pt>
                <c:pt idx="3">
                  <c:v>65.907952677214084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81232"/>
        <c:axId val="392381624"/>
      </c:barChart>
      <c:catAx>
        <c:axId val="39238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381624"/>
        <c:crosses val="autoZero"/>
        <c:auto val="1"/>
        <c:lblAlgn val="ctr"/>
        <c:lblOffset val="100"/>
        <c:noMultiLvlLbl val="0"/>
      </c:catAx>
      <c:valAx>
        <c:axId val="3923816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238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Expansión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8701200326187E-2"/>
          <c:y val="0.17104698802893542"/>
          <c:w val="0.56328718287348101"/>
          <c:h val="0.76349561487740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Anual!$B$57:$E$57</c:f>
              <c:numCache>
                <c:formatCode>#,##0.0____</c:formatCode>
                <c:ptCount val="4"/>
                <c:pt idx="0">
                  <c:v>36.797982046145862</c:v>
                </c:pt>
                <c:pt idx="1">
                  <c:v>7.1707545695985031</c:v>
                </c:pt>
                <c:pt idx="2">
                  <c:v>10.732984293193715</c:v>
                </c:pt>
                <c:pt idx="3">
                  <c:v>113.51648351648352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Anual!$B$58:$E$58</c:f>
              <c:numCache>
                <c:formatCode>#,##0.0____</c:formatCode>
                <c:ptCount val="4"/>
                <c:pt idx="0">
                  <c:v>98.779311392961162</c:v>
                </c:pt>
                <c:pt idx="1">
                  <c:v>79.63451190510051</c:v>
                </c:pt>
                <c:pt idx="2">
                  <c:v>91.724890616541188</c:v>
                </c:pt>
                <c:pt idx="3">
                  <c:v>102.0272497762821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Anual!$B$59:$E$59</c:f>
              <c:numCache>
                <c:formatCode>#,##0.0____</c:formatCode>
                <c:ptCount val="4"/>
                <c:pt idx="0">
                  <c:v>45.308657642264969</c:v>
                </c:pt>
                <c:pt idx="1">
                  <c:v>67.615234796581404</c:v>
                </c:pt>
                <c:pt idx="2">
                  <c:v>73.141626987041946</c:v>
                </c:pt>
                <c:pt idx="3">
                  <c:v>-5.3809586740006354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39488"/>
        <c:axId val="393639880"/>
      </c:barChart>
      <c:catAx>
        <c:axId val="39363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39880"/>
        <c:crosses val="autoZero"/>
        <c:auto val="1"/>
        <c:lblAlgn val="ctr"/>
        <c:lblOffset val="100"/>
        <c:noMultiLvlLbl val="0"/>
      </c:catAx>
      <c:valAx>
        <c:axId val="3936398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363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Gasto Medio</a:t>
            </a:r>
            <a:r>
              <a:rPr lang="es-CR" sz="1400" baseline="0"/>
              <a:t> M</a:t>
            </a:r>
            <a:r>
              <a:rPr lang="es-CR" sz="1400"/>
              <a:t>ensual por Beneficiario</a:t>
            </a:r>
            <a:r>
              <a:rPr lang="es-CR" sz="1400" baseline="0"/>
              <a:t> 2013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Anual!$B$62:$E$62</c:f>
              <c:numCache>
                <c:formatCode>#,##0</c:formatCode>
                <c:ptCount val="4"/>
                <c:pt idx="0">
                  <c:v>156780.14776153446</c:v>
                </c:pt>
                <c:pt idx="1">
                  <c:v>130051</c:v>
                </c:pt>
                <c:pt idx="2">
                  <c:v>56837.81448177946</c:v>
                </c:pt>
                <c:pt idx="3">
                  <c:v>208333.08696392787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Anual!$B$63:$E$63</c:f>
              <c:numCache>
                <c:formatCode>#,##0</c:formatCode>
                <c:ptCount val="4"/>
                <c:pt idx="0">
                  <c:v>150883.6849194642</c:v>
                </c:pt>
                <c:pt idx="1">
                  <c:v>128194.40641399416</c:v>
                </c:pt>
                <c:pt idx="2">
                  <c:v>52964.813764118728</c:v>
                </c:pt>
                <c:pt idx="3">
                  <c:v>209224.39126308117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15552"/>
        <c:axId val="393415944"/>
      </c:barChart>
      <c:catAx>
        <c:axId val="3934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415944"/>
        <c:crosses val="autoZero"/>
        <c:auto val="1"/>
        <c:lblAlgn val="ctr"/>
        <c:lblOffset val="100"/>
        <c:noMultiLvlLbl val="0"/>
      </c:catAx>
      <c:valAx>
        <c:axId val="3934159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393415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Giro</a:t>
            </a:r>
            <a:r>
              <a:rPr lang="es-CR" sz="1400" baseline="0"/>
              <a:t> de Recursos 2013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91.796297323374304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100.21464336450676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3417120"/>
        <c:axId val="393417512"/>
      </c:barChart>
      <c:catAx>
        <c:axId val="39341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417512"/>
        <c:crosses val="autoZero"/>
        <c:auto val="1"/>
        <c:lblAlgn val="ctr"/>
        <c:lblOffset val="100"/>
        <c:noMultiLvlLbl val="0"/>
      </c:catAx>
      <c:valAx>
        <c:axId val="393417512"/>
        <c:scaling>
          <c:orientation val="minMax"/>
          <c:min val="0"/>
        </c:scaling>
        <c:delete val="1"/>
        <c:axPos val="l"/>
        <c:numFmt formatCode="#,##0" sourceLinked="0"/>
        <c:majorTickMark val="none"/>
        <c:minorTickMark val="none"/>
        <c:tickLblPos val="none"/>
        <c:crossAx val="393417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Gasto Medio (trimestral)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Anual!$B$65:$E$65</c:f>
              <c:numCache>
                <c:formatCode>#,##0____</c:formatCode>
                <c:ptCount val="4"/>
                <c:pt idx="0">
                  <c:v>1881361.7731384134</c:v>
                </c:pt>
                <c:pt idx="1">
                  <c:v>1560612</c:v>
                </c:pt>
                <c:pt idx="2">
                  <c:v>682053.77378135349</c:v>
                </c:pt>
                <c:pt idx="3">
                  <c:v>2499997.0435671341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Anual!$B$66:$E$66</c:f>
              <c:numCache>
                <c:formatCode>#,##0____</c:formatCode>
                <c:ptCount val="4"/>
                <c:pt idx="0">
                  <c:v>1810604.2190335703</c:v>
                </c:pt>
                <c:pt idx="1">
                  <c:v>1538332.87696793</c:v>
                </c:pt>
                <c:pt idx="2">
                  <c:v>635577.7651694247</c:v>
                </c:pt>
                <c:pt idx="3">
                  <c:v>2510692.6951569743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18296"/>
        <c:axId val="393418688"/>
      </c:barChart>
      <c:catAx>
        <c:axId val="393418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418688"/>
        <c:crosses val="autoZero"/>
        <c:auto val="1"/>
        <c:lblAlgn val="ctr"/>
        <c:lblOffset val="100"/>
        <c:noMultiLvlLbl val="0"/>
      </c:catAx>
      <c:valAx>
        <c:axId val="393418688"/>
        <c:scaling>
          <c:orientation val="minMax"/>
        </c:scaling>
        <c:delete val="0"/>
        <c:axPos val="l"/>
        <c:majorGridlines/>
        <c:numFmt formatCode="#,##0____" sourceLinked="1"/>
        <c:majorTickMark val="none"/>
        <c:minorTickMark val="none"/>
        <c:tickLblPos val="nextTo"/>
        <c:crossAx val="393418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Trimestre'!$B$49:$E$49</c:f>
              <c:numCache>
                <c:formatCode>#,##0.0____</c:formatCode>
                <c:ptCount val="4"/>
                <c:pt idx="0">
                  <c:v>77.552301255230134</c:v>
                </c:pt>
                <c:pt idx="1">
                  <c:v>87.627118644067792</c:v>
                </c:pt>
                <c:pt idx="2">
                  <c:v>82.285714285714278</c:v>
                </c:pt>
                <c:pt idx="3">
                  <c:v>65.91836734693878</c:v>
                </c:pt>
              </c:numCache>
            </c:numRef>
          </c:val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Trimestre'!$B$50:$E$50</c:f>
              <c:numCache>
                <c:formatCode>#,##0.0____</c:formatCode>
                <c:ptCount val="4"/>
                <c:pt idx="0">
                  <c:v>16.831523410325371</c:v>
                </c:pt>
                <c:pt idx="1">
                  <c:v>20.533067999210683</c:v>
                </c:pt>
                <c:pt idx="2">
                  <c:v>19.309473462587651</c:v>
                </c:pt>
                <c:pt idx="3">
                  <c:v>16.474384501872347</c:v>
                </c:pt>
              </c:numCache>
            </c:numRef>
          </c:val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Trimestre'!$B$51:$E$51</c:f>
              <c:numCache>
                <c:formatCode>#,##0.0____</c:formatCode>
                <c:ptCount val="4"/>
                <c:pt idx="0">
                  <c:v>47.191912332777754</c:v>
                </c:pt>
                <c:pt idx="1">
                  <c:v>54.080093321639239</c:v>
                </c:pt>
                <c:pt idx="2">
                  <c:v>50.797593874150962</c:v>
                </c:pt>
                <c:pt idx="3">
                  <c:v>41.196375924405565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82408"/>
        <c:axId val="392382800"/>
      </c:barChart>
      <c:catAx>
        <c:axId val="39238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382800"/>
        <c:crosses val="autoZero"/>
        <c:auto val="1"/>
        <c:lblAlgn val="ctr"/>
        <c:lblOffset val="100"/>
        <c:noMultiLvlLbl val="0"/>
      </c:catAx>
      <c:valAx>
        <c:axId val="3923828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2382408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Trimestre'!$B$57:$E$57</c:f>
              <c:numCache>
                <c:formatCode>#,##0.0____</c:formatCode>
                <c:ptCount val="4"/>
                <c:pt idx="0">
                  <c:v>38.011913626209967</c:v>
                </c:pt>
                <c:pt idx="1">
                  <c:v>5.5102040816326525</c:v>
                </c:pt>
                <c:pt idx="2">
                  <c:v>16.914749661705009</c:v>
                </c:pt>
                <c:pt idx="3">
                  <c:v>170.8595387840671</c:v>
                </c:pt>
              </c:numCache>
            </c:numRef>
          </c:val>
        </c:ser>
        <c:ser>
          <c:idx val="1"/>
          <c:order val="1"/>
          <c:tx>
            <c:strRef>
              <c:f>'I Trimestre'!$A$58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Trimestre'!$B$58:$E$58</c:f>
              <c:numCache>
                <c:formatCode>#,##0.0____</c:formatCode>
                <c:ptCount val="4"/>
                <c:pt idx="0">
                  <c:v>106.79130396050689</c:v>
                </c:pt>
                <c:pt idx="1">
                  <c:v>66.440509134859681</c:v>
                </c:pt>
                <c:pt idx="2">
                  <c:v>85.074516459235767</c:v>
                </c:pt>
                <c:pt idx="3">
                  <c:v>154.89981245411758</c:v>
                </c:pt>
              </c:numCache>
            </c:numRef>
          </c:val>
        </c:ser>
        <c:ser>
          <c:idx val="2"/>
          <c:order val="2"/>
          <c:tx>
            <c:strRef>
              <c:f>'I Trimestre'!$A$59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Trimestre'!$B$59:$E$59</c:f>
              <c:numCache>
                <c:formatCode>#,##0.0____</c:formatCode>
                <c:ptCount val="4"/>
                <c:pt idx="0">
                  <c:v>49.835835564586326</c:v>
                </c:pt>
                <c:pt idx="1">
                  <c:v>57.748258174238387</c:v>
                </c:pt>
                <c:pt idx="2">
                  <c:v>58.298689425202824</c:v>
                </c:pt>
                <c:pt idx="3">
                  <c:v>-5.8922519035494725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29896"/>
        <c:axId val="392630288"/>
      </c:barChart>
      <c:catAx>
        <c:axId val="392629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630288"/>
        <c:crosses val="autoZero"/>
        <c:auto val="1"/>
        <c:lblAlgn val="ctr"/>
        <c:lblOffset val="100"/>
        <c:noMultiLvlLbl val="0"/>
      </c:catAx>
      <c:valAx>
        <c:axId val="39263028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2629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Trimestre'!$B$62:$E$62</c:f>
              <c:numCache>
                <c:formatCode>#,##0</c:formatCode>
                <c:ptCount val="4"/>
                <c:pt idx="0">
                  <c:v>155469.44560669456</c:v>
                </c:pt>
                <c:pt idx="1">
                  <c:v>130051</c:v>
                </c:pt>
                <c:pt idx="2">
                  <c:v>52020</c:v>
                </c:pt>
                <c:pt idx="3">
                  <c:v>208333</c:v>
                </c:pt>
              </c:numCache>
            </c:numRef>
          </c:val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Trimestre'!$B$63:$E$63</c:f>
              <c:numCache>
                <c:formatCode>#,##0</c:formatCode>
                <c:ptCount val="4"/>
                <c:pt idx="0">
                  <c:v>134968.92140994515</c:v>
                </c:pt>
                <c:pt idx="1">
                  <c:v>121895.87277025575</c:v>
                </c:pt>
                <c:pt idx="2">
                  <c:v>48828.831018518518</c:v>
                </c:pt>
                <c:pt idx="3">
                  <c:v>208267.16950464397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30680"/>
        <c:axId val="392631072"/>
      </c:barChart>
      <c:catAx>
        <c:axId val="392630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631072"/>
        <c:crosses val="autoZero"/>
        <c:auto val="1"/>
        <c:lblAlgn val="ctr"/>
        <c:lblOffset val="100"/>
        <c:noMultiLvlLbl val="0"/>
      </c:catAx>
      <c:valAx>
        <c:axId val="39263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92630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Trimestre'!$B$64:$E$64</c:f>
              <c:numCache>
                <c:formatCode>#,##0.0____</c:formatCode>
                <c:ptCount val="4"/>
                <c:pt idx="0">
                  <c:v>83.442037987909174</c:v>
                </c:pt>
                <c:pt idx="1">
                  <c:v>90.55835119968161</c:v>
                </c:pt>
                <c:pt idx="2">
                  <c:v>84.974572625862038</c:v>
                </c:pt>
                <c:pt idx="3">
                  <c:v>65.928785308602713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32248"/>
        <c:axId val="392632640"/>
      </c:barChart>
      <c:catAx>
        <c:axId val="39263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2632640"/>
        <c:crosses val="autoZero"/>
        <c:auto val="1"/>
        <c:lblAlgn val="ctr"/>
        <c:lblOffset val="100"/>
        <c:noMultiLvlLbl val="0"/>
      </c:catAx>
      <c:valAx>
        <c:axId val="392632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92632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Trimestre'!$B$69</c:f>
              <c:numCache>
                <c:formatCode>#,##0.0____</c:formatCode>
                <c:ptCount val="1"/>
                <c:pt idx="0">
                  <c:v>93.271828425704058</c:v>
                </c:pt>
              </c:numCache>
            </c:numRef>
          </c:val>
        </c:ser>
        <c:ser>
          <c:idx val="1"/>
          <c:order val="1"/>
          <c:tx>
            <c:strRef>
              <c:f>'I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Trimestre'!$B$70</c:f>
              <c:numCache>
                <c:formatCode>#,##0.0____</c:formatCode>
                <c:ptCount val="1"/>
                <c:pt idx="0">
                  <c:v>72.182667347333364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2633424"/>
        <c:axId val="393014968"/>
      </c:barChart>
      <c:catAx>
        <c:axId val="392633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014968"/>
        <c:crosses val="autoZero"/>
        <c:auto val="1"/>
        <c:lblAlgn val="ctr"/>
        <c:lblOffset val="100"/>
        <c:noMultiLvlLbl val="0"/>
      </c:catAx>
      <c:valAx>
        <c:axId val="3930149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2633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Cobertura Potencial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Anual!$B$40</c:f>
              <c:numCache>
                <c:formatCode>#,##0.0____</c:formatCode>
                <c:ptCount val="1"/>
                <c:pt idx="0">
                  <c:v>4.3789953508644484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Infraestructura</c:v>
                </c:pt>
              </c:strCache>
            </c:strRef>
          </c:cat>
          <c:val>
            <c:numRef>
              <c:f>Anual!$B$41</c:f>
              <c:numCache>
                <c:formatCode>#,##0.0____</c:formatCode>
                <c:ptCount val="1"/>
                <c:pt idx="0">
                  <c:v>4.1858110562254831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18104"/>
        <c:axId val="393018496"/>
      </c:barChart>
      <c:catAx>
        <c:axId val="393018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018496"/>
        <c:crosses val="autoZero"/>
        <c:auto val="1"/>
        <c:lblAlgn val="ctr"/>
        <c:lblOffset val="100"/>
        <c:noMultiLvlLbl val="0"/>
      </c:catAx>
      <c:valAx>
        <c:axId val="39301849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93018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CONAPAM: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Anual!$B$44:$E$44</c:f>
              <c:numCache>
                <c:formatCode>#,##0.0____</c:formatCode>
                <c:ptCount val="4"/>
                <c:pt idx="0">
                  <c:v>95.588387765681702</c:v>
                </c:pt>
                <c:pt idx="1">
                  <c:v>96.89265536723164</c:v>
                </c:pt>
                <c:pt idx="2">
                  <c:v>90.085186938002835</c:v>
                </c:pt>
                <c:pt idx="3">
                  <c:v>97.344689378757508</c:v>
                </c:pt>
              </c:numCache>
            </c:numRef>
          </c:val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Anual!$B$45:$E$45</c:f>
              <c:numCache>
                <c:formatCode>#,##0.0____</c:formatCode>
                <c:ptCount val="4"/>
                <c:pt idx="0">
                  <c:v>91.993331984441824</c:v>
                </c:pt>
                <c:pt idx="1">
                  <c:v>95.509426614773943</c:v>
                </c:pt>
                <c:pt idx="2">
                  <c:v>83.946668121918989</c:v>
                </c:pt>
                <c:pt idx="3">
                  <c:v>97.761155823946098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Anual!$B$46:$E$46</c:f>
              <c:numCache>
                <c:formatCode>#,##0.0____</c:formatCode>
                <c:ptCount val="4"/>
                <c:pt idx="0">
                  <c:v>93.790859875061756</c:v>
                </c:pt>
                <c:pt idx="1">
                  <c:v>96.201040991002799</c:v>
                </c:pt>
                <c:pt idx="2">
                  <c:v>87.015927529960919</c:v>
                </c:pt>
                <c:pt idx="3">
                  <c:v>97.55292260135181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37136"/>
        <c:axId val="393637528"/>
      </c:barChart>
      <c:catAx>
        <c:axId val="39363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37528"/>
        <c:crosses val="autoZero"/>
        <c:auto val="1"/>
        <c:lblAlgn val="ctr"/>
        <c:lblOffset val="100"/>
        <c:noMultiLvlLbl val="0"/>
      </c:catAx>
      <c:valAx>
        <c:axId val="39363752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363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Avance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Anual!$B$49:$E$49</c:f>
              <c:numCache>
                <c:formatCode>#,##0.0____</c:formatCode>
                <c:ptCount val="4"/>
                <c:pt idx="0">
                  <c:v>93.12626262626263</c:v>
                </c:pt>
                <c:pt idx="1">
                  <c:v>96.89265536723164</c:v>
                </c:pt>
                <c:pt idx="2">
                  <c:v>88.452602230483265</c:v>
                </c:pt>
                <c:pt idx="3">
                  <c:v>92.347908745247153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Anual!$B$50:$E$50</c:f>
              <c:numCache>
                <c:formatCode>#,##0.0____</c:formatCode>
                <c:ptCount val="4"/>
                <c:pt idx="0">
                  <c:v>91.993331984441824</c:v>
                </c:pt>
                <c:pt idx="1">
                  <c:v>95.509426614773943</c:v>
                </c:pt>
                <c:pt idx="2">
                  <c:v>83.946668121918989</c:v>
                </c:pt>
                <c:pt idx="3">
                  <c:v>97.761155823946098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Anual!$B$51:$E$51</c:f>
              <c:numCache>
                <c:formatCode>#,##0.0____</c:formatCode>
                <c:ptCount val="4"/>
                <c:pt idx="0">
                  <c:v>92.55979730535222</c:v>
                </c:pt>
                <c:pt idx="1">
                  <c:v>96.201040991002799</c:v>
                </c:pt>
                <c:pt idx="2">
                  <c:v>86.199635176201127</c:v>
                </c:pt>
                <c:pt idx="3">
                  <c:v>95.054532284596633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38312"/>
        <c:axId val="393638704"/>
      </c:barChart>
      <c:catAx>
        <c:axId val="393638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38704"/>
        <c:crosses val="autoZero"/>
        <c:auto val="1"/>
        <c:lblAlgn val="ctr"/>
        <c:lblOffset val="100"/>
        <c:noMultiLvlLbl val="0"/>
      </c:catAx>
      <c:valAx>
        <c:axId val="39363870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3638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203</xdr:row>
      <xdr:rowOff>152400</xdr:rowOff>
    </xdr:from>
    <xdr:to>
      <xdr:col>2</xdr:col>
      <xdr:colOff>95250</xdr:colOff>
      <xdr:row>218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219</xdr:row>
      <xdr:rowOff>19050</xdr:rowOff>
    </xdr:from>
    <xdr:to>
      <xdr:col>2</xdr:col>
      <xdr:colOff>38100</xdr:colOff>
      <xdr:row>233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234</xdr:row>
      <xdr:rowOff>47625</xdr:rowOff>
    </xdr:from>
    <xdr:to>
      <xdr:col>2</xdr:col>
      <xdr:colOff>85725</xdr:colOff>
      <xdr:row>248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249</xdr:row>
      <xdr:rowOff>57150</xdr:rowOff>
    </xdr:from>
    <xdr:to>
      <xdr:col>2</xdr:col>
      <xdr:colOff>95250</xdr:colOff>
      <xdr:row>263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264</xdr:row>
      <xdr:rowOff>28575</xdr:rowOff>
    </xdr:from>
    <xdr:to>
      <xdr:col>2</xdr:col>
      <xdr:colOff>85725</xdr:colOff>
      <xdr:row>278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133350</xdr:colOff>
      <xdr:row>279</xdr:row>
      <xdr:rowOff>28575</xdr:rowOff>
    </xdr:from>
    <xdr:to>
      <xdr:col>2</xdr:col>
      <xdr:colOff>66675</xdr:colOff>
      <xdr:row>293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303741</xdr:colOff>
      <xdr:row>4</xdr:row>
      <xdr:rowOff>169862</xdr:rowOff>
    </xdr:from>
    <xdr:to>
      <xdr:col>11</xdr:col>
      <xdr:colOff>579966</xdr:colOff>
      <xdr:row>19</xdr:row>
      <xdr:rowOff>34395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365124</xdr:colOff>
      <xdr:row>22</xdr:row>
      <xdr:rowOff>88900</xdr:rowOff>
    </xdr:from>
    <xdr:to>
      <xdr:col>11</xdr:col>
      <xdr:colOff>640291</xdr:colOff>
      <xdr:row>36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343958</xdr:colOff>
      <xdr:row>38</xdr:row>
      <xdr:rowOff>25400</xdr:rowOff>
    </xdr:from>
    <xdr:to>
      <xdr:col>11</xdr:col>
      <xdr:colOff>619125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418039</xdr:colOff>
      <xdr:row>53</xdr:row>
      <xdr:rowOff>184150</xdr:rowOff>
    </xdr:from>
    <xdr:to>
      <xdr:col>12</xdr:col>
      <xdr:colOff>412749</xdr:colOff>
      <xdr:row>70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576791</xdr:colOff>
      <xdr:row>71</xdr:row>
      <xdr:rowOff>141816</xdr:rowOff>
    </xdr:from>
    <xdr:to>
      <xdr:col>12</xdr:col>
      <xdr:colOff>486834</xdr:colOff>
      <xdr:row>87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87</xdr:row>
      <xdr:rowOff>35982</xdr:rowOff>
    </xdr:from>
    <xdr:to>
      <xdr:col>6</xdr:col>
      <xdr:colOff>349250</xdr:colOff>
      <xdr:row>103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73</xdr:row>
      <xdr:rowOff>0</xdr:rowOff>
    </xdr:from>
    <xdr:to>
      <xdr:col>19</xdr:col>
      <xdr:colOff>396876</xdr:colOff>
      <xdr:row>89</xdr:row>
      <xdr:rowOff>48683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3"/>
  <sheetViews>
    <sheetView topLeftCell="A70" zoomScaleNormal="100" workbookViewId="0">
      <selection activeCell="D190" sqref="D190:I192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6" width="15.7109375" customWidth="1"/>
  </cols>
  <sheetData>
    <row r="2" spans="1:6" ht="15.75" x14ac:dyDescent="0.25">
      <c r="A2" s="29" t="s">
        <v>74</v>
      </c>
      <c r="B2" s="29"/>
      <c r="C2" s="29"/>
      <c r="D2" s="29"/>
      <c r="E2" s="29"/>
    </row>
    <row r="4" spans="1:6" ht="15" customHeight="1" x14ac:dyDescent="0.25">
      <c r="A4" s="30" t="s">
        <v>0</v>
      </c>
      <c r="B4" s="32" t="s">
        <v>1</v>
      </c>
      <c r="C4" s="34" t="s">
        <v>2</v>
      </c>
      <c r="D4" s="34"/>
      <c r="E4" s="34"/>
      <c r="F4" s="34"/>
    </row>
    <row r="5" spans="1:6" ht="15.75" thickBot="1" x14ac:dyDescent="0.3">
      <c r="A5" s="31"/>
      <c r="B5" s="33"/>
      <c r="C5" s="1" t="s">
        <v>69</v>
      </c>
      <c r="D5" s="1" t="s">
        <v>70</v>
      </c>
      <c r="E5" s="1" t="s">
        <v>3</v>
      </c>
      <c r="F5" s="1" t="s">
        <v>4</v>
      </c>
    </row>
    <row r="6" spans="1:6" ht="15.75" thickTop="1" x14ac:dyDescent="0.25"/>
    <row r="7" spans="1:6" x14ac:dyDescent="0.25">
      <c r="A7" s="2" t="s">
        <v>5</v>
      </c>
    </row>
    <row r="9" spans="1:6" x14ac:dyDescent="0.25">
      <c r="A9" t="s">
        <v>39</v>
      </c>
      <c r="C9" s="3"/>
    </row>
    <row r="10" spans="1:6" x14ac:dyDescent="0.25">
      <c r="A10" s="4" t="s">
        <v>41</v>
      </c>
      <c r="B10" s="5">
        <f>SUM(C10:F10)</f>
        <v>2686</v>
      </c>
      <c r="C10" s="5">
        <v>1470</v>
      </c>
      <c r="D10" s="5">
        <v>739</v>
      </c>
      <c r="E10" s="5">
        <v>477</v>
      </c>
      <c r="F10" s="5"/>
    </row>
    <row r="11" spans="1:6" x14ac:dyDescent="0.25">
      <c r="A11" s="6" t="s">
        <v>75</v>
      </c>
      <c r="B11" s="5">
        <f>SUM(C11:F11)</f>
        <v>4780</v>
      </c>
      <c r="C11" s="5">
        <v>1770</v>
      </c>
      <c r="D11" s="5">
        <v>1050</v>
      </c>
      <c r="E11" s="5">
        <v>1960</v>
      </c>
      <c r="F11" s="5"/>
    </row>
    <row r="12" spans="1:6" x14ac:dyDescent="0.25">
      <c r="A12" s="6" t="s">
        <v>76</v>
      </c>
      <c r="B12" s="5">
        <f>SUM(C12:F12)</f>
        <v>3707</v>
      </c>
      <c r="C12" s="5">
        <v>1551</v>
      </c>
      <c r="D12" s="5">
        <v>864</v>
      </c>
      <c r="E12" s="5">
        <v>1292</v>
      </c>
      <c r="F12" s="5"/>
    </row>
    <row r="13" spans="1:6" x14ac:dyDescent="0.25">
      <c r="A13" s="6" t="s">
        <v>77</v>
      </c>
      <c r="B13" s="5">
        <f>SUM(C13:F13)</f>
        <v>4780</v>
      </c>
      <c r="C13" s="5">
        <v>1770</v>
      </c>
      <c r="D13" s="5">
        <v>1050</v>
      </c>
      <c r="E13" s="5">
        <v>1960</v>
      </c>
      <c r="F13" s="5" t="s">
        <v>71</v>
      </c>
    </row>
    <row r="14" spans="1:6" x14ac:dyDescent="0.25">
      <c r="B14" s="7"/>
      <c r="C14" s="7"/>
      <c r="D14" s="7"/>
      <c r="E14" s="7"/>
      <c r="F14" s="7"/>
    </row>
    <row r="15" spans="1:6" x14ac:dyDescent="0.25">
      <c r="A15" s="8" t="s">
        <v>6</v>
      </c>
      <c r="B15" s="7"/>
      <c r="C15" s="7"/>
      <c r="D15" s="7"/>
      <c r="E15" s="7"/>
      <c r="F15" s="7"/>
    </row>
    <row r="16" spans="1:6" x14ac:dyDescent="0.25">
      <c r="A16" s="4" t="s">
        <v>41</v>
      </c>
      <c r="B16" s="5">
        <f>SUM(C16:E16)</f>
        <v>683773173</v>
      </c>
      <c r="C16" s="5">
        <v>321018255</v>
      </c>
      <c r="D16" s="5">
        <v>64421586</v>
      </c>
      <c r="E16" s="5">
        <v>298333332</v>
      </c>
      <c r="F16" s="5"/>
    </row>
    <row r="17" spans="1:7" x14ac:dyDescent="0.25">
      <c r="A17" s="6" t="s">
        <v>75</v>
      </c>
      <c r="B17" s="5">
        <f>SUM(C17:F17)</f>
        <v>2229431850</v>
      </c>
      <c r="C17" s="9">
        <v>690570810</v>
      </c>
      <c r="D17" s="5">
        <v>163863000</v>
      </c>
      <c r="E17" s="5">
        <v>1224998040</v>
      </c>
      <c r="F17" s="5">
        <v>150000000</v>
      </c>
    </row>
    <row r="18" spans="1:7" x14ac:dyDescent="0.25">
      <c r="A18" s="6" t="s">
        <v>76</v>
      </c>
      <c r="B18" s="5">
        <f>SUM(C18:E18)</f>
        <v>1500989375</v>
      </c>
      <c r="C18" s="5">
        <v>567181496</v>
      </c>
      <c r="D18" s="5">
        <v>126564330</v>
      </c>
      <c r="E18" s="5">
        <v>807243549</v>
      </c>
      <c r="F18" s="5">
        <v>0</v>
      </c>
    </row>
    <row r="19" spans="1:7" x14ac:dyDescent="0.25">
      <c r="A19" s="6" t="s">
        <v>77</v>
      </c>
      <c r="B19" s="5">
        <f>SUM(C19:F19)</f>
        <v>8917727400</v>
      </c>
      <c r="C19" s="9">
        <v>2762283240</v>
      </c>
      <c r="D19" s="5">
        <v>655452000</v>
      </c>
      <c r="E19" s="5">
        <v>4899992160</v>
      </c>
      <c r="F19" s="5">
        <v>600000000</v>
      </c>
    </row>
    <row r="20" spans="1:7" x14ac:dyDescent="0.25">
      <c r="A20" s="6" t="s">
        <v>78</v>
      </c>
      <c r="B20" s="5">
        <f>SUM(C20:E20)</f>
        <v>1500989375</v>
      </c>
      <c r="C20" s="5">
        <f>C18</f>
        <v>567181496</v>
      </c>
      <c r="D20" s="5">
        <f t="shared" ref="D20:E20" si="0">D18</f>
        <v>126564330</v>
      </c>
      <c r="E20" s="5">
        <f t="shared" si="0"/>
        <v>807243549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75</v>
      </c>
      <c r="B23" s="5">
        <f>B17</f>
        <v>2229431850</v>
      </c>
      <c r="C23" s="5"/>
      <c r="D23" s="5"/>
      <c r="E23" s="5"/>
      <c r="F23" s="5"/>
      <c r="G23" s="11"/>
    </row>
    <row r="24" spans="1:7" x14ac:dyDescent="0.25">
      <c r="A24" s="4" t="s">
        <v>76</v>
      </c>
      <c r="B24" s="5">
        <v>2079431850</v>
      </c>
      <c r="C24" s="5"/>
      <c r="D24" s="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42</v>
      </c>
      <c r="B27" s="25">
        <v>1.5060713566999999</v>
      </c>
      <c r="C27" s="25">
        <v>1.5060713566999999</v>
      </c>
      <c r="D27" s="25">
        <v>1.5060713566999999</v>
      </c>
      <c r="E27" s="25">
        <v>1.5060713566999999</v>
      </c>
      <c r="F27" s="12"/>
    </row>
    <row r="28" spans="1:7" x14ac:dyDescent="0.25">
      <c r="A28" s="4" t="s">
        <v>79</v>
      </c>
      <c r="B28" s="25">
        <v>1.5987436681</v>
      </c>
      <c r="C28" s="25">
        <v>1.5987436681</v>
      </c>
      <c r="D28" s="25">
        <v>1.5987436681</v>
      </c>
      <c r="E28" s="25">
        <v>1.5987436681</v>
      </c>
      <c r="F28" s="12"/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43</v>
      </c>
      <c r="B32" s="5">
        <f>B16/B27</f>
        <v>454011139.61707419</v>
      </c>
      <c r="C32" s="5">
        <f>C16/C27</f>
        <v>213149432.50988662</v>
      </c>
      <c r="D32" s="5">
        <f>D16/D27</f>
        <v>42774590.801033594</v>
      </c>
      <c r="E32" s="5">
        <f>E16/E27</f>
        <v>198087116.30615398</v>
      </c>
      <c r="F32" s="5"/>
    </row>
    <row r="33" spans="1:6" x14ac:dyDescent="0.25">
      <c r="A33" s="7" t="s">
        <v>80</v>
      </c>
      <c r="B33" s="5">
        <f>B18/B28</f>
        <v>938855555.74010527</v>
      </c>
      <c r="C33" s="5">
        <f>C18/C28</f>
        <v>354767000.68751943</v>
      </c>
      <c r="D33" s="5">
        <f>D18/D28</f>
        <v>79164867.092429668</v>
      </c>
      <c r="E33" s="5">
        <f>E18/E28</f>
        <v>504923687.96015626</v>
      </c>
      <c r="F33" s="5"/>
    </row>
    <row r="34" spans="1:6" x14ac:dyDescent="0.25">
      <c r="A34" s="7" t="s">
        <v>44</v>
      </c>
      <c r="B34" s="5">
        <f>$B$32/(B10*3)</f>
        <v>56342.906380872948</v>
      </c>
      <c r="C34" s="5">
        <f>C32/(C10*3)</f>
        <v>48333.204650767941</v>
      </c>
      <c r="D34" s="5">
        <f t="shared" ref="D34:E34" si="1">D32/(D10*3)</f>
        <v>19293.90654083608</v>
      </c>
      <c r="E34" s="5">
        <f t="shared" si="1"/>
        <v>138425.6577960545</v>
      </c>
      <c r="F34" s="5"/>
    </row>
    <row r="35" spans="1:6" x14ac:dyDescent="0.25">
      <c r="A35" s="7" t="s">
        <v>81</v>
      </c>
      <c r="B35" s="5">
        <f>$B$33/(B12*3)</f>
        <v>84421.864557153604</v>
      </c>
      <c r="C35" s="5">
        <f>C33/(C12*3)</f>
        <v>76244.788456376409</v>
      </c>
      <c r="D35" s="5">
        <f t="shared" ref="D35:E35" si="2">D33/(D12*3)</f>
        <v>30542.001193067001</v>
      </c>
      <c r="E35" s="5">
        <f t="shared" si="2"/>
        <v>130269.2693395656</v>
      </c>
      <c r="F35" s="5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  <c r="B37" s="7"/>
      <c r="C37" s="7"/>
      <c r="D37" s="7"/>
      <c r="E37" s="7"/>
      <c r="F37" s="7"/>
    </row>
    <row r="38" spans="1:6" x14ac:dyDescent="0.25">
      <c r="B38" s="7"/>
      <c r="C38" s="7"/>
      <c r="D38" s="7"/>
      <c r="E38" s="7"/>
      <c r="F38" s="7"/>
    </row>
    <row r="39" spans="1:6" x14ac:dyDescent="0.25">
      <c r="A39" t="s">
        <v>12</v>
      </c>
      <c r="B39" s="7"/>
      <c r="C39" s="7"/>
      <c r="D39" s="7"/>
      <c r="E39" s="7"/>
      <c r="F39" s="7"/>
    </row>
    <row r="40" spans="1:6" x14ac:dyDescent="0.25">
      <c r="A40" t="s">
        <v>13</v>
      </c>
      <c r="B40" s="14">
        <f>B11/B29*100</f>
        <v>4.3404038936510245</v>
      </c>
      <c r="C40" s="14"/>
      <c r="D40" s="14"/>
      <c r="E40" s="14"/>
      <c r="F40" s="14"/>
    </row>
    <row r="41" spans="1:6" x14ac:dyDescent="0.25">
      <c r="A41" t="s">
        <v>14</v>
      </c>
      <c r="B41" s="14">
        <f>B12/B29*100</f>
        <v>3.366083103297981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77.552301255230134</v>
      </c>
      <c r="C44" s="14">
        <f>C12/C11*100</f>
        <v>87.627118644067792</v>
      </c>
      <c r="D44" s="14">
        <f>D12/D11*100</f>
        <v>82.285714285714278</v>
      </c>
      <c r="E44" s="14">
        <f>E12/E11*100</f>
        <v>65.91836734693878</v>
      </c>
      <c r="F44" s="14"/>
    </row>
    <row r="45" spans="1:6" x14ac:dyDescent="0.25">
      <c r="A45" t="s">
        <v>17</v>
      </c>
      <c r="B45" s="14">
        <f>B18/B17*100</f>
        <v>67.326093641301483</v>
      </c>
      <c r="C45" s="14">
        <f>C18/C17*100</f>
        <v>82.132271996842732</v>
      </c>
      <c r="D45" s="14">
        <f>D18/D17*100</f>
        <v>77.237893850350602</v>
      </c>
      <c r="E45" s="14">
        <f>E18/E17*100</f>
        <v>65.897538007489388</v>
      </c>
      <c r="F45" s="14"/>
    </row>
    <row r="46" spans="1:6" x14ac:dyDescent="0.25">
      <c r="A46" s="7" t="s">
        <v>18</v>
      </c>
      <c r="B46" s="14">
        <f>AVERAGE(B44:B45)</f>
        <v>72.439197448265816</v>
      </c>
      <c r="C46" s="14">
        <f>AVERAGE(C44:C45)</f>
        <v>84.879695320455255</v>
      </c>
      <c r="D46" s="14">
        <f>AVERAGE(D44:D45)</f>
        <v>79.761804068032433</v>
      </c>
      <c r="E46" s="14">
        <f>AVERAGE(E44:E45)</f>
        <v>65.907952677214084</v>
      </c>
      <c r="F46" s="14"/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6" x14ac:dyDescent="0.25">
      <c r="A49" s="7" t="s">
        <v>20</v>
      </c>
      <c r="B49" s="14">
        <f>(B12/B13)*100</f>
        <v>77.552301255230134</v>
      </c>
      <c r="C49" s="14">
        <f t="shared" ref="C49:E49" si="3">(C12/C13)*100</f>
        <v>87.627118644067792</v>
      </c>
      <c r="D49" s="14">
        <f t="shared" si="3"/>
        <v>82.285714285714278</v>
      </c>
      <c r="E49" s="14">
        <f t="shared" si="3"/>
        <v>65.91836734693878</v>
      </c>
      <c r="F49" s="14"/>
    </row>
    <row r="50" spans="1:6" x14ac:dyDescent="0.25">
      <c r="A50" s="7" t="s">
        <v>21</v>
      </c>
      <c r="B50" s="14">
        <f>B18/B19*100</f>
        <v>16.831523410325371</v>
      </c>
      <c r="C50" s="14">
        <f>C18/C19*100</f>
        <v>20.533067999210683</v>
      </c>
      <c r="D50" s="14">
        <f>D18/D19*100</f>
        <v>19.309473462587651</v>
      </c>
      <c r="E50" s="14">
        <f>E18/E19*100</f>
        <v>16.474384501872347</v>
      </c>
      <c r="F50" s="14"/>
    </row>
    <row r="51" spans="1:6" x14ac:dyDescent="0.25">
      <c r="A51" s="7" t="s">
        <v>22</v>
      </c>
      <c r="B51" s="14">
        <f>(B49+B50)/2</f>
        <v>47.191912332777754</v>
      </c>
      <c r="C51" s="14">
        <f>(C49+C50)/2</f>
        <v>54.080093321639239</v>
      </c>
      <c r="D51" s="14">
        <f>(D49+D50)/2</f>
        <v>50.797593874150962</v>
      </c>
      <c r="E51" s="14">
        <f>(E49+E50)/2</f>
        <v>41.196375924405565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23</v>
      </c>
      <c r="B53" s="7"/>
      <c r="C53" s="7"/>
      <c r="D53" s="7"/>
      <c r="E53" s="7"/>
      <c r="F53" s="7"/>
    </row>
    <row r="54" spans="1:6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25</v>
      </c>
      <c r="B56" s="7"/>
      <c r="C56" s="7"/>
      <c r="D56" s="7"/>
      <c r="E56" s="7"/>
      <c r="F56" s="7"/>
    </row>
    <row r="57" spans="1:6" x14ac:dyDescent="0.25">
      <c r="A57" s="7" t="s">
        <v>26</v>
      </c>
      <c r="B57" s="14">
        <f>((B12/B10)-1)*100</f>
        <v>38.011913626209967</v>
      </c>
      <c r="C57" s="14">
        <f>((C12/C10)-1)*100</f>
        <v>5.5102040816326525</v>
      </c>
      <c r="D57" s="14">
        <f>((D12/D10)-1)*100</f>
        <v>16.914749661705009</v>
      </c>
      <c r="E57" s="14">
        <f>((E12/E10)-1)*100</f>
        <v>170.8595387840671</v>
      </c>
      <c r="F57" s="14"/>
    </row>
    <row r="58" spans="1:6" x14ac:dyDescent="0.25">
      <c r="A58" s="7" t="s">
        <v>27</v>
      </c>
      <c r="B58" s="14">
        <f>((B33/B32)-1)*100</f>
        <v>106.79130396050689</v>
      </c>
      <c r="C58" s="14">
        <f>((C33/C32)-1)*100</f>
        <v>66.440509134859681</v>
      </c>
      <c r="D58" s="14">
        <f>((D33/D32)-1)*100</f>
        <v>85.074516459235767</v>
      </c>
      <c r="E58" s="14">
        <f>((E33/E32)-1)*100</f>
        <v>154.89981245411758</v>
      </c>
      <c r="F58" s="14"/>
    </row>
    <row r="59" spans="1:6" x14ac:dyDescent="0.25">
      <c r="A59" s="7" t="s">
        <v>28</v>
      </c>
      <c r="B59" s="14">
        <f>((B35/B34)-1)*100</f>
        <v>49.835835564586326</v>
      </c>
      <c r="C59" s="14">
        <f>((C35/C34)-1)*100</f>
        <v>57.748258174238387</v>
      </c>
      <c r="D59" s="14">
        <f>((D35/D34)-1)*100</f>
        <v>58.298689425202824</v>
      </c>
      <c r="E59" s="14">
        <f>((E35/E34)-1)*100</f>
        <v>-5.8922519035494725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29</v>
      </c>
      <c r="B61" s="7"/>
      <c r="C61" s="7"/>
      <c r="D61" s="7"/>
      <c r="E61" s="7"/>
      <c r="F61" s="7"/>
    </row>
    <row r="62" spans="1:6" x14ac:dyDescent="0.25">
      <c r="A62" s="7" t="s">
        <v>125</v>
      </c>
      <c r="B62" s="5">
        <f>B17/(B11*3)</f>
        <v>155469.44560669456</v>
      </c>
      <c r="C62" s="5">
        <f t="shared" ref="C62:E62" si="4">C17/(C11*3)</f>
        <v>130051</v>
      </c>
      <c r="D62" s="5">
        <f t="shared" si="4"/>
        <v>52020</v>
      </c>
      <c r="E62" s="5">
        <f t="shared" si="4"/>
        <v>208333</v>
      </c>
      <c r="F62" s="5"/>
    </row>
    <row r="63" spans="1:6" x14ac:dyDescent="0.25">
      <c r="A63" s="7" t="s">
        <v>126</v>
      </c>
      <c r="B63" s="5">
        <f>$B$18/(B12*3)</f>
        <v>134968.92140994515</v>
      </c>
      <c r="C63" s="5">
        <f>C18/(C12*3)</f>
        <v>121895.87277025575</v>
      </c>
      <c r="D63" s="5">
        <f t="shared" ref="D63:E63" si="5">D18/(D12*3)</f>
        <v>48828.831018518518</v>
      </c>
      <c r="E63" s="5">
        <f t="shared" si="5"/>
        <v>208267.16950464397</v>
      </c>
      <c r="F63" s="5"/>
    </row>
    <row r="64" spans="1:6" x14ac:dyDescent="0.25">
      <c r="A64" s="7" t="s">
        <v>30</v>
      </c>
      <c r="B64" s="14">
        <f>(B62/B63)*B46</f>
        <v>83.442037987909174</v>
      </c>
      <c r="C64" s="14">
        <f>(C62/C63)*C46</f>
        <v>90.55835119968161</v>
      </c>
      <c r="D64" s="14">
        <f>(D62/D63)*D46</f>
        <v>84.974572625862038</v>
      </c>
      <c r="E64" s="14">
        <f>E62/E63*E46</f>
        <v>65.928785308602713</v>
      </c>
      <c r="F64" s="14"/>
    </row>
    <row r="65" spans="1:7" x14ac:dyDescent="0.25">
      <c r="A65" s="7" t="s">
        <v>127</v>
      </c>
      <c r="B65" s="27">
        <f>B17/B11</f>
        <v>466408.33682008367</v>
      </c>
      <c r="C65" s="27">
        <f t="shared" ref="C65:E65" si="6">C17/C11</f>
        <v>390153</v>
      </c>
      <c r="D65" s="27">
        <f t="shared" si="6"/>
        <v>156060</v>
      </c>
      <c r="E65" s="27">
        <f t="shared" si="6"/>
        <v>624999</v>
      </c>
      <c r="F65" s="14"/>
    </row>
    <row r="66" spans="1:7" x14ac:dyDescent="0.25">
      <c r="A66" s="7" t="s">
        <v>128</v>
      </c>
      <c r="B66" s="27">
        <f>B18/B12</f>
        <v>404906.76422983542</v>
      </c>
      <c r="C66" s="27">
        <f t="shared" ref="C66:E66" si="7">C18/C12</f>
        <v>365687.61831076723</v>
      </c>
      <c r="D66" s="27">
        <f t="shared" si="7"/>
        <v>146486.49305555556</v>
      </c>
      <c r="E66" s="27">
        <f t="shared" si="7"/>
        <v>624801.50851393188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93.271828425704058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72.182667347333364</v>
      </c>
      <c r="C70" s="14"/>
      <c r="D70" s="14"/>
      <c r="E70" s="14"/>
      <c r="F70" s="14"/>
      <c r="G70" s="11"/>
    </row>
    <row r="71" spans="1:7" ht="15.75" thickBot="1" x14ac:dyDescent="0.3">
      <c r="A71" s="15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1" spans="1:1" x14ac:dyDescent="0.25">
      <c r="A81" t="s">
        <v>124</v>
      </c>
    </row>
    <row r="83" spans="1:1" x14ac:dyDescent="0.25">
      <c r="A83" t="s">
        <v>133</v>
      </c>
    </row>
    <row r="190" spans="4:8" x14ac:dyDescent="0.25">
      <c r="D190" s="26"/>
      <c r="E190" s="26"/>
      <c r="F190" s="26"/>
      <c r="G190" s="26"/>
      <c r="H190" s="26"/>
    </row>
    <row r="191" spans="4:8" x14ac:dyDescent="0.25">
      <c r="D191" s="26"/>
      <c r="E191" s="26"/>
      <c r="F191" s="26"/>
      <c r="G191" s="26"/>
      <c r="H191" s="26"/>
    </row>
    <row r="192" spans="4:8" x14ac:dyDescent="0.25">
      <c r="D192" s="26"/>
      <c r="E192" s="26"/>
      <c r="F192" s="26"/>
      <c r="G192" s="26"/>
      <c r="H192" s="26"/>
    </row>
    <row r="213" spans="5:5" x14ac:dyDescent="0.25">
      <c r="E213">
        <f>(100+25)/2</f>
        <v>62.5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81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6.85546875" bestFit="1" customWidth="1"/>
    <col min="4" max="4" width="15.140625" bestFit="1" customWidth="1"/>
    <col min="5" max="5" width="12.7109375" bestFit="1" customWidth="1"/>
    <col min="6" max="6" width="14.5703125" customWidth="1"/>
  </cols>
  <sheetData>
    <row r="2" spans="1:6" ht="15.75" x14ac:dyDescent="0.25">
      <c r="A2" s="29" t="s">
        <v>82</v>
      </c>
      <c r="B2" s="29"/>
      <c r="C2" s="29"/>
      <c r="D2" s="29"/>
      <c r="E2" s="29"/>
    </row>
    <row r="4" spans="1:6" x14ac:dyDescent="0.25">
      <c r="A4" s="30" t="s">
        <v>0</v>
      </c>
      <c r="B4" s="32" t="s">
        <v>34</v>
      </c>
      <c r="C4" s="34" t="s">
        <v>2</v>
      </c>
      <c r="D4" s="34"/>
      <c r="E4" s="34"/>
      <c r="F4" s="34"/>
    </row>
    <row r="5" spans="1:6" ht="15.75" thickBot="1" x14ac:dyDescent="0.3">
      <c r="A5" s="31"/>
      <c r="B5" s="33" t="s">
        <v>35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6" ht="15.75" thickTop="1" x14ac:dyDescent="0.25"/>
    <row r="7" spans="1:6" x14ac:dyDescent="0.25">
      <c r="A7" s="2" t="s">
        <v>5</v>
      </c>
    </row>
    <row r="9" spans="1:6" x14ac:dyDescent="0.25">
      <c r="A9" t="s">
        <v>39</v>
      </c>
      <c r="C9" s="3"/>
    </row>
    <row r="10" spans="1:6" x14ac:dyDescent="0.25">
      <c r="A10" s="4" t="s">
        <v>45</v>
      </c>
      <c r="B10" s="5">
        <f>SUM(C10:E10)</f>
        <v>3740</v>
      </c>
      <c r="C10" s="5">
        <v>1664</v>
      </c>
      <c r="D10" s="5">
        <v>942</v>
      </c>
      <c r="E10" s="5">
        <v>1134</v>
      </c>
      <c r="F10" s="5"/>
    </row>
    <row r="11" spans="1:6" x14ac:dyDescent="0.25">
      <c r="A11" s="6" t="s">
        <v>83</v>
      </c>
      <c r="B11" s="5">
        <f>SUM(C11:F11)</f>
        <v>4780</v>
      </c>
      <c r="C11" s="5">
        <v>1770</v>
      </c>
      <c r="D11" s="5">
        <v>1050</v>
      </c>
      <c r="E11" s="5">
        <v>1960</v>
      </c>
      <c r="F11" s="5"/>
    </row>
    <row r="12" spans="1:6" x14ac:dyDescent="0.25">
      <c r="A12" s="6" t="s">
        <v>84</v>
      </c>
      <c r="B12" s="5">
        <f t="shared" ref="B12" si="0">SUM(C12:E12)</f>
        <v>4103</v>
      </c>
      <c r="C12" s="5">
        <v>1780</v>
      </c>
      <c r="D12" s="5">
        <v>972</v>
      </c>
      <c r="E12" s="5">
        <v>1351</v>
      </c>
      <c r="F12" s="5"/>
    </row>
    <row r="13" spans="1:6" x14ac:dyDescent="0.25">
      <c r="A13" s="6" t="s">
        <v>77</v>
      </c>
      <c r="B13" s="5">
        <f>SUM(C13:F13)</f>
        <v>4780</v>
      </c>
      <c r="C13" s="5">
        <v>1770</v>
      </c>
      <c r="D13" s="5">
        <v>1050</v>
      </c>
      <c r="E13" s="5">
        <v>1960</v>
      </c>
      <c r="F13" s="5" t="s">
        <v>71</v>
      </c>
    </row>
    <row r="14" spans="1:6" x14ac:dyDescent="0.25">
      <c r="B14" s="7"/>
      <c r="C14" s="7"/>
      <c r="D14" s="7"/>
      <c r="E14" s="7"/>
      <c r="F14" s="7"/>
    </row>
    <row r="15" spans="1:6" x14ac:dyDescent="0.25">
      <c r="A15" s="8" t="s">
        <v>6</v>
      </c>
      <c r="B15" s="7"/>
      <c r="C15" s="7"/>
      <c r="D15" s="7"/>
      <c r="E15" s="7"/>
      <c r="F15" s="7"/>
    </row>
    <row r="16" spans="1:6" x14ac:dyDescent="0.25">
      <c r="A16" s="4" t="s">
        <v>45</v>
      </c>
      <c r="B16" s="5">
        <f>SUM(C16:E16)</f>
        <v>1166308258</v>
      </c>
      <c r="C16" s="5">
        <v>360319200</v>
      </c>
      <c r="D16" s="5">
        <v>82030734</v>
      </c>
      <c r="E16" s="5">
        <v>723958324</v>
      </c>
      <c r="F16" s="5"/>
    </row>
    <row r="17" spans="1:7" x14ac:dyDescent="0.25">
      <c r="A17" s="6" t="s">
        <v>83</v>
      </c>
      <c r="B17" s="5">
        <f>SUM(C17:F17)</f>
        <v>2229431850</v>
      </c>
      <c r="C17" s="3">
        <v>690570810</v>
      </c>
      <c r="D17" s="3">
        <v>163863000</v>
      </c>
      <c r="E17" s="5">
        <v>1224998040</v>
      </c>
      <c r="F17" s="5">
        <v>150000000</v>
      </c>
    </row>
    <row r="18" spans="1:7" x14ac:dyDescent="0.25">
      <c r="A18" s="6" t="s">
        <v>84</v>
      </c>
      <c r="B18" s="5">
        <f>SUM(C18:F18)</f>
        <v>1638889986</v>
      </c>
      <c r="C18" s="5">
        <v>651624180</v>
      </c>
      <c r="D18" s="5">
        <v>142329960</v>
      </c>
      <c r="E18" s="5">
        <v>844935846</v>
      </c>
      <c r="F18" s="5">
        <v>0</v>
      </c>
    </row>
    <row r="19" spans="1:7" x14ac:dyDescent="0.25">
      <c r="A19" s="6" t="s">
        <v>77</v>
      </c>
      <c r="B19" s="5">
        <f>SUM(C19:F19)</f>
        <v>8917727400</v>
      </c>
      <c r="C19" s="9">
        <v>2762283240</v>
      </c>
      <c r="D19" s="5">
        <v>655452000</v>
      </c>
      <c r="E19" s="5">
        <v>4899992160</v>
      </c>
      <c r="F19" s="5">
        <v>600000000</v>
      </c>
    </row>
    <row r="20" spans="1:7" x14ac:dyDescent="0.25">
      <c r="A20" s="6" t="s">
        <v>85</v>
      </c>
      <c r="B20" s="5">
        <f>SUM(C20:E20)</f>
        <v>1638889986</v>
      </c>
      <c r="C20" s="5">
        <f>C18</f>
        <v>651624180</v>
      </c>
      <c r="D20" s="5">
        <f t="shared" ref="D20:E20" si="1">D18</f>
        <v>142329960</v>
      </c>
      <c r="E20" s="5">
        <f t="shared" si="1"/>
        <v>844935846</v>
      </c>
      <c r="F20" s="5"/>
    </row>
    <row r="21" spans="1:7" x14ac:dyDescent="0.25">
      <c r="B21" s="5"/>
      <c r="C21" s="9"/>
      <c r="D21" s="5"/>
      <c r="E21" s="5"/>
      <c r="F21" s="5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83</v>
      </c>
      <c r="B23" s="5">
        <f>B17</f>
        <v>2229431850</v>
      </c>
      <c r="C23" s="5"/>
      <c r="D23" s="5"/>
      <c r="E23" s="5"/>
      <c r="F23" s="5"/>
      <c r="G23" s="11"/>
    </row>
    <row r="24" spans="1:7" x14ac:dyDescent="0.25">
      <c r="A24" s="4" t="s">
        <v>84</v>
      </c>
      <c r="B24" s="5">
        <v>1929541121</v>
      </c>
      <c r="C24" s="5"/>
      <c r="D24" s="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46</v>
      </c>
      <c r="B27" s="18">
        <v>1.5319088546000001</v>
      </c>
      <c r="C27" s="18">
        <v>1.5319088546000001</v>
      </c>
      <c r="D27" s="18">
        <v>1.5319088546000001</v>
      </c>
      <c r="E27" s="18">
        <v>1.5319088546000001</v>
      </c>
      <c r="F27" s="12"/>
    </row>
    <row r="28" spans="1:7" x14ac:dyDescent="0.25">
      <c r="A28" s="4" t="s">
        <v>86</v>
      </c>
      <c r="B28" s="18">
        <v>1.6173</v>
      </c>
      <c r="C28" s="18">
        <v>1.6173</v>
      </c>
      <c r="D28" s="18">
        <v>1.6173</v>
      </c>
      <c r="E28" s="18">
        <v>1.6173</v>
      </c>
      <c r="F28" s="12"/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47</v>
      </c>
      <c r="B32" s="5">
        <f>B16/B27</f>
        <v>761343114.17929435</v>
      </c>
      <c r="C32" s="5">
        <f>C16/C27</f>
        <v>235209293.89371777</v>
      </c>
      <c r="D32" s="5">
        <f>D16/D27</f>
        <v>53548051.343706876</v>
      </c>
      <c r="E32" s="5">
        <f>E16/E27</f>
        <v>472585768.94186974</v>
      </c>
      <c r="F32" s="5"/>
    </row>
    <row r="33" spans="1:6" x14ac:dyDescent="0.25">
      <c r="A33" s="7" t="s">
        <v>87</v>
      </c>
      <c r="B33" s="5">
        <f>B18/B28</f>
        <v>1013349400.853274</v>
      </c>
      <c r="C33" s="5">
        <f>C18/C28</f>
        <v>402908662.58579117</v>
      </c>
      <c r="D33" s="5">
        <f>D18/D28</f>
        <v>88004674.457429051</v>
      </c>
      <c r="E33" s="5">
        <f>E18/E28</f>
        <v>522436063.81005383</v>
      </c>
      <c r="F33" s="5"/>
    </row>
    <row r="34" spans="1:6" x14ac:dyDescent="0.25">
      <c r="A34" s="7" t="s">
        <v>48</v>
      </c>
      <c r="B34" s="5">
        <f>B32/(B10*3)</f>
        <v>67855.892529348872</v>
      </c>
      <c r="C34" s="5">
        <f t="shared" ref="C34:E34" si="2">C32/(C10*3)</f>
        <v>47117.246372940259</v>
      </c>
      <c r="D34" s="5">
        <f t="shared" si="2"/>
        <v>18948.35504023598</v>
      </c>
      <c r="E34" s="5">
        <f t="shared" si="2"/>
        <v>138914.10021806869</v>
      </c>
      <c r="F34" s="5"/>
    </row>
    <row r="35" spans="1:6" x14ac:dyDescent="0.25">
      <c r="A35" s="7" t="s">
        <v>88</v>
      </c>
      <c r="B35" s="5">
        <f>B33/(B12*3)</f>
        <v>82325.891693336089</v>
      </c>
      <c r="C35" s="5">
        <f t="shared" ref="C35:E35" si="3">C33/(C12*3)</f>
        <v>75451.060409324185</v>
      </c>
      <c r="D35" s="5">
        <f t="shared" si="3"/>
        <v>30179.92951214988</v>
      </c>
      <c r="E35" s="5">
        <f t="shared" si="3"/>
        <v>128901.07668641841</v>
      </c>
      <c r="F35" s="5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  <c r="B37" s="7"/>
      <c r="C37" s="7"/>
      <c r="D37" s="7"/>
      <c r="E37" s="7"/>
      <c r="F37" s="7"/>
    </row>
    <row r="38" spans="1:6" x14ac:dyDescent="0.25">
      <c r="B38" s="7"/>
      <c r="C38" s="7"/>
      <c r="D38" s="7"/>
      <c r="E38" s="7"/>
      <c r="F38" s="7"/>
    </row>
    <row r="39" spans="1:6" x14ac:dyDescent="0.25">
      <c r="A39" t="s">
        <v>12</v>
      </c>
      <c r="B39" s="7"/>
      <c r="C39" s="7"/>
      <c r="D39" s="7"/>
      <c r="E39" s="7"/>
      <c r="F39" s="7"/>
    </row>
    <row r="40" spans="1:6" x14ac:dyDescent="0.25">
      <c r="A40" t="s">
        <v>13</v>
      </c>
      <c r="B40" s="14">
        <f>B11/B29*100</f>
        <v>4.3404038936510245</v>
      </c>
      <c r="C40" s="14"/>
      <c r="D40" s="14"/>
      <c r="E40" s="14"/>
      <c r="F40" s="14"/>
    </row>
    <row r="41" spans="1:6" x14ac:dyDescent="0.25">
      <c r="A41" t="s">
        <v>14</v>
      </c>
      <c r="B41" s="14">
        <f>B12/B29*100</f>
        <v>3.7256646810983582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85.836820083682014</v>
      </c>
      <c r="C44" s="14">
        <f>C12/C11*100</f>
        <v>100.56497175141243</v>
      </c>
      <c r="D44" s="14">
        <f>D12/D11*100</f>
        <v>92.571428571428569</v>
      </c>
      <c r="E44" s="14">
        <f>E12/E11*100</f>
        <v>68.928571428571431</v>
      </c>
      <c r="F44" s="14"/>
    </row>
    <row r="45" spans="1:6" x14ac:dyDescent="0.25">
      <c r="A45" t="s">
        <v>17</v>
      </c>
      <c r="B45" s="14">
        <f>B18/B17*100</f>
        <v>73.511553448023093</v>
      </c>
      <c r="C45" s="14">
        <f>C18/C17*100</f>
        <v>94.360226433549954</v>
      </c>
      <c r="D45" s="14">
        <f>D18/D17*100</f>
        <v>86.859120118635687</v>
      </c>
      <c r="E45" s="14">
        <f>E18/E17*100</f>
        <v>68.974465134654423</v>
      </c>
      <c r="F45" s="14"/>
    </row>
    <row r="46" spans="1:6" x14ac:dyDescent="0.25">
      <c r="A46" s="7" t="s">
        <v>18</v>
      </c>
      <c r="B46" s="14">
        <f>AVERAGE(B44:B45)</f>
        <v>79.674186765852554</v>
      </c>
      <c r="C46" s="14">
        <f>AVERAGE(C44:C45)</f>
        <v>97.462599092481184</v>
      </c>
      <c r="D46" s="14">
        <f>AVERAGE(D44:D45)</f>
        <v>89.715274345032128</v>
      </c>
      <c r="E46" s="14">
        <f>AVERAGE(E44:E45)</f>
        <v>68.95151828161292</v>
      </c>
      <c r="F46" s="14"/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6" x14ac:dyDescent="0.25">
      <c r="A49" s="7" t="s">
        <v>20</v>
      </c>
      <c r="B49" s="14">
        <f>(B12/(B13*4))*100</f>
        <v>21.459205020920503</v>
      </c>
      <c r="C49" s="14">
        <f t="shared" ref="C49:E49" si="4">(C12/(C13*4))*100</f>
        <v>25.141242937853107</v>
      </c>
      <c r="D49" s="14">
        <f t="shared" si="4"/>
        <v>23.142857142857142</v>
      </c>
      <c r="E49" s="14">
        <f t="shared" si="4"/>
        <v>17.232142857142858</v>
      </c>
      <c r="F49" s="14"/>
    </row>
    <row r="50" spans="1:6" x14ac:dyDescent="0.25">
      <c r="A50" s="7" t="s">
        <v>21</v>
      </c>
      <c r="B50" s="14">
        <f>B18/B19*100</f>
        <v>18.377888362005773</v>
      </c>
      <c r="C50" s="14">
        <f>C18/C19*100</f>
        <v>23.590056608387489</v>
      </c>
      <c r="D50" s="14">
        <f>D18/D19*100</f>
        <v>21.714780029658922</v>
      </c>
      <c r="E50" s="14">
        <f>E18/E19*100</f>
        <v>17.243616283663606</v>
      </c>
      <c r="F50" s="14"/>
    </row>
    <row r="51" spans="1:6" x14ac:dyDescent="0.25">
      <c r="A51" s="7" t="s">
        <v>22</v>
      </c>
      <c r="B51" s="14">
        <f>(B49+B50)/2</f>
        <v>19.918546691463138</v>
      </c>
      <c r="C51" s="14">
        <f>(C49+C50)/2</f>
        <v>24.365649773120296</v>
      </c>
      <c r="D51" s="14">
        <f>(D49+D50)/2</f>
        <v>22.428818586258032</v>
      </c>
      <c r="E51" s="14">
        <f>(E49+E50)/2</f>
        <v>17.23787957040323</v>
      </c>
      <c r="F51" s="14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23</v>
      </c>
      <c r="B53" s="7"/>
      <c r="C53" s="7"/>
      <c r="D53" s="7"/>
      <c r="E53" s="7"/>
      <c r="F53" s="7"/>
    </row>
    <row r="54" spans="1:6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25</v>
      </c>
      <c r="B56" s="7"/>
      <c r="C56" s="7"/>
      <c r="D56" s="7"/>
      <c r="E56" s="7"/>
      <c r="F56" s="7"/>
    </row>
    <row r="57" spans="1:6" x14ac:dyDescent="0.25">
      <c r="A57" s="7" t="s">
        <v>26</v>
      </c>
      <c r="B57" s="14">
        <f>((B12/B10)-1)*100</f>
        <v>9.7058823529411864</v>
      </c>
      <c r="C57" s="14">
        <f>((C12/C10)-1)*100</f>
        <v>6.9711538461538547</v>
      </c>
      <c r="D57" s="14">
        <f>((D12/D10)-1)*100</f>
        <v>3.1847133757961776</v>
      </c>
      <c r="E57" s="14">
        <f>((E12/E10)-1)*100</f>
        <v>19.135802469135797</v>
      </c>
      <c r="F57" s="14"/>
    </row>
    <row r="58" spans="1:6" x14ac:dyDescent="0.25">
      <c r="A58" s="7" t="s">
        <v>27</v>
      </c>
      <c r="B58" s="14">
        <f>((B33/B32)-1)*100</f>
        <v>33.100225375471481</v>
      </c>
      <c r="C58" s="14">
        <f>((C33/C32)-1)*100</f>
        <v>71.297934667433012</v>
      </c>
      <c r="D58" s="14">
        <f>((D33/D32)-1)*100</f>
        <v>64.34710927678158</v>
      </c>
      <c r="E58" s="14">
        <f>((E33/E32)-1)*100</f>
        <v>10.548412191886358</v>
      </c>
      <c r="F58" s="14"/>
    </row>
    <row r="59" spans="1:6" x14ac:dyDescent="0.25">
      <c r="A59" s="7" t="s">
        <v>28</v>
      </c>
      <c r="B59" s="14">
        <f>((B35/B34)-1)*100</f>
        <v>21.324602218928423</v>
      </c>
      <c r="C59" s="14">
        <f>((C35/C34)-1)*100</f>
        <v>60.134698475622763</v>
      </c>
      <c r="D59" s="14">
        <f>((D35/D34)-1)*100</f>
        <v>59.274667632436476</v>
      </c>
      <c r="E59" s="14">
        <f>((E35/E34)-1)*100</f>
        <v>-7.2080685228725798</v>
      </c>
      <c r="F59" s="14"/>
    </row>
    <row r="60" spans="1:6" x14ac:dyDescent="0.25">
      <c r="A60" s="7"/>
      <c r="B60" s="14"/>
      <c r="C60" s="14"/>
      <c r="D60" s="14"/>
      <c r="E60" s="14"/>
      <c r="F60" s="14"/>
    </row>
    <row r="61" spans="1:6" x14ac:dyDescent="0.25">
      <c r="A61" s="7" t="s">
        <v>29</v>
      </c>
      <c r="B61" s="7"/>
      <c r="C61" s="7"/>
      <c r="D61" s="7"/>
      <c r="E61" s="7"/>
      <c r="F61" s="7"/>
    </row>
    <row r="62" spans="1:6" x14ac:dyDescent="0.25">
      <c r="A62" s="7" t="s">
        <v>125</v>
      </c>
      <c r="B62" s="5">
        <f>B17/(B11*3)</f>
        <v>155469.44560669456</v>
      </c>
      <c r="C62" s="5">
        <f t="shared" ref="C62:E63" si="5">C17/(C11*3)</f>
        <v>130051</v>
      </c>
      <c r="D62" s="5">
        <f t="shared" si="5"/>
        <v>52020</v>
      </c>
      <c r="E62" s="5">
        <f t="shared" si="5"/>
        <v>208333</v>
      </c>
      <c r="F62" s="5"/>
    </row>
    <row r="63" spans="1:6" x14ac:dyDescent="0.25">
      <c r="A63" s="7" t="s">
        <v>126</v>
      </c>
      <c r="B63" s="5">
        <f>$B$18/(B12*3)</f>
        <v>133145.66463563248</v>
      </c>
      <c r="C63" s="5">
        <f>C18/(C12*3)</f>
        <v>122027</v>
      </c>
      <c r="D63" s="5">
        <f t="shared" si="5"/>
        <v>48810</v>
      </c>
      <c r="E63" s="5">
        <f t="shared" si="5"/>
        <v>208471.71132494448</v>
      </c>
      <c r="F63" s="5"/>
    </row>
    <row r="64" spans="1:6" x14ac:dyDescent="0.25">
      <c r="A64" s="7" t="s">
        <v>30</v>
      </c>
      <c r="B64" s="14">
        <f>(B62/B63)*B46</f>
        <v>93.032707295047373</v>
      </c>
      <c r="C64" s="14">
        <f>(C62/C63)*C46</f>
        <v>103.8713438384642</v>
      </c>
      <c r="D64" s="14">
        <f>(D62/D63)*D46</f>
        <v>95.615418386162091</v>
      </c>
      <c r="E64" s="14">
        <f>E62/E63*E46</f>
        <v>68.905639843732843</v>
      </c>
      <c r="F64" s="14"/>
    </row>
    <row r="65" spans="1:7" x14ac:dyDescent="0.25">
      <c r="A65" s="7" t="s">
        <v>127</v>
      </c>
      <c r="B65" s="14">
        <f>B17/B11</f>
        <v>466408.33682008367</v>
      </c>
      <c r="C65" s="14">
        <f t="shared" ref="C65:E66" si="6">C17/C11</f>
        <v>390153</v>
      </c>
      <c r="D65" s="14">
        <f t="shared" si="6"/>
        <v>156060</v>
      </c>
      <c r="E65" s="14">
        <f t="shared" si="6"/>
        <v>624999</v>
      </c>
      <c r="F65" s="14"/>
    </row>
    <row r="66" spans="1:7" x14ac:dyDescent="0.25">
      <c r="A66" s="7" t="s">
        <v>128</v>
      </c>
      <c r="B66" s="14">
        <f>B18/B12</f>
        <v>399436.99390689738</v>
      </c>
      <c r="C66" s="14">
        <f t="shared" si="6"/>
        <v>366081</v>
      </c>
      <c r="D66" s="14">
        <f t="shared" si="6"/>
        <v>146430</v>
      </c>
      <c r="E66" s="14">
        <f t="shared" si="6"/>
        <v>625415.13397483341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86.548558144982096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84.936774249756979</v>
      </c>
      <c r="C70" s="14"/>
      <c r="D70" s="14"/>
      <c r="E70" s="14"/>
      <c r="F70" s="14"/>
      <c r="G70" s="11"/>
    </row>
    <row r="71" spans="1:7" ht="15.75" thickBot="1" x14ac:dyDescent="0.3">
      <c r="A71" s="15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9" t="s">
        <v>89</v>
      </c>
      <c r="B2" s="29"/>
      <c r="C2" s="29"/>
      <c r="D2" s="29"/>
      <c r="E2" s="29"/>
    </row>
    <row r="4" spans="1:7" ht="15" customHeight="1" x14ac:dyDescent="0.25">
      <c r="A4" s="30" t="s">
        <v>0</v>
      </c>
      <c r="B4" s="19" t="s">
        <v>34</v>
      </c>
      <c r="C4" s="34" t="s">
        <v>2</v>
      </c>
      <c r="D4" s="34"/>
      <c r="E4" s="34"/>
      <c r="F4" s="34"/>
    </row>
    <row r="5" spans="1:7" ht="15.75" thickBot="1" x14ac:dyDescent="0.3">
      <c r="A5" s="31"/>
      <c r="B5" s="1" t="s">
        <v>35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39</v>
      </c>
    </row>
    <row r="10" spans="1:7" x14ac:dyDescent="0.25">
      <c r="A10" s="4" t="s">
        <v>49</v>
      </c>
      <c r="B10" s="5">
        <f>SUM(C10:F10)</f>
        <v>3422</v>
      </c>
      <c r="C10" s="3">
        <v>1608</v>
      </c>
      <c r="D10" s="3">
        <v>867</v>
      </c>
      <c r="E10" s="3">
        <v>947</v>
      </c>
      <c r="F10" s="5"/>
      <c r="G10" s="3"/>
    </row>
    <row r="11" spans="1:7" x14ac:dyDescent="0.25">
      <c r="A11" s="6" t="s">
        <v>90</v>
      </c>
      <c r="B11" s="5">
        <f>SUM(C11:F11)</f>
        <v>4780</v>
      </c>
      <c r="C11" s="5">
        <v>1770</v>
      </c>
      <c r="D11" s="5">
        <v>1050</v>
      </c>
      <c r="E11" s="5">
        <v>1960</v>
      </c>
      <c r="F11" s="5"/>
      <c r="G11" s="23"/>
    </row>
    <row r="12" spans="1:7" x14ac:dyDescent="0.25">
      <c r="A12" s="6" t="s">
        <v>91</v>
      </c>
      <c r="B12" s="3">
        <f>SUM(C12:F12)</f>
        <v>4613</v>
      </c>
      <c r="C12" s="3">
        <v>1783</v>
      </c>
      <c r="D12" s="3">
        <v>962</v>
      </c>
      <c r="E12" s="3">
        <v>1868</v>
      </c>
      <c r="F12" s="5"/>
    </row>
    <row r="13" spans="1:7" x14ac:dyDescent="0.25">
      <c r="A13" s="6" t="s">
        <v>77</v>
      </c>
      <c r="B13" s="5">
        <f>SUM(C13:E13)</f>
        <v>4780</v>
      </c>
      <c r="C13" s="5">
        <v>1770</v>
      </c>
      <c r="D13" s="5">
        <v>1050</v>
      </c>
      <c r="E13" s="5">
        <v>1960</v>
      </c>
      <c r="F13" s="5" t="s">
        <v>129</v>
      </c>
      <c r="G13" s="23"/>
    </row>
    <row r="14" spans="1:7" x14ac:dyDescent="0.25">
      <c r="F14" s="7"/>
      <c r="G14" s="20"/>
    </row>
    <row r="15" spans="1:7" x14ac:dyDescent="0.25">
      <c r="A15" s="8" t="s">
        <v>6</v>
      </c>
      <c r="F15" s="7"/>
      <c r="G15" s="21"/>
    </row>
    <row r="16" spans="1:7" x14ac:dyDescent="0.25">
      <c r="A16" s="4" t="s">
        <v>49</v>
      </c>
      <c r="B16" s="5">
        <f>SUM(C16:F16)</f>
        <v>1016668970</v>
      </c>
      <c r="C16" s="5">
        <v>349422450</v>
      </c>
      <c r="D16" s="5">
        <v>75579858</v>
      </c>
      <c r="E16" s="5">
        <v>591666662</v>
      </c>
      <c r="F16" s="5"/>
    </row>
    <row r="17" spans="1:7" x14ac:dyDescent="0.25">
      <c r="A17" s="6" t="s">
        <v>90</v>
      </c>
      <c r="B17" s="5">
        <f>SUM(C17:F17)</f>
        <v>2229431850</v>
      </c>
      <c r="C17" s="3">
        <v>690570810</v>
      </c>
      <c r="D17" s="3">
        <v>163863000</v>
      </c>
      <c r="E17" s="5">
        <v>1224998040</v>
      </c>
      <c r="F17" s="5">
        <v>150000000</v>
      </c>
      <c r="G17" s="20"/>
    </row>
    <row r="18" spans="1:7" x14ac:dyDescent="0.25">
      <c r="A18" s="6" t="s">
        <v>91</v>
      </c>
      <c r="B18" s="3">
        <f>SUM(C18:F18)</f>
        <v>1960475886</v>
      </c>
      <c r="C18" s="5">
        <v>652844450</v>
      </c>
      <c r="D18" s="5">
        <v>140426370</v>
      </c>
      <c r="E18" s="5">
        <v>1167205066</v>
      </c>
      <c r="F18" s="5">
        <v>0</v>
      </c>
    </row>
    <row r="19" spans="1:7" x14ac:dyDescent="0.25">
      <c r="A19" s="6" t="s">
        <v>77</v>
      </c>
      <c r="B19" s="3">
        <f>SUM(C19:F19)</f>
        <v>8917727400</v>
      </c>
      <c r="C19" s="9">
        <v>2762283240</v>
      </c>
      <c r="D19" s="5">
        <v>655452000</v>
      </c>
      <c r="E19" s="5">
        <v>4899992160</v>
      </c>
      <c r="F19" s="5">
        <v>600000000</v>
      </c>
    </row>
    <row r="20" spans="1:7" x14ac:dyDescent="0.25">
      <c r="A20" s="6" t="s">
        <v>92</v>
      </c>
      <c r="B20" s="5">
        <f>SUM(C20:E20)</f>
        <v>1960475886</v>
      </c>
      <c r="C20" s="5">
        <f>C18</f>
        <v>652844450</v>
      </c>
      <c r="D20" s="5">
        <f t="shared" ref="D20:E20" si="0">D18</f>
        <v>140426370</v>
      </c>
      <c r="E20" s="5">
        <f t="shared" si="0"/>
        <v>1167205066</v>
      </c>
      <c r="F20" s="5"/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90</v>
      </c>
      <c r="B23" s="5">
        <f>B17</f>
        <v>2229431850</v>
      </c>
      <c r="C23" s="5"/>
      <c r="D23" s="5"/>
      <c r="E23" s="5"/>
      <c r="F23" s="5"/>
      <c r="G23" s="11"/>
    </row>
    <row r="24" spans="1:7" x14ac:dyDescent="0.25">
      <c r="A24" s="4" t="s">
        <v>91</v>
      </c>
      <c r="B24" s="5">
        <v>1833087686</v>
      </c>
      <c r="C24" s="24"/>
      <c r="D24" s="24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50</v>
      </c>
      <c r="B27" s="18">
        <v>1.5396358920333333</v>
      </c>
      <c r="C27" s="18">
        <v>1.5396358920333333</v>
      </c>
      <c r="D27" s="18">
        <v>1.5396358920333333</v>
      </c>
      <c r="E27" s="18">
        <v>1.5396358920333333</v>
      </c>
      <c r="F27" s="18">
        <v>1.53963589203333</v>
      </c>
    </row>
    <row r="28" spans="1:7" x14ac:dyDescent="0.25">
      <c r="A28" s="4" t="s">
        <v>93</v>
      </c>
      <c r="B28" s="18">
        <v>1.6242666666666665</v>
      </c>
      <c r="C28" s="18">
        <v>1.6242666666666665</v>
      </c>
      <c r="D28" s="18">
        <v>1.6242666666666665</v>
      </c>
      <c r="E28" s="18">
        <v>1.6242666666666665</v>
      </c>
      <c r="F28" s="18">
        <v>1.6242666666666665</v>
      </c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51</v>
      </c>
      <c r="B32" s="5">
        <f>B16/B27</f>
        <v>660330780.32321489</v>
      </c>
      <c r="C32" s="5">
        <f>C16/C27</f>
        <v>226951353.76360461</v>
      </c>
      <c r="D32" s="5">
        <f>D16/D27</f>
        <v>49089436.269366786</v>
      </c>
      <c r="E32" s="5">
        <f>E16/E27</f>
        <v>384289990.29024345</v>
      </c>
      <c r="F32" s="5">
        <f>F16/F27</f>
        <v>0</v>
      </c>
    </row>
    <row r="33" spans="1:6" x14ac:dyDescent="0.25">
      <c r="A33" s="7" t="s">
        <v>94</v>
      </c>
      <c r="B33" s="5">
        <f>B18/B28</f>
        <v>1206991392.6284683</v>
      </c>
      <c r="C33" s="5">
        <f>C18/C28</f>
        <v>401931815.38335252</v>
      </c>
      <c r="D33" s="5">
        <f>D18/D28</f>
        <v>86455243.391889676</v>
      </c>
      <c r="E33" s="5">
        <f>E18/E28</f>
        <v>718604333.85322618</v>
      </c>
      <c r="F33" s="5">
        <f>F18/F28</f>
        <v>0</v>
      </c>
    </row>
    <row r="34" spans="1:6" x14ac:dyDescent="0.25">
      <c r="A34" s="7" t="s">
        <v>52</v>
      </c>
      <c r="B34" s="5">
        <f>B32/(B10*3)</f>
        <v>64322.109908748775</v>
      </c>
      <c r="C34" s="5">
        <f t="shared" ref="C34:F34" si="1">C32/(C10*3)</f>
        <v>47046.300531427158</v>
      </c>
      <c r="D34" s="5">
        <f t="shared" si="1"/>
        <v>18873.293452274811</v>
      </c>
      <c r="E34" s="5">
        <f t="shared" si="1"/>
        <v>135265.74807822719</v>
      </c>
      <c r="F34" s="5" t="e">
        <f t="shared" si="1"/>
        <v>#DIV/0!</v>
      </c>
    </row>
    <row r="35" spans="1:6" x14ac:dyDescent="0.25">
      <c r="A35" s="7" t="s">
        <v>95</v>
      </c>
      <c r="B35" s="5">
        <f>B33/(B12*3)</f>
        <v>87216.662521025239</v>
      </c>
      <c r="C35" s="5">
        <f t="shared" ref="C35:F35" si="2">C33/(C12*3)</f>
        <v>75141.487265536081</v>
      </c>
      <c r="D35" s="5">
        <f t="shared" si="2"/>
        <v>29956.771792061565</v>
      </c>
      <c r="E35" s="5">
        <f t="shared" si="2"/>
        <v>128230.60918151788</v>
      </c>
      <c r="F35" s="5" t="e">
        <f t="shared" si="2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</row>
    <row r="39" spans="1:6" x14ac:dyDescent="0.25">
      <c r="A39" t="s">
        <v>12</v>
      </c>
    </row>
    <row r="40" spans="1:6" x14ac:dyDescent="0.25">
      <c r="A40" t="s">
        <v>13</v>
      </c>
      <c r="B40" s="14">
        <f>B11/B29*100</f>
        <v>4.3404038936510245</v>
      </c>
      <c r="C40" s="14"/>
      <c r="D40" s="14"/>
      <c r="E40" s="14"/>
      <c r="F40" s="14"/>
    </row>
    <row r="41" spans="1:6" x14ac:dyDescent="0.25">
      <c r="A41" t="s">
        <v>14</v>
      </c>
      <c r="B41" s="14">
        <f>B12/B29*100</f>
        <v>4.1887621676594513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96.506276150627613</v>
      </c>
      <c r="C44" s="14">
        <f>C12/C11*100</f>
        <v>100.73446327683615</v>
      </c>
      <c r="D44" s="14">
        <f>D12/D11*100</f>
        <v>91.61904761904762</v>
      </c>
      <c r="E44" s="14">
        <f>E12/E11*100</f>
        <v>95.306122448979593</v>
      </c>
      <c r="F44" s="14" t="e">
        <f>F12/F11*100</f>
        <v>#DIV/0!</v>
      </c>
    </row>
    <row r="45" spans="1:6" x14ac:dyDescent="0.25">
      <c r="A45" t="s">
        <v>17</v>
      </c>
      <c r="B45" s="14">
        <f>B18/B17*100</f>
        <v>87.936120855185592</v>
      </c>
      <c r="C45" s="14">
        <f>C18/C17*100</f>
        <v>94.536930977433002</v>
      </c>
      <c r="D45" s="14">
        <f>D18/D17*100</f>
        <v>85.69742406766629</v>
      </c>
      <c r="E45" s="14">
        <f>E18/E17*100</f>
        <v>95.282198655599487</v>
      </c>
      <c r="F45" s="14">
        <f>F18/F17*100</f>
        <v>0</v>
      </c>
    </row>
    <row r="46" spans="1:6" x14ac:dyDescent="0.25">
      <c r="A46" s="7" t="s">
        <v>18</v>
      </c>
      <c r="B46" s="14">
        <f>AVERAGE(B44:B45)</f>
        <v>92.221198502906603</v>
      </c>
      <c r="C46" s="14">
        <f>AVERAGE(C44:C45)</f>
        <v>97.635697127134577</v>
      </c>
      <c r="D46" s="14">
        <f>AVERAGE(D44:D45)</f>
        <v>88.658235843356948</v>
      </c>
      <c r="E46" s="14">
        <f>AVERAGE(E44:E45)</f>
        <v>95.29416055228954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14">
        <f>(B12/(B13*4))*100</f>
        <v>24.126569037656903</v>
      </c>
      <c r="C49" s="14">
        <f t="shared" ref="C49:E49" si="3">(C12/(C13*4))*100</f>
        <v>25.183615819209038</v>
      </c>
      <c r="D49" s="14">
        <f t="shared" si="3"/>
        <v>22.904761904761905</v>
      </c>
      <c r="E49" s="14">
        <f t="shared" si="3"/>
        <v>23.826530612244898</v>
      </c>
      <c r="F49" s="14" t="e">
        <f>(F12*3)/F13*100</f>
        <v>#VALUE!</v>
      </c>
    </row>
    <row r="50" spans="1:7" x14ac:dyDescent="0.25">
      <c r="A50" s="7" t="s">
        <v>21</v>
      </c>
      <c r="B50" s="14">
        <f>B18/B19*100</f>
        <v>21.984030213796398</v>
      </c>
      <c r="C50" s="14">
        <f>C18/C19*100</f>
        <v>23.63423274435825</v>
      </c>
      <c r="D50" s="14">
        <f>D18/D19*100</f>
        <v>21.424356016916573</v>
      </c>
      <c r="E50" s="14">
        <f>E18/E19*100</f>
        <v>23.820549663899872</v>
      </c>
      <c r="F50" s="14">
        <f>F18/F19*100</f>
        <v>0</v>
      </c>
    </row>
    <row r="51" spans="1:7" x14ac:dyDescent="0.25">
      <c r="A51" s="7" t="s">
        <v>22</v>
      </c>
      <c r="B51" s="14">
        <f>(B49+B50)/2</f>
        <v>23.055299625726651</v>
      </c>
      <c r="C51" s="14">
        <f>(C49+C50)/2</f>
        <v>24.408924281783644</v>
      </c>
      <c r="D51" s="14">
        <f>(D49+D50)/2</f>
        <v>22.164558960839237</v>
      </c>
      <c r="E51" s="14">
        <f>(E49+E50)/2</f>
        <v>23.823540138072385</v>
      </c>
      <c r="F51" s="14" t="e">
        <f>(F49+F50)/2</f>
        <v>#VALUE!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34.804208065458788</v>
      </c>
      <c r="C57" s="14">
        <f>((C12/C10)-1)*100</f>
        <v>10.88308457711442</v>
      </c>
      <c r="D57" s="14">
        <f>((D12/D10)-1)*100</f>
        <v>10.957324106113031</v>
      </c>
      <c r="E57" s="14">
        <f>((E12/E10)-1)*100</f>
        <v>97.254487856388593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82.785874685059667</v>
      </c>
      <c r="C58" s="14">
        <f>((C33/C32)-1)*100</f>
        <v>77.100426464963846</v>
      </c>
      <c r="D58" s="14">
        <f>((D33/D32)-1)*100</f>
        <v>76.117816708032194</v>
      </c>
      <c r="E58" s="14">
        <f>((E33/E32)-1)*100</f>
        <v>86.995329571421948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35.59359704579974</v>
      </c>
      <c r="C59" s="14">
        <f>((C35/C34)-1)*100</f>
        <v>59.718163631891109</v>
      </c>
      <c r="D59" s="14">
        <f>((D35/D34)-1)*100</f>
        <v>58.725724621480182</v>
      </c>
      <c r="E59" s="14">
        <f>((E35/E34)-1)*100</f>
        <v>-5.2009758543165923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125</v>
      </c>
      <c r="B62" s="5">
        <f>B17/(B11*3)</f>
        <v>155469.44560669456</v>
      </c>
      <c r="C62" s="5">
        <f t="shared" ref="C62:E63" si="4">C17/(C11*3)</f>
        <v>130051</v>
      </c>
      <c r="D62" s="5">
        <f t="shared" si="4"/>
        <v>52020</v>
      </c>
      <c r="E62" s="5">
        <f>E17/(E11*3)</f>
        <v>208333</v>
      </c>
      <c r="F62" s="5" t="e">
        <f>F17/(F11*3)</f>
        <v>#DIV/0!</v>
      </c>
    </row>
    <row r="63" spans="1:7" x14ac:dyDescent="0.25">
      <c r="A63" s="7" t="s">
        <v>126</v>
      </c>
      <c r="B63" s="5">
        <f>$B$18/(B12*3)</f>
        <v>141663.11771081726</v>
      </c>
      <c r="C63" s="5">
        <f>C18/(C12*3)</f>
        <v>122049.81304916806</v>
      </c>
      <c r="D63" s="5">
        <f t="shared" si="4"/>
        <v>48657.785862785866</v>
      </c>
      <c r="E63" s="5">
        <f t="shared" si="4"/>
        <v>208280.70413990007</v>
      </c>
      <c r="F63" s="5" t="e">
        <f>$B$18/(F12*3)</f>
        <v>#DIV/0!</v>
      </c>
    </row>
    <row r="64" spans="1:7" x14ac:dyDescent="0.25">
      <c r="A64" s="7" t="s">
        <v>30</v>
      </c>
      <c r="B64" s="14">
        <f>(B62/B63)*B46</f>
        <v>101.20897263958082</v>
      </c>
      <c r="C64" s="14">
        <f>(C62/C63)*C46</f>
        <v>104.03637441022308</v>
      </c>
      <c r="D64" s="14">
        <f>(D62/D63)*D46</f>
        <v>94.784449123459808</v>
      </c>
      <c r="E64" s="14">
        <f>E62/E63*E46</f>
        <v>95.318087349105227</v>
      </c>
      <c r="F64" s="14" t="e">
        <f>(F62/F63)*F46</f>
        <v>#DIV/0!</v>
      </c>
    </row>
    <row r="65" spans="1:7" x14ac:dyDescent="0.25">
      <c r="A65" s="7" t="s">
        <v>127</v>
      </c>
      <c r="B65" s="14">
        <f>B17/B11</f>
        <v>466408.33682008367</v>
      </c>
      <c r="C65" s="14">
        <f t="shared" ref="C65:E66" si="5">C17/C11</f>
        <v>390153</v>
      </c>
      <c r="D65" s="14">
        <f t="shared" si="5"/>
        <v>156060</v>
      </c>
      <c r="E65" s="14">
        <f t="shared" si="5"/>
        <v>624999</v>
      </c>
      <c r="F65" s="14"/>
    </row>
    <row r="66" spans="1:7" x14ac:dyDescent="0.25">
      <c r="A66" s="7" t="s">
        <v>128</v>
      </c>
      <c r="B66" s="14">
        <f>B18/B12</f>
        <v>424989.35313245177</v>
      </c>
      <c r="C66" s="14">
        <f t="shared" si="5"/>
        <v>366149.43914750422</v>
      </c>
      <c r="D66" s="14">
        <f t="shared" si="5"/>
        <v>145973.35758835758</v>
      </c>
      <c r="E66" s="14">
        <f t="shared" si="5"/>
        <v>624842.11241970025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82.222189747580757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106.94937841615069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99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9" t="s">
        <v>96</v>
      </c>
      <c r="B2" s="29"/>
      <c r="C2" s="29"/>
      <c r="D2" s="29"/>
      <c r="E2" s="29"/>
    </row>
    <row r="4" spans="1:7" ht="15" customHeight="1" x14ac:dyDescent="0.25">
      <c r="A4" s="30" t="s">
        <v>0</v>
      </c>
      <c r="B4" s="19" t="s">
        <v>34</v>
      </c>
      <c r="C4" s="34" t="s">
        <v>2</v>
      </c>
      <c r="D4" s="34"/>
      <c r="E4" s="34"/>
      <c r="F4" s="34"/>
    </row>
    <row r="5" spans="1:7" ht="15.75" thickBot="1" x14ac:dyDescent="0.3">
      <c r="A5" s="31"/>
      <c r="B5" s="1" t="s">
        <v>35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39</v>
      </c>
    </row>
    <row r="10" spans="1:7" x14ac:dyDescent="0.25">
      <c r="A10" s="4" t="s">
        <v>53</v>
      </c>
      <c r="B10" s="5">
        <f t="shared" ref="B10" si="0">SUM(C10:E10)</f>
        <v>3631</v>
      </c>
      <c r="C10" s="3">
        <v>1659</v>
      </c>
      <c r="D10" s="3">
        <v>890</v>
      </c>
      <c r="E10" s="5">
        <v>1082</v>
      </c>
      <c r="F10" s="5"/>
      <c r="G10" s="3"/>
    </row>
    <row r="11" spans="1:7" x14ac:dyDescent="0.25">
      <c r="A11" s="6" t="s">
        <v>97</v>
      </c>
      <c r="B11" s="5">
        <f>SUM(C11:E11)</f>
        <v>4950</v>
      </c>
      <c r="C11" s="5">
        <v>1770</v>
      </c>
      <c r="D11" s="5">
        <v>1076</v>
      </c>
      <c r="E11" s="5">
        <v>2104</v>
      </c>
      <c r="F11" s="5"/>
      <c r="G11" s="23"/>
    </row>
    <row r="12" spans="1:7" x14ac:dyDescent="0.25">
      <c r="A12" s="6" t="s">
        <v>98</v>
      </c>
      <c r="B12" s="3">
        <f>SUM(C12:E12)</f>
        <v>6016</v>
      </c>
      <c r="C12" s="3">
        <f>1531+215</f>
        <v>1746</v>
      </c>
      <c r="D12" s="3">
        <f>890+119</f>
        <v>1009</v>
      </c>
      <c r="E12" s="5">
        <f>2133+1128</f>
        <v>3261</v>
      </c>
      <c r="F12" s="5"/>
    </row>
    <row r="13" spans="1:7" x14ac:dyDescent="0.25">
      <c r="A13" s="6" t="s">
        <v>77</v>
      </c>
      <c r="B13" s="5">
        <f>SUM(C13:E13)</f>
        <v>4950</v>
      </c>
      <c r="C13" s="5">
        <v>1770</v>
      </c>
      <c r="D13" s="5">
        <v>1076</v>
      </c>
      <c r="E13" s="5">
        <v>2104</v>
      </c>
      <c r="F13" s="5"/>
      <c r="G13" s="23"/>
    </row>
    <row r="14" spans="1:7" x14ac:dyDescent="0.25">
      <c r="F14" s="7"/>
      <c r="G14" s="20"/>
    </row>
    <row r="15" spans="1:7" x14ac:dyDescent="0.25">
      <c r="A15" s="8" t="s">
        <v>6</v>
      </c>
      <c r="F15" s="7"/>
      <c r="G15" s="21"/>
    </row>
    <row r="16" spans="1:7" x14ac:dyDescent="0.25">
      <c r="A16" s="4" t="s">
        <v>53</v>
      </c>
      <c r="B16" s="5">
        <f>SUM(C16:E16)</f>
        <v>1119815024</v>
      </c>
      <c r="C16" s="5">
        <v>363660870</v>
      </c>
      <c r="D16" s="5">
        <v>77526744</v>
      </c>
      <c r="E16" s="5">
        <v>678627410</v>
      </c>
      <c r="F16" s="5"/>
    </row>
    <row r="17" spans="1:7" x14ac:dyDescent="0.25">
      <c r="A17" s="6" t="s">
        <v>97</v>
      </c>
      <c r="B17" s="5">
        <f>SUM(C17:F17)</f>
        <v>2384571600.96</v>
      </c>
      <c r="C17" s="3">
        <v>690570810</v>
      </c>
      <c r="D17" s="3">
        <v>229000812</v>
      </c>
      <c r="E17" s="5">
        <v>1314999978.96</v>
      </c>
      <c r="F17" s="5">
        <v>150000000</v>
      </c>
      <c r="G17" s="20"/>
    </row>
    <row r="18" spans="1:7" x14ac:dyDescent="0.25">
      <c r="A18" s="6" t="s">
        <v>98</v>
      </c>
      <c r="B18" s="3">
        <f>SUM(C18:F18)</f>
        <v>3246077551.6900001</v>
      </c>
      <c r="C18" s="5">
        <v>766590758</v>
      </c>
      <c r="D18" s="5">
        <v>195590478</v>
      </c>
      <c r="E18" s="5">
        <v>2058891445.6900001</v>
      </c>
      <c r="F18" s="5">
        <v>225004870</v>
      </c>
    </row>
    <row r="19" spans="1:7" x14ac:dyDescent="0.25">
      <c r="A19" s="6" t="s">
        <v>77</v>
      </c>
      <c r="B19" s="3">
        <f>SUM(C19:F19)</f>
        <v>9072867150.9599991</v>
      </c>
      <c r="C19" s="9">
        <v>2762283240</v>
      </c>
      <c r="D19" s="5">
        <v>720589812</v>
      </c>
      <c r="E19" s="5">
        <v>4989994098.96</v>
      </c>
      <c r="F19" s="5">
        <v>600000000</v>
      </c>
    </row>
    <row r="20" spans="1:7" x14ac:dyDescent="0.25">
      <c r="A20" s="6" t="s">
        <v>99</v>
      </c>
      <c r="B20" s="5">
        <f>SUM(C20:E20)</f>
        <v>3021072681.6900001</v>
      </c>
      <c r="C20" s="5">
        <f>C18</f>
        <v>766590758</v>
      </c>
      <c r="D20" s="5">
        <f t="shared" ref="D20:E20" si="1">D18</f>
        <v>195590478</v>
      </c>
      <c r="E20" s="5">
        <f t="shared" si="1"/>
        <v>2058891445.6900001</v>
      </c>
      <c r="F20" s="5"/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97</v>
      </c>
      <c r="B23" s="5">
        <f>B17</f>
        <v>2384571600.96</v>
      </c>
      <c r="C23" s="5"/>
      <c r="D23" s="5"/>
      <c r="E23" s="5"/>
      <c r="F23" s="5"/>
      <c r="G23" s="11"/>
    </row>
    <row r="24" spans="1:7" x14ac:dyDescent="0.25">
      <c r="A24" s="4" t="s">
        <v>98</v>
      </c>
      <c r="B24" s="5">
        <v>2486495448.6500001</v>
      </c>
      <c r="C24" s="24"/>
      <c r="D24" s="24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54</v>
      </c>
      <c r="B27" s="18">
        <v>1.56</v>
      </c>
      <c r="C27" s="18">
        <v>1.56</v>
      </c>
      <c r="D27" s="18">
        <v>1.56</v>
      </c>
      <c r="E27" s="18">
        <v>1.56</v>
      </c>
      <c r="F27" s="18">
        <v>1.56</v>
      </c>
    </row>
    <row r="28" spans="1:7" x14ac:dyDescent="0.25">
      <c r="A28" s="4" t="s">
        <v>100</v>
      </c>
      <c r="B28" s="18">
        <v>1.6181333333333334</v>
      </c>
      <c r="C28" s="18">
        <v>1.6181333333333334</v>
      </c>
      <c r="D28" s="18">
        <v>1.6181333333333334</v>
      </c>
      <c r="E28" s="18">
        <v>1.6181333333333334</v>
      </c>
      <c r="F28" s="18">
        <v>1.6181333333333334</v>
      </c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55</v>
      </c>
      <c r="B32" s="5">
        <f>B16/B27</f>
        <v>717830143.58974361</v>
      </c>
      <c r="C32" s="5">
        <f>C16/C27</f>
        <v>233115942.30769229</v>
      </c>
      <c r="D32" s="5">
        <f>D16/D27</f>
        <v>49696630.769230768</v>
      </c>
      <c r="E32" s="5">
        <f>E16/E27</f>
        <v>435017570.51282048</v>
      </c>
      <c r="F32" s="5">
        <f>F16/F27</f>
        <v>0</v>
      </c>
    </row>
    <row r="33" spans="1:6" x14ac:dyDescent="0.25">
      <c r="A33" s="7" t="s">
        <v>101</v>
      </c>
      <c r="B33" s="5">
        <f>B18/B28</f>
        <v>2006063088.1406558</v>
      </c>
      <c r="C33" s="5">
        <f>C18/C28</f>
        <v>473750056.44363874</v>
      </c>
      <c r="D33" s="5">
        <f>D18/D28</f>
        <v>120874141.80949241</v>
      </c>
      <c r="E33" s="5">
        <f>E18/E28</f>
        <v>1272386770.1610909</v>
      </c>
      <c r="F33" s="5">
        <f>F18/F28</f>
        <v>139052119.72643375</v>
      </c>
    </row>
    <row r="34" spans="1:6" x14ac:dyDescent="0.25">
      <c r="A34" s="7" t="s">
        <v>56</v>
      </c>
      <c r="B34" s="5">
        <f>B32/(B10*3)</f>
        <v>65898.296483038983</v>
      </c>
      <c r="C34" s="5">
        <f t="shared" ref="C34:F34" si="2">C32/(C10*3)</f>
        <v>46838.646234215848</v>
      </c>
      <c r="D34" s="5">
        <f t="shared" si="2"/>
        <v>18612.970325554594</v>
      </c>
      <c r="E34" s="5">
        <f t="shared" si="2"/>
        <v>134016.50354677156</v>
      </c>
      <c r="F34" s="5" t="e">
        <f t="shared" si="2"/>
        <v>#DIV/0!</v>
      </c>
    </row>
    <row r="35" spans="1:6" x14ac:dyDescent="0.25">
      <c r="A35" s="7" t="s">
        <v>102</v>
      </c>
      <c r="B35" s="5">
        <f>B33/(B12*3)</f>
        <v>111151.54522055939</v>
      </c>
      <c r="C35" s="5">
        <f t="shared" ref="C35:F35" si="3">C33/(C12*3)</f>
        <v>90444.837045368215</v>
      </c>
      <c r="D35" s="5">
        <f t="shared" si="3"/>
        <v>39931.992669141859</v>
      </c>
      <c r="E35" s="5">
        <f t="shared" si="3"/>
        <v>130061.00073199334</v>
      </c>
      <c r="F35" s="5" t="e">
        <f t="shared" si="3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  <c r="F37" s="7"/>
    </row>
    <row r="38" spans="1:6" x14ac:dyDescent="0.25">
      <c r="F38" s="7"/>
    </row>
    <row r="39" spans="1:6" x14ac:dyDescent="0.25">
      <c r="A39" t="s">
        <v>12</v>
      </c>
      <c r="F39" s="7"/>
    </row>
    <row r="40" spans="1:6" x14ac:dyDescent="0.25">
      <c r="A40" t="s">
        <v>13</v>
      </c>
      <c r="B40" s="14">
        <f>B11/B29*100</f>
        <v>4.4947697225047216</v>
      </c>
      <c r="C40" s="14"/>
      <c r="D40" s="14"/>
      <c r="E40" s="14"/>
      <c r="F40" s="14"/>
    </row>
    <row r="41" spans="1:6" x14ac:dyDescent="0.25">
      <c r="A41" t="s">
        <v>14</v>
      </c>
      <c r="B41" s="14">
        <f>B12/B29*100</f>
        <v>5.4627342728461423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121.53535353535354</v>
      </c>
      <c r="C44" s="14">
        <f>C12/C11*100</f>
        <v>98.644067796610173</v>
      </c>
      <c r="D44" s="14">
        <f>D12/D11*100</f>
        <v>93.773234200743488</v>
      </c>
      <c r="E44" s="14">
        <f>E12/E11*100</f>
        <v>154.99049429657794</v>
      </c>
      <c r="F44" s="14" t="e">
        <f>F12/F11*100</f>
        <v>#DIV/0!</v>
      </c>
    </row>
    <row r="45" spans="1:6" x14ac:dyDescent="0.25">
      <c r="A45" t="s">
        <v>17</v>
      </c>
      <c r="B45" s="14">
        <f>B18/B17*100</f>
        <v>136.12833224983339</v>
      </c>
      <c r="C45" s="14">
        <f>C18/C17*100</f>
        <v>111.0082770512701</v>
      </c>
      <c r="D45" s="14">
        <f>D18/D17*100</f>
        <v>85.410386230420869</v>
      </c>
      <c r="E45" s="14">
        <f>E18/E17*100</f>
        <v>156.5696941925676</v>
      </c>
      <c r="F45" s="14">
        <f>F18/F17*100</f>
        <v>150.00324666666666</v>
      </c>
    </row>
    <row r="46" spans="1:6" x14ac:dyDescent="0.25">
      <c r="A46" s="7" t="s">
        <v>18</v>
      </c>
      <c r="B46" s="14">
        <f>AVERAGE(B44:B45)</f>
        <v>128.83184289259347</v>
      </c>
      <c r="C46" s="14">
        <f>AVERAGE(C44:C45)</f>
        <v>104.82617242394014</v>
      </c>
      <c r="D46" s="14">
        <f>AVERAGE(D44:D45)</f>
        <v>89.591810215582171</v>
      </c>
      <c r="E46" s="14">
        <f>AVERAGE(E44:E45)</f>
        <v>155.78009424457275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14">
        <f>(B12/(B13*4))*100</f>
        <v>30.383838383838384</v>
      </c>
      <c r="C49" s="14">
        <f t="shared" ref="C49:E49" si="4">(C12/(C13*4))*100</f>
        <v>24.661016949152543</v>
      </c>
      <c r="D49" s="14">
        <f t="shared" si="4"/>
        <v>23.443308550185872</v>
      </c>
      <c r="E49" s="14">
        <f t="shared" si="4"/>
        <v>38.747623574144484</v>
      </c>
      <c r="F49" s="14" t="e">
        <f>(F12*3)/F13*100</f>
        <v>#DIV/0!</v>
      </c>
    </row>
    <row r="50" spans="1:7" x14ac:dyDescent="0.25">
      <c r="A50" s="7" t="s">
        <v>21</v>
      </c>
      <c r="B50" s="14">
        <f>B18/B19*100</f>
        <v>35.777858285366086</v>
      </c>
      <c r="C50" s="14">
        <f>C18/C19*100</f>
        <v>27.752069262817525</v>
      </c>
      <c r="D50" s="14">
        <f>D18/D19*100</f>
        <v>27.143108984171981</v>
      </c>
      <c r="E50" s="14">
        <f>E18/E19*100</f>
        <v>41.260398406465214</v>
      </c>
      <c r="F50" s="14">
        <f>F18/F19*100</f>
        <v>37.500811666666664</v>
      </c>
    </row>
    <row r="51" spans="1:7" x14ac:dyDescent="0.25">
      <c r="A51" s="7" t="s">
        <v>22</v>
      </c>
      <c r="B51" s="14">
        <f>(B49+B50)/2</f>
        <v>33.080848334602237</v>
      </c>
      <c r="C51" s="14">
        <f>(C49+C50)/2</f>
        <v>26.206543105985034</v>
      </c>
      <c r="D51" s="14">
        <f>(D49+D50)/2</f>
        <v>25.293208767178925</v>
      </c>
      <c r="E51" s="14">
        <f>(E49+E50)/2</f>
        <v>40.004010990304849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93.068407441995461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65.684384467088947</v>
      </c>
      <c r="C57" s="14">
        <f>((C12/C10)-1)*100</f>
        <v>5.2441229656419619</v>
      </c>
      <c r="D57" s="14">
        <f>((D12/D10)-1)*100</f>
        <v>13.370786516853927</v>
      </c>
      <c r="E57" s="14">
        <f>((E12/E10)-1)*100</f>
        <v>201.38632162661736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179.46208529342101</v>
      </c>
      <c r="C58" s="14">
        <f>((C33/C32)-1)*100</f>
        <v>103.2250783682271</v>
      </c>
      <c r="D58" s="14">
        <f>((D33/D32)-1)*100</f>
        <v>143.22401727951865</v>
      </c>
      <c r="E58" s="14">
        <f>((E33/E32)-1)*100</f>
        <v>192.49089149689692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68.67134835445674</v>
      </c>
      <c r="C59" s="14">
        <f>((C35/C34)-1)*100</f>
        <v>93.098742848160796</v>
      </c>
      <c r="D59" s="14">
        <f>((D35/D34)-1)*100</f>
        <v>114.53852862118094</v>
      </c>
      <c r="E59" s="14">
        <f>((E35/E34)-1)*100</f>
        <v>-2.9515042626058086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125</v>
      </c>
      <c r="B62" s="5">
        <f>B17/(B11*3)</f>
        <v>160577.21218585857</v>
      </c>
      <c r="C62" s="5">
        <f t="shared" ref="C62:E63" si="5">C17/(C11*3)</f>
        <v>130051</v>
      </c>
      <c r="D62" s="5">
        <f t="shared" si="5"/>
        <v>70942.011152416351</v>
      </c>
      <c r="E62" s="5">
        <f t="shared" si="5"/>
        <v>208333.33000000002</v>
      </c>
      <c r="F62" s="5" t="e">
        <f>F17/(F11*3)</f>
        <v>#DIV/0!</v>
      </c>
    </row>
    <row r="63" spans="1:7" x14ac:dyDescent="0.25">
      <c r="A63" s="7" t="s">
        <v>126</v>
      </c>
      <c r="B63" s="5">
        <f>$B$18/(B12*3)</f>
        <v>179858.02037289451</v>
      </c>
      <c r="C63" s="5">
        <f>C18/(C12*3)</f>
        <v>146351.80565101185</v>
      </c>
      <c r="D63" s="5">
        <f t="shared" si="5"/>
        <v>64615.288404360756</v>
      </c>
      <c r="E63" s="5">
        <f t="shared" si="5"/>
        <v>210456.04065112953</v>
      </c>
      <c r="F63" s="5" t="e">
        <f>$B$18/(F12*3)</f>
        <v>#DIV/0!</v>
      </c>
    </row>
    <row r="64" spans="1:7" x14ac:dyDescent="0.25">
      <c r="A64" s="7" t="s">
        <v>30</v>
      </c>
      <c r="B64" s="14">
        <f>(B62/B63)*B46</f>
        <v>115.02104898946659</v>
      </c>
      <c r="C64" s="14">
        <f>(C62/C63)*C46</f>
        <v>93.150531961418167</v>
      </c>
      <c r="D64" s="14">
        <f>(D62/D63)*D46</f>
        <v>98.364076930283545</v>
      </c>
      <c r="E64" s="14">
        <f>E62/E63*E46</f>
        <v>154.20885844509732</v>
      </c>
      <c r="F64" s="14" t="e">
        <f>(F62/F63)*F46</f>
        <v>#DIV/0!</v>
      </c>
      <c r="G64" s="11"/>
    </row>
    <row r="65" spans="1:7" x14ac:dyDescent="0.25">
      <c r="A65" s="7" t="s">
        <v>127</v>
      </c>
      <c r="B65" s="14">
        <f>B17/B11</f>
        <v>481731.63655757578</v>
      </c>
      <c r="C65" s="14">
        <f t="shared" ref="C65:E66" si="6">C17/C11</f>
        <v>390153</v>
      </c>
      <c r="D65" s="14">
        <f t="shared" si="6"/>
        <v>212826.03345724908</v>
      </c>
      <c r="E65" s="14">
        <f t="shared" si="6"/>
        <v>624999.99</v>
      </c>
      <c r="F65" s="14"/>
      <c r="G65" s="11"/>
    </row>
    <row r="66" spans="1:7" x14ac:dyDescent="0.25">
      <c r="A66" s="7" t="s">
        <v>128</v>
      </c>
      <c r="B66" s="14">
        <f>B18/B12</f>
        <v>539574.06111868354</v>
      </c>
      <c r="C66" s="14">
        <f t="shared" si="6"/>
        <v>439055.41695303551</v>
      </c>
      <c r="D66" s="14">
        <f t="shared" si="6"/>
        <v>193845.86521308226</v>
      </c>
      <c r="E66" s="14">
        <f t="shared" si="6"/>
        <v>631368.12195338856</v>
      </c>
      <c r="F66" s="14"/>
      <c r="G66" s="11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104.27430435089333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130.54830055902181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9" t="s">
        <v>103</v>
      </c>
      <c r="B2" s="29"/>
      <c r="C2" s="29"/>
      <c r="D2" s="29"/>
      <c r="E2" s="29"/>
    </row>
    <row r="4" spans="1:7" x14ac:dyDescent="0.25">
      <c r="A4" s="30" t="s">
        <v>0</v>
      </c>
      <c r="B4" s="19" t="s">
        <v>34</v>
      </c>
      <c r="C4" s="34" t="s">
        <v>2</v>
      </c>
      <c r="D4" s="34"/>
      <c r="E4" s="34"/>
      <c r="F4" s="34"/>
    </row>
    <row r="5" spans="1:7" ht="15.75" thickBot="1" x14ac:dyDescent="0.3">
      <c r="A5" s="31"/>
      <c r="B5" s="1" t="s">
        <v>35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39</v>
      </c>
    </row>
    <row r="10" spans="1:7" x14ac:dyDescent="0.25">
      <c r="A10" s="4" t="s">
        <v>57</v>
      </c>
      <c r="B10" s="5">
        <f t="shared" ref="B10" si="0">SUM(C10:E10)</f>
        <v>3213</v>
      </c>
      <c r="C10" s="5">
        <f>(+'I Trimestre'!C10+'II Trimestre'!C10)/2</f>
        <v>1567</v>
      </c>
      <c r="D10" s="5">
        <f>(+'I Trimestre'!D10+'II Trimestre'!D10)/2</f>
        <v>840.5</v>
      </c>
      <c r="E10" s="5">
        <f>(+'I Trimestre'!E10+'II Trimestre'!E10)/2</f>
        <v>805.5</v>
      </c>
      <c r="F10" s="5">
        <f>+'I Trimestre'!F10+'II Trimestre'!F10/2</f>
        <v>0</v>
      </c>
      <c r="G10" s="3"/>
    </row>
    <row r="11" spans="1:7" x14ac:dyDescent="0.25">
      <c r="A11" s="6" t="s">
        <v>104</v>
      </c>
      <c r="B11" s="5">
        <f>SUM(C11:E11)</f>
        <v>4780</v>
      </c>
      <c r="C11" s="5">
        <f>(+'I Trimestre'!C11+'II Trimestre'!C11)/2</f>
        <v>1770</v>
      </c>
      <c r="D11" s="5">
        <f>(+'I Trimestre'!D11+'II Trimestre'!D11)/2</f>
        <v>1050</v>
      </c>
      <c r="E11" s="5">
        <f>(+'I Trimestre'!E11+'II Trimestre'!E11)/2</f>
        <v>1960</v>
      </c>
      <c r="F11" s="5">
        <f>+'I Trimestre'!F11+'II Trimestre'!F11/2</f>
        <v>0</v>
      </c>
      <c r="G11" s="20"/>
    </row>
    <row r="12" spans="1:7" x14ac:dyDescent="0.25">
      <c r="A12" s="6" t="s">
        <v>105</v>
      </c>
      <c r="B12" s="3">
        <f>SUM(C12:E12)</f>
        <v>3905</v>
      </c>
      <c r="C12" s="5">
        <f>(+'I Trimestre'!C12+'II Trimestre'!C12)/2</f>
        <v>1665.5</v>
      </c>
      <c r="D12" s="5">
        <f>(+'I Trimestre'!D12+'II Trimestre'!D12)/2</f>
        <v>918</v>
      </c>
      <c r="E12" s="5">
        <f>(+'I Trimestre'!E12+'II Trimestre'!E12)/2</f>
        <v>1321.5</v>
      </c>
      <c r="F12" s="5">
        <f>+'I Trimestre'!F12+'II Trimestre'!F12/2</f>
        <v>0</v>
      </c>
    </row>
    <row r="13" spans="1:7" x14ac:dyDescent="0.25">
      <c r="A13" s="6" t="s">
        <v>77</v>
      </c>
      <c r="B13" s="5">
        <f>SUM(C13:E13)</f>
        <v>4780</v>
      </c>
      <c r="C13" s="5">
        <f>+'II Trimestre'!C13</f>
        <v>1770</v>
      </c>
      <c r="D13" s="5">
        <f>+'II Trimestre'!D13</f>
        <v>1050</v>
      </c>
      <c r="E13" s="5">
        <f>+'II Trimestre'!E13</f>
        <v>1960</v>
      </c>
      <c r="F13" s="5" t="str">
        <f>+'II Trimestre'!F13</f>
        <v>2 obras***</v>
      </c>
      <c r="G13" s="20"/>
    </row>
    <row r="14" spans="1:7" x14ac:dyDescent="0.25">
      <c r="F14" s="7"/>
      <c r="G14" s="20"/>
    </row>
    <row r="15" spans="1:7" x14ac:dyDescent="0.25">
      <c r="A15" s="8" t="s">
        <v>6</v>
      </c>
      <c r="F15" s="7"/>
      <c r="G15" s="21"/>
    </row>
    <row r="16" spans="1:7" x14ac:dyDescent="0.25">
      <c r="A16" s="4" t="s">
        <v>57</v>
      </c>
      <c r="B16" s="5">
        <f t="shared" ref="B16" si="1">SUM(C16:E16)</f>
        <v>1850081431</v>
      </c>
      <c r="C16" s="5">
        <f>+'I Trimestre'!C16+'II Trimestre'!C16</f>
        <v>681337455</v>
      </c>
      <c r="D16" s="5">
        <f>+'I Trimestre'!D16+'II Trimestre'!D16</f>
        <v>146452320</v>
      </c>
      <c r="E16" s="5">
        <f>+'I Trimestre'!E16+'II Trimestre'!E16</f>
        <v>1022291656</v>
      </c>
      <c r="F16" s="5">
        <f>+'I Trimestre'!F16+'II Trimestre'!F16</f>
        <v>0</v>
      </c>
    </row>
    <row r="17" spans="1:7" x14ac:dyDescent="0.25">
      <c r="A17" s="6" t="s">
        <v>104</v>
      </c>
      <c r="B17" s="5">
        <f>SUM(C17:F17)</f>
        <v>4458863700</v>
      </c>
      <c r="C17" s="5">
        <f>+'I Trimestre'!C17+'II Trimestre'!C17</f>
        <v>1381141620</v>
      </c>
      <c r="D17" s="5">
        <f>+'I Trimestre'!D17+'II Trimestre'!D17</f>
        <v>327726000</v>
      </c>
      <c r="E17" s="5">
        <f>+'I Trimestre'!E17+'II Trimestre'!E17</f>
        <v>2449996080</v>
      </c>
      <c r="F17" s="5">
        <f>+'I Trimestre'!F17+'II Trimestre'!F17</f>
        <v>300000000</v>
      </c>
      <c r="G17" s="20"/>
    </row>
    <row r="18" spans="1:7" x14ac:dyDescent="0.25">
      <c r="A18" s="6" t="s">
        <v>105</v>
      </c>
      <c r="B18" s="3">
        <f>SUM(C18:F18)</f>
        <v>3139879361</v>
      </c>
      <c r="C18" s="5">
        <f>+'I Trimestre'!C18+'II Trimestre'!C18</f>
        <v>1218805676</v>
      </c>
      <c r="D18" s="5">
        <f>+'I Trimestre'!D18+'II Trimestre'!D18</f>
        <v>268894290</v>
      </c>
      <c r="E18" s="5">
        <f>+'I Trimestre'!E18+'II Trimestre'!E18</f>
        <v>1652179395</v>
      </c>
      <c r="F18" s="5">
        <f>+'I Trimestre'!F18+'II Trimestre'!F18</f>
        <v>0</v>
      </c>
    </row>
    <row r="19" spans="1:7" x14ac:dyDescent="0.25">
      <c r="A19" s="6" t="s">
        <v>77</v>
      </c>
      <c r="B19" s="3">
        <f>SUM(C19:F19)</f>
        <v>8917727400</v>
      </c>
      <c r="C19" s="5">
        <f>+'II Trimestre'!C19</f>
        <v>2762283240</v>
      </c>
      <c r="D19" s="5">
        <f>+'II Trimestre'!D19</f>
        <v>655452000</v>
      </c>
      <c r="E19" s="5">
        <f>+'II Trimestre'!E19</f>
        <v>4899992160</v>
      </c>
      <c r="F19" s="5">
        <f>+'II Trimestre'!F19</f>
        <v>600000000</v>
      </c>
    </row>
    <row r="20" spans="1:7" x14ac:dyDescent="0.25">
      <c r="A20" s="6" t="s">
        <v>106</v>
      </c>
      <c r="B20" s="5">
        <f>SUM(C20:E20)</f>
        <v>3139879361</v>
      </c>
      <c r="C20" s="5">
        <f>+C18</f>
        <v>1218805676</v>
      </c>
      <c r="D20" s="5">
        <f t="shared" ref="D20:E20" si="2">+D18</f>
        <v>268894290</v>
      </c>
      <c r="E20" s="5">
        <f t="shared" si="2"/>
        <v>1652179395</v>
      </c>
      <c r="F20" s="5"/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104</v>
      </c>
      <c r="B23" s="5">
        <f>B17</f>
        <v>4458863700</v>
      </c>
      <c r="C23" s="5"/>
      <c r="D23" s="5"/>
      <c r="E23" s="5"/>
      <c r="F23" s="5"/>
      <c r="G23" s="11"/>
    </row>
    <row r="24" spans="1:7" x14ac:dyDescent="0.25">
      <c r="A24" s="4" t="s">
        <v>105</v>
      </c>
      <c r="B24" s="5">
        <f>'I Trimestre'!B24+'II Trimestre'!B24</f>
        <v>4008972971</v>
      </c>
      <c r="C24" s="35"/>
      <c r="D24" s="3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58</v>
      </c>
      <c r="B27" s="18">
        <v>1.5164078580333333</v>
      </c>
      <c r="C27" s="18">
        <v>1.5164078580333333</v>
      </c>
      <c r="D27" s="18">
        <v>1.5164078580333333</v>
      </c>
      <c r="E27" s="18">
        <v>1.5164078580333333</v>
      </c>
      <c r="F27" s="18">
        <v>1.5164078580333333</v>
      </c>
    </row>
    <row r="28" spans="1:7" x14ac:dyDescent="0.25">
      <c r="A28" s="4" t="s">
        <v>107</v>
      </c>
      <c r="B28" s="18">
        <v>1.6071376151833332</v>
      </c>
      <c r="C28" s="18">
        <v>1.6071376151833332</v>
      </c>
      <c r="D28" s="18">
        <v>1.6071376151833332</v>
      </c>
      <c r="E28" s="18">
        <v>1.6071376151833332</v>
      </c>
      <c r="F28" s="18">
        <v>1.6071376151833332</v>
      </c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59</v>
      </c>
      <c r="B32" s="5">
        <f>B16/B27</f>
        <v>1220042102.260942</v>
      </c>
      <c r="C32" s="5">
        <f>C16/C27</f>
        <v>449310158.47124618</v>
      </c>
      <c r="D32" s="5">
        <f>D16/D27</f>
        <v>96578449.672463194</v>
      </c>
      <c r="E32" s="5">
        <f>E16/E27</f>
        <v>674153494.11723256</v>
      </c>
      <c r="F32" s="5">
        <f>F16/F27</f>
        <v>0</v>
      </c>
    </row>
    <row r="33" spans="1:6" x14ac:dyDescent="0.25">
      <c r="A33" s="7" t="s">
        <v>108</v>
      </c>
      <c r="B33" s="5">
        <f>B18/B28</f>
        <v>1953709085.8531241</v>
      </c>
      <c r="C33" s="5">
        <f>C18/C28</f>
        <v>758370449.7271477</v>
      </c>
      <c r="D33" s="5">
        <f>D18/D28</f>
        <v>167312548.38393292</v>
      </c>
      <c r="E33" s="5">
        <f>E18/E28</f>
        <v>1028026087.7420436</v>
      </c>
      <c r="F33" s="5">
        <f>F18/F28</f>
        <v>0</v>
      </c>
    </row>
    <row r="34" spans="1:6" x14ac:dyDescent="0.25">
      <c r="A34" s="7" t="s">
        <v>60</v>
      </c>
      <c r="B34" s="5">
        <f>B32/(B10*6)</f>
        <v>63286.757042273159</v>
      </c>
      <c r="C34" s="5">
        <f t="shared" ref="C34:F35" si="3">C32/(C10*6)</f>
        <v>47788.785202217208</v>
      </c>
      <c r="D34" s="5">
        <f t="shared" si="3"/>
        <v>19150.991408380567</v>
      </c>
      <c r="E34" s="5">
        <f t="shared" si="3"/>
        <v>139489.65324171996</v>
      </c>
      <c r="F34" s="5" t="e">
        <f t="shared" si="3"/>
        <v>#DIV/0!</v>
      </c>
    </row>
    <row r="35" spans="1:6" x14ac:dyDescent="0.25">
      <c r="A35" s="7" t="s">
        <v>109</v>
      </c>
      <c r="B35" s="5">
        <f>B33/(B11*6)</f>
        <v>68120.958363079641</v>
      </c>
      <c r="C35" s="5">
        <f t="shared" si="3"/>
        <v>71409.646866963056</v>
      </c>
      <c r="D35" s="5">
        <f t="shared" si="3"/>
        <v>26557.547362529036</v>
      </c>
      <c r="E35" s="5">
        <f t="shared" si="3"/>
        <v>87417.184331806435</v>
      </c>
      <c r="F35" s="5" t="e">
        <f t="shared" si="3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  <c r="F37" s="7"/>
    </row>
    <row r="38" spans="1:6" x14ac:dyDescent="0.25">
      <c r="F38" s="7"/>
    </row>
    <row r="39" spans="1:6" x14ac:dyDescent="0.25">
      <c r="A39" t="s">
        <v>12</v>
      </c>
      <c r="F39" s="7"/>
    </row>
    <row r="40" spans="1:6" x14ac:dyDescent="0.25">
      <c r="A40" t="s">
        <v>13</v>
      </c>
      <c r="B40" s="14">
        <f>(B11/(B29))*100</f>
        <v>4.3404038936510245</v>
      </c>
      <c r="C40" s="14"/>
      <c r="D40" s="14"/>
      <c r="E40" s="14"/>
      <c r="F40" s="14"/>
    </row>
    <row r="41" spans="1:6" x14ac:dyDescent="0.25">
      <c r="A41" t="s">
        <v>14</v>
      </c>
      <c r="B41" s="14">
        <f>(B12/(B29))*100</f>
        <v>3.5458738921981694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81.694560669456067</v>
      </c>
      <c r="C44" s="14">
        <f>C12/C11*100</f>
        <v>94.096045197740111</v>
      </c>
      <c r="D44" s="14">
        <f>D12/D11*100</f>
        <v>87.428571428571431</v>
      </c>
      <c r="E44" s="14">
        <f>E12/E11*100</f>
        <v>67.423469387755091</v>
      </c>
      <c r="F44" s="14" t="e">
        <f>F12/F11*100</f>
        <v>#DIV/0!</v>
      </c>
    </row>
    <row r="45" spans="1:6" x14ac:dyDescent="0.25">
      <c r="A45" t="s">
        <v>17</v>
      </c>
      <c r="B45" s="14">
        <f>B18/B17*100</f>
        <v>70.418823544662288</v>
      </c>
      <c r="C45" s="14">
        <f>C18/C17*100</f>
        <v>88.246249215196343</v>
      </c>
      <c r="D45" s="14">
        <f>D18/D17*100</f>
        <v>82.048506984493145</v>
      </c>
      <c r="E45" s="14">
        <f>E18/E17*100</f>
        <v>67.436001571071898</v>
      </c>
      <c r="F45" s="14">
        <f>F18/F17*100</f>
        <v>0</v>
      </c>
    </row>
    <row r="46" spans="1:6" x14ac:dyDescent="0.25">
      <c r="A46" s="7" t="s">
        <v>18</v>
      </c>
      <c r="B46" s="14">
        <f>AVERAGE(B44:B45)</f>
        <v>76.056692107059177</v>
      </c>
      <c r="C46" s="14">
        <f>AVERAGE(C44:C45)</f>
        <v>91.17114720646822</v>
      </c>
      <c r="D46" s="14">
        <f>AVERAGE(D44:D45)</f>
        <v>84.738539206532295</v>
      </c>
      <c r="E46" s="14">
        <f>AVERAGE(E44:E45)</f>
        <v>67.429735479413495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14">
        <f>(B12/B13)*100</f>
        <v>81.694560669456067</v>
      </c>
      <c r="C49" s="14">
        <f t="shared" ref="C49:E49" si="4">(C12/C13)*100</f>
        <v>94.096045197740111</v>
      </c>
      <c r="D49" s="14">
        <f t="shared" si="4"/>
        <v>87.428571428571431</v>
      </c>
      <c r="E49" s="14">
        <f t="shared" si="4"/>
        <v>67.423469387755091</v>
      </c>
      <c r="F49" s="14" t="e">
        <f t="shared" ref="F49" si="5">(F12/(F13*2))*100</f>
        <v>#VALUE!</v>
      </c>
    </row>
    <row r="50" spans="1:7" x14ac:dyDescent="0.25">
      <c r="A50" s="7" t="s">
        <v>21</v>
      </c>
      <c r="B50" s="14">
        <f>B18/B19*100</f>
        <v>35.209411772331144</v>
      </c>
      <c r="C50" s="14">
        <f>C18/C19*100</f>
        <v>44.123124607598172</v>
      </c>
      <c r="D50" s="14">
        <f>D18/D19*100</f>
        <v>41.024253492246572</v>
      </c>
      <c r="E50" s="14">
        <f>E18/E19*100</f>
        <v>33.718000785535949</v>
      </c>
      <c r="F50" s="14">
        <f>F18/F19*100</f>
        <v>0</v>
      </c>
    </row>
    <row r="51" spans="1:7" x14ac:dyDescent="0.25">
      <c r="A51" s="7" t="s">
        <v>22</v>
      </c>
      <c r="B51" s="14">
        <f>(B49+B50)/2</f>
        <v>58.451986220893602</v>
      </c>
      <c r="C51" s="14">
        <f>(C49+C50)/2</f>
        <v>69.109584902669141</v>
      </c>
      <c r="D51" s="14">
        <f>(D49+D50)/2</f>
        <v>64.226412460408994</v>
      </c>
      <c r="E51" s="14">
        <f>(E49+E50)/2</f>
        <v>50.57073508664552</v>
      </c>
      <c r="F51" s="14" t="e">
        <f>(F49+F50)/2</f>
        <v>#VALUE!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21.537503890445066</v>
      </c>
      <c r="C57" s="14">
        <f>((C12/C10)-1)*100</f>
        <v>6.2858966177409048</v>
      </c>
      <c r="D57" s="14">
        <f>((D12/D10)-1)*100</f>
        <v>9.2207019631171949</v>
      </c>
      <c r="E57" s="14">
        <f>((E12/E10)-1)*100</f>
        <v>64.059590316573562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60.134562752594725</v>
      </c>
      <c r="C58" s="14">
        <f>((C33/C32)-1)*100</f>
        <v>68.785511617957312</v>
      </c>
      <c r="D58" s="14">
        <f>((D33/D32)-1)*100</f>
        <v>73.240043665391013</v>
      </c>
      <c r="E58" s="14">
        <f>((E33/E32)-1)*100</f>
        <v>52.491397984696064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7.6385669715662852</v>
      </c>
      <c r="C59" s="14">
        <f>((C35/C34)-1)*100</f>
        <v>49.427625257253723</v>
      </c>
      <c r="D59" s="14">
        <f>((D35/D34)-1)*100</f>
        <v>38.674530191201086</v>
      </c>
      <c r="E59" s="14">
        <f>((E35/E34)-1)*100</f>
        <v>-37.330703532309862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125</v>
      </c>
      <c r="B62" s="5">
        <f>B17/(B11*6)</f>
        <v>155469.44560669456</v>
      </c>
      <c r="C62" s="5">
        <f t="shared" ref="C62:F62" si="6">C17/(C11*6)</f>
        <v>130051</v>
      </c>
      <c r="D62" s="5">
        <f t="shared" si="6"/>
        <v>52020</v>
      </c>
      <c r="E62" s="5">
        <f t="shared" si="6"/>
        <v>208333</v>
      </c>
      <c r="F62" s="5" t="e">
        <f t="shared" si="6"/>
        <v>#DIV/0!</v>
      </c>
    </row>
    <row r="63" spans="1:7" x14ac:dyDescent="0.25">
      <c r="A63" s="7" t="s">
        <v>126</v>
      </c>
      <c r="B63" s="5">
        <f>B18/(B12*6)</f>
        <v>134011.06961160904</v>
      </c>
      <c r="C63" s="5">
        <f t="shared" ref="C63:F63" si="7">C18/(C12*6)</f>
        <v>121965.94376063244</v>
      </c>
      <c r="D63" s="5">
        <f t="shared" si="7"/>
        <v>48818.86165577342</v>
      </c>
      <c r="E63" s="5">
        <f t="shared" si="7"/>
        <v>208371.72342035564</v>
      </c>
      <c r="F63" s="5" t="e">
        <f t="shared" si="7"/>
        <v>#DIV/0!</v>
      </c>
    </row>
    <row r="64" spans="1:7" x14ac:dyDescent="0.25">
      <c r="A64" s="7" t="s">
        <v>30</v>
      </c>
      <c r="B64" s="14">
        <f>(B62/B63)*B46</f>
        <v>88.235186771013019</v>
      </c>
      <c r="C64" s="14">
        <f>(C62/C63)*C46</f>
        <v>97.214833089952364</v>
      </c>
      <c r="D64" s="14">
        <f>(D62/D63)*D46</f>
        <v>90.294993779366408</v>
      </c>
      <c r="E64" s="14">
        <f>E62/E63*E46</f>
        <v>67.417204460575718</v>
      </c>
      <c r="F64" s="14" t="e">
        <f>(F62/F63)*F46</f>
        <v>#DIV/0!</v>
      </c>
    </row>
    <row r="65" spans="1:7" x14ac:dyDescent="0.25">
      <c r="A65" s="7" t="s">
        <v>127</v>
      </c>
      <c r="B65" s="27">
        <f>B17/B11</f>
        <v>932816.67364016734</v>
      </c>
      <c r="C65" s="27">
        <f t="shared" ref="C65:E66" si="8">C17/C11</f>
        <v>780306</v>
      </c>
      <c r="D65" s="27">
        <f t="shared" si="8"/>
        <v>312120</v>
      </c>
      <c r="E65" s="27">
        <f t="shared" si="8"/>
        <v>1249998</v>
      </c>
      <c r="F65" s="14"/>
    </row>
    <row r="66" spans="1:7" x14ac:dyDescent="0.25">
      <c r="A66" s="7" t="s">
        <v>128</v>
      </c>
      <c r="B66" s="27">
        <f>B18/B12</f>
        <v>804066.41766965424</v>
      </c>
      <c r="C66" s="27">
        <f t="shared" si="8"/>
        <v>731795.66256379464</v>
      </c>
      <c r="D66" s="27">
        <f t="shared" si="8"/>
        <v>292913.16993464052</v>
      </c>
      <c r="E66" s="27">
        <f t="shared" si="8"/>
        <v>1250230.340522134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89.91019328534307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78.321290358233256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pane xSplit="1" ySplit="5" topLeftCell="C5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9" t="s">
        <v>110</v>
      </c>
      <c r="B2" s="29"/>
      <c r="C2" s="29"/>
      <c r="D2" s="29"/>
      <c r="E2" s="29"/>
    </row>
    <row r="4" spans="1:7" x14ac:dyDescent="0.25">
      <c r="A4" s="30" t="s">
        <v>0</v>
      </c>
      <c r="B4" s="19" t="s">
        <v>34</v>
      </c>
      <c r="C4" s="34" t="s">
        <v>2</v>
      </c>
      <c r="D4" s="34"/>
      <c r="E4" s="34"/>
      <c r="F4" s="34"/>
    </row>
    <row r="5" spans="1:7" ht="15.75" thickBot="1" x14ac:dyDescent="0.3">
      <c r="A5" s="31"/>
      <c r="B5" s="1" t="s">
        <v>35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39</v>
      </c>
    </row>
    <row r="10" spans="1:7" x14ac:dyDescent="0.25">
      <c r="A10" s="4" t="s">
        <v>61</v>
      </c>
      <c r="B10" s="5">
        <f t="shared" ref="B10" si="0">SUM(C10:E10)</f>
        <v>3282.6666666666665</v>
      </c>
      <c r="C10" s="5">
        <f>(+'I Trimestre'!C10+'II Trimestre'!C10+'III Trimestre'!C10)/3</f>
        <v>1580.6666666666667</v>
      </c>
      <c r="D10" s="5">
        <f>(+'I Trimestre'!D10+'II Trimestre'!D10+'III Trimestre'!D10)/3</f>
        <v>849.33333333333337</v>
      </c>
      <c r="E10" s="5">
        <f>(+'I Trimestre'!E10+'II Trimestre'!E10+'III Trimestre'!E10)/3</f>
        <v>852.66666666666663</v>
      </c>
      <c r="F10" s="5">
        <f>+'I Trimestre'!F10+'II Trimestre'!F10+'III Trimestre'!F10/3</f>
        <v>0</v>
      </c>
      <c r="G10" s="3"/>
    </row>
    <row r="11" spans="1:7" x14ac:dyDescent="0.25">
      <c r="A11" s="6" t="s">
        <v>111</v>
      </c>
      <c r="B11" s="5">
        <f>SUM(C11:E11)</f>
        <v>4780</v>
      </c>
      <c r="C11" s="5">
        <f>(+'I Trimestre'!C11+'II Trimestre'!C11+'III Trimestre'!C11)/3</f>
        <v>1770</v>
      </c>
      <c r="D11" s="5">
        <f>(+'I Trimestre'!D11+'II Trimestre'!D11+'III Trimestre'!D11)/3</f>
        <v>1050</v>
      </c>
      <c r="E11" s="5">
        <f>(+'I Trimestre'!E11+'II Trimestre'!E11+'III Trimestre'!E11)/3</f>
        <v>1960</v>
      </c>
      <c r="F11" s="5">
        <f>+'I Trimestre'!F11+'II Trimestre'!F11+'III Trimestre'!F11/3</f>
        <v>0</v>
      </c>
      <c r="G11" s="20"/>
    </row>
    <row r="12" spans="1:7" x14ac:dyDescent="0.25">
      <c r="A12" s="6" t="s">
        <v>112</v>
      </c>
      <c r="B12" s="3">
        <f>SUM(C12:E12)</f>
        <v>4141</v>
      </c>
      <c r="C12" s="5">
        <f>(+'I Trimestre'!C12+'II Trimestre'!C12+'III Trimestre'!C12)/3</f>
        <v>1704.6666666666667</v>
      </c>
      <c r="D12" s="5">
        <f>(+'I Trimestre'!D12+'II Trimestre'!D12+'III Trimestre'!D12)/3</f>
        <v>932.66666666666663</v>
      </c>
      <c r="E12" s="5">
        <f>(+'I Trimestre'!E12+'II Trimestre'!E12+'III Trimestre'!E12)/3</f>
        <v>1503.6666666666667</v>
      </c>
      <c r="F12" s="5">
        <f>+'I Trimestre'!F12+'II Trimestre'!F12+'III Trimestre'!F12/3</f>
        <v>0</v>
      </c>
    </row>
    <row r="13" spans="1:7" x14ac:dyDescent="0.25">
      <c r="A13" s="6" t="s">
        <v>77</v>
      </c>
      <c r="B13" s="5">
        <f>SUM(C13:E13)</f>
        <v>4780</v>
      </c>
      <c r="C13" s="5">
        <f>+'III Trimestre'!C13</f>
        <v>1770</v>
      </c>
      <c r="D13" s="5">
        <f>+'III Trimestre'!D13</f>
        <v>1050</v>
      </c>
      <c r="E13" s="5">
        <f>+'III Trimestre'!E13</f>
        <v>1960</v>
      </c>
      <c r="F13" s="5" t="str">
        <f>+'III Trimestre'!F13</f>
        <v>**2 obras</v>
      </c>
      <c r="G13" s="20"/>
    </row>
    <row r="14" spans="1:7" x14ac:dyDescent="0.25">
      <c r="F14" s="7"/>
      <c r="G14" s="20"/>
    </row>
    <row r="15" spans="1:7" x14ac:dyDescent="0.25">
      <c r="A15" s="8" t="s">
        <v>6</v>
      </c>
      <c r="F15" s="7"/>
      <c r="G15" s="21"/>
    </row>
    <row r="16" spans="1:7" x14ac:dyDescent="0.25">
      <c r="A16" s="4" t="s">
        <v>61</v>
      </c>
      <c r="B16" s="5">
        <f t="shared" ref="B16" si="1">SUM(C16:E16)</f>
        <v>2866750401</v>
      </c>
      <c r="C16" s="5">
        <f>+'I Trimestre'!C16+'II Trimestre'!C16+'III Trimestre'!C16</f>
        <v>1030759905</v>
      </c>
      <c r="D16" s="5">
        <f>+'I Trimestre'!D16+'II Trimestre'!D16+'III Trimestre'!D16</f>
        <v>222032178</v>
      </c>
      <c r="E16" s="5">
        <f>+'I Trimestre'!E16+'II Trimestre'!E16+'III Trimestre'!E16</f>
        <v>1613958318</v>
      </c>
      <c r="F16" s="5">
        <f>+'I Trimestre'!F16+'II Trimestre'!F16+'III Trimestre'!F16</f>
        <v>0</v>
      </c>
    </row>
    <row r="17" spans="1:7" x14ac:dyDescent="0.25">
      <c r="A17" s="6" t="s">
        <v>111</v>
      </c>
      <c r="B17" s="5">
        <f>SUM(C17:F17)</f>
        <v>6688295550</v>
      </c>
      <c r="C17" s="5">
        <f>+'I Trimestre'!C17+'II Trimestre'!C17+'III Trimestre'!C17</f>
        <v>2071712430</v>
      </c>
      <c r="D17" s="5">
        <f>+'I Trimestre'!D17+'II Trimestre'!D17+'III Trimestre'!D17</f>
        <v>491589000</v>
      </c>
      <c r="E17" s="5">
        <f>+'I Trimestre'!E17+'II Trimestre'!E17+'III Trimestre'!E17</f>
        <v>3674994120</v>
      </c>
      <c r="F17" s="5">
        <f>+'I Trimestre'!F17+'II Trimestre'!F17+'III Trimestre'!F17</f>
        <v>450000000</v>
      </c>
      <c r="G17" s="20"/>
    </row>
    <row r="18" spans="1:7" x14ac:dyDescent="0.25">
      <c r="A18" s="6" t="s">
        <v>112</v>
      </c>
      <c r="B18" s="3">
        <f>SUM(C18:F18)</f>
        <v>5100355247</v>
      </c>
      <c r="C18" s="5">
        <f>+'I Trimestre'!C18+'II Trimestre'!C18+'III Trimestre'!C18</f>
        <v>1871650126</v>
      </c>
      <c r="D18" s="5">
        <f>+'I Trimestre'!D18+'II Trimestre'!D18+'III Trimestre'!D18</f>
        <v>409320660</v>
      </c>
      <c r="E18" s="5">
        <f>+'I Trimestre'!E18+'II Trimestre'!E18+'III Trimestre'!E18</f>
        <v>2819384461</v>
      </c>
      <c r="F18" s="5">
        <f>+'I Trimestre'!F18+'II Trimestre'!F18+'III Trimestre'!F18</f>
        <v>0</v>
      </c>
    </row>
    <row r="19" spans="1:7" x14ac:dyDescent="0.25">
      <c r="A19" s="6" t="s">
        <v>77</v>
      </c>
      <c r="B19" s="3">
        <f>SUM(C19:F19)</f>
        <v>8917727400</v>
      </c>
      <c r="C19" s="5">
        <f>+'III Trimestre'!C19</f>
        <v>2762283240</v>
      </c>
      <c r="D19" s="5">
        <f>+'III Trimestre'!D19</f>
        <v>655452000</v>
      </c>
      <c r="E19" s="5">
        <f>+'III Trimestre'!E19</f>
        <v>4899992160</v>
      </c>
      <c r="F19" s="5">
        <f>+'III Trimestre'!F19</f>
        <v>600000000</v>
      </c>
    </row>
    <row r="20" spans="1:7" x14ac:dyDescent="0.25">
      <c r="A20" s="6" t="s">
        <v>113</v>
      </c>
      <c r="B20" s="5">
        <f>SUM(C20:E20)</f>
        <v>5100355247</v>
      </c>
      <c r="C20" s="5">
        <f>+C18</f>
        <v>1871650126</v>
      </c>
      <c r="D20" s="5">
        <f t="shared" ref="D20:F20" si="2">+D18</f>
        <v>409320660</v>
      </c>
      <c r="E20" s="5">
        <f t="shared" si="2"/>
        <v>2819384461</v>
      </c>
      <c r="F20" s="5">
        <f t="shared" si="2"/>
        <v>0</v>
      </c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111</v>
      </c>
      <c r="B23" s="5">
        <f>B17</f>
        <v>6688295550</v>
      </c>
      <c r="C23" s="5"/>
      <c r="D23" s="5"/>
      <c r="E23" s="5"/>
      <c r="F23" s="5"/>
      <c r="G23" s="11"/>
    </row>
    <row r="24" spans="1:7" x14ac:dyDescent="0.25">
      <c r="A24" s="4" t="s">
        <v>112</v>
      </c>
      <c r="B24" s="5">
        <f>'I Trimestre'!B24+'II Trimestre'!B24+'III Trimestre'!B24</f>
        <v>5842060657</v>
      </c>
      <c r="C24" s="35"/>
      <c r="D24" s="3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62</v>
      </c>
      <c r="B27" s="18">
        <v>1.523505238688889</v>
      </c>
      <c r="C27" s="18">
        <v>1.523505238688889</v>
      </c>
      <c r="D27" s="18">
        <v>1.523505238688889</v>
      </c>
      <c r="E27" s="18">
        <v>1.523505238688889</v>
      </c>
      <c r="F27" s="18">
        <v>1.523505238688889</v>
      </c>
    </row>
    <row r="28" spans="1:7" x14ac:dyDescent="0.25">
      <c r="A28" s="4" t="s">
        <v>114</v>
      </c>
      <c r="B28" s="18">
        <v>1.6128472990111107</v>
      </c>
      <c r="C28" s="18">
        <v>1.6128472990111107</v>
      </c>
      <c r="D28" s="18">
        <v>1.6128472990111107</v>
      </c>
      <c r="E28" s="18">
        <v>1.6128472990111107</v>
      </c>
      <c r="F28" s="18">
        <v>1.6128472990111107</v>
      </c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63</v>
      </c>
      <c r="B32" s="5">
        <f>B16/B27</f>
        <v>1881680698.0375679</v>
      </c>
      <c r="C32" s="5">
        <f>C16/C27</f>
        <v>676571290.22218525</v>
      </c>
      <c r="D32" s="5">
        <f>D16/D27</f>
        <v>145737718.75643718</v>
      </c>
      <c r="E32" s="5">
        <f>E16/E27</f>
        <v>1059371689.0589453</v>
      </c>
      <c r="F32" s="5">
        <f>F16/F27</f>
        <v>0</v>
      </c>
    </row>
    <row r="33" spans="1:6" x14ac:dyDescent="0.25">
      <c r="A33" s="7" t="s">
        <v>115</v>
      </c>
      <c r="B33" s="5">
        <f>B18/B28</f>
        <v>3162329905.7060108</v>
      </c>
      <c r="C33" s="5">
        <f>C18/C28</f>
        <v>1160463316.7365377</v>
      </c>
      <c r="D33" s="5">
        <f>D18/D28</f>
        <v>253787609.18716103</v>
      </c>
      <c r="E33" s="5">
        <f>E18/E28</f>
        <v>1748078979.7823122</v>
      </c>
      <c r="F33" s="5">
        <f>F18/F28</f>
        <v>0</v>
      </c>
    </row>
    <row r="34" spans="1:6" x14ac:dyDescent="0.25">
      <c r="A34" s="7" t="s">
        <v>64</v>
      </c>
      <c r="B34" s="5">
        <f>B32/(B10*9)</f>
        <v>63690.789941699426</v>
      </c>
      <c r="C34" s="5">
        <f t="shared" ref="C34:F34" si="3">C32/(C10*9)</f>
        <v>47558.786041205203</v>
      </c>
      <c r="D34" s="5">
        <f t="shared" si="3"/>
        <v>19065.635630093824</v>
      </c>
      <c r="E34" s="5">
        <f t="shared" si="3"/>
        <v>138046.87113095456</v>
      </c>
      <c r="F34" s="5" t="e">
        <f t="shared" si="3"/>
        <v>#DIV/0!</v>
      </c>
    </row>
    <row r="35" spans="1:6" x14ac:dyDescent="0.25">
      <c r="A35" s="7" t="s">
        <v>116</v>
      </c>
      <c r="B35" s="5">
        <f>B33/(B12*9)</f>
        <v>84851.482618423106</v>
      </c>
      <c r="C35" s="5">
        <f t="shared" ref="C35:F35" si="4">C33/(C12*9)</f>
        <v>75639.637383427049</v>
      </c>
      <c r="D35" s="5">
        <f t="shared" si="4"/>
        <v>30234.406622249349</v>
      </c>
      <c r="E35" s="5">
        <f t="shared" si="4"/>
        <v>129171.57908684787</v>
      </c>
      <c r="F35" s="5" t="e">
        <f t="shared" si="4"/>
        <v>#DIV/0!</v>
      </c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2" t="s">
        <v>11</v>
      </c>
      <c r="F37" s="7"/>
    </row>
    <row r="38" spans="1:6" x14ac:dyDescent="0.25">
      <c r="F38" s="7"/>
    </row>
    <row r="39" spans="1:6" x14ac:dyDescent="0.25">
      <c r="A39" t="s">
        <v>12</v>
      </c>
      <c r="F39" s="7"/>
    </row>
    <row r="40" spans="1:6" x14ac:dyDescent="0.25">
      <c r="A40" t="s">
        <v>13</v>
      </c>
      <c r="B40" s="14">
        <f>B11/B29*100</f>
        <v>4.3404038936510245</v>
      </c>
      <c r="C40" s="14"/>
      <c r="D40" s="14"/>
      <c r="E40" s="14"/>
      <c r="F40" s="14"/>
    </row>
    <row r="41" spans="1:6" x14ac:dyDescent="0.25">
      <c r="A41" t="s">
        <v>14</v>
      </c>
      <c r="B41" s="14">
        <f>B12/B29*100</f>
        <v>3.7601699840185967</v>
      </c>
      <c r="C41" s="14"/>
      <c r="D41" s="14"/>
      <c r="E41" s="14"/>
      <c r="F41" s="14"/>
    </row>
    <row r="42" spans="1:6" x14ac:dyDescent="0.25">
      <c r="B42" s="7"/>
      <c r="C42" s="7"/>
      <c r="D42" s="7"/>
      <c r="E42" s="7"/>
      <c r="F42" s="7"/>
    </row>
    <row r="43" spans="1:6" x14ac:dyDescent="0.25">
      <c r="A43" t="s">
        <v>15</v>
      </c>
      <c r="B43" s="7"/>
      <c r="C43" s="7"/>
      <c r="D43" s="7"/>
      <c r="E43" s="7"/>
      <c r="F43" s="7"/>
    </row>
    <row r="44" spans="1:6" x14ac:dyDescent="0.25">
      <c r="A44" t="s">
        <v>16</v>
      </c>
      <c r="B44" s="14">
        <f>B12/B11*100</f>
        <v>86.631799163179906</v>
      </c>
      <c r="C44" s="14">
        <f>C12/C11*100</f>
        <v>96.308851224105467</v>
      </c>
      <c r="D44" s="14">
        <f>D12/D11*100</f>
        <v>88.825396825396822</v>
      </c>
      <c r="E44" s="14">
        <f>E12/E11*100</f>
        <v>76.717687074829939</v>
      </c>
      <c r="F44" s="14" t="e">
        <f>F12/F11*100</f>
        <v>#DIV/0!</v>
      </c>
    </row>
    <row r="45" spans="1:6" x14ac:dyDescent="0.25">
      <c r="A45" t="s">
        <v>17</v>
      </c>
      <c r="B45" s="14">
        <f>B18/B17*100</f>
        <v>76.257922648170052</v>
      </c>
      <c r="C45" s="14">
        <f>C18/C17*100</f>
        <v>90.343143135941901</v>
      </c>
      <c r="D45" s="14">
        <f>D18/D17*100</f>
        <v>83.264812678884198</v>
      </c>
      <c r="E45" s="14">
        <f>E18/E17*100</f>
        <v>76.718067265914428</v>
      </c>
      <c r="F45" s="14">
        <f>F18/F17*100</f>
        <v>0</v>
      </c>
    </row>
    <row r="46" spans="1:6" x14ac:dyDescent="0.25">
      <c r="A46" s="7" t="s">
        <v>18</v>
      </c>
      <c r="B46" s="14">
        <f>AVERAGE(B44:B45)</f>
        <v>81.444860905674972</v>
      </c>
      <c r="C46" s="14">
        <f>AVERAGE(C44:C45)</f>
        <v>93.325997180023677</v>
      </c>
      <c r="D46" s="14">
        <f>AVERAGE(D44:D45)</f>
        <v>86.045104752140503</v>
      </c>
      <c r="E46" s="14">
        <f>AVERAGE(E44:E45)</f>
        <v>76.717877170372191</v>
      </c>
      <c r="F46" s="14" t="e">
        <f>AVERAGE(F44:F45)</f>
        <v>#DIV/0!</v>
      </c>
    </row>
    <row r="47" spans="1:6" x14ac:dyDescent="0.25">
      <c r="A47" s="7"/>
      <c r="B47" s="14"/>
      <c r="C47" s="14"/>
      <c r="D47" s="14"/>
      <c r="E47" s="14"/>
      <c r="F47" s="14"/>
    </row>
    <row r="48" spans="1:6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14">
        <f>(B12/B13)*100</f>
        <v>86.631799163179906</v>
      </c>
      <c r="C49" s="14">
        <f t="shared" ref="C49:E49" si="5">(C12/C13)*100</f>
        <v>96.308851224105467</v>
      </c>
      <c r="D49" s="14">
        <f t="shared" si="5"/>
        <v>88.825396825396822</v>
      </c>
      <c r="E49" s="14">
        <f t="shared" si="5"/>
        <v>76.717687074829939</v>
      </c>
      <c r="F49" s="14" t="e">
        <f t="shared" ref="F49" si="6">(F12/(F13*4/3))*100</f>
        <v>#VALUE!</v>
      </c>
    </row>
    <row r="50" spans="1:7" x14ac:dyDescent="0.25">
      <c r="A50" s="7" t="s">
        <v>21</v>
      </c>
      <c r="B50" s="14">
        <f>B18/B19*100</f>
        <v>57.193441986127546</v>
      </c>
      <c r="C50" s="14">
        <f>C18/C19*100</f>
        <v>67.757357351956415</v>
      </c>
      <c r="D50" s="14">
        <f>D18/D19*100</f>
        <v>62.448609509163141</v>
      </c>
      <c r="E50" s="14">
        <f>E18/E19*100</f>
        <v>57.538550449435824</v>
      </c>
      <c r="F50" s="14">
        <f>F18/F19*100</f>
        <v>0</v>
      </c>
    </row>
    <row r="51" spans="1:7" x14ac:dyDescent="0.25">
      <c r="A51" s="7" t="s">
        <v>22</v>
      </c>
      <c r="B51" s="14">
        <f>(B49+B50)/2</f>
        <v>71.912620574653729</v>
      </c>
      <c r="C51" s="14">
        <f>(C49+C50)/2</f>
        <v>82.033104288030941</v>
      </c>
      <c r="D51" s="14">
        <f>(D49+D50)/2</f>
        <v>75.637003167279985</v>
      </c>
      <c r="E51" s="14">
        <f>(E49+E50)/2</f>
        <v>67.128118762132885</v>
      </c>
      <c r="F51" s="14" t="e">
        <f>(F49+F50)/2</f>
        <v>#VALUE!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7"/>
      <c r="D53" s="7"/>
      <c r="E53" s="7"/>
      <c r="F53" s="7"/>
    </row>
    <row r="54" spans="1:7" x14ac:dyDescent="0.25">
      <c r="A54" s="7" t="s">
        <v>24</v>
      </c>
      <c r="B54" s="14">
        <f>B20/B18*100</f>
        <v>100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26.147441104792858</v>
      </c>
      <c r="C57" s="14">
        <f>((C12/C10)-1)*100</f>
        <v>7.8447912273302389</v>
      </c>
      <c r="D57" s="14">
        <f>((D12/D10)-1)*100</f>
        <v>9.8116169544740792</v>
      </c>
      <c r="E57" s="14">
        <f>((E12/E10)-1)*100</f>
        <v>76.348709929632548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68.058794938166216</v>
      </c>
      <c r="C58" s="14">
        <f>((C33/C32)-1)*100</f>
        <v>71.521217868325863</v>
      </c>
      <c r="D58" s="14">
        <f>((D33/D32)-1)*100</f>
        <v>74.139962771958309</v>
      </c>
      <c r="E58" s="14">
        <f>((E33/E32)-1)*100</f>
        <v>65.010920891717916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33.224101469134752</v>
      </c>
      <c r="C59" s="14">
        <f>((C35/C34)-1)*100</f>
        <v>59.044508238482862</v>
      </c>
      <c r="D59" s="14">
        <f>((D35/D34)-1)*100</f>
        <v>58.580638006772624</v>
      </c>
      <c r="E59" s="14">
        <f>((E35/E34)-1)*100</f>
        <v>-6.4291873994647641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125</v>
      </c>
      <c r="B62" s="5">
        <f>B17/(B11*9)</f>
        <v>155469.44560669456</v>
      </c>
      <c r="C62" s="5">
        <f t="shared" ref="C62:F62" si="7">C17/(C11*9)</f>
        <v>130051</v>
      </c>
      <c r="D62" s="5">
        <f t="shared" si="7"/>
        <v>52020</v>
      </c>
      <c r="E62" s="5">
        <f t="shared" si="7"/>
        <v>208333</v>
      </c>
      <c r="F62" s="5" t="e">
        <f t="shared" si="7"/>
        <v>#DIV/0!</v>
      </c>
    </row>
    <row r="63" spans="1:7" x14ac:dyDescent="0.25">
      <c r="A63" s="7" t="s">
        <v>126</v>
      </c>
      <c r="B63" s="5">
        <f>B18/(B12*9)</f>
        <v>136852.48455821193</v>
      </c>
      <c r="C63" s="5">
        <f t="shared" ref="C63:F63" si="8">C18/(C12*9)</f>
        <v>121995.18485204015</v>
      </c>
      <c r="D63" s="5">
        <f t="shared" si="8"/>
        <v>48763.481057898498</v>
      </c>
      <c r="E63" s="5">
        <f t="shared" si="8"/>
        <v>208334.03243922265</v>
      </c>
      <c r="F63" s="5" t="e">
        <f t="shared" si="8"/>
        <v>#DIV/0!</v>
      </c>
    </row>
    <row r="64" spans="1:7" x14ac:dyDescent="0.25">
      <c r="A64" s="7" t="s">
        <v>30</v>
      </c>
      <c r="B64" s="14">
        <f>(B62/B63)*B46</f>
        <v>92.524351409444947</v>
      </c>
      <c r="C64" s="14">
        <f>(C62/C63)*C46</f>
        <v>99.48867468810009</v>
      </c>
      <c r="D64" s="14">
        <f>(D62/D63)*D46</f>
        <v>91.791362144383555</v>
      </c>
      <c r="E64" s="14">
        <f>E62/E63*E46</f>
        <v>76.717496980229754</v>
      </c>
      <c r="F64" s="14" t="e">
        <f>(F62/F63)*F46</f>
        <v>#DIV/0!</v>
      </c>
    </row>
    <row r="65" spans="1:7" x14ac:dyDescent="0.25">
      <c r="A65" s="7" t="s">
        <v>127</v>
      </c>
      <c r="B65" s="27">
        <f>B17/B11</f>
        <v>1399225.010460251</v>
      </c>
      <c r="C65" s="27">
        <f t="shared" ref="C65:E66" si="9">C17/C11</f>
        <v>1170459</v>
      </c>
      <c r="D65" s="27">
        <f t="shared" si="9"/>
        <v>468180</v>
      </c>
      <c r="E65" s="27">
        <f t="shared" si="9"/>
        <v>1874997</v>
      </c>
      <c r="F65" s="14"/>
    </row>
    <row r="66" spans="1:7" x14ac:dyDescent="0.25">
      <c r="A66" s="7" t="s">
        <v>128</v>
      </c>
      <c r="B66" s="27">
        <f>B18/B12</f>
        <v>1231672.3610239073</v>
      </c>
      <c r="C66" s="27">
        <f t="shared" si="9"/>
        <v>1097956.6636683613</v>
      </c>
      <c r="D66" s="27">
        <f t="shared" si="9"/>
        <v>438871.32952108653</v>
      </c>
      <c r="E66" s="27">
        <f t="shared" si="9"/>
        <v>1875006.2919530037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87.347525439422299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87.30404469335177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abSelected="1" zoomScale="90" zoomScaleNormal="90" workbookViewId="0"/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7" ht="15.75" x14ac:dyDescent="0.25">
      <c r="A2" s="29" t="s">
        <v>117</v>
      </c>
      <c r="B2" s="29"/>
      <c r="C2" s="29"/>
      <c r="D2" s="29"/>
      <c r="E2" s="29"/>
    </row>
    <row r="4" spans="1:7" ht="15" customHeight="1" x14ac:dyDescent="0.25">
      <c r="A4" s="30" t="s">
        <v>0</v>
      </c>
      <c r="B4" s="19"/>
      <c r="C4" s="34" t="s">
        <v>2</v>
      </c>
      <c r="D4" s="34"/>
      <c r="E4" s="34"/>
      <c r="F4" s="34"/>
    </row>
    <row r="5" spans="1:7" ht="15.75" thickBot="1" x14ac:dyDescent="0.3">
      <c r="A5" s="31"/>
      <c r="B5" s="1" t="s">
        <v>40</v>
      </c>
      <c r="C5" s="1" t="s">
        <v>69</v>
      </c>
      <c r="D5" s="1" t="s">
        <v>70</v>
      </c>
      <c r="E5" s="1" t="s">
        <v>3</v>
      </c>
      <c r="F5" s="1" t="s">
        <v>4</v>
      </c>
    </row>
    <row r="6" spans="1:7" ht="15.75" thickTop="1" x14ac:dyDescent="0.25"/>
    <row r="7" spans="1:7" x14ac:dyDescent="0.25">
      <c r="A7" s="2" t="s">
        <v>5</v>
      </c>
    </row>
    <row r="9" spans="1:7" x14ac:dyDescent="0.25">
      <c r="A9" t="s">
        <v>39</v>
      </c>
    </row>
    <row r="10" spans="1:7" x14ac:dyDescent="0.25">
      <c r="A10" s="4" t="s">
        <v>65</v>
      </c>
      <c r="B10" s="5">
        <f t="shared" ref="B10" si="0">SUM(C10:E10)</f>
        <v>3369.75</v>
      </c>
      <c r="C10" s="5">
        <f>(+'I Trimestre'!C10+'II Trimestre'!C10+'III Trimestre'!C10+'IV Trimestre'!C10)/4</f>
        <v>1600.25</v>
      </c>
      <c r="D10" s="5">
        <f>(+'I Trimestre'!D10+'II Trimestre'!D10+'III Trimestre'!D10+'IV Trimestre'!D10)/4</f>
        <v>859.5</v>
      </c>
      <c r="E10" s="5">
        <f>(+'I Trimestre'!E10+'II Trimestre'!E10+'III Trimestre'!E10+'IV Trimestre'!E10)/4</f>
        <v>910</v>
      </c>
      <c r="F10" s="5">
        <f>+'I Trimestre'!F10+'II Trimestre'!F10+'III Trimestre'!F10+'IV Trimestre'!F10/4</f>
        <v>0</v>
      </c>
      <c r="G10" s="3"/>
    </row>
    <row r="11" spans="1:7" x14ac:dyDescent="0.25">
      <c r="A11" s="6" t="s">
        <v>118</v>
      </c>
      <c r="B11" s="5">
        <f>SUM(C11:E11)</f>
        <v>4822.5</v>
      </c>
      <c r="C11" s="5">
        <f>(+'I Trimestre'!C11+'II Trimestre'!C11+'III Trimestre'!C11+'IV Trimestre'!C11)/4</f>
        <v>1770</v>
      </c>
      <c r="D11" s="5">
        <f>(+'I Trimestre'!D11+'II Trimestre'!D11+'III Trimestre'!D11+'IV Trimestre'!D11)/4</f>
        <v>1056.5</v>
      </c>
      <c r="E11" s="5">
        <f>(+'I Trimestre'!E11+'II Trimestre'!E11+'III Trimestre'!E11+'IV Trimestre'!E11)/4</f>
        <v>1996</v>
      </c>
      <c r="F11" s="5">
        <f>+'I Trimestre'!F11+'II Trimestre'!F11+'III Trimestre'!F11+'IV Trimestre'!F11/4</f>
        <v>0</v>
      </c>
      <c r="G11" s="20"/>
    </row>
    <row r="12" spans="1:7" x14ac:dyDescent="0.25">
      <c r="A12" s="6" t="s">
        <v>119</v>
      </c>
      <c r="B12" s="3">
        <f>SUM(C12:E12)</f>
        <v>4609.75</v>
      </c>
      <c r="C12" s="5">
        <f>(+'I Trimestre'!C12+'II Trimestre'!C12+'III Trimestre'!C12+'IV Trimestre'!C12)/4</f>
        <v>1715</v>
      </c>
      <c r="D12" s="5">
        <f>(+'I Trimestre'!D12+'II Trimestre'!D12+'III Trimestre'!D12+'IV Trimestre'!D12)/4</f>
        <v>951.75</v>
      </c>
      <c r="E12" s="5">
        <f>(+'I Trimestre'!E12+'II Trimestre'!E12+'III Trimestre'!E12+'IV Trimestre'!E12)/4</f>
        <v>1943</v>
      </c>
      <c r="F12" s="5">
        <f>+'I Trimestre'!F12+'II Trimestre'!F12+'III Trimestre'!F12+'IV Trimestre'!F12/4</f>
        <v>0</v>
      </c>
    </row>
    <row r="13" spans="1:7" x14ac:dyDescent="0.25">
      <c r="A13" s="6" t="s">
        <v>77</v>
      </c>
      <c r="B13" s="5">
        <f>SUM(C13:E13)</f>
        <v>4950</v>
      </c>
      <c r="C13" s="5">
        <f>+'IV Trimestre'!C13</f>
        <v>1770</v>
      </c>
      <c r="D13" s="5">
        <f>+'IV Trimestre'!D13</f>
        <v>1076</v>
      </c>
      <c r="E13" s="5">
        <f>+'IV Trimestre'!E13</f>
        <v>2104</v>
      </c>
      <c r="F13" s="5">
        <f>+'IV Trimestre'!F13</f>
        <v>0</v>
      </c>
      <c r="G13" s="20"/>
    </row>
    <row r="14" spans="1:7" x14ac:dyDescent="0.25">
      <c r="F14" s="7"/>
      <c r="G14" s="20"/>
    </row>
    <row r="15" spans="1:7" x14ac:dyDescent="0.25">
      <c r="A15" s="8" t="s">
        <v>6</v>
      </c>
      <c r="F15" s="7"/>
      <c r="G15" s="21"/>
    </row>
    <row r="16" spans="1:7" x14ac:dyDescent="0.25">
      <c r="A16" s="4" t="s">
        <v>65</v>
      </c>
      <c r="B16" s="5">
        <f t="shared" ref="B16" si="1">SUM(C16:E16)</f>
        <v>3986565425</v>
      </c>
      <c r="C16" s="5">
        <f>+'I Trimestre'!C16+'II Trimestre'!C16+'III Trimestre'!C16+'IV Trimestre'!C16</f>
        <v>1394420775</v>
      </c>
      <c r="D16" s="5">
        <f>+'I Trimestre'!D16+'II Trimestre'!D16+'III Trimestre'!D16+'IV Trimestre'!D16</f>
        <v>299558922</v>
      </c>
      <c r="E16" s="5">
        <f>+'I Trimestre'!E16+'II Trimestre'!E16+'III Trimestre'!E16+'IV Trimestre'!E16</f>
        <v>2292585728</v>
      </c>
      <c r="F16" s="5">
        <f>+'I Trimestre'!F16+'II Trimestre'!F16+'III Trimestre'!F16+'IV Trimestre'!F16</f>
        <v>0</v>
      </c>
    </row>
    <row r="17" spans="1:7" x14ac:dyDescent="0.25">
      <c r="A17" s="6" t="s">
        <v>118</v>
      </c>
      <c r="B17" s="5">
        <f>SUM(C17:F17)</f>
        <v>9072867150.9599991</v>
      </c>
      <c r="C17" s="5">
        <f>+'I Trimestre'!C17+'II Trimestre'!C17+'III Trimestre'!C17+'IV Trimestre'!C17</f>
        <v>2762283240</v>
      </c>
      <c r="D17" s="5">
        <f>+'I Trimestre'!D17+'II Trimestre'!D17+'III Trimestre'!D17+'IV Trimestre'!D17</f>
        <v>720589812</v>
      </c>
      <c r="E17" s="5">
        <f>+'I Trimestre'!E17+'II Trimestre'!E17+'III Trimestre'!E17+'IV Trimestre'!E17</f>
        <v>4989994098.96</v>
      </c>
      <c r="F17" s="5">
        <f>+'I Trimestre'!F17+'II Trimestre'!F17+'III Trimestre'!F17+'IV Trimestre'!F17</f>
        <v>600000000</v>
      </c>
      <c r="G17" s="20"/>
    </row>
    <row r="18" spans="1:7" x14ac:dyDescent="0.25">
      <c r="A18" s="6" t="s">
        <v>119</v>
      </c>
      <c r="B18" s="3">
        <f>SUM(C18:F18)</f>
        <v>8346432798.6900005</v>
      </c>
      <c r="C18" s="5">
        <f>+'I Trimestre'!C18+'II Trimestre'!C18+'III Trimestre'!C18+'IV Trimestre'!C18</f>
        <v>2638240884</v>
      </c>
      <c r="D18" s="5">
        <f>+'I Trimestre'!D18+'II Trimestre'!D18+'III Trimestre'!D18+'IV Trimestre'!D18</f>
        <v>604911138</v>
      </c>
      <c r="E18" s="5">
        <f>+'I Trimestre'!E18+'II Trimestre'!E18+'III Trimestre'!E18+'IV Trimestre'!E18</f>
        <v>4878275906.6900005</v>
      </c>
      <c r="F18" s="5">
        <f>+'I Trimestre'!F18+'II Trimestre'!F18+'III Trimestre'!F18+'IV Trimestre'!F18</f>
        <v>225004870</v>
      </c>
    </row>
    <row r="19" spans="1:7" x14ac:dyDescent="0.25">
      <c r="A19" s="6" t="s">
        <v>77</v>
      </c>
      <c r="B19" s="3">
        <f>+'IV Trimestre'!B19</f>
        <v>9072867150.9599991</v>
      </c>
      <c r="C19" s="3">
        <f>+'IV Trimestre'!C19</f>
        <v>2762283240</v>
      </c>
      <c r="D19" s="3">
        <f>+'IV Trimestre'!D19</f>
        <v>720589812</v>
      </c>
      <c r="E19" s="3">
        <f>+'IV Trimestre'!E19</f>
        <v>4989994098.96</v>
      </c>
      <c r="F19" s="3">
        <f>+'IV Trimestre'!F19</f>
        <v>600000000</v>
      </c>
    </row>
    <row r="20" spans="1:7" x14ac:dyDescent="0.25">
      <c r="A20" s="6" t="s">
        <v>120</v>
      </c>
      <c r="B20" s="5">
        <f>SUM(C20:E20)</f>
        <v>8121427928.6900005</v>
      </c>
      <c r="C20" s="5">
        <f>+C18</f>
        <v>2638240884</v>
      </c>
      <c r="D20" s="5">
        <f t="shared" ref="D20:F20" si="2">+D18</f>
        <v>604911138</v>
      </c>
      <c r="E20" s="5">
        <f t="shared" si="2"/>
        <v>4878275906.6900005</v>
      </c>
      <c r="F20" s="5">
        <f t="shared" si="2"/>
        <v>225004870</v>
      </c>
    </row>
    <row r="21" spans="1:7" x14ac:dyDescent="0.25">
      <c r="B21" s="3"/>
      <c r="C21" s="3"/>
      <c r="D21" s="3"/>
      <c r="E21" s="3"/>
      <c r="F21" s="5"/>
      <c r="G21" s="20"/>
    </row>
    <row r="22" spans="1:7" x14ac:dyDescent="0.25">
      <c r="A22" s="10" t="s">
        <v>7</v>
      </c>
      <c r="B22" s="5"/>
      <c r="C22" s="5"/>
      <c r="D22" s="5"/>
      <c r="E22" s="5"/>
      <c r="F22" s="5"/>
    </row>
    <row r="23" spans="1:7" x14ac:dyDescent="0.25">
      <c r="A23" s="4" t="s">
        <v>118</v>
      </c>
      <c r="B23" s="5">
        <f>B17</f>
        <v>9072867150.9599991</v>
      </c>
      <c r="C23" s="5"/>
      <c r="D23" s="5"/>
      <c r="E23" s="5"/>
      <c r="F23" s="5"/>
      <c r="G23" s="11"/>
    </row>
    <row r="24" spans="1:7" x14ac:dyDescent="0.25">
      <c r="A24" s="4" t="s">
        <v>119</v>
      </c>
      <c r="B24" s="5">
        <f>'I Trimestre'!B24+'II Trimestre'!B24+'III Trimestre'!B24+'IV Trimestre'!B24</f>
        <v>8328556105.6499996</v>
      </c>
      <c r="C24" s="35"/>
      <c r="D24" s="35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8</v>
      </c>
      <c r="B26" s="7"/>
      <c r="C26" s="7"/>
      <c r="D26" s="7"/>
      <c r="E26" s="7"/>
      <c r="F26" s="7"/>
    </row>
    <row r="27" spans="1:7" x14ac:dyDescent="0.25">
      <c r="A27" s="4" t="s">
        <v>66</v>
      </c>
      <c r="B27" s="28">
        <v>1.5325622623500001</v>
      </c>
      <c r="C27" s="28">
        <v>1.5325622623500001</v>
      </c>
      <c r="D27" s="28">
        <v>1.5325622623500001</v>
      </c>
      <c r="E27" s="28">
        <v>1.5325622623500001</v>
      </c>
      <c r="F27" s="28">
        <v>1.5325622623500001</v>
      </c>
    </row>
    <row r="28" spans="1:7" x14ac:dyDescent="0.25">
      <c r="A28" s="4" t="s">
        <v>121</v>
      </c>
      <c r="B28" s="28">
        <v>1.6141688075916665</v>
      </c>
      <c r="C28" s="28">
        <v>1.6141688075916665</v>
      </c>
      <c r="D28" s="28">
        <v>1.6141688075916665</v>
      </c>
      <c r="E28" s="28">
        <v>1.6141688075916665</v>
      </c>
      <c r="F28" s="28">
        <v>1.6141688075916665</v>
      </c>
    </row>
    <row r="29" spans="1:7" x14ac:dyDescent="0.25">
      <c r="A29" s="4" t="s">
        <v>9</v>
      </c>
      <c r="B29" s="5">
        <v>110128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3" t="s">
        <v>10</v>
      </c>
      <c r="B31" s="7"/>
      <c r="C31" s="7"/>
      <c r="D31" s="7"/>
      <c r="E31" s="7"/>
      <c r="F31" s="7"/>
    </row>
    <row r="32" spans="1:7" x14ac:dyDescent="0.25">
      <c r="A32" s="7" t="s">
        <v>67</v>
      </c>
      <c r="B32" s="5">
        <f>B16/B27</f>
        <v>2601242065.6157098</v>
      </c>
      <c r="C32" s="5">
        <f>C16/C27</f>
        <v>909862397.93078506</v>
      </c>
      <c r="D32" s="5">
        <f>D16/D27</f>
        <v>195462807.19496667</v>
      </c>
      <c r="E32" s="5">
        <f>E16/E27</f>
        <v>1495916860.4899583</v>
      </c>
      <c r="F32" s="5">
        <f>F16/F27</f>
        <v>0</v>
      </c>
    </row>
    <row r="33" spans="1:7" x14ac:dyDescent="0.25">
      <c r="A33" s="7" t="s">
        <v>122</v>
      </c>
      <c r="B33" s="5">
        <f>B18/B28</f>
        <v>5170731065.6949472</v>
      </c>
      <c r="C33" s="5">
        <f>C18/C28</f>
        <v>1634426877.5310092</v>
      </c>
      <c r="D33" s="5">
        <f>D18/D28</f>
        <v>374750853.29057068</v>
      </c>
      <c r="E33" s="5">
        <f>E18/E28</f>
        <v>3022159692.1875658</v>
      </c>
      <c r="F33" s="5">
        <f>F18/F28</f>
        <v>139393642.6858021</v>
      </c>
      <c r="G33" s="5"/>
    </row>
    <row r="34" spans="1:7" x14ac:dyDescent="0.25">
      <c r="A34" s="7" t="s">
        <v>68</v>
      </c>
      <c r="B34" s="5">
        <f>B32/(B10*12)</f>
        <v>64328.265341536462</v>
      </c>
      <c r="C34" s="5">
        <f t="shared" ref="C34:F34" si="3">C32/(C10*12)</f>
        <v>47381.263236514351</v>
      </c>
      <c r="D34" s="5">
        <f t="shared" si="3"/>
        <v>18951.212642521492</v>
      </c>
      <c r="E34" s="5">
        <f t="shared" si="3"/>
        <v>136988.7234880914</v>
      </c>
      <c r="F34" s="5" t="e">
        <f t="shared" si="3"/>
        <v>#DIV/0!</v>
      </c>
    </row>
    <row r="35" spans="1:7" x14ac:dyDescent="0.25">
      <c r="A35" s="7" t="s">
        <v>123</v>
      </c>
      <c r="B35" s="5">
        <f>B33/(B12*12)</f>
        <v>93474.538852341007</v>
      </c>
      <c r="C35" s="5">
        <f t="shared" ref="C35:F35" si="4">C33/(C12*12)</f>
        <v>79418.215623469834</v>
      </c>
      <c r="D35" s="5">
        <f t="shared" si="4"/>
        <v>32812.437903035694</v>
      </c>
      <c r="E35" s="5">
        <f t="shared" si="4"/>
        <v>129617.4168891562</v>
      </c>
      <c r="F35" s="5" t="e">
        <f t="shared" si="4"/>
        <v>#DIV/0!</v>
      </c>
    </row>
    <row r="36" spans="1:7" x14ac:dyDescent="0.25">
      <c r="A36" s="7"/>
      <c r="B36" s="7"/>
      <c r="C36" s="7"/>
      <c r="D36" s="7"/>
      <c r="E36" s="7"/>
      <c r="F36" s="7"/>
    </row>
    <row r="37" spans="1:7" x14ac:dyDescent="0.25">
      <c r="A37" s="2" t="s">
        <v>11</v>
      </c>
      <c r="F37" s="7"/>
    </row>
    <row r="38" spans="1:7" x14ac:dyDescent="0.25">
      <c r="F38" s="7"/>
    </row>
    <row r="39" spans="1:7" x14ac:dyDescent="0.25">
      <c r="A39" t="s">
        <v>12</v>
      </c>
      <c r="F39" s="7"/>
    </row>
    <row r="40" spans="1:7" x14ac:dyDescent="0.25">
      <c r="A40" t="s">
        <v>13</v>
      </c>
      <c r="B40" s="14">
        <f>B11/B29*100</f>
        <v>4.3789953508644484</v>
      </c>
      <c r="C40" s="14"/>
      <c r="D40" s="14"/>
      <c r="E40" s="14"/>
      <c r="F40" s="14"/>
    </row>
    <row r="41" spans="1:7" x14ac:dyDescent="0.25">
      <c r="A41" t="s">
        <v>14</v>
      </c>
      <c r="B41" s="14">
        <f>B12/B29*100</f>
        <v>4.1858110562254831</v>
      </c>
      <c r="C41" s="14"/>
      <c r="D41" s="14"/>
      <c r="E41" s="14"/>
      <c r="F41" s="14"/>
    </row>
    <row r="42" spans="1:7" x14ac:dyDescent="0.25">
      <c r="B42" s="7"/>
      <c r="C42" s="7"/>
      <c r="D42" s="7"/>
      <c r="E42" s="7"/>
      <c r="F42" s="7"/>
    </row>
    <row r="43" spans="1:7" x14ac:dyDescent="0.25">
      <c r="A43" t="s">
        <v>15</v>
      </c>
      <c r="B43" s="7"/>
      <c r="C43" s="7"/>
      <c r="D43" s="7"/>
      <c r="E43" s="7"/>
      <c r="F43" s="7"/>
    </row>
    <row r="44" spans="1:7" x14ac:dyDescent="0.25">
      <c r="A44" t="s">
        <v>16</v>
      </c>
      <c r="B44" s="14">
        <f>B12/B11*100</f>
        <v>95.588387765681702</v>
      </c>
      <c r="C44" s="14">
        <f>C12/C11*100</f>
        <v>96.89265536723164</v>
      </c>
      <c r="D44" s="14">
        <f>D12/D11*100</f>
        <v>90.085186938002835</v>
      </c>
      <c r="E44" s="14">
        <f>E12/E11*100</f>
        <v>97.344689378757508</v>
      </c>
      <c r="F44" s="14" t="e">
        <f>F12/F11*100</f>
        <v>#DIV/0!</v>
      </c>
    </row>
    <row r="45" spans="1:7" x14ac:dyDescent="0.25">
      <c r="A45" t="s">
        <v>17</v>
      </c>
      <c r="B45" s="14">
        <f>B18/B17*100</f>
        <v>91.993331984441824</v>
      </c>
      <c r="C45" s="14">
        <f>C18/C17*100</f>
        <v>95.509426614773943</v>
      </c>
      <c r="D45" s="14">
        <f>D18/D17*100</f>
        <v>83.946668121918989</v>
      </c>
      <c r="E45" s="14">
        <f>E18/E17*100</f>
        <v>97.761155823946098</v>
      </c>
      <c r="F45" s="14">
        <f>F18/F17*100</f>
        <v>37.500811666666664</v>
      </c>
    </row>
    <row r="46" spans="1:7" x14ac:dyDescent="0.25">
      <c r="A46" s="7" t="s">
        <v>18</v>
      </c>
      <c r="B46" s="14">
        <f>AVERAGE(B44:B45)</f>
        <v>93.790859875061756</v>
      </c>
      <c r="C46" s="14">
        <f>AVERAGE(C44:C45)</f>
        <v>96.201040991002799</v>
      </c>
      <c r="D46" s="14">
        <f>AVERAGE(D44:D45)</f>
        <v>87.015927529960919</v>
      </c>
      <c r="E46" s="14">
        <f>AVERAGE(E44:E45)</f>
        <v>97.55292260135181</v>
      </c>
      <c r="F46" s="14" t="e">
        <f>AVERAGE(F44:F45)</f>
        <v>#DIV/0!</v>
      </c>
    </row>
    <row r="47" spans="1:7" x14ac:dyDescent="0.25">
      <c r="A47" s="7"/>
      <c r="B47" s="14"/>
      <c r="C47" s="14"/>
      <c r="D47" s="14"/>
      <c r="E47" s="14"/>
      <c r="F47" s="14"/>
    </row>
    <row r="48" spans="1:7" x14ac:dyDescent="0.25">
      <c r="A48" s="7" t="s">
        <v>19</v>
      </c>
      <c r="B48" s="7"/>
      <c r="C48" s="7"/>
      <c r="D48" s="7"/>
      <c r="E48" s="7"/>
      <c r="F48" s="7"/>
    </row>
    <row r="49" spans="1:7" x14ac:dyDescent="0.25">
      <c r="A49" s="7" t="s">
        <v>20</v>
      </c>
      <c r="B49" s="14">
        <f>(B12/B13)*100</f>
        <v>93.12626262626263</v>
      </c>
      <c r="C49" s="14">
        <f t="shared" ref="C49:E49" si="5">(C12/C13)*100</f>
        <v>96.89265536723164</v>
      </c>
      <c r="D49" s="14">
        <f t="shared" si="5"/>
        <v>88.452602230483265</v>
      </c>
      <c r="E49" s="14">
        <f t="shared" si="5"/>
        <v>92.347908745247153</v>
      </c>
      <c r="F49" s="14" t="e">
        <f t="shared" ref="F49" si="6">(F12)/F13*100</f>
        <v>#DIV/0!</v>
      </c>
    </row>
    <row r="50" spans="1:7" x14ac:dyDescent="0.25">
      <c r="A50" s="7" t="s">
        <v>21</v>
      </c>
      <c r="B50" s="14">
        <f>B18/B19*100</f>
        <v>91.993331984441824</v>
      </c>
      <c r="C50" s="14">
        <f>C18/C19*100</f>
        <v>95.509426614773943</v>
      </c>
      <c r="D50" s="14">
        <f>D18/D19*100</f>
        <v>83.946668121918989</v>
      </c>
      <c r="E50" s="14">
        <f>E18/E19*100</f>
        <v>97.761155823946098</v>
      </c>
      <c r="F50" s="14">
        <f>F18/F19*100</f>
        <v>37.500811666666664</v>
      </c>
    </row>
    <row r="51" spans="1:7" x14ac:dyDescent="0.25">
      <c r="A51" s="7" t="s">
        <v>22</v>
      </c>
      <c r="B51" s="14">
        <f>(B49+B50)/2</f>
        <v>92.55979730535222</v>
      </c>
      <c r="C51" s="14">
        <f>(C49+C50)/2</f>
        <v>96.201040991002799</v>
      </c>
      <c r="D51" s="14">
        <f>(D49+D50)/2</f>
        <v>86.199635176201127</v>
      </c>
      <c r="E51" s="14">
        <f>(E49+E50)/2</f>
        <v>95.054532284596633</v>
      </c>
      <c r="F51" s="14" t="e">
        <f>(F49+F50)/2</f>
        <v>#DIV/0!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23</v>
      </c>
      <c r="B53" s="7"/>
      <c r="C53" s="14"/>
      <c r="D53" s="7"/>
      <c r="E53" s="7"/>
      <c r="F53" s="7"/>
    </row>
    <row r="54" spans="1:7" x14ac:dyDescent="0.25">
      <c r="A54" s="7" t="s">
        <v>24</v>
      </c>
      <c r="B54" s="14">
        <f>B20/B18*100</f>
        <v>97.304179217314072</v>
      </c>
      <c r="C54" s="14"/>
      <c r="D54" s="14"/>
      <c r="E54" s="14"/>
      <c r="F54" s="14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25</v>
      </c>
      <c r="B56" s="7"/>
      <c r="C56" s="7"/>
      <c r="D56" s="7"/>
      <c r="E56" s="7"/>
      <c r="F56" s="7"/>
    </row>
    <row r="57" spans="1:7" x14ac:dyDescent="0.25">
      <c r="A57" s="7" t="s">
        <v>26</v>
      </c>
      <c r="B57" s="14">
        <f>((B12/B10)-1)*100</f>
        <v>36.797982046145862</v>
      </c>
      <c r="C57" s="14">
        <f>((C12/C10)-1)*100</f>
        <v>7.1707545695985031</v>
      </c>
      <c r="D57" s="14">
        <f>((D12/D10)-1)*100</f>
        <v>10.732984293193715</v>
      </c>
      <c r="E57" s="14">
        <f>((E12/E10)-1)*100</f>
        <v>113.51648351648352</v>
      </c>
      <c r="F57" s="14" t="e">
        <f>((F12/F10)-1)*100</f>
        <v>#DIV/0!</v>
      </c>
    </row>
    <row r="58" spans="1:7" x14ac:dyDescent="0.25">
      <c r="A58" s="7" t="s">
        <v>27</v>
      </c>
      <c r="B58" s="14">
        <f>((B33/B32)-1)*100</f>
        <v>98.779311392961162</v>
      </c>
      <c r="C58" s="14">
        <f>((C33/C32)-1)*100</f>
        <v>79.63451190510051</v>
      </c>
      <c r="D58" s="14">
        <f>((D33/D32)-1)*100</f>
        <v>91.724890616541188</v>
      </c>
      <c r="E58" s="14">
        <f>((E33/E32)-1)*100</f>
        <v>102.0272497762821</v>
      </c>
      <c r="F58" s="14" t="e">
        <f>((F33/F32)-1)*100</f>
        <v>#DIV/0!</v>
      </c>
      <c r="G58" s="14"/>
    </row>
    <row r="59" spans="1:7" x14ac:dyDescent="0.25">
      <c r="A59" s="7" t="s">
        <v>28</v>
      </c>
      <c r="B59" s="14">
        <f>((B35/B34)-1)*100</f>
        <v>45.308657642264969</v>
      </c>
      <c r="C59" s="14">
        <f>((C35/C34)-1)*100</f>
        <v>67.615234796581404</v>
      </c>
      <c r="D59" s="14">
        <f>((D35/D34)-1)*100</f>
        <v>73.141626987041946</v>
      </c>
      <c r="E59" s="14">
        <f>((E35/E34)-1)*100</f>
        <v>-5.3809586740006354</v>
      </c>
      <c r="F59" s="14" t="e">
        <f>((F35/F34)-1)*100</f>
        <v>#DIV/0!</v>
      </c>
    </row>
    <row r="60" spans="1:7" x14ac:dyDescent="0.25">
      <c r="A60" s="7"/>
      <c r="B60" s="14"/>
      <c r="C60" s="14"/>
      <c r="D60" s="14"/>
      <c r="E60" s="14"/>
      <c r="F60" s="14"/>
    </row>
    <row r="61" spans="1:7" x14ac:dyDescent="0.25">
      <c r="A61" s="7" t="s">
        <v>29</v>
      </c>
      <c r="B61" s="7"/>
      <c r="C61" s="7"/>
      <c r="D61" s="7"/>
      <c r="E61" s="7"/>
      <c r="F61" s="7"/>
    </row>
    <row r="62" spans="1:7" x14ac:dyDescent="0.25">
      <c r="A62" s="7" t="s">
        <v>125</v>
      </c>
      <c r="B62" s="17">
        <f>B17/(B11*12)</f>
        <v>156780.14776153446</v>
      </c>
      <c r="C62" s="17">
        <f t="shared" ref="C62:F62" si="7">C17/(C11*12)</f>
        <v>130051</v>
      </c>
      <c r="D62" s="17">
        <f t="shared" si="7"/>
        <v>56837.81448177946</v>
      </c>
      <c r="E62" s="17">
        <f t="shared" si="7"/>
        <v>208333.08696392787</v>
      </c>
      <c r="F62" s="17" t="e">
        <f t="shared" si="7"/>
        <v>#DIV/0!</v>
      </c>
    </row>
    <row r="63" spans="1:7" x14ac:dyDescent="0.25">
      <c r="A63" s="7" t="s">
        <v>126</v>
      </c>
      <c r="B63" s="5">
        <f>B18/(B12*12)</f>
        <v>150883.6849194642</v>
      </c>
      <c r="C63" s="5">
        <f t="shared" ref="C63:F63" si="8">C18/(C12*12)</f>
        <v>128194.40641399416</v>
      </c>
      <c r="D63" s="5">
        <f t="shared" si="8"/>
        <v>52964.813764118728</v>
      </c>
      <c r="E63" s="5">
        <f t="shared" si="8"/>
        <v>209224.39126308117</v>
      </c>
      <c r="F63" s="5" t="e">
        <f t="shared" si="8"/>
        <v>#DIV/0!</v>
      </c>
    </row>
    <row r="64" spans="1:7" x14ac:dyDescent="0.25">
      <c r="A64" s="7" t="s">
        <v>30</v>
      </c>
      <c r="B64" s="14">
        <f>(B62/B63)*B46</f>
        <v>97.456162193694212</v>
      </c>
      <c r="C64" s="14">
        <f>(C62/C63)*C46</f>
        <v>97.594286146288155</v>
      </c>
      <c r="D64" s="14">
        <f>(D62/D63)*D46</f>
        <v>93.378882968119441</v>
      </c>
      <c r="E64" s="14">
        <f>E62/E63*E46</f>
        <v>97.13734323804411</v>
      </c>
      <c r="F64" s="14" t="e">
        <f>(F62/F63)*F46</f>
        <v>#DIV/0!</v>
      </c>
    </row>
    <row r="65" spans="1:7" x14ac:dyDescent="0.25">
      <c r="A65" s="7" t="s">
        <v>131</v>
      </c>
      <c r="B65" s="27">
        <f>B17/B11</f>
        <v>1881361.7731384134</v>
      </c>
      <c r="C65" s="27">
        <f t="shared" ref="C65:E66" si="9">C17/C11</f>
        <v>1560612</v>
      </c>
      <c r="D65" s="27">
        <f t="shared" si="9"/>
        <v>682053.77378135349</v>
      </c>
      <c r="E65" s="27">
        <f t="shared" si="9"/>
        <v>2499997.0435671341</v>
      </c>
      <c r="F65" s="14"/>
    </row>
    <row r="66" spans="1:7" x14ac:dyDescent="0.25">
      <c r="A66" s="7" t="s">
        <v>132</v>
      </c>
      <c r="B66" s="27">
        <f>B18/B12</f>
        <v>1810604.2190335703</v>
      </c>
      <c r="C66" s="27">
        <f t="shared" si="9"/>
        <v>1538332.87696793</v>
      </c>
      <c r="D66" s="27">
        <f t="shared" si="9"/>
        <v>635577.7651694247</v>
      </c>
      <c r="E66" s="27">
        <f t="shared" si="9"/>
        <v>2510692.6951569743</v>
      </c>
      <c r="F66" s="14"/>
    </row>
    <row r="67" spans="1:7" x14ac:dyDescent="0.25">
      <c r="A67" s="7"/>
      <c r="B67" s="14"/>
      <c r="C67" s="14"/>
      <c r="D67" s="14"/>
      <c r="E67" s="14"/>
      <c r="F67" s="14"/>
    </row>
    <row r="68" spans="1:7" x14ac:dyDescent="0.25">
      <c r="A68" s="7" t="s">
        <v>31</v>
      </c>
      <c r="B68" s="14"/>
      <c r="C68" s="14"/>
      <c r="D68" s="14"/>
      <c r="E68" s="14"/>
      <c r="F68" s="14"/>
    </row>
    <row r="69" spans="1:7" x14ac:dyDescent="0.25">
      <c r="A69" s="7" t="s">
        <v>32</v>
      </c>
      <c r="B69" s="14">
        <f>(B24/B23)*100</f>
        <v>91.796297323374304</v>
      </c>
      <c r="C69" s="14"/>
      <c r="D69" s="14"/>
      <c r="E69" s="14"/>
      <c r="F69" s="14"/>
      <c r="G69" s="11"/>
    </row>
    <row r="70" spans="1:7" x14ac:dyDescent="0.25">
      <c r="A70" s="7" t="s">
        <v>33</v>
      </c>
      <c r="B70" s="14">
        <f>(B18/B24)*100</f>
        <v>100.21464336450676</v>
      </c>
      <c r="C70" s="14"/>
      <c r="D70" s="14"/>
      <c r="E70" s="14"/>
      <c r="F70" s="14"/>
      <c r="G70" s="11"/>
    </row>
    <row r="71" spans="1:7" ht="15.75" thickBot="1" x14ac:dyDescent="0.3">
      <c r="A71" s="22"/>
      <c r="B71" s="15"/>
      <c r="C71" s="15"/>
      <c r="D71" s="15"/>
      <c r="E71" s="15"/>
      <c r="F71" s="15"/>
    </row>
    <row r="72" spans="1:7" ht="15.75" thickTop="1" x14ac:dyDescent="0.25"/>
    <row r="73" spans="1:7" x14ac:dyDescent="0.25">
      <c r="A73" t="s">
        <v>36</v>
      </c>
    </row>
    <row r="74" spans="1:7" x14ac:dyDescent="0.25">
      <c r="A74" t="s">
        <v>72</v>
      </c>
    </row>
    <row r="75" spans="1:7" x14ac:dyDescent="0.25">
      <c r="A75" t="s">
        <v>73</v>
      </c>
      <c r="B75" s="16"/>
      <c r="C75" s="16"/>
      <c r="D75" s="16"/>
    </row>
    <row r="76" spans="1:7" x14ac:dyDescent="0.25">
      <c r="A76" t="s">
        <v>130</v>
      </c>
    </row>
    <row r="79" spans="1:7" x14ac:dyDescent="0.25">
      <c r="A79" t="s">
        <v>37</v>
      </c>
    </row>
    <row r="80" spans="1:7" x14ac:dyDescent="0.25">
      <c r="A80" t="s">
        <v>38</v>
      </c>
    </row>
    <row r="83" spans="1:1" x14ac:dyDescent="0.25">
      <c r="A83" t="s">
        <v>133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2012-05-29T14:39:16Z</dcterms:created>
  <dcterms:modified xsi:type="dcterms:W3CDTF">2014-11-04T15:30:59Z</dcterms:modified>
</cp:coreProperties>
</file>